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OCUMENTOS\Desktop\Ia orçamentos\"/>
    </mc:Choice>
  </mc:AlternateContent>
  <bookViews>
    <workbookView xWindow="0" yWindow="0" windowWidth="20490" windowHeight="7650" activeTab="1"/>
  </bookViews>
  <sheets>
    <sheet name="Melhorias" sheetId="1" r:id="rId1"/>
    <sheet name="Hidráulica" sheetId="2" r:id="rId2"/>
    <sheet name="Hidráulica (2)" sheetId="12" r:id="rId3"/>
    <sheet name="Elétrica" sheetId="3" r:id="rId4"/>
    <sheet name="Vidros e Esquadrias" sheetId="4" r:id="rId5"/>
    <sheet name="Serralheria" sheetId="5" r:id="rId6"/>
    <sheet name="Marcenaria" sheetId="6" r:id="rId7"/>
    <sheet name="Equipamentos Eletrônicos" sheetId="7" r:id="rId8"/>
    <sheet name="Persiana" sheetId="8" r:id="rId9"/>
    <sheet name="Dedetização" sheetId="9" r:id="rId10"/>
    <sheet name="RevestimentosInfiltraçãoPintura" sheetId="10" r:id="rId11"/>
    <sheet name="Outros" sheetId="11" r:id="rId12"/>
  </sheets>
  <calcPr calcId="162913"/>
</workbook>
</file>

<file path=xl/calcChain.xml><?xml version="1.0" encoding="utf-8"?>
<calcChain xmlns="http://schemas.openxmlformats.org/spreadsheetml/2006/main">
  <c r="M11" i="2" l="1"/>
  <c r="M7" i="2"/>
  <c r="M12" i="2"/>
  <c r="M10" i="2"/>
  <c r="M9" i="2"/>
  <c r="M8" i="2"/>
  <c r="M6" i="2"/>
  <c r="M5" i="2"/>
  <c r="M4" i="2"/>
  <c r="M17" i="2"/>
  <c r="M16" i="2"/>
  <c r="M446" i="12" l="1"/>
  <c r="M445" i="12"/>
  <c r="M444" i="12"/>
  <c r="M443" i="12"/>
  <c r="M442" i="12"/>
  <c r="M441" i="12"/>
  <c r="M440" i="12"/>
  <c r="M439" i="12"/>
  <c r="M438" i="12"/>
  <c r="M437" i="12"/>
  <c r="M436" i="12"/>
  <c r="M435" i="12"/>
  <c r="M434" i="12"/>
  <c r="M433" i="12"/>
  <c r="M432" i="12"/>
  <c r="M431" i="12"/>
  <c r="M430" i="12"/>
  <c r="M429" i="12"/>
  <c r="M428" i="12"/>
  <c r="M427" i="12"/>
  <c r="M426" i="12"/>
  <c r="M425" i="12"/>
  <c r="M424" i="12"/>
  <c r="M423" i="12"/>
  <c r="M422" i="12"/>
  <c r="M421" i="12"/>
  <c r="M420" i="12"/>
  <c r="M419" i="12"/>
  <c r="M418" i="12"/>
  <c r="M417" i="12"/>
  <c r="M416" i="12"/>
  <c r="M415" i="12"/>
  <c r="M414" i="12"/>
  <c r="M413" i="12"/>
  <c r="M412" i="12"/>
  <c r="M411" i="12"/>
  <c r="M410" i="12"/>
  <c r="M409" i="12"/>
  <c r="M408" i="12"/>
  <c r="M407" i="12"/>
  <c r="M406" i="12"/>
  <c r="M405" i="12"/>
  <c r="M404" i="12"/>
  <c r="M403" i="12"/>
  <c r="M402" i="12"/>
  <c r="M401" i="12"/>
  <c r="M400" i="12"/>
  <c r="M399" i="12"/>
  <c r="M398" i="12"/>
  <c r="M397" i="12"/>
  <c r="M396" i="12"/>
  <c r="M395" i="12"/>
  <c r="M394" i="12"/>
  <c r="M393" i="12"/>
  <c r="M392" i="12"/>
  <c r="M391" i="12"/>
  <c r="M390" i="12"/>
  <c r="M389" i="12"/>
  <c r="M388" i="12"/>
  <c r="M387" i="12"/>
  <c r="M386" i="12"/>
  <c r="M385" i="12"/>
  <c r="M384" i="12"/>
  <c r="M383" i="12"/>
  <c r="M382" i="12"/>
  <c r="M381" i="12"/>
  <c r="M380" i="12"/>
  <c r="M379" i="12"/>
  <c r="M378" i="12"/>
  <c r="M377" i="12"/>
  <c r="M376" i="12"/>
  <c r="M375" i="12"/>
  <c r="M374" i="12"/>
  <c r="M373" i="12"/>
  <c r="M372" i="12"/>
  <c r="M371" i="12"/>
  <c r="M370" i="12"/>
  <c r="M369" i="12"/>
  <c r="M368" i="12"/>
  <c r="M367" i="12"/>
  <c r="M366" i="12"/>
  <c r="M365" i="12"/>
  <c r="M364" i="12"/>
  <c r="M363" i="12"/>
  <c r="M362" i="12"/>
  <c r="M361" i="12"/>
  <c r="M360" i="12"/>
  <c r="M359" i="12"/>
  <c r="M358" i="12"/>
  <c r="M357" i="12"/>
  <c r="M356" i="12"/>
  <c r="M355" i="12"/>
  <c r="M354" i="12"/>
  <c r="M353" i="12"/>
  <c r="M352" i="12"/>
  <c r="M351" i="12"/>
  <c r="M350" i="12"/>
  <c r="M349" i="12"/>
  <c r="M348" i="12"/>
  <c r="M347" i="12"/>
  <c r="M346" i="12"/>
  <c r="M345" i="12"/>
  <c r="M344" i="12"/>
  <c r="M343" i="12"/>
  <c r="M342" i="12"/>
  <c r="M341" i="12"/>
  <c r="M340" i="12"/>
  <c r="M339" i="12"/>
  <c r="M338" i="12"/>
  <c r="M337" i="12"/>
  <c r="M336" i="12"/>
  <c r="M335" i="12"/>
  <c r="M334" i="12"/>
  <c r="M333" i="12"/>
  <c r="M332" i="12"/>
  <c r="M331" i="12"/>
  <c r="M330" i="12"/>
  <c r="M329" i="12"/>
  <c r="M328" i="12"/>
  <c r="M327" i="12"/>
  <c r="M326" i="12"/>
  <c r="M325" i="12"/>
  <c r="M324" i="12"/>
  <c r="M323" i="12"/>
  <c r="M322" i="12"/>
  <c r="M321" i="12"/>
  <c r="M320" i="12"/>
  <c r="M319" i="12"/>
  <c r="M318" i="12"/>
  <c r="M317" i="12"/>
  <c r="M316" i="12"/>
  <c r="M315" i="12"/>
  <c r="M314" i="12"/>
  <c r="M313" i="12"/>
  <c r="L312" i="12"/>
  <c r="M312" i="12" s="1"/>
  <c r="K312" i="12"/>
  <c r="K311" i="12"/>
  <c r="K310" i="12"/>
  <c r="K309" i="12"/>
  <c r="K308" i="12"/>
  <c r="L307" i="12"/>
  <c r="K307" i="12"/>
  <c r="M307" i="12" s="1"/>
  <c r="K306" i="12"/>
  <c r="K305" i="12"/>
  <c r="L304" i="12"/>
  <c r="M304" i="12" s="1"/>
  <c r="K304" i="12"/>
  <c r="K303" i="12"/>
  <c r="K302" i="12"/>
  <c r="K301" i="12"/>
  <c r="K300" i="12"/>
  <c r="L299" i="12"/>
  <c r="L309" i="12" s="1"/>
  <c r="M309" i="12" s="1"/>
  <c r="M298" i="12"/>
  <c r="M297" i="12"/>
  <c r="M296" i="12"/>
  <c r="M295" i="12"/>
  <c r="M294" i="12"/>
  <c r="M293" i="12"/>
  <c r="M292" i="12"/>
  <c r="M291" i="12"/>
  <c r="M290" i="12"/>
  <c r="M289" i="12"/>
  <c r="M288" i="12"/>
  <c r="M287" i="12"/>
  <c r="M286" i="12"/>
  <c r="M285" i="12"/>
  <c r="M284" i="12"/>
  <c r="M283" i="12"/>
  <c r="M282" i="12"/>
  <c r="L282" i="12"/>
  <c r="M281" i="12"/>
  <c r="L281" i="12"/>
  <c r="M280" i="12"/>
  <c r="L280" i="12"/>
  <c r="M279" i="12"/>
  <c r="M278" i="12"/>
  <c r="M277" i="12"/>
  <c r="M276" i="12"/>
  <c r="M275" i="12"/>
  <c r="M274" i="12"/>
  <c r="M273" i="12"/>
  <c r="M272" i="12"/>
  <c r="M271" i="12"/>
  <c r="M270" i="12"/>
  <c r="M269" i="12"/>
  <c r="M268" i="12"/>
  <c r="M267" i="12"/>
  <c r="M266" i="12"/>
  <c r="M265" i="12"/>
  <c r="M264" i="12"/>
  <c r="M263" i="12"/>
  <c r="M262" i="12"/>
  <c r="M261" i="12"/>
  <c r="M260" i="12"/>
  <c r="M259" i="12"/>
  <c r="L259" i="12"/>
  <c r="M258" i="12"/>
  <c r="L258" i="12"/>
  <c r="L257" i="12"/>
  <c r="M257" i="12" s="1"/>
  <c r="M256" i="12"/>
  <c r="M255" i="12"/>
  <c r="M254" i="12"/>
  <c r="M253" i="12"/>
  <c r="M252" i="12"/>
  <c r="M251" i="12"/>
  <c r="M250" i="12"/>
  <c r="M249" i="12"/>
  <c r="M248" i="12"/>
  <c r="M247" i="12"/>
  <c r="M246" i="12"/>
  <c r="M245" i="12"/>
  <c r="M244" i="12"/>
  <c r="M243" i="12"/>
  <c r="M242" i="12"/>
  <c r="M241" i="12"/>
  <c r="M240" i="12"/>
  <c r="M239" i="12"/>
  <c r="M238" i="12"/>
  <c r="M237" i="12"/>
  <c r="M236" i="12"/>
  <c r="M235" i="12"/>
  <c r="M234" i="12"/>
  <c r="M233" i="12"/>
  <c r="M232" i="12"/>
  <c r="M231" i="12"/>
  <c r="M230" i="12"/>
  <c r="M229" i="12"/>
  <c r="M228" i="12"/>
  <c r="M227" i="12"/>
  <c r="M226" i="12"/>
  <c r="M225" i="12"/>
  <c r="M224" i="12"/>
  <c r="M223" i="12"/>
  <c r="M222" i="12"/>
  <c r="M221" i="12"/>
  <c r="M220" i="12"/>
  <c r="M219" i="12"/>
  <c r="M218" i="12"/>
  <c r="M217" i="12"/>
  <c r="M216" i="12"/>
  <c r="L215" i="12"/>
  <c r="M215" i="12" s="1"/>
  <c r="L214" i="12"/>
  <c r="M214" i="12" s="1"/>
  <c r="M213" i="12"/>
  <c r="M212" i="12"/>
  <c r="M211" i="12"/>
  <c r="M210" i="12"/>
  <c r="M209" i="12"/>
  <c r="M208" i="12"/>
  <c r="M207" i="12"/>
  <c r="M206" i="12"/>
  <c r="M205" i="12"/>
  <c r="M204" i="12"/>
  <c r="M203" i="12"/>
  <c r="M202" i="12"/>
  <c r="M201" i="12"/>
  <c r="M200" i="12"/>
  <c r="M199" i="12"/>
  <c r="M198" i="12"/>
  <c r="M197" i="12"/>
  <c r="M196" i="12"/>
  <c r="M195" i="12"/>
  <c r="M194" i="12"/>
  <c r="M193" i="12"/>
  <c r="M192" i="12"/>
  <c r="M191" i="12"/>
  <c r="M190" i="12"/>
  <c r="M189" i="12"/>
  <c r="M188" i="12"/>
  <c r="M187" i="12"/>
  <c r="M186" i="12"/>
  <c r="M185" i="12"/>
  <c r="M184" i="12"/>
  <c r="M183" i="12"/>
  <c r="M182" i="12"/>
  <c r="M181" i="12"/>
  <c r="M180" i="12"/>
  <c r="M179" i="12"/>
  <c r="M178" i="12"/>
  <c r="M177" i="12"/>
  <c r="M176" i="12"/>
  <c r="M175" i="12"/>
  <c r="M174" i="12"/>
  <c r="M173" i="12"/>
  <c r="M172" i="12"/>
  <c r="M171" i="12"/>
  <c r="M170" i="12"/>
  <c r="M169" i="12"/>
  <c r="M168" i="12"/>
  <c r="M167" i="12"/>
  <c r="M166" i="12"/>
  <c r="M165" i="12"/>
  <c r="M164" i="12"/>
  <c r="M163" i="12"/>
  <c r="M162" i="12"/>
  <c r="M161" i="12"/>
  <c r="M160" i="12"/>
  <c r="M159" i="12"/>
  <c r="M158" i="12"/>
  <c r="M157" i="12"/>
  <c r="M156" i="12"/>
  <c r="M155" i="12"/>
  <c r="M154" i="12"/>
  <c r="M153" i="12"/>
  <c r="M152" i="12"/>
  <c r="M151" i="12"/>
  <c r="M150" i="12"/>
  <c r="M149" i="12"/>
  <c r="M148" i="12"/>
  <c r="M147" i="12"/>
  <c r="M146" i="12"/>
  <c r="M145" i="12"/>
  <c r="M144" i="12"/>
  <c r="M143" i="12"/>
  <c r="M142" i="12"/>
  <c r="M141" i="12"/>
  <c r="M140" i="12"/>
  <c r="M139" i="12"/>
  <c r="M138" i="12"/>
  <c r="M137" i="12"/>
  <c r="M136" i="12"/>
  <c r="L135" i="12"/>
  <c r="K135" i="12"/>
  <c r="M135" i="12" s="1"/>
  <c r="L134" i="12"/>
  <c r="K134" i="12"/>
  <c r="M134" i="12" s="1"/>
  <c r="L133" i="12"/>
  <c r="K133" i="12"/>
  <c r="M133" i="12" s="1"/>
  <c r="L132" i="12"/>
  <c r="K132" i="12"/>
  <c r="M132" i="12" s="1"/>
  <c r="L131" i="12"/>
  <c r="M131" i="12" s="1"/>
  <c r="K131" i="12"/>
  <c r="M130" i="12"/>
  <c r="L130" i="12"/>
  <c r="K130" i="12"/>
  <c r="L129" i="12"/>
  <c r="K129" i="12"/>
  <c r="M129" i="12" s="1"/>
  <c r="M128" i="12"/>
  <c r="L128" i="12"/>
  <c r="K128" i="12"/>
  <c r="L127" i="12"/>
  <c r="M127" i="12" s="1"/>
  <c r="K127" i="12"/>
  <c r="L126" i="12"/>
  <c r="K126" i="12"/>
  <c r="M126" i="12" s="1"/>
  <c r="L125" i="12"/>
  <c r="K125" i="12"/>
  <c r="M125" i="12" s="1"/>
  <c r="L124" i="12"/>
  <c r="K124" i="12"/>
  <c r="M124" i="12" s="1"/>
  <c r="L123" i="12"/>
  <c r="M123" i="12" s="1"/>
  <c r="K123" i="12"/>
  <c r="M122" i="12"/>
  <c r="M121" i="12"/>
  <c r="M120" i="12"/>
  <c r="L119" i="12"/>
  <c r="K119" i="12"/>
  <c r="M119" i="12" s="1"/>
  <c r="K118" i="12"/>
  <c r="K117" i="12"/>
  <c r="L116" i="12"/>
  <c r="K116" i="12"/>
  <c r="M116" i="12" s="1"/>
  <c r="L115" i="12"/>
  <c r="K115" i="12"/>
  <c r="M115" i="12" s="1"/>
  <c r="K114" i="12"/>
  <c r="L113" i="12"/>
  <c r="M113" i="12" s="1"/>
  <c r="K113" i="12"/>
  <c r="K112" i="12"/>
  <c r="L111" i="12"/>
  <c r="K111" i="12"/>
  <c r="M111" i="12" s="1"/>
  <c r="K110" i="12"/>
  <c r="L109" i="12"/>
  <c r="M109" i="12" s="1"/>
  <c r="K109" i="12"/>
  <c r="L108" i="12"/>
  <c r="K108" i="12"/>
  <c r="M108" i="12" s="1"/>
  <c r="L107" i="12"/>
  <c r="K107" i="12"/>
  <c r="M107" i="12" s="1"/>
  <c r="M106" i="12"/>
  <c r="L106" i="12"/>
  <c r="L118" i="12" s="1"/>
  <c r="M118" i="12" s="1"/>
  <c r="L105" i="12"/>
  <c r="K105" i="12"/>
  <c r="M105" i="12" s="1"/>
  <c r="L104" i="12"/>
  <c r="K104" i="12"/>
  <c r="M104" i="12" s="1"/>
  <c r="L103" i="12"/>
  <c r="K103" i="12"/>
  <c r="M103" i="12" s="1"/>
  <c r="L102" i="12"/>
  <c r="M102" i="12" s="1"/>
  <c r="K102" i="12"/>
  <c r="M101" i="12"/>
  <c r="L101" i="12"/>
  <c r="K101" i="12"/>
  <c r="L100" i="12"/>
  <c r="K100" i="12"/>
  <c r="M100" i="12" s="1"/>
  <c r="M99" i="12"/>
  <c r="L99" i="12"/>
  <c r="K99" i="12"/>
  <c r="L98" i="12"/>
  <c r="M98" i="12" s="1"/>
  <c r="K98" i="12"/>
  <c r="L97" i="12"/>
  <c r="K97" i="12"/>
  <c r="M97" i="12" s="1"/>
  <c r="L96" i="12"/>
  <c r="K96" i="12"/>
  <c r="M96" i="12" s="1"/>
  <c r="L95" i="12"/>
  <c r="K95" i="12"/>
  <c r="M95" i="12" s="1"/>
  <c r="L94" i="12"/>
  <c r="M94" i="12" s="1"/>
  <c r="K94" i="12"/>
  <c r="M93" i="12"/>
  <c r="L93" i="12"/>
  <c r="K93" i="12"/>
  <c r="M92" i="12"/>
  <c r="M91" i="12"/>
  <c r="M90" i="12"/>
  <c r="M89" i="12"/>
  <c r="L88" i="12"/>
  <c r="K88" i="12"/>
  <c r="M88" i="12" s="1"/>
  <c r="K87" i="12"/>
  <c r="L86" i="12"/>
  <c r="M86" i="12" s="1"/>
  <c r="K86" i="12"/>
  <c r="K85" i="12"/>
  <c r="L84" i="12"/>
  <c r="K84" i="12"/>
  <c r="M84" i="12" s="1"/>
  <c r="K83" i="12"/>
  <c r="K82" i="12"/>
  <c r="L81" i="12"/>
  <c r="K81" i="12"/>
  <c r="M81" i="12" s="1"/>
  <c r="L80" i="12"/>
  <c r="M80" i="12" s="1"/>
  <c r="K80" i="12"/>
  <c r="K79" i="12"/>
  <c r="L78" i="12"/>
  <c r="M78" i="12" s="1"/>
  <c r="K78" i="12"/>
  <c r="K77" i="12"/>
  <c r="L76" i="12"/>
  <c r="K76" i="12"/>
  <c r="M76" i="12" s="1"/>
  <c r="M75" i="12"/>
  <c r="L75" i="12"/>
  <c r="L83" i="12" s="1"/>
  <c r="M83" i="12" s="1"/>
  <c r="M74" i="12"/>
  <c r="L74" i="12"/>
  <c r="M73" i="12"/>
  <c r="M72" i="12"/>
  <c r="M71" i="12"/>
  <c r="M70" i="12"/>
  <c r="M69" i="12"/>
  <c r="M68" i="12"/>
  <c r="M67" i="12"/>
  <c r="M66" i="12"/>
  <c r="M65" i="12"/>
  <c r="M64" i="12"/>
  <c r="M63" i="12"/>
  <c r="M62" i="12"/>
  <c r="L58" i="12"/>
  <c r="L61" i="12" s="1"/>
  <c r="M61" i="12" s="1"/>
  <c r="M57" i="12"/>
  <c r="L57" i="12"/>
  <c r="M56" i="12"/>
  <c r="L56" i="12"/>
  <c r="L59" i="12" s="1"/>
  <c r="M59" i="12" s="1"/>
  <c r="M55" i="12"/>
  <c r="M54" i="12"/>
  <c r="M53" i="12"/>
  <c r="M52" i="12"/>
  <c r="M51" i="12"/>
  <c r="M50" i="12"/>
  <c r="M49" i="12"/>
  <c r="L48" i="12"/>
  <c r="M48" i="12" s="1"/>
  <c r="L47" i="12"/>
  <c r="K47" i="12"/>
  <c r="M47" i="12" s="1"/>
  <c r="M46" i="12"/>
  <c r="L46" i="12"/>
  <c r="K46" i="12"/>
  <c r="L45" i="12"/>
  <c r="K45" i="12"/>
  <c r="M45" i="12" s="1"/>
  <c r="L44" i="12"/>
  <c r="K44" i="12"/>
  <c r="M44" i="12" s="1"/>
  <c r="L43" i="12"/>
  <c r="K43" i="12"/>
  <c r="M43" i="12" s="1"/>
  <c r="L42" i="12"/>
  <c r="K42" i="12"/>
  <c r="M42" i="12" s="1"/>
  <c r="L41" i="12"/>
  <c r="M41" i="12" s="1"/>
  <c r="K41" i="12"/>
  <c r="M40" i="12"/>
  <c r="L40" i="12"/>
  <c r="K40" i="12"/>
  <c r="L39" i="12"/>
  <c r="K39" i="12"/>
  <c r="M39" i="12" s="1"/>
  <c r="M38" i="12"/>
  <c r="L38" i="12"/>
  <c r="K38" i="12"/>
  <c r="L37" i="12"/>
  <c r="K37" i="12"/>
  <c r="M37" i="12" s="1"/>
  <c r="L36" i="12"/>
  <c r="K36" i="12"/>
  <c r="M36" i="12" s="1"/>
  <c r="M35" i="12"/>
  <c r="M34" i="12"/>
  <c r="L34" i="12"/>
  <c r="L33" i="12"/>
  <c r="K33" i="12"/>
  <c r="M33" i="12" s="1"/>
  <c r="L32" i="12"/>
  <c r="M32" i="12" s="1"/>
  <c r="K32" i="12"/>
  <c r="M31" i="12"/>
  <c r="L31" i="12"/>
  <c r="K31" i="12"/>
  <c r="L30" i="12"/>
  <c r="K30" i="12"/>
  <c r="M30" i="12" s="1"/>
  <c r="M29" i="12"/>
  <c r="L29" i="12"/>
  <c r="K29" i="12"/>
  <c r="L28" i="12"/>
  <c r="K28" i="12"/>
  <c r="M28" i="12" s="1"/>
  <c r="L27" i="12"/>
  <c r="K27" i="12"/>
  <c r="M27" i="12" s="1"/>
  <c r="L26" i="12"/>
  <c r="M26" i="12" s="1"/>
  <c r="K26" i="12"/>
  <c r="L25" i="12"/>
  <c r="K25" i="12"/>
  <c r="M25" i="12" s="1"/>
  <c r="L24" i="12"/>
  <c r="M24" i="12" s="1"/>
  <c r="K24" i="12"/>
  <c r="M23" i="12"/>
  <c r="L23" i="12"/>
  <c r="K23" i="12"/>
  <c r="L22" i="12"/>
  <c r="K22" i="12"/>
  <c r="M22" i="12" s="1"/>
  <c r="M21" i="12"/>
  <c r="L20" i="12"/>
  <c r="M20" i="12" s="1"/>
  <c r="L19" i="12"/>
  <c r="M19" i="12" s="1"/>
  <c r="L18" i="12"/>
  <c r="M18" i="12" s="1"/>
  <c r="L17" i="12"/>
  <c r="M17" i="12" s="1"/>
  <c r="L16" i="12"/>
  <c r="M16" i="12" s="1"/>
  <c r="K15" i="12"/>
  <c r="L14" i="12"/>
  <c r="K14" i="12"/>
  <c r="M14" i="12" s="1"/>
  <c r="L13" i="12"/>
  <c r="M13" i="12" s="1"/>
  <c r="L12" i="12"/>
  <c r="K12" i="12"/>
  <c r="M12" i="12" s="1"/>
  <c r="M11" i="12"/>
  <c r="M10" i="12"/>
  <c r="M9" i="12"/>
  <c r="M8" i="12"/>
  <c r="M7" i="12"/>
  <c r="M6" i="12"/>
  <c r="M5" i="12"/>
  <c r="M4" i="12"/>
  <c r="M15" i="12" l="1"/>
  <c r="M305" i="12"/>
  <c r="M300" i="12"/>
  <c r="L79" i="12"/>
  <c r="M79" i="12" s="1"/>
  <c r="L87" i="12"/>
  <c r="M87" i="12" s="1"/>
  <c r="L114" i="12"/>
  <c r="M114" i="12" s="1"/>
  <c r="L305" i="12"/>
  <c r="M58" i="12"/>
  <c r="L302" i="12"/>
  <c r="M302" i="12" s="1"/>
  <c r="L310" i="12"/>
  <c r="M310" i="12" s="1"/>
  <c r="L15" i="12"/>
  <c r="L82" i="12"/>
  <c r="M82" i="12" s="1"/>
  <c r="L117" i="12"/>
  <c r="M117" i="12" s="1"/>
  <c r="L300" i="12"/>
  <c r="L308" i="12"/>
  <c r="M308" i="12" s="1"/>
  <c r="L60" i="12"/>
  <c r="M60" i="12" s="1"/>
  <c r="L77" i="12"/>
  <c r="M77" i="12" s="1"/>
  <c r="L85" i="12"/>
  <c r="M85" i="12" s="1"/>
  <c r="L112" i="12"/>
  <c r="M112" i="12" s="1"/>
  <c r="L303" i="12"/>
  <c r="M303" i="12" s="1"/>
  <c r="L311" i="12"/>
  <c r="M311" i="12" s="1"/>
  <c r="M299" i="12"/>
  <c r="L306" i="12"/>
  <c r="M306" i="12" s="1"/>
  <c r="L110" i="12"/>
  <c r="M110" i="12" s="1"/>
  <c r="L301" i="12"/>
  <c r="M301" i="12" s="1"/>
  <c r="M15" i="2"/>
  <c r="M14" i="2"/>
  <c r="M18" i="2"/>
  <c r="M19" i="2"/>
  <c r="M20" i="2"/>
  <c r="M21" i="2"/>
  <c r="M22" i="2"/>
  <c r="M32" i="2"/>
  <c r="M46" i="2"/>
  <c r="M60" i="2"/>
  <c r="M61" i="2"/>
  <c r="M62" i="2"/>
  <c r="M63" i="2"/>
  <c r="M64" i="2"/>
  <c r="M65" i="2"/>
  <c r="M66" i="2"/>
  <c r="M73" i="2"/>
  <c r="M74" i="2"/>
  <c r="M75" i="2"/>
  <c r="M76" i="2"/>
  <c r="M77" i="2"/>
  <c r="M78" i="2"/>
  <c r="M79" i="2"/>
  <c r="M80" i="2"/>
  <c r="M81" i="2"/>
  <c r="M82" i="2"/>
  <c r="M83" i="2"/>
  <c r="M84" i="2"/>
  <c r="M100" i="2"/>
  <c r="M101" i="2"/>
  <c r="M102" i="2"/>
  <c r="M103" i="2"/>
  <c r="M131" i="2"/>
  <c r="M132" i="2"/>
  <c r="M133"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71" i="2"/>
  <c r="M272" i="2"/>
  <c r="M273" i="2"/>
  <c r="M274" i="2"/>
  <c r="M275" i="2"/>
  <c r="M276" i="2"/>
  <c r="M277" i="2"/>
  <c r="M278" i="2"/>
  <c r="M279" i="2"/>
  <c r="M280" i="2"/>
  <c r="M281" i="2"/>
  <c r="M282" i="2"/>
  <c r="M283" i="2"/>
  <c r="M284" i="2"/>
  <c r="M285" i="2"/>
  <c r="M286" i="2"/>
  <c r="M287" i="2"/>
  <c r="M288" i="2"/>
  <c r="M289" i="2"/>
  <c r="M290" i="2"/>
  <c r="M294" i="2"/>
  <c r="M295" i="2"/>
  <c r="M296" i="2"/>
  <c r="M297" i="2"/>
  <c r="M298" i="2"/>
  <c r="M299" i="2"/>
  <c r="M300" i="2"/>
  <c r="M301" i="2"/>
  <c r="M302" i="2"/>
  <c r="M303" i="2"/>
  <c r="M304" i="2"/>
  <c r="M305" i="2"/>
  <c r="M306" i="2"/>
  <c r="M307" i="2"/>
  <c r="M308" i="2"/>
  <c r="M309"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13" i="2"/>
  <c r="L23" i="2"/>
  <c r="L24" i="2"/>
  <c r="L25" i="2" s="1"/>
  <c r="L27" i="2"/>
  <c r="L29" i="2" s="1"/>
  <c r="M29" i="2" s="1"/>
  <c r="L30" i="2"/>
  <c r="M30" i="2" s="1"/>
  <c r="L31" i="2"/>
  <c r="M31" i="2" s="1"/>
  <c r="L33" i="2"/>
  <c r="L34" i="2"/>
  <c r="L35" i="2"/>
  <c r="L36" i="2"/>
  <c r="L37" i="2"/>
  <c r="L38" i="2"/>
  <c r="L39" i="2"/>
  <c r="L40" i="2"/>
  <c r="L41" i="2"/>
  <c r="L42" i="2"/>
  <c r="L43" i="2"/>
  <c r="L44" i="2"/>
  <c r="L45" i="2"/>
  <c r="M45" i="2" s="1"/>
  <c r="L47" i="2"/>
  <c r="L48" i="2"/>
  <c r="L49" i="2"/>
  <c r="L50" i="2"/>
  <c r="L51" i="2"/>
  <c r="L52" i="2"/>
  <c r="L53" i="2"/>
  <c r="L54" i="2"/>
  <c r="L55" i="2"/>
  <c r="L56" i="2"/>
  <c r="L57" i="2"/>
  <c r="L58" i="2"/>
  <c r="L59" i="2"/>
  <c r="M59" i="2" s="1"/>
  <c r="L67" i="2"/>
  <c r="L70" i="2" s="1"/>
  <c r="M70" i="2" s="1"/>
  <c r="L68" i="2"/>
  <c r="M68" i="2" s="1"/>
  <c r="L69" i="2"/>
  <c r="L71" i="2" s="1"/>
  <c r="M71" i="2" s="1"/>
  <c r="L85" i="2"/>
  <c r="M85" i="2" s="1"/>
  <c r="L86" i="2"/>
  <c r="L93" i="2" s="1"/>
  <c r="L104" i="2"/>
  <c r="L105" i="2"/>
  <c r="L106" i="2"/>
  <c r="L107" i="2"/>
  <c r="L108" i="2"/>
  <c r="L109" i="2"/>
  <c r="L110" i="2"/>
  <c r="L111" i="2"/>
  <c r="L112" i="2"/>
  <c r="L113" i="2"/>
  <c r="L114" i="2"/>
  <c r="L115" i="2"/>
  <c r="L116" i="2"/>
  <c r="L117" i="2"/>
  <c r="L121" i="2" s="1"/>
  <c r="L134" i="2"/>
  <c r="L135" i="2"/>
  <c r="L136" i="2"/>
  <c r="L137" i="2"/>
  <c r="L138" i="2"/>
  <c r="L139" i="2"/>
  <c r="L140" i="2"/>
  <c r="L141" i="2"/>
  <c r="L142" i="2"/>
  <c r="L143" i="2"/>
  <c r="L144" i="2"/>
  <c r="L145" i="2"/>
  <c r="L146" i="2"/>
  <c r="L225" i="2"/>
  <c r="M225" i="2" s="1"/>
  <c r="L226" i="2"/>
  <c r="M226" i="2" s="1"/>
  <c r="L268" i="2"/>
  <c r="M268" i="2" s="1"/>
  <c r="L269" i="2"/>
  <c r="M269" i="2" s="1"/>
  <c r="L270" i="2"/>
  <c r="M270" i="2" s="1"/>
  <c r="L291" i="2"/>
  <c r="M291" i="2" s="1"/>
  <c r="L292" i="2"/>
  <c r="M292" i="2" s="1"/>
  <c r="L293" i="2"/>
  <c r="M293" i="2" s="1"/>
  <c r="L310" i="2"/>
  <c r="L311" i="2" s="1"/>
  <c r="K23" i="2"/>
  <c r="M23" i="2" s="1"/>
  <c r="K25" i="2"/>
  <c r="K26" i="2"/>
  <c r="K33" i="2"/>
  <c r="M33" i="2" s="1"/>
  <c r="K34" i="2"/>
  <c r="K35" i="2"/>
  <c r="M35" i="2" s="1"/>
  <c r="K36" i="2"/>
  <c r="M36" i="2" s="1"/>
  <c r="K37" i="2"/>
  <c r="K38" i="2"/>
  <c r="K39" i="2"/>
  <c r="K40" i="2"/>
  <c r="M40" i="2" s="1"/>
  <c r="K41" i="2"/>
  <c r="K42" i="2"/>
  <c r="K43" i="2"/>
  <c r="M43" i="2" s="1"/>
  <c r="K44" i="2"/>
  <c r="M44" i="2" s="1"/>
  <c r="K47" i="2"/>
  <c r="K48" i="2"/>
  <c r="M48" i="2" s="1"/>
  <c r="K49" i="2"/>
  <c r="M49" i="2" s="1"/>
  <c r="K50" i="2"/>
  <c r="M50" i="2" s="1"/>
  <c r="K51" i="2"/>
  <c r="K52" i="2"/>
  <c r="M52" i="2" s="1"/>
  <c r="K53" i="2"/>
  <c r="M53" i="2" s="1"/>
  <c r="K54" i="2"/>
  <c r="M54" i="2" s="1"/>
  <c r="K55" i="2"/>
  <c r="K56" i="2"/>
  <c r="M56" i="2" s="1"/>
  <c r="K57" i="2"/>
  <c r="M57" i="2" s="1"/>
  <c r="K58" i="2"/>
  <c r="M58" i="2" s="1"/>
  <c r="K87" i="2"/>
  <c r="K88" i="2"/>
  <c r="K89" i="2"/>
  <c r="K90" i="2"/>
  <c r="K91" i="2"/>
  <c r="K92" i="2"/>
  <c r="K93" i="2"/>
  <c r="M93" i="2" s="1"/>
  <c r="K94" i="2"/>
  <c r="K95" i="2"/>
  <c r="K96" i="2"/>
  <c r="K97" i="2"/>
  <c r="K98" i="2"/>
  <c r="K99" i="2"/>
  <c r="K104" i="2"/>
  <c r="M104" i="2" s="1"/>
  <c r="K105" i="2"/>
  <c r="K106" i="2"/>
  <c r="M106" i="2" s="1"/>
  <c r="K107" i="2"/>
  <c r="M107" i="2" s="1"/>
  <c r="K108" i="2"/>
  <c r="M108" i="2" s="1"/>
  <c r="K109" i="2"/>
  <c r="M109" i="2" s="1"/>
  <c r="K110" i="2"/>
  <c r="M110" i="2" s="1"/>
  <c r="K111" i="2"/>
  <c r="M111" i="2" s="1"/>
  <c r="K112" i="2"/>
  <c r="M112" i="2" s="1"/>
  <c r="K113" i="2"/>
  <c r="K114" i="2"/>
  <c r="M114" i="2" s="1"/>
  <c r="K115" i="2"/>
  <c r="M115" i="2" s="1"/>
  <c r="K116" i="2"/>
  <c r="M116" i="2" s="1"/>
  <c r="K118" i="2"/>
  <c r="K119" i="2"/>
  <c r="K120" i="2"/>
  <c r="K121" i="2"/>
  <c r="M121" i="2" s="1"/>
  <c r="K122" i="2"/>
  <c r="K123" i="2"/>
  <c r="K124" i="2"/>
  <c r="K125" i="2"/>
  <c r="K126" i="2"/>
  <c r="K127" i="2"/>
  <c r="K128" i="2"/>
  <c r="K129" i="2"/>
  <c r="K130" i="2"/>
  <c r="K134" i="2"/>
  <c r="M134" i="2" s="1"/>
  <c r="K135" i="2"/>
  <c r="M135" i="2" s="1"/>
  <c r="K136" i="2"/>
  <c r="M136" i="2" s="1"/>
  <c r="K137" i="2"/>
  <c r="M137" i="2" s="1"/>
  <c r="K138" i="2"/>
  <c r="M138" i="2" s="1"/>
  <c r="K139" i="2"/>
  <c r="M139" i="2" s="1"/>
  <c r="K140" i="2"/>
  <c r="M140" i="2" s="1"/>
  <c r="K141" i="2"/>
  <c r="M141" i="2" s="1"/>
  <c r="K142" i="2"/>
  <c r="M142" i="2" s="1"/>
  <c r="K143" i="2"/>
  <c r="M143" i="2" s="1"/>
  <c r="K144" i="2"/>
  <c r="M144" i="2" s="1"/>
  <c r="K145" i="2"/>
  <c r="M145" i="2" s="1"/>
  <c r="K146" i="2"/>
  <c r="M146" i="2" s="1"/>
  <c r="K311" i="2"/>
  <c r="M311" i="2" s="1"/>
  <c r="K312" i="2"/>
  <c r="K313" i="2"/>
  <c r="K314" i="2"/>
  <c r="K315" i="2"/>
  <c r="K316" i="2"/>
  <c r="K317" i="2"/>
  <c r="K318" i="2"/>
  <c r="K319" i="2"/>
  <c r="K320" i="2"/>
  <c r="K321" i="2"/>
  <c r="K322" i="2"/>
  <c r="K323" i="2"/>
  <c r="M41" i="2" l="1"/>
  <c r="M38" i="2"/>
  <c r="M25" i="2"/>
  <c r="M55" i="2"/>
  <c r="M47" i="2"/>
  <c r="M37" i="2"/>
  <c r="M113" i="2"/>
  <c r="M42" i="2"/>
  <c r="M34" i="2"/>
  <c r="M105" i="2"/>
  <c r="M51" i="2"/>
  <c r="M39" i="2"/>
  <c r="L28" i="2"/>
  <c r="M28" i="2" s="1"/>
  <c r="M24" i="2"/>
  <c r="L26" i="2"/>
  <c r="M26" i="2" s="1"/>
  <c r="M310" i="2"/>
  <c r="M86" i="2"/>
  <c r="L96" i="2"/>
  <c r="M96" i="2" s="1"/>
  <c r="M117" i="2"/>
  <c r="M69" i="2"/>
  <c r="L95" i="2"/>
  <c r="M95" i="2" s="1"/>
  <c r="L94" i="2"/>
  <c r="M94" i="2" s="1"/>
  <c r="M67" i="2"/>
  <c r="M27" i="2"/>
  <c r="L87" i="2"/>
  <c r="M87" i="2" s="1"/>
  <c r="L92" i="2"/>
  <c r="M92" i="2" s="1"/>
  <c r="L91" i="2"/>
  <c r="M91" i="2" s="1"/>
  <c r="L323" i="2"/>
  <c r="M323" i="2" s="1"/>
  <c r="L99" i="2"/>
  <c r="M99" i="2" s="1"/>
  <c r="L90" i="2"/>
  <c r="M90" i="2" s="1"/>
  <c r="L318" i="2"/>
  <c r="M318" i="2" s="1"/>
  <c r="L125" i="2"/>
  <c r="M125" i="2" s="1"/>
  <c r="L98" i="2"/>
  <c r="M98" i="2" s="1"/>
  <c r="L89" i="2"/>
  <c r="M89" i="2" s="1"/>
  <c r="L315" i="2"/>
  <c r="M315" i="2" s="1"/>
  <c r="L97" i="2"/>
  <c r="M97" i="2" s="1"/>
  <c r="L88" i="2"/>
  <c r="M88" i="2" s="1"/>
  <c r="L128" i="2"/>
  <c r="M128" i="2" s="1"/>
  <c r="L120" i="2"/>
  <c r="M120" i="2" s="1"/>
  <c r="L72" i="2"/>
  <c r="M72" i="2" s="1"/>
  <c r="L317" i="2"/>
  <c r="M317" i="2" s="1"/>
  <c r="L127" i="2"/>
  <c r="M127" i="2" s="1"/>
  <c r="L119" i="2"/>
  <c r="M119" i="2" s="1"/>
  <c r="L316" i="2"/>
  <c r="M316" i="2" s="1"/>
  <c r="L126" i="2"/>
  <c r="M126" i="2" s="1"/>
  <c r="L118" i="2"/>
  <c r="M118" i="2" s="1"/>
  <c r="L314" i="2"/>
  <c r="M314" i="2" s="1"/>
  <c r="L124" i="2"/>
  <c r="M124" i="2" s="1"/>
  <c r="L321" i="2"/>
  <c r="M321" i="2" s="1"/>
  <c r="L313" i="2"/>
  <c r="M313" i="2" s="1"/>
  <c r="L123" i="2"/>
  <c r="M123" i="2" s="1"/>
  <c r="L320" i="2"/>
  <c r="M320" i="2" s="1"/>
  <c r="L312" i="2"/>
  <c r="M312" i="2" s="1"/>
  <c r="L130" i="2"/>
  <c r="M130" i="2" s="1"/>
  <c r="L122" i="2"/>
  <c r="M122" i="2" s="1"/>
  <c r="L322" i="2"/>
  <c r="M322" i="2" s="1"/>
  <c r="L319" i="2"/>
  <c r="M319" i="2" s="1"/>
  <c r="L129" i="2"/>
  <c r="M129" i="2" s="1"/>
  <c r="L35" i="11"/>
  <c r="K35" i="11"/>
  <c r="L34" i="11"/>
  <c r="K33" i="11"/>
  <c r="L32" i="11"/>
  <c r="L33" i="11" s="1"/>
  <c r="K32" i="11"/>
  <c r="L283" i="10"/>
  <c r="L275" i="10"/>
  <c r="L273" i="10"/>
  <c r="L268" i="10"/>
  <c r="L267" i="10"/>
  <c r="K251" i="10"/>
  <c r="K250" i="10"/>
  <c r="K249" i="10"/>
  <c r="K248" i="10"/>
  <c r="L246" i="10"/>
  <c r="L244" i="10"/>
  <c r="L242" i="10"/>
  <c r="L240" i="10"/>
  <c r="L238" i="10"/>
  <c r="L235" i="10"/>
  <c r="L236" i="10" s="1"/>
  <c r="L233" i="10"/>
  <c r="L234" i="10" s="1"/>
  <c r="L231" i="10"/>
  <c r="L232" i="10" s="1"/>
  <c r="L230" i="10"/>
  <c r="L228" i="10"/>
  <c r="L227" i="10"/>
  <c r="L226" i="10"/>
  <c r="L225" i="10"/>
  <c r="L224" i="10"/>
  <c r="L223" i="10"/>
  <c r="L222" i="10"/>
  <c r="L220" i="10"/>
  <c r="L218" i="10"/>
  <c r="L216" i="10"/>
  <c r="L214" i="10"/>
  <c r="L251" i="10" s="1"/>
  <c r="L212" i="10"/>
  <c r="L249" i="10" s="1"/>
  <c r="L210" i="10"/>
  <c r="L208" i="10"/>
  <c r="L209" i="10" s="1"/>
  <c r="L207" i="10"/>
  <c r="L206" i="10"/>
  <c r="L197" i="10"/>
  <c r="K197" i="10"/>
  <c r="L195" i="10"/>
  <c r="K195" i="10"/>
  <c r="L193" i="10"/>
  <c r="K193" i="10"/>
  <c r="L184" i="10"/>
  <c r="K184" i="10"/>
  <c r="L183" i="10"/>
  <c r="K183" i="10"/>
  <c r="L181" i="10"/>
  <c r="K181" i="10"/>
  <c r="L180" i="10"/>
  <c r="K180" i="10"/>
  <c r="L178" i="10"/>
  <c r="K178" i="10"/>
  <c r="L175" i="10"/>
  <c r="K175" i="10"/>
  <c r="L174" i="10"/>
  <c r="K174" i="10"/>
  <c r="L172" i="10"/>
  <c r="K172" i="10"/>
  <c r="L169" i="10"/>
  <c r="K169" i="10"/>
  <c r="L167" i="10"/>
  <c r="K167" i="10"/>
  <c r="L165" i="10"/>
  <c r="K165" i="10"/>
  <c r="L163" i="10"/>
  <c r="K163" i="10"/>
  <c r="L160" i="10"/>
  <c r="L159" i="10"/>
  <c r="L158" i="10"/>
  <c r="L157" i="10"/>
  <c r="L148" i="10"/>
  <c r="L147" i="10"/>
  <c r="L142" i="10"/>
  <c r="L141" i="10"/>
  <c r="K137" i="10"/>
  <c r="K138" i="10" s="1"/>
  <c r="L136" i="10"/>
  <c r="L137" i="10" s="1"/>
  <c r="L138" i="10" s="1"/>
  <c r="L135" i="10"/>
  <c r="K135" i="10"/>
  <c r="K136" i="10" s="1"/>
  <c r="K133" i="10"/>
  <c r="K134" i="10" s="1"/>
  <c r="L132" i="10"/>
  <c r="L133" i="10" s="1"/>
  <c r="L134" i="10" s="1"/>
  <c r="K132" i="10"/>
  <c r="K130" i="10"/>
  <c r="L129" i="10"/>
  <c r="K129" i="10"/>
  <c r="L128" i="10"/>
  <c r="K128" i="10"/>
  <c r="L127" i="10"/>
  <c r="K127" i="10"/>
  <c r="L126" i="10"/>
  <c r="K126" i="10"/>
  <c r="L125" i="10"/>
  <c r="K124" i="10"/>
  <c r="L118" i="10"/>
  <c r="K118" i="10"/>
  <c r="L117" i="10"/>
  <c r="K117" i="10"/>
  <c r="K123" i="10" s="1"/>
  <c r="K116" i="10"/>
  <c r="L115" i="10"/>
  <c r="L130" i="10" s="1"/>
  <c r="L110" i="10"/>
  <c r="K110" i="10"/>
  <c r="K125" i="10" s="1"/>
  <c r="L109" i="10"/>
  <c r="L124" i="10" s="1"/>
  <c r="K109" i="10"/>
  <c r="L108" i="10"/>
  <c r="K108" i="10"/>
  <c r="L107" i="10"/>
  <c r="K107" i="10"/>
  <c r="K106" i="10"/>
  <c r="K103" i="10"/>
  <c r="K104" i="10" s="1"/>
  <c r="K105" i="10" s="1"/>
  <c r="L102" i="10"/>
  <c r="L103" i="10" s="1"/>
  <c r="L104" i="10" s="1"/>
  <c r="L105" i="10" s="1"/>
  <c r="K102" i="10"/>
  <c r="K101" i="10"/>
  <c r="K100" i="10"/>
  <c r="K98" i="10"/>
  <c r="K99" i="10" s="1"/>
  <c r="K97" i="10"/>
  <c r="L96" i="10"/>
  <c r="L97" i="10" s="1"/>
  <c r="L98" i="10" s="1"/>
  <c r="L99" i="10" s="1"/>
  <c r="L100" i="10" s="1"/>
  <c r="K92" i="10"/>
  <c r="K93" i="10" s="1"/>
  <c r="K94" i="10" s="1"/>
  <c r="K95" i="10" s="1"/>
  <c r="L91" i="10"/>
  <c r="L92" i="10" s="1"/>
  <c r="L93" i="10" s="1"/>
  <c r="L94" i="10" s="1"/>
  <c r="L95" i="10" s="1"/>
  <c r="L89" i="10"/>
  <c r="L90" i="10" s="1"/>
  <c r="L87" i="10"/>
  <c r="L88" i="10" s="1"/>
  <c r="K87" i="10"/>
  <c r="K88" i="10" s="1"/>
  <c r="K89" i="10" s="1"/>
  <c r="K90" i="10" s="1"/>
  <c r="L86" i="10"/>
  <c r="K85" i="10"/>
  <c r="K83" i="10"/>
  <c r="K84" i="10" s="1"/>
  <c r="L82" i="10"/>
  <c r="L83" i="10" s="1"/>
  <c r="L84" i="10" s="1"/>
  <c r="L85" i="10" s="1"/>
  <c r="K82" i="10"/>
  <c r="L81" i="10"/>
  <c r="L78" i="10"/>
  <c r="K75" i="10"/>
  <c r="K71" i="10"/>
  <c r="K70" i="10"/>
  <c r="L69" i="10"/>
  <c r="L41" i="10"/>
  <c r="L40" i="10"/>
  <c r="L38" i="10"/>
  <c r="L37" i="10"/>
  <c r="L25" i="9"/>
  <c r="L24" i="9"/>
  <c r="K17" i="9"/>
  <c r="K18" i="9" s="1"/>
  <c r="L16" i="9"/>
  <c r="L17" i="9" s="1"/>
  <c r="L18" i="9" s="1"/>
  <c r="K16" i="9"/>
  <c r="K10" i="9"/>
  <c r="K12" i="9" s="1"/>
  <c r="K14" i="9" s="1"/>
  <c r="K9" i="9"/>
  <c r="K11" i="9" s="1"/>
  <c r="K13" i="9" s="1"/>
  <c r="K8" i="9"/>
  <c r="L7" i="9"/>
  <c r="K6" i="9"/>
  <c r="L5" i="9"/>
  <c r="L6" i="9" s="1"/>
  <c r="K5" i="9"/>
  <c r="K7" i="9" s="1"/>
  <c r="L56" i="8"/>
  <c r="L55" i="8"/>
  <c r="L54" i="8"/>
  <c r="L53" i="8"/>
  <c r="L52" i="8"/>
  <c r="L51" i="8"/>
  <c r="L50" i="8"/>
  <c r="L49" i="8"/>
  <c r="L48" i="8"/>
  <c r="L47" i="8"/>
  <c r="L46" i="8"/>
  <c r="L45" i="8"/>
  <c r="L44" i="8"/>
  <c r="L43" i="8"/>
  <c r="L42" i="8"/>
  <c r="L41" i="8"/>
  <c r="L40" i="8"/>
  <c r="L39" i="8"/>
  <c r="L36" i="8"/>
  <c r="K36" i="8"/>
  <c r="L33" i="8"/>
  <c r="K33" i="8"/>
  <c r="L31" i="8"/>
  <c r="K31" i="8"/>
  <c r="L26" i="8"/>
  <c r="K26" i="8"/>
  <c r="L24" i="8"/>
  <c r="K24" i="8"/>
  <c r="L18" i="8"/>
  <c r="L8" i="8"/>
  <c r="L7" i="8"/>
  <c r="L6" i="8"/>
  <c r="K77" i="7"/>
  <c r="L74" i="7"/>
  <c r="L60" i="7"/>
  <c r="L59" i="7"/>
  <c r="L164" i="6"/>
  <c r="L163" i="6"/>
  <c r="L145" i="6"/>
  <c r="L144" i="6"/>
  <c r="L143" i="6"/>
  <c r="K142" i="6"/>
  <c r="K144" i="6" s="1"/>
  <c r="K146" i="6" s="1"/>
  <c r="L141" i="6"/>
  <c r="K141" i="6"/>
  <c r="K143" i="6" s="1"/>
  <c r="K145" i="6" s="1"/>
  <c r="L140" i="6"/>
  <c r="L124" i="6"/>
  <c r="L123" i="6"/>
  <c r="L122" i="6"/>
  <c r="L121" i="6"/>
  <c r="L120" i="6"/>
  <c r="L119" i="6"/>
  <c r="L118" i="6"/>
  <c r="L117" i="6"/>
  <c r="K117" i="6"/>
  <c r="L116" i="6"/>
  <c r="K116" i="6"/>
  <c r="L115" i="6"/>
  <c r="K115" i="6"/>
  <c r="L114" i="6"/>
  <c r="K114" i="6"/>
  <c r="L113" i="6"/>
  <c r="K113" i="6"/>
  <c r="L112" i="6"/>
  <c r="K112" i="6"/>
  <c r="L111" i="6"/>
  <c r="L110" i="6"/>
  <c r="K110" i="6"/>
  <c r="K111" i="6" s="1"/>
  <c r="L109" i="6"/>
  <c r="L108" i="6"/>
  <c r="K108" i="6"/>
  <c r="K109" i="6" s="1"/>
  <c r="K106" i="6"/>
  <c r="L104" i="6"/>
  <c r="L103" i="6"/>
  <c r="L102" i="6"/>
  <c r="L101" i="6"/>
  <c r="L99" i="6"/>
  <c r="L98" i="6"/>
  <c r="L97" i="6"/>
  <c r="L96" i="6"/>
  <c r="L43" i="6"/>
  <c r="L42" i="6"/>
  <c r="L41" i="6"/>
  <c r="L40" i="6"/>
  <c r="L39" i="6"/>
  <c r="L38" i="6"/>
  <c r="L37" i="6"/>
  <c r="L36" i="6"/>
  <c r="L35" i="6"/>
  <c r="L34" i="6"/>
  <c r="L33" i="6"/>
  <c r="L32" i="6"/>
  <c r="L31" i="6"/>
  <c r="L30" i="6"/>
  <c r="L29" i="6"/>
  <c r="L28" i="6"/>
  <c r="L27" i="6"/>
  <c r="L26" i="6"/>
  <c r="L25" i="6"/>
  <c r="L24" i="6"/>
  <c r="L23" i="6"/>
  <c r="L22" i="6"/>
  <c r="L21" i="6"/>
  <c r="L20" i="6"/>
  <c r="L19" i="6"/>
  <c r="L18" i="6"/>
  <c r="L14" i="6"/>
  <c r="L13" i="6"/>
  <c r="L12" i="6"/>
  <c r="L11" i="6"/>
  <c r="L10" i="6"/>
  <c r="L9" i="6"/>
  <c r="L8" i="6"/>
  <c r="L7" i="6"/>
  <c r="L6" i="6"/>
  <c r="L5" i="6"/>
  <c r="L91" i="5"/>
  <c r="L90" i="5"/>
  <c r="L65" i="5"/>
  <c r="L64" i="5"/>
  <c r="L63" i="5"/>
  <c r="L62" i="5"/>
  <c r="L61" i="5"/>
  <c r="L60" i="5"/>
  <c r="L59" i="5"/>
  <c r="L58" i="5"/>
  <c r="L41" i="5"/>
  <c r="L40" i="5"/>
  <c r="L39" i="5"/>
  <c r="L38" i="5"/>
  <c r="L37" i="5"/>
  <c r="L36" i="5"/>
  <c r="L35" i="5"/>
  <c r="L34" i="5"/>
  <c r="L33" i="5"/>
  <c r="L32" i="5"/>
  <c r="L31" i="5"/>
  <c r="L30" i="5"/>
  <c r="L29" i="5"/>
  <c r="L28" i="5"/>
  <c r="L27" i="5"/>
  <c r="L26" i="5"/>
  <c r="L25" i="5"/>
  <c r="L24" i="5"/>
  <c r="L23" i="5"/>
  <c r="L22" i="5"/>
  <c r="L107" i="4"/>
  <c r="L98" i="4"/>
  <c r="L39" i="4"/>
  <c r="K39" i="4"/>
  <c r="L38" i="4"/>
  <c r="K38" i="4"/>
  <c r="L37" i="4"/>
  <c r="K37" i="4"/>
  <c r="L36" i="4"/>
  <c r="K36" i="4"/>
  <c r="L61" i="3"/>
  <c r="L60" i="3"/>
  <c r="K60" i="3"/>
  <c r="L59" i="3"/>
  <c r="K59" i="3"/>
  <c r="L58" i="3"/>
  <c r="L57" i="3"/>
  <c r="L56" i="3"/>
  <c r="L55" i="3"/>
  <c r="L54" i="3"/>
  <c r="L53" i="3"/>
  <c r="L52" i="3"/>
  <c r="L51" i="3"/>
  <c r="L50" i="3"/>
  <c r="L49" i="3"/>
  <c r="L48" i="3"/>
  <c r="L47" i="3"/>
  <c r="L46" i="3"/>
  <c r="L45" i="3"/>
  <c r="L44" i="3"/>
  <c r="L43" i="3"/>
  <c r="L30" i="3"/>
  <c r="L29" i="3"/>
  <c r="L28" i="3"/>
  <c r="L25" i="3"/>
  <c r="L24" i="3"/>
  <c r="L23" i="3"/>
  <c r="L22" i="3"/>
  <c r="L21" i="3"/>
  <c r="L20" i="3"/>
  <c r="L19" i="3"/>
  <c r="L75" i="10" l="1"/>
  <c r="L74" i="10"/>
  <c r="L71" i="10"/>
  <c r="L73" i="10"/>
  <c r="L72" i="10"/>
  <c r="L70" i="10"/>
  <c r="L9" i="9"/>
  <c r="L11" i="9" s="1"/>
  <c r="L13" i="9" s="1"/>
  <c r="L8" i="9"/>
  <c r="L10" i="9" s="1"/>
  <c r="L12" i="9" s="1"/>
  <c r="L14" i="9" s="1"/>
  <c r="L27" i="3"/>
  <c r="L26" i="3"/>
  <c r="L146" i="6"/>
  <c r="L142" i="6"/>
  <c r="L106" i="10"/>
  <c r="L116" i="10"/>
</calcChain>
</file>

<file path=xl/comments1.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2.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3.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4.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5.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6.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7.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8.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comments9.xml><?xml version="1.0" encoding="utf-8"?>
<comments xmlns="http://schemas.openxmlformats.org/spreadsheetml/2006/main">
  <authors>
    <author/>
  </authors>
  <commentList>
    <comment ref="AF1" authorId="0" shapeId="0">
      <text>
        <r>
          <rPr>
            <sz val="10"/>
            <color rgb="FF000000"/>
            <rFont val="Arial"/>
            <scheme val="minor"/>
          </rPr>
          <t>PORCENTAGEM REPRESENTÁTIVA DO PREÇO DE MÃO DE OBRA IDEAL 
PARA QUANTIDADE ACIMA DE 01 UNIDADE</t>
        </r>
      </text>
    </comment>
    <comment ref="AG1" authorId="0" shapeId="0">
      <text>
        <r>
          <rPr>
            <sz val="10"/>
            <color rgb="FF000000"/>
            <rFont val="Arial"/>
            <scheme val="minor"/>
          </rPr>
          <t>FOI CONSIDERADO:
PORCENTAGEM ADICIONAL
DESCONTO DE 10% DE IMPOSTOS
DESCONTO DE R$30,00 PARA DESLOCAMENTO</t>
        </r>
      </text>
    </comment>
    <comment ref="AI1" authorId="0" shapeId="0">
      <text>
        <r>
          <rPr>
            <sz val="10"/>
            <color rgb="FF000000"/>
            <rFont val="Arial"/>
            <scheme val="minor"/>
          </rPr>
          <t>PREÇO REFERÊNTE A SERVIÇOS ACIMA DE 01 UNIDADE.
CONSIDERANDO MÃO DE OBRA ADICIONAL E MATERIAL IDEAL</t>
        </r>
      </text>
    </comment>
  </commentList>
</comments>
</file>

<file path=xl/sharedStrings.xml><?xml version="1.0" encoding="utf-8"?>
<sst xmlns="http://schemas.openxmlformats.org/spreadsheetml/2006/main" count="33980" uniqueCount="6596">
  <si>
    <t>Nome do Solicitante</t>
  </si>
  <si>
    <t>Data da solicitação</t>
  </si>
  <si>
    <t>Adicionar|Sugestão</t>
  </si>
  <si>
    <t>Descrição</t>
  </si>
  <si>
    <t>Id pedido</t>
  </si>
  <si>
    <t>Id orçamento</t>
  </si>
  <si>
    <t xml:space="preserve">Responsável </t>
  </si>
  <si>
    <t>Status</t>
  </si>
  <si>
    <t>Categoria</t>
  </si>
  <si>
    <t>Observação</t>
  </si>
  <si>
    <t>Data</t>
  </si>
  <si>
    <t>Número da linha</t>
  </si>
  <si>
    <t>ID DO SERVIÇO</t>
  </si>
  <si>
    <t>Problemas Relacionados</t>
  </si>
  <si>
    <t>Serviço/Texto da Grid</t>
  </si>
  <si>
    <t>caracter 01</t>
  </si>
  <si>
    <t>caracter 02</t>
  </si>
  <si>
    <t>caracter 03</t>
  </si>
  <si>
    <t>caracter 04</t>
  </si>
  <si>
    <t>caracter 05</t>
  </si>
  <si>
    <t>caracter 06</t>
  </si>
  <si>
    <t>unidade</t>
  </si>
  <si>
    <t>MÃO DE OBRA
IDEAL</t>
  </si>
  <si>
    <t>MATERIAL
IDEAL</t>
  </si>
  <si>
    <t>TOTAL PRESTADOR 
IDEAL</t>
  </si>
  <si>
    <t>DESCRIÇÃO DO DIAGNÓSTICO  - ORÇAMENTO</t>
  </si>
  <si>
    <t>DESCRIÇÃO DA SOLUÇÃO - ORÇAMENTO</t>
  </si>
  <si>
    <t>Subcategoria</t>
  </si>
  <si>
    <t>25% REFERA + IMOBILIÁRIA IDEAL</t>
  </si>
  <si>
    <t>VALOR BRUTO IDEAL</t>
  </si>
  <si>
    <t>% LUCRO IDEAL PRESTADOR</t>
  </si>
  <si>
    <t>% LUCRO ADICIONAL PRESTADOR</t>
  </si>
  <si>
    <t>RELAÇÃO MAT / MO</t>
  </si>
  <si>
    <t>10% IMPOSTO (IDEAL)</t>
  </si>
  <si>
    <t>DESLOCAMENTO (VALOR FIXO) (IDEAL)</t>
  </si>
  <si>
    <t>MATERIAL + IMOB + REFERA  (IDEAL)</t>
  </si>
  <si>
    <t>SOMATÓRIA DE CUSTOS (IDEAL)</t>
  </si>
  <si>
    <t>% DE CUSTO (IDEAL)</t>
  </si>
  <si>
    <t>SALDO PRESTADOR IDEAL</t>
  </si>
  <si>
    <t>% DE SALDO IDEAL</t>
  </si>
  <si>
    <t xml:space="preserve">NÍVEL DE COMPLEXIDADE </t>
  </si>
  <si>
    <t>ADICIONAL</t>
  </si>
  <si>
    <t>MÃO DE OBRA ADICIONAL</t>
  </si>
  <si>
    <t>MATERIAL ADICIONAL</t>
  </si>
  <si>
    <t>TOTAL PRESTADOR ADICIONAL</t>
  </si>
  <si>
    <t>25% REFERA + IMOBILIÁRIA ADICIONAL</t>
  </si>
  <si>
    <t>VALOR BRUTO ADICIONAL</t>
  </si>
  <si>
    <t>10% IMPOSTO (ADICIONAL)</t>
  </si>
  <si>
    <t>MATERIAL + IMOB + REFERA (ADICIONAL)</t>
  </si>
  <si>
    <t>SOMATÓRIA DE CUSTOS (ADICIONAL)</t>
  </si>
  <si>
    <t>% DE CUSTO (ADICIONAL)</t>
  </si>
  <si>
    <t>SALDO PRESTADOR ADICIONAL</t>
  </si>
  <si>
    <t>% DE SALDO ADICIONAL</t>
  </si>
  <si>
    <t>SITUAÇÃO PARA O PRESTADOR ADICIONAL</t>
  </si>
  <si>
    <t>MÃO DE OBRA
MÁXIMO</t>
  </si>
  <si>
    <t>MATERIAL MÁXIMO</t>
  </si>
  <si>
    <t>TOTAL PRESTADOR MÁXIMO</t>
  </si>
  <si>
    <t>VALOR BRUTO MÁXIMO</t>
  </si>
  <si>
    <t>VISITA TÉCNICA</t>
  </si>
  <si>
    <t>DATA DA INCLUSÃO</t>
  </si>
  <si>
    <t>Alta possibilidade de complementar?</t>
  </si>
  <si>
    <t>LINK DO MATERIAL</t>
  </si>
  <si>
    <t>REF DESOCUPAÇÃO</t>
  </si>
  <si>
    <t>TIPO DE MO</t>
  </si>
  <si>
    <t>MO h</t>
  </si>
  <si>
    <t>🔐 Softr Record ID</t>
  </si>
  <si>
    <t>DESCRIÇÃO UNIFICADA - NÃO EDITAR</t>
  </si>
  <si>
    <t>01</t>
  </si>
  <si>
    <t/>
  </si>
  <si>
    <t>01.01</t>
  </si>
  <si>
    <t>01.01.01</t>
  </si>
  <si>
    <t>un</t>
  </si>
  <si>
    <t>50%</t>
  </si>
  <si>
    <t>Ruim</t>
  </si>
  <si>
    <t>Não</t>
  </si>
  <si>
    <t>Oficial</t>
  </si>
  <si>
    <t>01.01.02</t>
  </si>
  <si>
    <t>20%</t>
  </si>
  <si>
    <t>Boa</t>
  </si>
  <si>
    <t>Faz tudo</t>
  </si>
  <si>
    <t>01.01.03</t>
  </si>
  <si>
    <t>01.02</t>
  </si>
  <si>
    <t>01.02.01</t>
  </si>
  <si>
    <t>Reparo pontual em encanamento para entrada de água</t>
  </si>
  <si>
    <t>tubulação aparente</t>
  </si>
  <si>
    <t>material pvc</t>
  </si>
  <si>
    <t>diâmetro até 3/4"</t>
  </si>
  <si>
    <t>com poucas conexões</t>
  </si>
  <si>
    <t>Existe um vazamento de água na tubulação externa aparente, causando aumento no consumo de água.
Local: XXX</t>
  </si>
  <si>
    <t>01.02.02</t>
  </si>
  <si>
    <t>Troca de encanamento para entrada de água</t>
  </si>
  <si>
    <t>comprimento 6.00m</t>
  </si>
  <si>
    <t>01.02.03</t>
  </si>
  <si>
    <t>com muitas conexões</t>
  </si>
  <si>
    <t>Execução de troca de encanamento para entrada de água, tubulação aparente, material pvc, diâmetro até 3/4", com muitas conexões, comprimento 6.00m.
Está incluso: troca de peças necessárias, teste de funcionamento e limpeza do local.</t>
  </si>
  <si>
    <t>100%</t>
  </si>
  <si>
    <t>01.02.04</t>
  </si>
  <si>
    <t>diâmetro até 1.1/2"</t>
  </si>
  <si>
    <t>Execução de reparo pontual em encanamento para entrada de água, tubulação aparente, material pvc, diâmetro até 1.1/2", com poucas conexões.
Está incluso: troca de peças necessárias, teste de funcionamento e limpeza do local.</t>
  </si>
  <si>
    <t>01.02.05</t>
  </si>
  <si>
    <t>Execução de troca de encanamento para entrada de água, tubulação aparente, material pvc, diâmetro até 1.1/2", com poucas conexões, comprimento 6.00m.
Está incluso: troca de peças necessárias, teste de funcionamento e limpeza do local.</t>
  </si>
  <si>
    <t>01.02.06</t>
  </si>
  <si>
    <t>Execução de troca de encanamento para entrada de água, tubulação aparente, material pvc, diâmetro até 1.1/2", com muitas conexões, comprimento 6.00m.
Está incluso: troca de peças necessárias, teste de funcionamento e limpeza do local.</t>
  </si>
  <si>
    <t>01.02.07</t>
  </si>
  <si>
    <t>material cobre</t>
  </si>
  <si>
    <t>diâmentro 1/2"</t>
  </si>
  <si>
    <t>Execução de reparo pontual em encanamento para entrada de água, tubulação aparente, material cobre, diâmentro 1/2", com poucas conexões.
Está incluso: troca de peças necessárias, teste de funcionamento e limpeza do local.</t>
  </si>
  <si>
    <t>Sim</t>
  </si>
  <si>
    <t>01.02.08</t>
  </si>
  <si>
    <t>Troca de encanamento e conexões para entrada de água</t>
  </si>
  <si>
    <t>comprimento 2.50 m</t>
  </si>
  <si>
    <t>01.02.09</t>
  </si>
  <si>
    <t>Execução de troca de encanamento e conexões para entrada de água, tubulação aparente, material cobre, diâmentro 1/2", com muitas conexões, comprimento 2.50 m.
Está incluso: troca de peças necessárias, teste de funcionamento e limpeza do local.</t>
  </si>
  <si>
    <t>01.02.10</t>
  </si>
  <si>
    <t>diâmentro 3/4"</t>
  </si>
  <si>
    <t>Execução de reparo pontual em encanamento para entrada de água, tubulação aparente, material cobre, diâmentro 3/4", com poucas conexões.
Está incluso: troca de peças necessárias, teste de funcionamento e limpeza do local.</t>
  </si>
  <si>
    <t>01.02.11</t>
  </si>
  <si>
    <t>Execução de troca de encanamento e conexões para entrada de água, tubulação aparente, material cobre, diâmentro 3/4", com muitas conexões, comprimento 2.50 m.
Está incluso: troca de peças necessárias, teste de funcionamento e limpeza do local.</t>
  </si>
  <si>
    <t>01.02.30</t>
  </si>
  <si>
    <t>Troca de cotovelo / joelho azul com rosca e conexões necessárias</t>
  </si>
  <si>
    <t>entrada de água</t>
  </si>
  <si>
    <t>Execução de troca de cotovelo / joelho azul com rosca e conexões necessárias, entrada de água, material pvc.
Está incluso: troca de peças necessárias, teste de funcionamento e limpeza do local.</t>
  </si>
  <si>
    <t>01.02.31</t>
  </si>
  <si>
    <t>tubulação embutida</t>
  </si>
  <si>
    <t>acabamento em reboco com pintura similar</t>
  </si>
  <si>
    <t>Existe um vazamento de água na tubulação interna, podendo causar infiltração e aumento no consumo de água.
Local: XXX</t>
  </si>
  <si>
    <t>Execução de troca de cotovelo / joelho azul com rosca e conexões necessárias, entrada de água, material pvc, tubulação embutida, acabamento em reboco com pintura similar.
Está incluso: troca de peças necessárias, através de quebra e reconstrução da alvenaria com acabamento similar, teste de funcionamento e limpeza do local.</t>
  </si>
  <si>
    <t>01.02.32</t>
  </si>
  <si>
    <t>acabamento em cerâmica convencional</t>
  </si>
  <si>
    <t>até 02 peças</t>
  </si>
  <si>
    <t>Execução de troca de cotovelo / joelho azul com rosca e conexões necessárias, entrada de água, material pvc, tubulação embutida, acabamento em cerâmica convencional, até 02 peças.
Está incluso: troca de peças necessárias, através de quebra e reconstrução da alvenaria com acabamento similar, teste de funcionamento e limpeza do local.</t>
  </si>
  <si>
    <t>01.02.33</t>
  </si>
  <si>
    <t>até 04 peças</t>
  </si>
  <si>
    <t>Execução de troca de cotovelo / joelho azul com rosca e conexões necessárias, entrada de água, material pvc, tubulação embutida, acabamento em cerâmica convencional, até 04 peças.
Está incluso: troca de peças necessárias, através de quebra e reconstrução da alvenaria com acabamento similar, teste de funcionamento e limpeza do local.</t>
  </si>
  <si>
    <t>01.02.34</t>
  </si>
  <si>
    <t>acabamento em cerâmica de museu similar</t>
  </si>
  <si>
    <t>máximo 15x15 cm</t>
  </si>
  <si>
    <t>Execução de troca de cotovelo / joelho azul com rosca e conexões necessárias, entrada de água, material pvc, tubulação embutida, acabamento em cerâmica de museu similar, máximo 15x15 cm, até 02 peças.
Está incluso: troca de peças necessárias, através de quebra e reconstrução da alvenaria com acabamento similar, teste de funcionamento e limpeza do local.</t>
  </si>
  <si>
    <t>01.02.35</t>
  </si>
  <si>
    <t>Execução de troca de cotovelo / joelho azul com rosca e conexões necessárias, entrada de água, material pvc, tubulação embutida, acabamento em cerâmica de museu similar, máximo 15x15 cm, até 04 peças.
Está incluso: troca de peças necessárias, através de quebra e reconstrução da alvenaria com acabamento similar, teste de funcionamento e limpeza do local.</t>
  </si>
  <si>
    <t>01.02.36</t>
  </si>
  <si>
    <t>até 06 peças</t>
  </si>
  <si>
    <t>Execução de troca de cotovelo / joelho azul com rosca e conexões necessárias, entrada de água, material pvc, tubulação embutida, acabamento em cerâmica de museu similar, máximo 15x15 cm, até 06 peças.
Está incluso: troca de peças necessárias, através de quebra e reconstrução da alvenaria com acabamento similar, teste de funcionamento e limpeza do local.</t>
  </si>
  <si>
    <t>01.02.37</t>
  </si>
  <si>
    <t>máximo 30x30 cm</t>
  </si>
  <si>
    <t>Execução de troca de cotovelo / joelho azul com rosca e conexões necessárias, entrada de água, material pvc, tubulação embutida, acabamento em cerâmica de museu similar, máximo 30x30 cm, até 02 peças.
Está incluso: troca de peças necessárias, através de quebra e reconstrução da alvenaria com acabamento similar, teste de funcionamento e limpeza do local.</t>
  </si>
  <si>
    <t>01.02.38</t>
  </si>
  <si>
    <t>Execução de troca de cotovelo / joelho azul com rosca e conexões necessárias, entrada de água, material pvc, tubulação embutida, acabamento em cerâmica de museu similar, máximo 30x30 cm, até 04 peças.
Está incluso: troca de peças necessárias, através de quebra e reconstrução da alvenaria com acabamento similar, teste de funcionamento e limpeza do local.</t>
  </si>
  <si>
    <t>01.02.39</t>
  </si>
  <si>
    <t>máximo 60x60 cm</t>
  </si>
  <si>
    <t>Execução de troca de cotovelo / joelho azul com rosca e conexões necessárias, entrada de água, material pvc, tubulação embutida, acabamento em cerâmica de museu similar, máximo 60x60 cm, até 02 peças.
Está incluso: troca de peças necessárias, através de quebra e reconstrução da alvenaria com acabamento similar, teste de funcionamento e limpeza do local.</t>
  </si>
  <si>
    <t>01.02.40</t>
  </si>
  <si>
    <t>Execução de troca de cotovelo / joelho azul com rosca e conexões necessárias, entrada de água, material pvc, tubulação embutida, acabamento em cerâmica de museu similar, máximo 60x60 cm, até 04 peças.
Está incluso: troca de peças necessárias, através de quebra e reconstrução da alvenaria com acabamento similar, teste de funcionamento e limpeza do local.</t>
  </si>
  <si>
    <t>01.02.41</t>
  </si>
  <si>
    <t>a partir de 60x60 cm</t>
  </si>
  <si>
    <t>Execução de troca de cotovelo / joelho azul com rosca e conexões necessárias, entrada de água, material pvc, tubulação embutida, acabamento em cerâmica de museu similar, a partir de 60x60 cm, até 02 peças.
Está incluso: troca de peças necessárias, através de quebra e reconstrução da alvenaria com acabamento similar, teste de funcionamento e limpeza do local.</t>
  </si>
  <si>
    <t>01.02.42</t>
  </si>
  <si>
    <t>Execução de troca de cotovelo / joelho azul com rosca e conexões necessárias, entrada de água, material pvc, tubulação embutida, acabamento em cerâmica de museu similar, a partir de 60x60 cm, até 04 peças.
Está incluso: troca de peças necessárias, através de quebra e reconstrução da alvenaria com acabamento similar, teste de funcionamento e limpeza do local.</t>
  </si>
  <si>
    <t>01.02.43</t>
  </si>
  <si>
    <t>acabamento em cerâmica disponível no local</t>
  </si>
  <si>
    <t>Execução de troca de cotovelo / joelho azul com rosca e conexões necessárias, entrada de água, material pvc, tubulação embutida, acabamento em cerâmica disponível no local, até 04 peças.
Está incluso: troca de peças necessárias, através de quebra e reconstrução da alvenaria com acabamento similar, teste de funcionamento e limpeza do local.</t>
  </si>
  <si>
    <t>01.02.44</t>
  </si>
  <si>
    <t>Troca de cotovelo / joelho branco com anel de borracha e conexões necessárias</t>
  </si>
  <si>
    <t>saída de esgoto</t>
  </si>
  <si>
    <t>Execução de troca de cotovelo / joelho branco com anel de borracha e conexões necessárias, saída de esgoto, material pvc.
Está incluso: troca de peças necessárias, teste de funcionamento e limpeza do local.</t>
  </si>
  <si>
    <t>01.02.45</t>
  </si>
  <si>
    <t>Execução de troca de cotovelo / joelho branco com anel de borracha e conexões necessárias, saída de esgoto, material pvc, tubulação embutida, acabamento em reboco com pintura similar.
Está incluso: troca de peças necessárias, através de quebra e reconstrução da alvenaria com acabamento similar, teste de funcionamento e limpeza do local.</t>
  </si>
  <si>
    <t>01.02.46</t>
  </si>
  <si>
    <t>Execução de troca de cotovelo / joelho branco com anel de borracha e conexões necessárias, saída de esgoto, material pvc, tubulação embutida, acabamento em cerâmica convencional, até 02 peças.
Está incluso: troca de peças necessárias, através de quebra e reconstrução da alvenaria com acabamento similar, teste de funcionamento e limpeza do local.</t>
  </si>
  <si>
    <t>01.02.47</t>
  </si>
  <si>
    <t>Execução de troca de cotovelo / joelho branco com anel de borracha e conexões necessárias, saída de esgoto, material pvc, tubulação embutida, acabamento em cerâmica convencional, até 04 peças.
Está incluso: troca de peças necessárias, através de quebra e reconstrução da alvenaria com acabamento similar, teste de funcionamento e limpeza do local.</t>
  </si>
  <si>
    <t>01.02.48</t>
  </si>
  <si>
    <t>Execução de troca de cotovelo / joelho branco com anel de borracha e conexões necessárias, saída de esgoto, material pvc, tubulação embutida, acabamento em cerâmica de museu similar, máximo 15x15 cm, até 02 peças.
Está incluso: troca de peças necessárias, através de quebra e reconstrução da alvenaria com acabamento similar, teste de funcionamento e limpeza do local.</t>
  </si>
  <si>
    <t>01.02.49</t>
  </si>
  <si>
    <t>Execução de troca de cotovelo / joelho branco com anel de borracha e conexões necessárias, saída de esgoto, material pvc, tubulação embutida, acabamento em cerâmica de museu similar, máximo 15x15 cm, até 04 peças.
Está incluso: troca de peças necessárias, através de quebra e reconstrução da alvenaria com acabamento similar, teste de funcionamento e limpeza do local.</t>
  </si>
  <si>
    <t>01.02.50</t>
  </si>
  <si>
    <t>Execução de troca de cotovelo / joelho branco com anel de borracha e conexões necessárias, saída de esgoto, material pvc, tubulação embutida, acabamento em cerâmica de museu similar, máximo 15x15 cm, até 06 peças.
Está incluso: troca de peças necessárias, através de quebra e reconstrução da alvenaria com acabamento similar, teste de funcionamento e limpeza do local.</t>
  </si>
  <si>
    <t>01.02.51</t>
  </si>
  <si>
    <t>Execução de troca de cotovelo / joelho branco com anel de borracha e conexões necessárias, saída de esgoto, material pvc, tubulação embutida, acabamento em cerâmica de museu similar, máximo 30x30 cm, até 02 peças.
Está incluso: troca de peças necessárias, através de quebra e reconstrução da alvenaria com acabamento similar, teste de funcionamento e limpeza do local.</t>
  </si>
  <si>
    <t>01.02.52</t>
  </si>
  <si>
    <t>Execução de troca de cotovelo / joelho branco com anel de borracha e conexões necessárias, saída de esgoto, material pvc, tubulação embutida, acabamento em cerâmica de museu similar, máximo 30x30 cm, até 04 peças.
Está incluso: troca de peças necessárias, através de quebra e reconstrução da alvenaria com acabamento similar, teste de funcionamento e limpeza do local.</t>
  </si>
  <si>
    <t>01.02.53</t>
  </si>
  <si>
    <t>Execução de troca de cotovelo / joelho branco com anel de borracha e conexões necessárias, saída de esgoto, material pvc, tubulação embutida, acabamento em cerâmica de museu similar, máximo 60x60 cm, até 02 peças.
Está incluso: troca de peças necessárias, através de quebra e reconstrução da alvenaria com acabamento similar, teste de funcionamento e limpeza do local.</t>
  </si>
  <si>
    <t>01.02.54</t>
  </si>
  <si>
    <t>Execução de troca de cotovelo / joelho branco com anel de borracha e conexões necessárias, saída de esgoto, material pvc, tubulação embutida, acabamento em cerâmica de museu similar, máximo 60x60 cm, até 04 peças.
Está incluso: troca de peças necessárias, através de quebra e reconstrução da alvenaria com acabamento similar, teste de funcionamento e limpeza do local.</t>
  </si>
  <si>
    <t>01.02.55</t>
  </si>
  <si>
    <t>Execução de troca de cotovelo / joelho branco com anel de borracha e conexões necessárias, saída de esgoto, material pvc, tubulação embutida, acabamento em cerâmica de museu similar, a partir de 60x60 cm, até 02 peças.
Está incluso: troca de peças necessárias, através de quebra e reconstrução da alvenaria com acabamento similar, teste de funcionamento e limpeza do local.</t>
  </si>
  <si>
    <t>01.02.56</t>
  </si>
  <si>
    <t>Execução de troca de cotovelo / joelho branco com anel de borracha e conexões necessárias, saída de esgoto, material pvc, tubulação embutida, acabamento em cerâmica de museu similar, a partir de 60x60 cm, até 04 peças.
Está incluso: troca de peças necessárias, através de quebra e reconstrução da alvenaria com acabamento similar, teste de funcionamento e limpeza do local.</t>
  </si>
  <si>
    <t>01.02.57</t>
  </si>
  <si>
    <t>Execução de troca de cotovelo / joelho branco com anel de borracha e conexões necessárias, saída de esgoto, material pvc, tubulação embutida, acabamento em cerâmica disponível no local, até 04 peças.
Está incluso: troca de peças necessárias, através de quebra e reconstrução da alvenaria com acabamento similar, teste de funcionamento e limpeza do local.</t>
  </si>
  <si>
    <t>01.02.58</t>
  </si>
  <si>
    <t>Retirada de ar da tubulação</t>
  </si>
  <si>
    <t>por ponto hidráulico</t>
  </si>
  <si>
    <t>Ar na tubulação hidráulica, impedindo o fluxo de água.</t>
  </si>
  <si>
    <t>Execução de retirada de ar da tubulação, por ponto hidráulico.
Está incluso: abertura e fechamento de pontos, testes necessários e limpeza do local.</t>
  </si>
  <si>
    <t>01.03</t>
  </si>
  <si>
    <t>01.03.01</t>
  </si>
  <si>
    <t>Reparo de conexões</t>
  </si>
  <si>
    <t>convencional</t>
  </si>
  <si>
    <t>Vazamento em conexões da caixa d água.</t>
  </si>
  <si>
    <t>Execução de reparo de conexões, convencional.
Está incluso: troca de peças necessárias, teste de funcionamento e limpeza do local.</t>
  </si>
  <si>
    <t>01.03.02</t>
  </si>
  <si>
    <t>Reparo de dreno da caixa d água</t>
  </si>
  <si>
    <t>Dreno da caixa d água danificado.</t>
  </si>
  <si>
    <t>Execução de reparo de dreno da caixa d água, convencional.
Está incluso: troca de peças necessárias, teste de funcionamento e limpeza do local.</t>
  </si>
  <si>
    <t>01.03.03</t>
  </si>
  <si>
    <t>Troca de boia da caixa d água</t>
  </si>
  <si>
    <t>com haste metálica, conexão metálica e boia de material plástico</t>
  </si>
  <si>
    <t>Boia da caixa d água não está operando.</t>
  </si>
  <si>
    <t>Execução de troca de boia da caixa d água, convencional, com haste metálica, conexão metálica e boia de material plástico.
Está incluso: troca de peças necessárias, teste de funcionamento e limpeza do local.</t>
  </si>
  <si>
    <t>01.03.04</t>
  </si>
  <si>
    <t>Troca da chave de boia</t>
  </si>
  <si>
    <t>elétrica</t>
  </si>
  <si>
    <t>Boia elétrica da caixa d água não está operando.</t>
  </si>
  <si>
    <t>Execução de troca da chave de boia, elétrica.
Está incluso: troca de peças necessárias, teste de funcionamento e limpeza do local.</t>
  </si>
  <si>
    <t>01.03.05</t>
  </si>
  <si>
    <t>Necessidade de limpeza da caixa d água</t>
  </si>
  <si>
    <t>Execução de retirada de ar da tubulação, convencional.
Está incluso: revisão da bóia e conexões.</t>
  </si>
  <si>
    <t>01.03.06</t>
  </si>
  <si>
    <t>Troca de caixa d água, incluso conexões e boia</t>
  </si>
  <si>
    <t>localização externa</t>
  </si>
  <si>
    <t>menos de 500l</t>
  </si>
  <si>
    <t>Necessidade de substituição da caixa d água</t>
  </si>
  <si>
    <t>Execução de troca de caixa d água, incluso conexões e boia, localização externa, menos de 500l.
Está incluso: retirada e descarte da caixa d água antiga, instalação completa com limpeza do local e teste de funcionamento.</t>
  </si>
  <si>
    <t>01.03.07</t>
  </si>
  <si>
    <t>entre 500l e 1000l</t>
  </si>
  <si>
    <t>Execução de troca de caixa d água, incluso conexões e boia, localização externa, entre 500l e 1000l.
Está incluso: retirada e descarte da caixa d água antiga, instalação completa com limpeza do local e teste de funcionamento.</t>
  </si>
  <si>
    <t>01.03.08</t>
  </si>
  <si>
    <t>mais de 1.000l</t>
  </si>
  <si>
    <t>Execução de troca de caixa d água, incluso conexões e boia, localização externa, mais de 1.000l.
Está incluso: retirada e descarte da caixa d água antiga, instalação completa com limpeza do local e teste de funcionamento.</t>
  </si>
  <si>
    <t>01.03.09</t>
  </si>
  <si>
    <t>localização interna do telhado</t>
  </si>
  <si>
    <t>Execução de troca de caixa d água, incluso conexões e boia, localização interna do telhado, menos de 500l.
Está incluso: desmontagem e montagem de parte da cobertura do telhado necessária para retirada e descarte da caixa d água antiga, instalação completa da caixa d água nova com limpeza do local e teste de funcionamento.</t>
  </si>
  <si>
    <t>01.03.10</t>
  </si>
  <si>
    <t>Execução de troca de caixa d água, incluso conexões e boia, localização interna do telhado, entre 500l e 1000l.
Está incluso: desmontagem e montagem de parte da cobertura do telhado necessária para retirada e descarte da caixa d água antiga, instalação completa da caixa d água nova com limpeza do local e teste de funcionamento.</t>
  </si>
  <si>
    <t>01.03.11</t>
  </si>
  <si>
    <t>Execução de troca de caixa d água, incluso conexões e boia, localização interna do telhado, mais de 1.000l.
Está incluso: desmontagem e montagem de parte da cobertura do telhado necessária para retirada e descarte da caixa d água antiga, instalação completa da caixa d água nova com limpeza do local e teste de funcionamento.</t>
  </si>
  <si>
    <t>01.03.12</t>
  </si>
  <si>
    <t>Troca da tampa de caixa d água</t>
  </si>
  <si>
    <t>Necessidade de substituição da tampa da caixa d água</t>
  </si>
  <si>
    <t>Execução de troca da tampa de caixa d água, convencional, menos de 500l.
Está incluso: retirada e descarte da tampa antiga, instalação da tampa nova e limpeza do local.</t>
  </si>
  <si>
    <t>01.03.13</t>
  </si>
  <si>
    <t>Execução de troca da tampa de caixa d água, convencional, entre 500l e 1000l.
Está incluso: retirada e descarte da tampa antiga, instalação da tampa nova e limpeza do local.</t>
  </si>
  <si>
    <t>01.03.14</t>
  </si>
  <si>
    <t>Execução de troca da tampa de caixa d água, convencional, mais de 1.000l.
Está incluso: retirada e descarte da tampa antiga, instalação da tampa nova e limpeza do local.</t>
  </si>
  <si>
    <t>01.03.15</t>
  </si>
  <si>
    <t>Troca da base da caixa d água</t>
  </si>
  <si>
    <t>estrutura em madeira</t>
  </si>
  <si>
    <t>Necessidade de conserto da base da caixa d água</t>
  </si>
  <si>
    <t>Execução de troca da base da caixa d água, estrutura em madeira.
Está incluso: substituição de vigas de madeira com travamento.</t>
  </si>
  <si>
    <t>01.04</t>
  </si>
  <si>
    <t>01.04.01</t>
  </si>
  <si>
    <t>Troca completa do registro tipo esfera</t>
  </si>
  <si>
    <t>material plástico</t>
  </si>
  <si>
    <t>Substituição completa do registro de plástico tipo esfera.
Em nosso serviço está incluso: troca de peças necessárias, teste de funcionamento e limpeza do local.</t>
  </si>
  <si>
    <t>01.04.02</t>
  </si>
  <si>
    <t>material metálico</t>
  </si>
  <si>
    <t>considerar acabamento similar</t>
  </si>
  <si>
    <t>Substituição completa do registro de metal tipo esfera.
Em nosso serviço está incluso: troca de peças necessárias, teste de funcionamento e limpeza do local.</t>
  </si>
  <si>
    <t>01.04.03</t>
  </si>
  <si>
    <t>Troca da borracha vedante do registro tipo gaveta</t>
  </si>
  <si>
    <t>Vazamento aparente no registro de gaveta, devido a falha na vedação interna do registro.
Local: XXX</t>
  </si>
  <si>
    <t>Substituição da borracha vedante do registro tipo gaveta.
Em nosso serviço está incluso: troca da borracha através da retirada do eixo central e limpeza do local.</t>
  </si>
  <si>
    <t>01.04.04</t>
  </si>
  <si>
    <t>Troca das borrachas vedantes do registro tipo pressão</t>
  </si>
  <si>
    <t>Vazamento aparente no registro de pressão com gotejamento continuo no chuveiro, devido a falha na vedação do registro.
Local: XXX</t>
  </si>
  <si>
    <t>Substituição da borracha vedante do registro tipo pressão.
Em nosso serviço está incluso: troca da borracha através da retirada do eixo central e limpeza do local.</t>
  </si>
  <si>
    <t>01.04.05</t>
  </si>
  <si>
    <t>utilizado em registro geral</t>
  </si>
  <si>
    <t>modelos antigos</t>
  </si>
  <si>
    <t>salva registro universal</t>
  </si>
  <si>
    <t>Foi identificado danos no reparo interno do registro tipo gaveta de modelos antigos, causando problemas durante o uso.
Local: XXX</t>
  </si>
  <si>
    <t>Substituição no reparo interno do registro tipo gaveta de modelos antigos.
Em nosso serviço está incluso: troca de eixo, cunha, castelo, teste de funcionamento e limpeza do local. 
Obs: Caso seja necessária a abertura da parede para troca completa do registro, será feito orçamento adicional</t>
  </si>
  <si>
    <t>01.04.06</t>
  </si>
  <si>
    <t>modelos atuais</t>
  </si>
  <si>
    <t>Foi identificado danos no reparo interno do registro tipo gaveta, causando problemas durante o uso.
Local: XXX</t>
  </si>
  <si>
    <t>Substituição no reparo interno do registro tipo gaveta.
Em nosso serviço está incluso: troca de eixo, cunha, castelo, teste de funcionamento e limpeza do local. 
Obs: Caso seja necessária a abertura da parede para troca completa do registro, será feito orçamento adicional</t>
  </si>
  <si>
    <t>01.04.07</t>
  </si>
  <si>
    <t>Troca de acabamento do registro tipo gaveta</t>
  </si>
  <si>
    <t>Foi identificado danos no acabamento do registro tipo gaveta, causando dificuldades de funcionamento durante o uso.
Local: XXX</t>
  </si>
  <si>
    <t>Substituição do acabamento no registro geral tipo gaveta, por novo acabamento similar ao existente
Em nosso serviço está incluso: troca do volante, canopla, teste de funcionamento e limpeza do local.</t>
  </si>
  <si>
    <t>01.04.08</t>
  </si>
  <si>
    <t>Troca de reparo e de acabamento do registro tipo gaveta</t>
  </si>
  <si>
    <t>Foram identificados danos no acabamento e no reparo interno do registro tipo gaveta, causando dificuldades de funcionamento durante o uso.
Local: XXX</t>
  </si>
  <si>
    <t>Substituição do reparo interno e de acabamento do registro tipo gaveta.
Em nosso serviço está incluso: troca de eixo, cunha, castelo, volante, canopla, teste de funcionamento e limpeza do local. 
Obs: Caso seja necessária a abertura da parede para troca completa do registro, será feito orçamento adicional</t>
  </si>
  <si>
    <t>01.04.09</t>
  </si>
  <si>
    <t>Troca completa do registro tipo gaveta</t>
  </si>
  <si>
    <t>Registro de gaveta com mecanismo interno comprometido, causando riscos de infiltrações e impossibilitando seu uso de maneira correta.
Local: XXX</t>
  </si>
  <si>
    <t>Retirada do registro existente, instalação de novo registro tipo gaveta, utilizado como registro geral.
Em nosso serviço está incluso: troca da base de registro, peças de conexão, teste de funcionamento e limpeza do local.</t>
  </si>
  <si>
    <t>01.04.10</t>
  </si>
  <si>
    <t>incluindo quebra e reconstrução da alvenaria</t>
  </si>
  <si>
    <t xml:space="preserve">Abertura da parede para a troca completa do registro de gaveta, incluindo o fornecimento de peças para conexão e acabamento, reconstrução da alvenaria e reboco, finalização com pintura na cor atual da parede.
Após a conclusão do serviço, será feito o teste de funcionamento, limpeza e retirada dos entulhos.
</t>
  </si>
  <si>
    <t>01.04.11</t>
  </si>
  <si>
    <t>Abertura da parede para a troca completa do registro de gaveta, incluindo o fornecimento de peças para conexão e acabamento, reconstrução da alvenaria e reboco, instalação de até 2 peças de azulejos similares ao existente.
Após a conclusão do serviço, será feito o teste de funcionamento, limpeza e retirada dos entulhos.
Obs: Os azulejos podem conter variações de tonalidade.</t>
  </si>
  <si>
    <t>01.04.12</t>
  </si>
  <si>
    <t>Abertura da parede para a troca completa do registro de gaveta, incluindo o fornecimento de peças para conexão e acabamento, reconstrução da alvenaria e reboco, instalação de até 4 peças de azulejos similares ao existente.
Após a conclusão do serviço, será feito o teste de funcionamento, limpeza e retirada dos entulhos.
Obs: Os azulejos podem conter variações de tonalidade.</t>
  </si>
  <si>
    <t>01.04.13</t>
  </si>
  <si>
    <t>Abertura da parede para a troca completa do registro de gaveta, incluindo o fornecimento de peças para conexão e acabamento, reconstrução da alvenaria e reboco, instalação de até 2 peças de azulejos compradas em museu, com tamanho de 15 x 15 cm similar a existente.
Após a conclusão do serviço, será feito o teste de funcionamento, limpeza e retirada dos entulhos.
Obs: Os azulejos podem conter variações de tonalidade.</t>
  </si>
  <si>
    <t>01.04.14</t>
  </si>
  <si>
    <t>Abertura da parede para a troca completa do registro de gaveta, incluindo o fornecimento de peças para conexão e acabamento, reconstrução da alvenaria e reboco, instalação de até 4 peças de azulejos compradas em museu, com tamanho de 15 x 15 cm similares ao existente.
Após a conclusão do serviço, será feito o teste de funcionamento, limpeza e retirada dos entulhos.
Obs: Os azulejos podem conter variações de tonalidade.</t>
  </si>
  <si>
    <t>01.04.15</t>
  </si>
  <si>
    <t>Abertura da parede para a troca completa do registro de gaveta, incluindo o fornecimento de peças para conexão e acabamento, reconstrução da alvenaria e reboco, instalação de até 6 peças de azulejos compradas em museu, com tamanho de 15 x 15 cm similares ao existente.
Após a conclusão do serviço, será feito o teste de funcionamento, limpeza e retirada dos entulhos.
Obs: Os azulejos podem conter variações de tonalidade.</t>
  </si>
  <si>
    <t>01.04.16</t>
  </si>
  <si>
    <t>Abertura da parede para a troca completa do registro de gaveta, incluindo o fornecimento de peças para conexão e acabamento, reconstrução da alvenaria e reboco, instalação de até 2 peças de azulejos compradas em museu, com tamanho de 30 x 30 cm similares ao existente.
Após a conclusão do serviço, será feito o teste de funcionamento, limpeza e retirada dos entulhos.
Obs: Os azulejos podem conter variações de tonalidade.</t>
  </si>
  <si>
    <t>01.04.17</t>
  </si>
  <si>
    <t>Abertura da parede para a troca completa do registro de gaveta, incluindo o fornecimento de peças para conexão e acabamento, reconstrução da alvenaria e reboco, instalação de até 4 peças de azulejos compradas em museu, com tamanho de 30 x 30 cm similares ao existente.
Após a conclusão do serviço, será feito o teste de funcionamento, limpeza e retirada dos entulhos.
Obs: Os azulejos podem conter variações de tonalidade.</t>
  </si>
  <si>
    <t>01.04.18</t>
  </si>
  <si>
    <t>Abertura da parede para a troca completa do registro de gaveta, incluindo o fornecimento de peças para conexão e acabamento, reconstrução da alvenaria e reboco, instalação de até 2 peças de azulejos compradas em museu, com tamanho de 60 x 60 cm similares ao existente.
Após a conclusão do serviço, será feito o teste de funcionamento, limpeza e retirada dos entulhos.
Obs: Os azulejos podem conter variações de tonalidade.</t>
  </si>
  <si>
    <t>01.04.19</t>
  </si>
  <si>
    <t>Abertura da parede para a troca completa do registro de gaveta, incluindo o fornecimento de peças para conexão e acabamento, reconstrução da alvenaria e reboco, instalação de até 4 peças de azulejos compradas em museu, com tamanho de 60 x 60 cm similares ao existente.
Após a conclusão do serviço, será feito o teste de funcionamento, limpeza e retirada dos entulhos.
Obs: Os azulejos podem conter variações de tonalidade.</t>
  </si>
  <si>
    <t>01.04.20</t>
  </si>
  <si>
    <t>Abertura da parede para a troca completa do registro de gaveta, incluindo o fornecimento de peças para conexão e acabamento, reconstrução da alvenaria e reboco, instalação de até 2 peças de azulejos compradas em museu, com tamanho de grandes dimensões, maiores que 60 x 60 cm similares ao existente.
Após a conclusão do serviço, será feito o teste de funcionamento, limpeza e retirada dos entulhos.
Obs: Os azulejos podem conter variações de tonalidade.</t>
  </si>
  <si>
    <t>01.04.21</t>
  </si>
  <si>
    <t>Abertura da parede para a troca completa do registro de gaveta, incluindo o fornecimento de peças para conexão e acabamento, reconstrução da alvenaria e reboco, instalação de até 4 peças de azulejos compradas em museu, com tamanho de grandes dimensões, maiores que 60 x 60 cm similares ao existente.
Após a conclusão do serviço, será feito o teste de funcionamento, limpeza e retirada dos entulhos.
Obs: Os azulejos podem conter variações de tonalidade.</t>
  </si>
  <si>
    <t>01.04.22</t>
  </si>
  <si>
    <t>Abertura da parede para a troca completa do registro de gaveta, incluindo o fornecimento de peças para conexão e acabamento, reconstrução da alvenaria e reboco, instalação de até 4 peças de azulejos. 
Após a conclusão do serviço, será feito o teste de funcionamento, limpeza e retirada dos entulhos.
Obs: Os azulejos serão fornecidos pelo cliente.</t>
  </si>
  <si>
    <t>01.04.23</t>
  </si>
  <si>
    <t>Troca de reparo do registro tipo pressão</t>
  </si>
  <si>
    <t>utilizado em chuveiro</t>
  </si>
  <si>
    <t>Foi identificado danos no reparo interno do registro tipo pressão de modelos antigos, causando problemas durante o uso.
Local: XXX</t>
  </si>
  <si>
    <t>Substituição no reparo interno do registro tipo pressão, utilizado no acionamento do chuveiro.
Em nosso serviço está incluso: troca de eixo,castelo, vedante, teste de funcionamento e limpeza do local. 
Obs: Caso seja necessária a abertura da parede para troca completa do registro, será feito orçamento adicional</t>
  </si>
  <si>
    <t>01.04.24</t>
  </si>
  <si>
    <t>Troca de acabamento do registro tipo pressão</t>
  </si>
  <si>
    <t>Foi identificado danos no acabamento do registro tipo pressão, causando dificuldades de funcionamento durante o uso.
Local: XXX</t>
  </si>
  <si>
    <t xml:space="preserve">Substituição de acabamento do registro tipo pressão, utilizado no acionamento do chuveiro.
Em nosso serviço está incluso: troca do volante,canopla, teste de funcionamento e limpeza do local. </t>
  </si>
  <si>
    <t>01.04.25</t>
  </si>
  <si>
    <t>Troca de reparo e de acabamento do registro tipo pressão</t>
  </si>
  <si>
    <t>Foram identificados danos no acabamento e no reparo interno do registro tipo pressão, causando dificuldades de funcionamento durante o uso.
Local: XXX</t>
  </si>
  <si>
    <t>Substituição no reparo interno e acabamento do registro tipo pressão, utilizado no acionamento do chuveiro.
Em nosso serviço está incluso: troca de eixo,castelo, vedante, volante, canopla, teste de funcionamento e limpeza do local. 
Obs: Caso seja necessária a abertura da parede para troca completa do registro, será feito orçamento adicional</t>
  </si>
  <si>
    <t>01.04.26</t>
  </si>
  <si>
    <t>Troca completa do registro tipo pressão</t>
  </si>
  <si>
    <t>Registro de pressão com mecanismo interno comprometido, causando riscos de infiltrações e impossibilitando seu uso de maneira correta.
Local: XXX</t>
  </si>
  <si>
    <t>Retirada do registro existente, instalação de novo registro tipo pressão, utilizado em chuveiro.
Em nosso serviço está incluso: troca da base de registro, peças de conexão, teste de funcionamento e limpeza do local.</t>
  </si>
  <si>
    <t>01.04.27</t>
  </si>
  <si>
    <t>Abertura da parede para a troca completa do registro de pressão, incluindo o fornecimento de peças para conexão e acabamento similar ao existente, reconstrução da alvenaria e reboco, e finalização com pintura na cor atual da parede.
Após a conclusão do serviço, será feito o teste de funcionamento, limpeza e retirada dos entulhos.</t>
  </si>
  <si>
    <t>01.04.28</t>
  </si>
  <si>
    <t>acabamento em cerâmica convencional similar</t>
  </si>
  <si>
    <t>Abertura da parede para a troca completa do registro de pressão, incluindo o fornecimento de peças para conexão e acabamento, reconstrução da alvenaria e reboco, instalação de até 2 peças de azulejos similares ao existente.
Após a conclusão do serviço, será feito o teste de funcionamento, limpeza e retirada dos entulhos.
Obs: Os azulejos podem conter variações de tonalidade.</t>
  </si>
  <si>
    <t>01.04.29</t>
  </si>
  <si>
    <t>Abertura da parede para a troca completa do registro de pressão, incluindo o fornecimento de peças para conexão e acabamento, reconstrução da alvenaria e reboco, instalação de até 4 peças de azulejos similares ao existente.
Após a conclusão do serviço, será feito o teste de funcionamento, limpeza e retirada dos entulhos.
Obs: Os azulejos podem conter variações de tonalidade.</t>
  </si>
  <si>
    <t>01.04.30</t>
  </si>
  <si>
    <t>Abertura da parede para a troca completa do registro de pressão, incluindo o fornecimento de peças para conexão e acabamento, reconstrução da alvenaria e reboco, instalação de até 2 peças de azulejos compradas em museu, com tamanho de 15 x 15 cm similares ao existente.
Após a conclusão do serviço, será feito o teste de funcionamento, limpeza e retirada dos entulhos.
Obs: Os azulejos podem conter variações de tonalidade.</t>
  </si>
  <si>
    <t>01.04.31</t>
  </si>
  <si>
    <t>Abertura da parede para a troca completa do registro de pressão, incluindo o fornecimento de peças para conexão e acabamento, reconstrução da alvenaria e reboco, instalação de até 4 peças de azulejos compradas em museu, com tamanho de 15 x 15 cm similares ao existente.
Após a conclusão do serviço, será feito o teste de funcionamento, limpeza e retirada dos entulhos.
Obs: Os azulejos podem conter variações de tonalidade.</t>
  </si>
  <si>
    <t>01.04.32</t>
  </si>
  <si>
    <t>Abertura da parede para a troca completa do registro de pressão, incluindo o fornecimento de peças para conexão e acabamento, reconstrução da alvenaria e reboco, instalação de até 6 peças de azulejos compradas em museu, com tamanho de 15 x 15 cm similares ao existente.
Após a conclusão do serviço, será feito o teste de funcionamento, limpeza e retirada dos entulhos.
Obs: Os azulejos podem conter variações de tonalidade.</t>
  </si>
  <si>
    <t>01.04.33</t>
  </si>
  <si>
    <t>Abertura da parede para a troca completa do registro de pressão, incluindo o fornecimento de peças para conexão e acabamento, reconstrução da alvenaria e reboco, instalação de até 2 peças de azulejos compradas em museu, com tamanho de 30 x 30 cm similares ao existente.
Após a conclusão do serviço, será feito o teste de funcionamento, limpeza e retirada dos entulhos.
Obs: Os azulejos podem conter variações de tonalidade.</t>
  </si>
  <si>
    <t>01.04.34</t>
  </si>
  <si>
    <t>Abertura da parede para a troca completa do registro de pressão, incluindo o fornecimento de peças para conexão e acabamento, reconstrução da alvenaria e reboco, instalação de até 4 peças de azulejos compradas em museu, com tamanho de 30 x 30 cm similares ao existente.
Após a conclusão do serviço, será feito o teste de funcionamento, limpeza e retirada dos entulhos.
Obs: Os azulejos podem conter variações de tonalidade.</t>
  </si>
  <si>
    <t>01.04.35</t>
  </si>
  <si>
    <t>Abertura da parede para a troca completa do registro de pressão, incluindo o fornecimento de peças para conexão e acabamento, reconstrução da alvenaria e reboco, instalação de até 2 peças de azulejos compradas em museu, com tamanho de 60 x 60 cm similares ao existente.
Após a conclusão do serviço, será feito o teste de funcionamento, limpeza e retirada dos entulhos.
Obs: Os azulejos podem conter variações de tonalidade.</t>
  </si>
  <si>
    <t>01.04.36</t>
  </si>
  <si>
    <t>Abertura da parede para a troca completa do registro de pressão, incluindo o fornecimento de peças para conexão e acabamento, reconstrução da alvenaria e reboco, instalação de até 4 peças de azulejos compradas em museu, com tamanho de 60 x 60 cm similar a existente.
Após a conclusão do serviço, será feito o teste de funcionamento, limpeza e retirada dos entulhos.
Obs: Os azulejos podem conter variações de tonalidade.</t>
  </si>
  <si>
    <t>01.04.37</t>
  </si>
  <si>
    <t>Abertura da parede para a troca completa do registro de pressão, incluindo o fornecimento de peças para conexão e acabamento, reconstrução da alvenaria e reboco, instalação de até 2 peças de azulejos compradas em museu, com tamanho de grandes dimensões, maiores que 60 x 60 cm similares ao existente.
Após a conclusão do serviço, será feito o teste de funcionamento, limpeza e retirada dos entulhos.
Obs: Os azulejos podem conter variações de tonalidade.</t>
  </si>
  <si>
    <t>01.04.38</t>
  </si>
  <si>
    <t>Abertura da parede para a troca completa do registro de pressão, incluindo o fornecimento de peças para conexão e acabamento, reconstrução da alvenaria e reboco, instalação de até 4 peças de azulejos compradas em museu, com tamanho de grandes dimensões, maiores que 60 x 60 cm similares ao existente.
Após a conclusão do serviço, será feito o teste de funcionamento, limpeza e retirada dos entulhos.
Obs: Os azulejos podem conter variações de tonalidade.</t>
  </si>
  <si>
    <t>01.04.39</t>
  </si>
  <si>
    <t>Abertura da parede para a troca completa do registro de pressão, incluindo o fornecimento de peças para conexão e acabamento, reconstrução da alvenaria e reboco, instalação de até 4 peças de azulejos. 
Após a conclusão do serviço, será feito o teste de funcionamento, limpeza e retirada dos entulhos.
Obs: Os azulejos serão fornecidos pelo cliente.</t>
  </si>
  <si>
    <t>01.04.40</t>
  </si>
  <si>
    <t>Troca completa do registro tipo pressão duplo comando</t>
  </si>
  <si>
    <t>Registro de pressão com duplo acionamento está com o mecanismo interno comprometido, causando riscos de infiltrações/vazamentos e impossibilitando seu uso de maneira correta.
Local: XXX</t>
  </si>
  <si>
    <t>Retirada do registro existente, instalação de novo registro tipo pressão com duplo comando, utilizado em chuveiro.
Em nosso serviço está incluso: troca da base de registro, peças de conexão, teste de funcionamento e limpeza do local.</t>
  </si>
  <si>
    <t>01.04.41</t>
  </si>
  <si>
    <t>Abertura da parede para a troca completa do registro de pressão tipo duplo comando, incluindo o fornecimento de peças para conexão e acabamento similar ao existente, reconstrução da alvenaria e reboco, finalização com pintura na cor atual da parede.
Após a conclusão do serviço, será feito o teste de funcionamento, limpeza e retirada dos entulhos.</t>
  </si>
  <si>
    <t>01.04.42</t>
  </si>
  <si>
    <t>Execução de troca completa do registro tipo pressão duplo comando, utilizado em chuveiro, incluindo quebra e reconstrução da alvenaria, acabamento em cerâmica convencional similar, até 02 peças.
Está incluso: troca da base de registro e peças de conexão, através de quebra e reconstrução da alvenaria com acabamento similar, teste de funcionamento e limpeza do local.</t>
  </si>
  <si>
    <t>01.04.43</t>
  </si>
  <si>
    <t>Execução de troca completa do registro tipo pressão duplo comando, utilizado em chuveiro, incluindo quebra e reconstrução da alvenaria, acabamento em cerâmica convencional, até 04 peças.
Está incluso: troca da base de registro e peças de conexão, através de quebra e reconstrução da alvenaria com acabamento similar, teste de funcionamento e limpeza do local.</t>
  </si>
  <si>
    <t>01.04.44</t>
  </si>
  <si>
    <t>Execução de troca completa do registro tipo pressão duplo comando, utilizado em chuveiro, incluindo quebra e reconstrução da alvenaria, acabamento em cerâmica de museu similar, máximo 15x15 cm, até 02 peças.
Está incluso: troca da base de registro e peças de conexão, através de quebra e reconstrução da alvenaria com acabamento similar, teste de funcionamento e limpeza do local.</t>
  </si>
  <si>
    <t>01.04.45</t>
  </si>
  <si>
    <t>Execução de troca completa do registro tipo pressão duplo comando, utilizado em chuveiro, incluindo quebra e reconstrução da alvenaria, acabamento em cerâmica de museu similar, máximo 15x15 cm, até 04 peças.
Está incluso: troca da base de registro e peças de conexão, através de quebra e reconstrução da alvenaria com acabamento similar, teste de funcionamento e limpeza do local.</t>
  </si>
  <si>
    <t>01.04.46</t>
  </si>
  <si>
    <t>Execução de troca completa do registro tipo pressão duplo comando, utilizado em chuveiro, incluindo quebra e reconstrução da alvenaria, acabamento em cerâmica de museu similar, máximo 15x15 cm, até 06 peças.
Está incluso: troca da base de registro e peças de conexão, através de quebra e reconstrução da alvenaria com acabamento similar, teste de funcionamento e limpeza do local.</t>
  </si>
  <si>
    <t>01.04.47</t>
  </si>
  <si>
    <t>Execução de troca completa do registro tipo pressão duplo comando, utilizado em chuveiro, incluindo quebra e reconstrução da alvenaria, acabamento em cerâmica de museu similar, máximo 30x30 cm, até 02 peças.
Está incluso: troca da base de registro e peças de conexão, através de quebra e reconstrução da alvenaria com acabamento similar, teste de funcionamento e limpeza do local.</t>
  </si>
  <si>
    <t>01.04.48</t>
  </si>
  <si>
    <t>Execução de troca completa do registro tipo pressão duplo comando, utilizado em chuveiro, incluindo quebra e reconstrução da alvenaria, acabamento em cerâmica de museu similar, máximo 30x30 cm, até 04 peças.
Está incluso: troca da base de registro e peças de conexão, através de quebra e reconstrução da alvenaria com acabamento similar, teste de funcionamento e limpeza do local.</t>
  </si>
  <si>
    <t>01.04.49</t>
  </si>
  <si>
    <t>Execução de troca completa do registro tipo pressão duplo comando, utilizado em chuveiro, incluindo quebra e reconstrução da alvenaria, acabamento em cerâmica de museu similar, máximo 60x60 cm, até 02 peças.
Está incluso: troca da base de registro e peças de conexão, através de quebra e reconstrução da alvenaria com acabamento similar, teste de funcionamento e limpeza do local.</t>
  </si>
  <si>
    <t>01.04.50</t>
  </si>
  <si>
    <t>Execução de troca completa do registro tipo pressão duplo comando, utilizado em chuveiro, incluindo quebra e reconstrução da alvenaria, acabamento em cerâmica de museu similar, máximo 60x60 cm, até 04 peças.
Está incluso: troca da base de registro e peças de conexão, através de quebra e reconstrução da alvenaria com acabamento similar, teste de funcionamento e limpeza do local.</t>
  </si>
  <si>
    <t>01.04.51</t>
  </si>
  <si>
    <t>Execução de troca completa do registro tipo pressão duplo comando, utilizado em chuveiro, incluindo quebra e reconstrução da alvenaria, acabamento em cerâmica de museu similar, a partir de 60x60 cm, até 02 peças.
Está incluso: troca da base de registro e peças de conexão, através de quebra e reconstrução da alvenaria com acabamento similar, teste de funcionamento e limpeza do local.</t>
  </si>
  <si>
    <t>01.04.52</t>
  </si>
  <si>
    <t>Execução de troca completa do registro tipo pressão duplo comando, utilizado em chuveiro, incluindo quebra e reconstrução da alvenaria, acabamento em cerâmica de museu similar, a partir de 60x60 cm, até 04 peças.
Está incluso: troca da base de registro e peças de conexão, através de quebra e reconstrução da alvenaria com acabamento similar, teste de funcionamento e limpeza do local.</t>
  </si>
  <si>
    <t>01.04.53</t>
  </si>
  <si>
    <t>Execução de troca completa do registro tipo pressão duplo comando, utilizado em chuveiro, incluindo quebra e reconstrução da alvenaria, acabamento em cerâmica disponível no local, até 04 peças.
Está incluso: troca da base de registro e peças de conexão, através de quebra e reconstrução da alvenaria com acabamento similar, teste de funcionamento e limpeza do local.</t>
  </si>
  <si>
    <t>01.04.54</t>
  </si>
  <si>
    <t>Troca de reparo do registro tipo monocomando</t>
  </si>
  <si>
    <t>Registro de pressão monocomando está com o mecanismo interno comprometido, causando riscos de infiltrações/vazamentos e impossibilitando seu uso de maneira correta.
Local: XXX</t>
  </si>
  <si>
    <t>Execução de troca de reparo do registro tipo monocomando, utilizado em chuveiro.
Está incluso: troca completa do mecanismo de acionamento, teste de funcionamento e limpeza do local.</t>
  </si>
  <si>
    <t>01.04.55</t>
  </si>
  <si>
    <t>Troca de acabamento do registro tipo monocomando</t>
  </si>
  <si>
    <t>Foi identificado danos no acabamento do registro tipo pressão monocomando, causando dificuldades de funcionamento durante o uso.
Local: XXX</t>
  </si>
  <si>
    <t>Execução de troca de acabamento do registro tipo monocomando, utilizado em chuveiro, considerar acabamento similar.
Está incluso: troca do volante, canopla, teste de funcionamento e limpeza do local.</t>
  </si>
  <si>
    <t>01.04.56</t>
  </si>
  <si>
    <t>Troca completa do registro tipo monocomando</t>
  </si>
  <si>
    <t>Execução de troca completa do registro tipo monocomando, utilizado em chuveiro.
Está incluso: troca da base de registro, peças de conexão, teste de funcionamento e limpeza do local.</t>
  </si>
  <si>
    <t>01.04.57</t>
  </si>
  <si>
    <t>Execução de troca completa do registro tipo monocomando, utilizado em chuveiro, incluindo quebra e reconstrução da alvenaria, acabamento em reboco com pintura similar.
Está incluso: troca da base de registro e peças de conexão, através de quebra e reconstrução da alvenaria com acabamento similar, teste de funcionamento e limpeza do local.</t>
  </si>
  <si>
    <t>01.04.58</t>
  </si>
  <si>
    <t>Execução de troca completa do registro tipo monocomando, utilizado em chuveiro, incluindo quebra e reconstrução da alvenaria, acabamento em cerâmica convencional similar, até 02 peças.
Está incluso: troca da base de registro e peças de conexão, através de quebra e reconstrução da alvenaria com acabamento similar, teste de funcionamento e limpeza do local.</t>
  </si>
  <si>
    <t>01.04.59</t>
  </si>
  <si>
    <t>Execução de troca completa do registro tipo monocomando, utilizado em chuveiro, incluindo quebra e reconstrução da alvenaria, acabamento em cerâmica convencional, até 04 peças.
Está incluso: troca da base de registro e peças de conexão, através de quebra e reconstrução da alvenaria com acabamento similar, teste de funcionamento e limpeza do local.</t>
  </si>
  <si>
    <t>01.04.60</t>
  </si>
  <si>
    <t>Execução de troca completa do registro tipo monocomando, utilizado em chuveiro, incluindo quebra e reconstrução da alvenaria, acabamento em cerâmica de museu similar, máximo 15x15 cm, até 02 peças.
Está incluso: troca da base de registro e peças de conexão, através de quebra e reconstrução da alvenaria com acabamento similar, teste de funcionamento e limpeza do local.</t>
  </si>
  <si>
    <t>01.04.61</t>
  </si>
  <si>
    <t>Execução de troca completa do registro tipo monocomando, utilizado em chuveiro, incluindo quebra e reconstrução da alvenaria, acabamento em cerâmica de museu similar, máximo 15x15 cm, até 04 peças.
Está incluso: troca da base de registro e peças de conexão, através de quebra e reconstrução da alvenaria com acabamento similar, teste de funcionamento e limpeza do local.</t>
  </si>
  <si>
    <t>01.04.62</t>
  </si>
  <si>
    <t>Execução de troca completa do registro tipo monocomando, utilizado em chuveiro, incluindo quebra e reconstrução da alvenaria, acabamento em cerâmica de museu similar, máximo 15x15 cm, até 06 peças.
Está incluso: troca da base de registro e peças de conexão, através de quebra e reconstrução da alvenaria com acabamento similar, teste de funcionamento e limpeza do local.</t>
  </si>
  <si>
    <t>01.04.63</t>
  </si>
  <si>
    <t>Execução de troca completa do registro tipo monocomando, utilizado em chuveiro, incluindo quebra e reconstrução da alvenaria, acabamento em cerâmica de museu similar, máximo 30x30 cm, até 02 peças.
Está incluso: troca da base de registro e peças de conexão, através de quebra e reconstrução da alvenaria com acabamento similar, teste de funcionamento e limpeza do local.</t>
  </si>
  <si>
    <t>01.04.64</t>
  </si>
  <si>
    <t>Execução de troca completa do registro tipo monocomando, utilizado em chuveiro, incluindo quebra e reconstrução da alvenaria, acabamento em cerâmica de museu similar, máximo 30x30 cm, até 04 peças.
Está incluso: troca da base de registro e peças de conexão, através de quebra e reconstrução da alvenaria com acabamento similar, teste de funcionamento e limpeza do local.</t>
  </si>
  <si>
    <t>01.04.65</t>
  </si>
  <si>
    <t>Execução de troca completa do registro tipo monocomando, utilizado em chuveiro, incluindo quebra e reconstrução da alvenaria, acabamento em cerâmica de museu similar, máximo 60x60 cm, até 02 peças.
Está incluso: troca da base de registro e peças de conexão, através de quebra e reconstrução da alvenaria com acabamento similar, teste de funcionamento e limpeza do local.</t>
  </si>
  <si>
    <t>01.04.66</t>
  </si>
  <si>
    <t>Execução de troca completa do registro tipo monocomando, utilizado em chuveiro, incluindo quebra e reconstrução da alvenaria, acabamento em cerâmica de museu similar, máximo 60x60 cm, até 04 peças.
Está incluso: troca da base de registro e peças de conexão, através de quebra e reconstrução da alvenaria com acabamento similar, teste de funcionamento e limpeza do local.</t>
  </si>
  <si>
    <t>01.04.67</t>
  </si>
  <si>
    <t>Execução de troca completa do registro tipo monocomando, utilizado em chuveiro, incluindo quebra e reconstrução da alvenaria, acabamento em cerâmica de museu similar, a partir de 60x60 cm, até 02 peças.
Está incluso: troca da base de registro e peças de conexão, através de quebra e reconstrução da alvenaria com acabamento similar, teste de funcionamento e limpeza do local.</t>
  </si>
  <si>
    <t>01.04.68</t>
  </si>
  <si>
    <t>Execução de troca completa do registro tipo monocomando, utilizado em chuveiro, incluindo quebra e reconstrução da alvenaria, acabamento em cerâmica de museu similar, a partir de 60x60 cm, até 04 peças.
Está incluso: troca da base de registro e peças de conexão, através de quebra e reconstrução da alvenaria com acabamento similar, teste de funcionamento e limpeza do local.</t>
  </si>
  <si>
    <t>01.04.69</t>
  </si>
  <si>
    <t>Execução de troca completa do registro tipo monocomando, utilizado em chuveiro, incluindo quebra e reconstrução da alvenaria, acabamento em cerâmica disponível no local, até 04 peças.
Está incluso: troca da base de registro e peças de conexão, através de quebra e reconstrução da alvenaria com acabamento similar, teste de funcionamento e limpeza do local.</t>
  </si>
  <si>
    <t>01.04.70</t>
  </si>
  <si>
    <t>utilizado em banheira e chuveiro</t>
  </si>
  <si>
    <t>Execução de troca completa do registro tipo monocomando, utilizado em banheira e chuveiro, considerar acabamento similar.
Está incluso: troca do volante, canopla, teste de funcionamento e limpeza do local.</t>
  </si>
  <si>
    <t>01.04.71</t>
  </si>
  <si>
    <t>Execução de troca completa do registro tipo monocomando, utilizado em banheira e chuveiro, incluindo quebra e reconstrução da alvenaria, considerar acabamento similar.
Está incluso: troca da base de registro e peças de conexão, através de quebra e reconstrução da alvenaria com acabamento similar, teste de funcionamento e limpeza do local.</t>
  </si>
  <si>
    <t>01.04.72</t>
  </si>
  <si>
    <t>utilizado em ducha higiênica</t>
  </si>
  <si>
    <t>Execução de troca de acabamento do registro tipo monocomando, utilizado em ducha higiênica, considerar acabamento similar.
Está incluso: troca do volante, canopla, teste de funcionamento e limpeza do local.</t>
  </si>
  <si>
    <t>01.04.73</t>
  </si>
  <si>
    <t>Registro monocomando está com o mecanismo interno comprometido, causando riscos de infiltrações/vazamentos e impossibilitando seu uso de maneira correta.
Local: XXX</t>
  </si>
  <si>
    <t>Execução de troca completa do registro tipo monocomando, utilizado em ducha higiênica, incluindo quebra e reconstrução da alvenaria, considerar acabamento similar.
Está incluso: troca da base de registro e peças de conexão, através de quebra e reconstrução da alvenaria com acabamento similar, teste de funcionamento e limpeza do local.</t>
  </si>
  <si>
    <t>01.05</t>
  </si>
  <si>
    <t>01.05.01</t>
  </si>
  <si>
    <t>Troca de torneira</t>
  </si>
  <si>
    <t>de parede</t>
  </si>
  <si>
    <t>utilizada em maquina de lavar ou filtro</t>
  </si>
  <si>
    <t>tipo convencional</t>
  </si>
  <si>
    <t>padrão normal</t>
  </si>
  <si>
    <t>Torneira de parede com mecanismo interno danificado, causando vazamentos e problemas de uso.
Local: XXX</t>
  </si>
  <si>
    <t>Execução de troca de torneira, de parede, utilizada em maquina de lavar ou filtro, tipo convencional, material metálico, padrão normal.
Está incluso: troca da torneira por modelo igual ou similar, teste de funcionamento e limpeza do local.</t>
  </si>
  <si>
    <t>01.05.02</t>
  </si>
  <si>
    <t>padrão premium</t>
  </si>
  <si>
    <t>Execução de troca de torneira, de parede, utilizada em maquina de lavar ou filtro, tipo convencional, material metálico, padrão premium.
Está incluso: troca da torneira por modelo igual ou similar, teste de funcionamento e limpeza do local.</t>
  </si>
  <si>
    <t>01.05.03</t>
  </si>
  <si>
    <t>utilizada em maquina de lavar e tanque</t>
  </si>
  <si>
    <t>tipo convencional dupla função</t>
  </si>
  <si>
    <t>padrão simples</t>
  </si>
  <si>
    <t>Execução de troca de torneira, de parede, utilizada em maquina de lavar e tanque, tipo convencional dupla função, material plástico, padrão simples.
Está incluso: troca da torneira por modelo igual ou similar, teste de funcionamento e limpeza do local.</t>
  </si>
  <si>
    <t>01.05.04</t>
  </si>
  <si>
    <t>Execução de troca de torneira, de parede, utilizada em maquina de lavar e tanque, tipo convencional dupla função, material metálico, padrão normal.
Está incluso: troca da torneira por modelo igual ou similar, teste de funcionamento e limpeza do local.</t>
  </si>
  <si>
    <t>01.05.05</t>
  </si>
  <si>
    <t>Execução de troca de torneira, de parede, utilizada em maquina de lavar e tanque, tipo convencional dupla função, material metálico, padrão premium.
Está incluso: troca da torneira por modelo igual ou similar, teste de funcionamento e limpeza do local.</t>
  </si>
  <si>
    <t>01.05.06</t>
  </si>
  <si>
    <t>Troca de borracha para vedação da torneira</t>
  </si>
  <si>
    <t>Necessidade de reparo da torneira</t>
  </si>
  <si>
    <t>Execução de troca de borracha para vedação da torneira, de parede, utilizada em maquina de lavar e tanque.
Está incluso: troca da borracha de vedação do registro interno da torneira, teste de funcionamento e limpeza do local.</t>
  </si>
  <si>
    <t>01.05.07</t>
  </si>
  <si>
    <t>utilizada em tanque ou jardim</t>
  </si>
  <si>
    <t>Execução de troca de torneira, de parede, utilizada em tanque ou jardim, tipo convencional, material plástico, padrão simples.
Está incluso: troca da torneira por modelo igual ou similar, teste de funcionamento e limpeza do local.</t>
  </si>
  <si>
    <t>01.05.08</t>
  </si>
  <si>
    <t>Execução de troca de torneira, de parede, utilizada em tanque ou jardim, tipo convencional, material metálico, padrão normal.
Está incluso: troca da torneira por modelo igual ou similar, teste de funcionamento e limpeza do local.</t>
  </si>
  <si>
    <t>01.05.09</t>
  </si>
  <si>
    <t>Execução de troca de torneira, de parede, utilizada em tanque ou jardim, tipo convencional, material metálico, padrão premium.
Está incluso: troca da torneira por modelo igual ou similar, teste de funcionamento e limpeza do local.</t>
  </si>
  <si>
    <t>01.05.10</t>
  </si>
  <si>
    <t>Execução de troca de borracha para vedação da torneira, de parede, utilizada em tanque ou jardim.
Está incluso: troca da borracha de vedação do registro interno da torneira, teste de funcionamento e limpeza do local.</t>
  </si>
  <si>
    <t>01.05.11</t>
  </si>
  <si>
    <t>utilizada em cozinha</t>
  </si>
  <si>
    <t>Execução de troca de torneira, de parede, utilizada em cozinha, tipo convencional, material plástico, padrão simples.
Está incluso: troca da torneira por modelo igual ou similar, teste de funcionamento e limpeza do local.</t>
  </si>
  <si>
    <t>01.05.12</t>
  </si>
  <si>
    <t>Execução de troca de torneira, de parede, utilizada em cozinha, tipo convencional, material metálico, padrão normal.
Está incluso: troca da torneira por modelo igual ou similar, teste de funcionamento e limpeza do local.</t>
  </si>
  <si>
    <t>01.05.13</t>
  </si>
  <si>
    <t>Execução de troca de torneira, de parede, utilizada em cozinha, tipo convencional, material metálico, padrão premium.
Está incluso: troca da torneira por modelo igual ou similar, teste de funcionamento e limpeza do local.</t>
  </si>
  <si>
    <t>01.05.14</t>
  </si>
  <si>
    <t>Execução de troca de borracha para vedação da torneira, de parede, utilizada em cozinha, tipo convencional.
Está incluso: troca da borracha de vedação do registro interno da torneira, teste de funcionamento e limpeza do local.</t>
  </si>
  <si>
    <t>01.05.15</t>
  </si>
  <si>
    <t>Troca de reparo da torneira</t>
  </si>
  <si>
    <t>Execução de troca de reparo da torneira, de parede, utilizada em cozinha, tipo convencional, material metálico, padrão normal.
Está incluso: troca completa do mecanismo de acionamento da torneira, teste de funcionamento e limpeza do local.</t>
  </si>
  <si>
    <t>01.05.16</t>
  </si>
  <si>
    <t>Execução de troca de reparo da torneira, de parede, utilizada em cozinha, tipo convencional, material metálico, padrão premium.
Está incluso: troca completa do mecanismo de acionamento da torneira, teste de funcionamento e limpeza do local.</t>
  </si>
  <si>
    <t>01.05.17</t>
  </si>
  <si>
    <t>convencional com filtro</t>
  </si>
  <si>
    <t>Execução de troca de torneira, de parede, utilizada em cozinha, convencional com filtro, material plástico, padrão simples.
Está incluso: troca da torneira por modelo igual ou similar, teste de funcionamento e limpeza do local.</t>
  </si>
  <si>
    <t>01.05.18</t>
  </si>
  <si>
    <t>Execução de troca de torneira, de parede, utilizada em cozinha, convencional com filtro, material metálico, padrão normal.
Está incluso: troca da torneira por modelo igual ou similar, teste de funcionamento e limpeza do local.</t>
  </si>
  <si>
    <t>01.05.19</t>
  </si>
  <si>
    <t>Execução de troca de torneira, de parede, utilizada em cozinha, convencional com filtro, material metálico, padrão premium.
Está incluso: troca da torneira por modelo igual ou similar, teste de funcionamento e limpeza do local.</t>
  </si>
  <si>
    <t>01.05.20</t>
  </si>
  <si>
    <t>Execução de troca de borracha para vedação da torneira, de parede, utilizada em cozinha, convencional com filtro.
Está incluso: troca da borracha de vedação do registro interno da torneira, teste de funcionamento e limpeza do local.</t>
  </si>
  <si>
    <t>01.05.21</t>
  </si>
  <si>
    <t>Execução de troca de reparo da torneira, de parede, utilizada em cozinha, convencional com filtro, material metálico, padrão normal.
Está incluso: troca completa do mecanismo de acionamento da torneira, teste de funcionamento e limpeza do local.</t>
  </si>
  <si>
    <t>01.05.22</t>
  </si>
  <si>
    <t>Execução de troca de reparo da torneira, de parede, utilizada em cozinha, convencional com filtro, material metálico, padrão premium.
Está incluso: troca completa do mecanismo de acionamento da torneira, teste de funcionamento e limpeza do local.</t>
  </si>
  <si>
    <t>01.05.23</t>
  </si>
  <si>
    <t>duplo comando</t>
  </si>
  <si>
    <t>Execução de troca de torneira, de parede, utilizada em cozinha, duplo comando, material metálico, padrão normal.
Está incluso: troca da torneira por modelo igual ou similar, teste de funcionamento e limpeza do local.</t>
  </si>
  <si>
    <t>01.05.24</t>
  </si>
  <si>
    <t>Execução de troca de torneira, de parede, utilizada em cozinha, duplo comando, material metálico, padrão premium.
Está incluso: troca da torneira por modelo igual ou similar, teste de funcionamento e limpeza do local.</t>
  </si>
  <si>
    <t>01.05.25</t>
  </si>
  <si>
    <t>Execução de troca de borracha para vedação da torneira, de parede, utilizada em cozinha, duplo comando, material metálico.
Está incluso: troca da borracha de vedação do registro interno da torneira, teste de funcionamento e limpeza do local.</t>
  </si>
  <si>
    <t>01.05.26</t>
  </si>
  <si>
    <t>Troca do par de reparo da torneira</t>
  </si>
  <si>
    <t>Execução de troca do par de reparo da torneira, de parede, utilizada em cozinha, duplo comando, material metálico, padrão normal.
Está incluso: troca completa do mecanismo de acionamento da torneira, teste de funcionamento e limpeza do local.</t>
  </si>
  <si>
    <t>01.05.27</t>
  </si>
  <si>
    <t>Execução de troca do par de reparo da torneira, de parede, utilizada em cozinha, duplo comando, material metálico, padrão premium.
Está incluso: troca completa do mecanismo de acionamento da torneira, teste de funcionamento e limpeza do local.</t>
  </si>
  <si>
    <t>01.05.28</t>
  </si>
  <si>
    <t>110v / 220v</t>
  </si>
  <si>
    <t>Execução de troca de torneira, de parede, utilizada em cozinha, elétrica, material plástico, 110v / 220v, padrão simples.
Está incluso: troca da torneira por modelo igual ou similar, teste de funcionamento e limpeza do local.</t>
  </si>
  <si>
    <t>01.05.29</t>
  </si>
  <si>
    <t>Execução de troca de torneira, de parede, utilizada em cozinha, elétrica, material plástico, 110v / 220v, padrão normal.
Está incluso: troca da torneira por modelo igual ou similar, teste de funcionamento e limpeza do local.</t>
  </si>
  <si>
    <t>01.05.30</t>
  </si>
  <si>
    <t>Execução de troca de reparo da torneira, de parede, utilizada em cozinha, elétrica, material plástico.
Está incluso: troca completa do mecanismo de acionamento da torneira, teste de funcionamento e limpeza do local.</t>
  </si>
  <si>
    <t>01.05.31</t>
  </si>
  <si>
    <t>de bancada</t>
  </si>
  <si>
    <t>Necessidade de substituição da torneira</t>
  </si>
  <si>
    <t>Execução de troca de torneira, de bancada, utilizada em cozinha, convencional, material plástico, padrão simples.
Está incluso: troca da torneira por modelo igual ou similar, teste de funcionamento e limpeza do local.</t>
  </si>
  <si>
    <t>01.05.32</t>
  </si>
  <si>
    <t>Execução de troca de torneira, de bancada, utilizada em cozinha, convencional, material metálico, padrão normal.
Está incluso: troca da torneira por modelo igual ou similar, teste de funcionamento e limpeza do local.</t>
  </si>
  <si>
    <t>01.05.33</t>
  </si>
  <si>
    <t>Execução de troca de torneira, de bancada, utilizada em cozinha, convencional, material metálico, padrão premium.
Está incluso: troca da torneira por modelo igual ou similar, teste de funcionamento e limpeza do local.</t>
  </si>
  <si>
    <t>01.05.34</t>
  </si>
  <si>
    <t>Execução de troca de borracha para vedação da torneira, de bancada, utilizada em cozinha, convencional.
Está incluso: troca da borracha de vedação do registro interno da torneira, teste de funcionamento e limpeza do local.</t>
  </si>
  <si>
    <t>01.05.35</t>
  </si>
  <si>
    <t>Execução de troca de reparo da torneira, de bancada, utilizada em cozinha, convencional, material metálico, padrão normal.
Está incluso: troca completa do mecanismo de acionamento da torneira, teste de funcionamento e limpeza do local.</t>
  </si>
  <si>
    <t>01.05.36</t>
  </si>
  <si>
    <t>Execução de troca de reparo da torneira, de bancada, utilizada em cozinha, convencional, material metálico, padrão premium.
Está incluso: troca completa do mecanismo de acionamento da torneira, teste de funcionamento e limpeza do local.</t>
  </si>
  <si>
    <t>01.05.37</t>
  </si>
  <si>
    <t>Execução de troca de torneira, de bancada, utilizada em cozinha, convencional com filtro, material plástico, padrão simples.
Está incluso: troca da torneira por modelo igual ou similar, teste de funcionamento e limpeza do local.</t>
  </si>
  <si>
    <t>01.05.38</t>
  </si>
  <si>
    <t>Execução de troca de torneira, de bancada, utilizada em cozinha, convencional com filtro, material metálico, padrão normal.
Está incluso: troca da torneira por modelo igual ou similar, teste de funcionamento e limpeza do local.</t>
  </si>
  <si>
    <t>01.05.39</t>
  </si>
  <si>
    <t>Execução de troca de torneira, de bancada, utilizada em cozinha, convencional com filtro, material metálico, padrão premium.
Está incluso: troca da torneira por modelo igual ou similar, teste de funcionamento e limpeza do local.</t>
  </si>
  <si>
    <t>01.05.40</t>
  </si>
  <si>
    <t>Execução de troca de borracha para vedação da torneira, de bancada, utilizada em cozinha, convencional com filtro.
Está incluso: troca da borracha de vedação do registro interno da torneira, teste de funcionamento e limpeza do local.</t>
  </si>
  <si>
    <t>01.05.41</t>
  </si>
  <si>
    <t>Execução de troca de reparo da torneira, de bancada, utilizada em cozinha, convencional com filtro, material metálico, padrão normal.
Está incluso: troca completa do mecanismo de acionamento da torneira, teste de funcionamento e limpeza do local.</t>
  </si>
  <si>
    <t>01.05.42</t>
  </si>
  <si>
    <t>Execução de troca de reparo da torneira, de bancada, utilizada em cozinha, convencional com filtro, material metálico, padrão premium.
Está incluso: troca completa do mecanismo de acionamento da torneira, teste de funcionamento e limpeza do local.</t>
  </si>
  <si>
    <t>01.05.43</t>
  </si>
  <si>
    <t>Execução de troca de torneira, de bancada, utilizada em cozinha, duplo comando, material metálico, padrão normal.
Está incluso: troca da torneira por modelo igual ou similar, teste de funcionamento e limpeza do local.</t>
  </si>
  <si>
    <t>01.05.44</t>
  </si>
  <si>
    <t>Execução de troca de torneira, de bancada, utilizada em cozinha, duplo comando, material metálico, padrão premium.
Está incluso: troca da torneira por modelo igual ou similar, teste de funcionamento e limpeza do local.</t>
  </si>
  <si>
    <t>01.05.45</t>
  </si>
  <si>
    <t>Execução de troca de borracha para vedação da torneira, de bancada, utilizada em cozinha, duplo comando, material metálico.
Está incluso: troca da borracha de vedação do registro interno da torneira, teste de funcionamento e limpeza do local.</t>
  </si>
  <si>
    <t>01.05.46</t>
  </si>
  <si>
    <t>Execução de troca do par de reparo da torneira, de bancada, utilizada em cozinha, duplo comando, material metálico, padrão normal.
Está incluso: troca completa do mecanismo de acionamento da torneira, teste de funcionamento e limpeza do local.</t>
  </si>
  <si>
    <t>01.05.47</t>
  </si>
  <si>
    <t>Execução de troca do par de reparo da torneira, de bancada, utilizada em cozinha, duplo comando, material metálico, padrão premium.
Está incluso: troca completa do mecanismo de acionamento da torneira, teste de funcionamento e limpeza do local.</t>
  </si>
  <si>
    <t>01.05.48</t>
  </si>
  <si>
    <t>monocomando</t>
  </si>
  <si>
    <t>Execução de troca de torneira, de bancada, utilizada em cozinha, monocomando, material metálico, padrão normal.
Está incluso: troca da torneira por modelo igual ou similar, teste de funcionamento e limpeza do local.</t>
  </si>
  <si>
    <t>01.05.49</t>
  </si>
  <si>
    <t>Execução de troca de torneira, de bancada, utilizada em cozinha, monocomando, material metálico, padrão premium.
Está incluso: troca da torneira por modelo igual ou similar, teste de funcionamento e limpeza do local.</t>
  </si>
  <si>
    <t>01.05.50</t>
  </si>
  <si>
    <t>extensível</t>
  </si>
  <si>
    <t>Execução de troca de torneira, de bancada, utilizada em cozinha, monocomando, material metálico, extensível, padrão normal.
Está incluso: troca da torneira por modelo igual ou similar, teste de funcionamento e limpeza do local.</t>
  </si>
  <si>
    <t>01.05.51</t>
  </si>
  <si>
    <t>Execução de troca de torneira, de bancada, utilizada em cozinha, monocomando, material metálico, extensível, padrão premium.
Está incluso: troca da torneira por modelo igual ou similar, teste de funcionamento e limpeza do local.</t>
  </si>
  <si>
    <t>01.05.52</t>
  </si>
  <si>
    <t>Execução de troca de reparo da torneira, de bancada, utilizada em cozinha, monocomando, material metálico, padrão normal.
Está incluso: troca completa do mecanismo de acionamento da torneira, teste de funcionamento e limpeza do local.</t>
  </si>
  <si>
    <t>01.05.53</t>
  </si>
  <si>
    <t>Execução de troca de reparo da torneira, de bancada, utilizada em cozinha, monocomando, material metálico, padrão premium.
Está incluso: troca completa do mecanismo de acionamento da torneira, teste de funcionamento e limpeza do local.</t>
  </si>
  <si>
    <t>01.05.54</t>
  </si>
  <si>
    <t>Execução de troca de torneira, de bancada, utilizada em cozinha, elétrica, material plástico, 110v / 220v, padrão simples.
Está incluso: troca da torneira por modelo igual ou similar, teste de funcionamento e limpeza do local.</t>
  </si>
  <si>
    <t>01.05.55</t>
  </si>
  <si>
    <t>Execução de troca de torneira, de bancada, utilizada em cozinha, elétrica, material plástico, 110v / 220v, padrão normal.
Está incluso: troca da torneira por modelo igual ou similar, teste de funcionamento e limpeza do local.</t>
  </si>
  <si>
    <t>01.05.56</t>
  </si>
  <si>
    <t>Execução de troca de reparo da torneira, de bancada, utilizada em cozinha, elétrica, material plástico.
Está incluso: troca completa do mecanismo de acionamento da torneira, teste de funcionamento e limpeza do local.</t>
  </si>
  <si>
    <t>01.05.57</t>
  </si>
  <si>
    <t>utilizada em lavatório</t>
  </si>
  <si>
    <t>Execução de troca de torneira, de bancada, utilizada em lavatório, convencional, material plástico, padrão simples.
Está incluso: troca da torneira por modelo igual ou similar, teste de funcionamento e limpeza do local.</t>
  </si>
  <si>
    <t>01.05.58</t>
  </si>
  <si>
    <t>Execução de troca de torneira, de bancada, utilizada em lavatório, convencional, material metálico, padrão normal.
Está incluso: troca da torneira por modelo igual ou similar, teste de funcionamento e limpeza do local.</t>
  </si>
  <si>
    <t>01.05.59</t>
  </si>
  <si>
    <t>Execução de troca de torneira, de bancada, utilizada em lavatório, convencional, material metálico, padrão premium.
Está incluso: troca da torneira por modelo igual ou similar, teste de funcionamento e limpeza do local.</t>
  </si>
  <si>
    <t>01.05.60</t>
  </si>
  <si>
    <t>Troca de borracha para vedação</t>
  </si>
  <si>
    <t>Execução de troca de borracha para vedação, de bancada, utilizada em lavatório, convencional, material metálico.
Está incluso: troca da borracha de vedação do registro interno da torneira, teste de funcionamento e limpeza do local.</t>
  </si>
  <si>
    <t>01.05.61</t>
  </si>
  <si>
    <t>Execução de troca de reparo da torneira, de bancada, utilizada em lavatório, convencional, material metálico, padrão normal.
Está incluso: troca completa do mecanismo de acionamento da torneira, teste de funcionamento e limpeza do local.</t>
  </si>
  <si>
    <t>01.05.62</t>
  </si>
  <si>
    <t>Execução de troca de reparo da torneira, de bancada, utilizada em lavatório, convencional, material metálico, padrão premium.
Está incluso: troca completa do mecanismo de acionamento da torneira, teste de funcionamento e limpeza do local.</t>
  </si>
  <si>
    <t>01.05.63</t>
  </si>
  <si>
    <t>Execução de troca de torneira, de bancada, utilizada em lavatório, duplo comando, material metálico, padrão normal.
Está incluso: troca da torneira por modelo igual ou similar, teste de funcionamento e limpeza do local.</t>
  </si>
  <si>
    <t>01.05.64</t>
  </si>
  <si>
    <t>Execução de troca de torneira, de bancada, utilizada em lavatório, duplo comando, material metálico, padrão premium.
Está incluso: troca da torneira por modelo igual ou similar, teste de funcionamento e limpeza do local.</t>
  </si>
  <si>
    <t>01.05.65</t>
  </si>
  <si>
    <t>Execução de troca de borracha para vedação da torneira, de bancada, utilizada em lavatório, duplo comando, material metálico.
Está incluso: troca da borracha de vedação do registro interno da torneira, teste de funcionamento e limpeza do local.</t>
  </si>
  <si>
    <t>01.05.66</t>
  </si>
  <si>
    <t>Execução de troca do par de reparo da torneira, de bancada, utilizada em lavatório, duplo comando, material metálico, padrão normal.
Está incluso: troca completa do mecanismo de acionamento da torneira, teste de funcionamento e limpeza do local.</t>
  </si>
  <si>
    <t>01.05.67</t>
  </si>
  <si>
    <t>Execução de troca do par de reparo da torneira, de bancada, utilizada em lavatório, duplo comando, material metálico, padrão premium.
Está incluso: troca completa do mecanismo de acionamento da torneira, teste de funcionamento e limpeza do local.</t>
  </si>
  <si>
    <t>01.05.68</t>
  </si>
  <si>
    <t>Execução de troca de torneira, de bancada, utilizada em lavatório, monocomando, material metálico, padrão normal.
Está incluso: troca da torneira por modelo igual ou similar, teste de funcionamento e limpeza do local.</t>
  </si>
  <si>
    <t>01.05.69</t>
  </si>
  <si>
    <t>Execução de troca de torneira, de bancada, utilizada em lavatório, monocomando, material metálico, padrão premium.
Está incluso: troca da torneira por modelo igual ou similar, teste de funcionamento e limpeza do local.</t>
  </si>
  <si>
    <t>01.05.70</t>
  </si>
  <si>
    <t>Execução de troca de reparo da torneira, de bancada, utilizada em lavatório, monocomando, material metálico, padrão normal.
Está incluso: troca completa do mecanismo de acionamento da torneira, teste de funcionamento e limpeza do local.</t>
  </si>
  <si>
    <t>01.05.71</t>
  </si>
  <si>
    <t>Execução de troca de reparo da torneira, de bancada, utilizada em lavatório, monocomando, material metálico, padrão premium.
Está incluso: troca completa do mecanismo de acionamento da torneira, teste de funcionamento e limpeza do local.</t>
  </si>
  <si>
    <t>01.05.72</t>
  </si>
  <si>
    <t>Troca de engate flexível para torneira</t>
  </si>
  <si>
    <t>utilizado para conectar o encanamento com a torneira</t>
  </si>
  <si>
    <t>Necessidade de substituição do engate flexível</t>
  </si>
  <si>
    <t>Execução de troca de engate flexível para torneira, material plástico, utilizado para conectar o encanamento com a torneira.
Está incluso: troca do engate flexível por modelo igual ou similar, teste de funcionamento e limpeza do local.</t>
  </si>
  <si>
    <t>01.05.73</t>
  </si>
  <si>
    <t>Execução de troca de engate flexível para torneira, material metálico, utilizado para conectar o encanamento com a torneira.
Está incluso: troca do engate flexível por modelo igual ou similar, teste de funcionamento e limpeza do local.</t>
  </si>
  <si>
    <t>01.05.74</t>
  </si>
  <si>
    <t>Troca do par de engate flexível para torneira</t>
  </si>
  <si>
    <t>1/2 x m10</t>
  </si>
  <si>
    <t>Execução de troca de engate flexível para torneira, monocomando, 1/2 x m10, material metálico, utilizado para conectar o encanamento com a torneira, padrão normal.
Está incluso: troca do engate flexível por modelo igual ou similar, teste de funcionamento e limpeza do local.</t>
  </si>
  <si>
    <t>01.05.75</t>
  </si>
  <si>
    <t>Execução de troca de engate flexível para torneira, monocomando, 1/2 x m10, material metálico, utilizado para conectar o encanamento com a torneira, padrão premium.
Está incluso: troca do engate flexível por modelo igual ou similar, teste de funcionamento e limpeza do local.</t>
  </si>
  <si>
    <t>01.05.76</t>
  </si>
  <si>
    <t>Troca de mangueira extensível para torneira</t>
  </si>
  <si>
    <t>Necessidade de substituição da mangueira extensível</t>
  </si>
  <si>
    <t>Execução de troca de mangueira extensível para torneira, material metálico, monocomando, utilizado para conectar o encanamento com a torneira.
Está incluso: troca da mangueira extensível por modelo igual ou similar, teste de funcionamento e limpeza do local.</t>
  </si>
  <si>
    <t>01.05.77</t>
  </si>
  <si>
    <t>Troca de mangueira de entrada para maquina de lavar</t>
  </si>
  <si>
    <t>utilizado para conectar o encanamento com a maquina de lavar</t>
  </si>
  <si>
    <t>Necessidade de substituição da mangueira de entrada da maquina de lavar</t>
  </si>
  <si>
    <t>Execução de troca de mangueira de entrada para maquina de lavar, material plástico, utilizado para conectar o encanamento com a maquina de lavar.
Está incluso: troca da mangueira da maquina de lavar, teste de funcionamento e limpeza do local.</t>
  </si>
  <si>
    <t>01.05.78</t>
  </si>
  <si>
    <t>Troca de mangueira de saída para maquina de lavar</t>
  </si>
  <si>
    <t>utilizado para conectar maquina de lavar com o encanamento</t>
  </si>
  <si>
    <t>Necessidade de substituição da mangueira de saída da maquina de lavar</t>
  </si>
  <si>
    <t>Execução de troca de mangueira de saída para maquina de lavar, material plástico, utilizado para conectar maquina de lavar com o encanamento.
Está incluso: troca da mangueira da maquina de lavar, teste de funcionamento e limpeza do local.</t>
  </si>
  <si>
    <t>01.05.79</t>
  </si>
  <si>
    <t>Troca de tê ajustável para base de misturador duplo comando</t>
  </si>
  <si>
    <t>Execução de troca de tê ajustável para base de misturador duplo comando, material plástico.
Está incluso: troca de peças necessárias, teste de funcionamento e limpeza do local.</t>
  </si>
  <si>
    <t>01.05.80</t>
  </si>
  <si>
    <t>Troca de extensor para torneira de parede</t>
  </si>
  <si>
    <t>Execução de troca de extensor para torneira de parede, material metálico.
Está incluso: troca de peças necessárias, teste de funcionamento e limpeza do local.</t>
  </si>
  <si>
    <t>01.06</t>
  </si>
  <si>
    <t>01.06.01</t>
  </si>
  <si>
    <t>Troca de filtro de água</t>
  </si>
  <si>
    <t>Necessidade de substituição do filtro</t>
  </si>
  <si>
    <t>Execução de troca de filtro de água, padrão simples.
Está incluso: troca do filtro por modelo igual ou similar, teste de funcionamento e limpeza do local.</t>
  </si>
  <si>
    <t>01.06.02</t>
  </si>
  <si>
    <t>Execução de troca de filtro de água, padrão normal.
Está incluso: troca do filtro por modelo igual ou similar, teste de funcionamento e limpeza do local.</t>
  </si>
  <si>
    <t>01.06.03</t>
  </si>
  <si>
    <t>Execução de troca de filtro de água, padrão premium.
Está incluso: troca do filtro por modelo igual ou similar, teste de funcionamento e limpeza do local.</t>
  </si>
  <si>
    <t>01.06.04</t>
  </si>
  <si>
    <t>Troca de refil do filtro de água</t>
  </si>
  <si>
    <t>Necessidade de troca do refil para filtro de água</t>
  </si>
  <si>
    <t>Execução de troca de refil do filtro de água, convencional.
Está incluso: troca do refil por modelo igual ou similar, teste de funcionamento e limpeza do local.</t>
  </si>
  <si>
    <t>01.06.05</t>
  </si>
  <si>
    <t>Troca de engate flexível do filtro de água</t>
  </si>
  <si>
    <t>Execução de troca de engate flexível do filtro de água, material plástico.
Está incluso: troca do engate flexível por modelo igual ou similar, teste de funcionamento e limpeza do local.</t>
  </si>
  <si>
    <t>01.07</t>
  </si>
  <si>
    <t>01.07.01</t>
  </si>
  <si>
    <t>Troca de chuveiro</t>
  </si>
  <si>
    <t>elétrico</t>
  </si>
  <si>
    <t>127/220v</t>
  </si>
  <si>
    <t>Necessidade de substituição do chuveiro</t>
  </si>
  <si>
    <t>Execução de troca de chuveiro, elétrico, 127/220v, padrão simples.
Está incluso: troca do chuveiro por modelo igual ou similar, conector de cerâmica tripolar, teste de funcionamento e limpeza do local. Referência: Lorenzetti Maxi Banho Ultra 4600w.</t>
  </si>
  <si>
    <t>01.07.02</t>
  </si>
  <si>
    <t>Execução de troca de chuveiro, elétrico, 127/220v, padrão normal.
Está incluso: troca do chuveiro por modelo igual ou similar, conector de cerâmica tripolar, teste de funcionamento e limpeza do local. Referência: Lorenzetti Top Jet Multi 7500w.</t>
  </si>
  <si>
    <t>01.07.03</t>
  </si>
  <si>
    <t>Execução de troca de chuveiro, elétrico, 127/220v, padrão premium.
Está incluso: troca do chuveiro por modelo igual ou similar, conector de cerâmica tripolar, teste de funcionamento e limpeza do local. Referência: Lorenzetti Duo Shower 6800w.</t>
  </si>
  <si>
    <t>01.07.04</t>
  </si>
  <si>
    <t>eletrônico</t>
  </si>
  <si>
    <t>Execução de troca de chuveiro, eletrônico, 127/220v, padrão simples.
Está incluso: troca do chuveiro por modelo igual ou similar, conector de cerâmica tripolar, teste de funcionamento e limpeza do local. Referência: Lorenzetti Loren Shower 7500w.</t>
  </si>
  <si>
    <t>01.07.05</t>
  </si>
  <si>
    <t>Execução de troca de chuveiro, eletrônico, 127/220v, padrão normal.
Está incluso: troca do chuveiro por modelo igual ou similar, conector de cerâmica tripolar, teste de funcionamento e limpeza do local. Referência: Lorenzetti Advanced 7500w.</t>
  </si>
  <si>
    <t>01.07.06</t>
  </si>
  <si>
    <t>Execução de troca de chuveiro, eletrônico, 127/220v, padrão premium.
Está incluso: troca do chuveiro por modelo igual ou similar, conector de cerâmica tripolar, teste de funcionamento e limpeza do local. Referência: Lorenzetti Acqua Jet 7800w.</t>
  </si>
  <si>
    <t>01.07.07</t>
  </si>
  <si>
    <t>Troca de ducha</t>
  </si>
  <si>
    <t>interna</t>
  </si>
  <si>
    <t>sem desvio</t>
  </si>
  <si>
    <t>Necessidade de substituição da ducha</t>
  </si>
  <si>
    <t>Execução de troca de ducha, interna, material plástico, sem desvio, padrão simples.
Está incluso: troca da ducha por modelo igual ou similar, teste de funcionamento e limpeza do local. Referência: Lorenzetti Fitt 7000 F16.</t>
  </si>
  <si>
    <t>01.07.08</t>
  </si>
  <si>
    <t>Execução de troca de ducha, interna, material metálico, sem desvio, padrão normal.
Está incluso: troca da ducha por modelo igual ou similar, teste de funcionamento e limpeza do local. Referência: Sensea Mana Cromada.</t>
  </si>
  <si>
    <t>01.07.09</t>
  </si>
  <si>
    <t>Execução de troca de ducha, interna, material metálico, sem desvio, padrão premium.
Está incluso: troca da ducha por modelo igual ou similar, teste de funcionamento e limpeza do local. Referência: Deca Ducha Retangular Parede Cromada Flex.</t>
  </si>
  <si>
    <t>01.07.10</t>
  </si>
  <si>
    <t>com desvio</t>
  </si>
  <si>
    <t>Execução de troca de ducha, interna, material plástico, com desvio, padrão simples.
Está incluso: troca da ducha por modelo igual ou similar, teste de funcionamento e limpeza do local. Referência: Fame Ducha com Chuveirinho Redonda Parede Cromada.</t>
  </si>
  <si>
    <t>01.07.11</t>
  </si>
  <si>
    <t>Execução de troca de ducha, interna, material metálico, com desvio, padrão normal.
Está incluso: troca da ducha por modelo igual ou similar, teste de funcionamento e limpeza do local. Referência: Sensea Ducha com Chuveirinho Redonda Parede Cromada Floki.</t>
  </si>
  <si>
    <t>01.07.12</t>
  </si>
  <si>
    <t>Execução de troca de ducha, interna, material metálico, com desvio, padrão premium.
Está incluso: troca da ducha por modelo igual ou similar, teste de funcionamento e limpeza do local. Referência: Deca Ducha com Chuveirinho Redonda Parede Cromada Flex.</t>
  </si>
  <si>
    <t>01.07.13</t>
  </si>
  <si>
    <t>externa</t>
  </si>
  <si>
    <t>Execução de troca de ducha, externa, material plástico, padrão simples.
Está incluso: troca da ducha por modelo igual ou similar, teste de funcionamento e limpeza do local. Referência: Tigre Ducha para Piscina Redonda Parede Branca.</t>
  </si>
  <si>
    <t>01.07.14</t>
  </si>
  <si>
    <t>Execução de troca de ducha, externa, material metálico, padrão normal.
Está incluso: troca da ducha por modelo igual ou similar, teste de funcionamento e limpeza do local. Referência: Ducha Cascata Polida 04 Pol X 30cm.</t>
  </si>
  <si>
    <t>01.07.15</t>
  </si>
  <si>
    <t>Execução de troca de ducha, externa, material metálico, padrão premium.
Está incluso: troca da ducha por modelo igual ou similar, teste de funcionamento e limpeza do local. Referência: Ducha Fria Em Inox 304 Para Aréa Externa Piscina 25cm Black.</t>
  </si>
  <si>
    <t>01.07.16</t>
  </si>
  <si>
    <t>Troca de cano prolongador do chuveiro</t>
  </si>
  <si>
    <t>Necessidade de substituição do cano prolongador</t>
  </si>
  <si>
    <t>Execução de troca de cano prolongador do chuveiro.
Está incluso: troca de peça, teste de funcionamento e limpeza do local.</t>
  </si>
  <si>
    <t>01.07.17</t>
  </si>
  <si>
    <t>Troca de resistência para chuveiro</t>
  </si>
  <si>
    <t>elétrico ou eletrônico</t>
  </si>
  <si>
    <t>Necessidade de substituição da resistência para chuveiro</t>
  </si>
  <si>
    <t>Execução de troca de resistência para chuveiro, elétrico ou eletrônico, padrão normal.
Está incluso: troca de peça, teste de funcionamento e limpeza do local.</t>
  </si>
  <si>
    <t>01.07.18</t>
  </si>
  <si>
    <t>Execução de troca de resistência para chuveiro, elétrico ou eletrônico, padrão premium.
Está incluso: troca de peça, teste de funcionamento e limpeza do local.</t>
  </si>
  <si>
    <t>01.07.19</t>
  </si>
  <si>
    <t>Troca de mangueira para ducha</t>
  </si>
  <si>
    <t>cromada</t>
  </si>
  <si>
    <t>comprimento 1.50m</t>
  </si>
  <si>
    <t>Necessidade de substituição da mangueira da ducha</t>
  </si>
  <si>
    <t>Execução de troca de mangueira para ducha, cromada, material metálico, comprimento 1.50m.
Está incluso: troca de peça, teste de funcionamento e limpeza do local.</t>
  </si>
  <si>
    <t>01.07.20</t>
  </si>
  <si>
    <t>comprimento 2.00m</t>
  </si>
  <si>
    <t>Execução de troca de mangueira para ducha, cromada, material metálico, comprimento 2.00m.
Está incluso: troca de peça, teste de funcionamento e limpeza do local.</t>
  </si>
  <si>
    <t>01.07.21</t>
  </si>
  <si>
    <t>branca</t>
  </si>
  <si>
    <t>pvc</t>
  </si>
  <si>
    <t>Execução de troca de mangueira para ducha, branca, pvc, comprimento 1.50m.
Está incluso: troca de peça, teste de funcionamento e limpeza do local.</t>
  </si>
  <si>
    <t>01.07.22</t>
  </si>
  <si>
    <t>Execução de troca de mangueira para ducha, branca, pvc, comprimento 2.00m.
Está incluso: troca de peça, teste de funcionamento e limpeza do local.</t>
  </si>
  <si>
    <t>01.08</t>
  </si>
  <si>
    <t>01.08.01</t>
  </si>
  <si>
    <t>Troca de vaso sanitário</t>
  </si>
  <si>
    <t>modelo convencional</t>
  </si>
  <si>
    <t>sem assento</t>
  </si>
  <si>
    <t>Necessidade de substituição do vaso sanitário</t>
  </si>
  <si>
    <t>Execução de troca de vaso sanitário, modelo convencional, sem assento, padrão simples.
Está incluso: troca do tubo de ligação com espude, anel de vedação, parafusos de fixação, aplicação de rejunte, teste de funcionamento e limpeza do local.</t>
  </si>
  <si>
    <t>01.08.02</t>
  </si>
  <si>
    <t>Execução de troca de vaso sanitário, modelo convencional, sem assento, padrão normal.
Está incluso: troca do tubo de ligação com espude, anel de vedação, parafusos de fixação, aplicação de rejunte, teste de funcionamento e limpeza do local.</t>
  </si>
  <si>
    <t>01.08.03</t>
  </si>
  <si>
    <t>Execução de troca de vaso sanitário, modelo convencional, sem assento, padrão premium.
Está incluso: troca do tubo de ligação com espude, anel de vedação, parafusos de fixação, aplicação de rejunte, teste de funcionamento e limpeza do local.</t>
  </si>
  <si>
    <t>01.08.04</t>
  </si>
  <si>
    <t>para caixa acoplada</t>
  </si>
  <si>
    <t>Execução de troca de vaso sanitário, para caixa acoplada, sem assento, padrão simples.
Está incluso: troca da vedação e fixação da caixa acoplada, anel de vedação e parafusos de fixação do vaso sanitário, aplicação de rejunte, teste de funcionamento e limpeza do local.</t>
  </si>
  <si>
    <t>01.08.05</t>
  </si>
  <si>
    <t>Execução de troca de vaso sanitário, para caixa acoplada, sem assento, padrão normal.
Está incluso: troca da vedação e fixação da caixa acoplada, anel de vedação e parafusos de fixação do vaso sanitário, aplicação de rejunte, teste de funcionamento e limpeza do local.</t>
  </si>
  <si>
    <t>01.08.06</t>
  </si>
  <si>
    <t>Execução de troca de vaso sanitário, para caixa acoplada, sem assento, padrão premium.
Está incluso: troca da vedação e fixação da caixa acoplada, anel de vedação e parafusos de fixação do vaso sanitário, aplicação de rejunte, teste de funcionamento e limpeza do local.</t>
  </si>
  <si>
    <t>01.08.07</t>
  </si>
  <si>
    <t>Troca do conjunto vaso sanitário e caixa acoplada</t>
  </si>
  <si>
    <t>Necessidade de substituição do conjunto vaso sanitário e caixa acoplada</t>
  </si>
  <si>
    <t>Execução de troca do conjunto vaso sanitário e caixa acoplada, sem assento, padrão simples.
Está incluso: troca do flexível de entrada, sistema de acionamento, vedação e fixação da caixa acoplada, anel de vedação e parafusos de fixação do vaso sanitário, aplicação de rejunte, teste de funcionamento e limpeza do local.</t>
  </si>
  <si>
    <t>01.08.08</t>
  </si>
  <si>
    <t>Execução de troca do conjunto vaso sanitário e caixa acoplada, sem assento, padrão normal.
Está incluso: troca do flexível de entrada, sistema de acionamento, vedação e fixação da caixa acoplada, anel de vedação e parafusos de fixação do vaso sanitário, aplicação de rejunte, teste de funcionamento e limpeza do local.</t>
  </si>
  <si>
    <t>01.08.09</t>
  </si>
  <si>
    <t>Execução de troca do conjunto vaso sanitário e caixa acoplada, sem assento, padrão premium.
Está incluso: troca do flexível de entrada, sistema de acionamento, vedação e fixação da caixa acoplada, anel de vedação e parafusos de fixação do vaso sanitário, aplicação de rejunte, teste de funcionamento e limpeza do local.</t>
  </si>
  <si>
    <t>01.08.10</t>
  </si>
  <si>
    <t>Troca de anel para vedação do vaso sanitário</t>
  </si>
  <si>
    <t>sem troca dos parafusos para fixação</t>
  </si>
  <si>
    <t>Necessidade de substituição do anel de vedação</t>
  </si>
  <si>
    <t>Execução de troca de anel para vedação do vaso sanitário, sem troca dos parafusos para fixação.
Está incluso: remoção do vaso sanitário, troca do anel de vedação, reinstalação do vaso sanitário, fixação e vedação da base com PU.</t>
  </si>
  <si>
    <t>01.08.11</t>
  </si>
  <si>
    <t>com troca dos parafusos para fixação</t>
  </si>
  <si>
    <t>Necessidade de substituição do anel de vedação e parafusos de fixação</t>
  </si>
  <si>
    <t>Execução de troca de anel para vedação do vaso sanitário, com troca dos parafusos para fixação.
Está incluso: remoção do vaso sanitário, troca do anel de vedação, reinstalação do vaso sanitário com novos parafusos de fixação e vedação da base com PU.</t>
  </si>
  <si>
    <t>01.08.12</t>
  </si>
  <si>
    <t>Troca de parafusos para fixação do vaso sanitário</t>
  </si>
  <si>
    <t>Necessidade de substituição dos parafusos de fixação</t>
  </si>
  <si>
    <t>Execução de troca de parafusos para fixação do vaso sanitário.
Está incluso: troca de peça, aplicação de rejunte, teste de funcionamento e limpeza do local.</t>
  </si>
  <si>
    <t>01.08.13</t>
  </si>
  <si>
    <t xml:space="preserve">Troca de tubo de ligação com espude para vaso sanitário </t>
  </si>
  <si>
    <t>modelo sanfonado</t>
  </si>
  <si>
    <t>sem a retirada do vaso sanitário</t>
  </si>
  <si>
    <t>Necessidade de substituição do tubo de ligação</t>
  </si>
  <si>
    <t>Execução de troca de tubo de ligação com espude para vaso sanitário , modelo sanfonado, sem a retirada do vaso sanitário, padrão simples.
Está incluso: troca de peça, teste de funcionamento e limpeza do local.</t>
  </si>
  <si>
    <t>01.08.14</t>
  </si>
  <si>
    <t>modelo rígido</t>
  </si>
  <si>
    <t>Execução de troca de tubo de ligação com espude para vaso sanitário , modelo rígido, sem a retirada do vaso sanitário, padrão normal.
Está incluso: troca de peça, teste de funcionamento e limpeza do local.</t>
  </si>
  <si>
    <t>01.08.15</t>
  </si>
  <si>
    <t>Troca de tubo de ligação com espude para vaso sanitário</t>
  </si>
  <si>
    <t>Execução de troca de tubo de ligação com espude para vaso sanitário, modelo rígido, sem a retirada do vaso sanitário, padrão premium.
Está incluso: troca de peça, teste de funcionamento e limpeza do local.</t>
  </si>
  <si>
    <t>01.08.16</t>
  </si>
  <si>
    <t>com a retirada e recolocação do vaso sanitário</t>
  </si>
  <si>
    <t>Necessidade de substituição do tubo de ligação com retirada do vaso sanitário</t>
  </si>
  <si>
    <t>Execução de troca de tubo de ligação com espude para vaso sanitário, modelo rígido, com a retirada e recolocação do vaso sanitário, padrão normal.
Está incluso: troca de peça, retirada e recolocação do vaso sanitário, troca do anel de vedação, aplicação de rejunte, teste de funcionamento e limpeza do local.</t>
  </si>
  <si>
    <t>01.08.17</t>
  </si>
  <si>
    <t>Execução de troca de tubo de ligação com espude para vaso sanitário , modelo rígido, com a retirada e recolocação do vaso sanitário, padrão premium.
Está incluso: troca de peça, retirada e recolocação do vaso sanitário, troca do anel de vedação, aplicação de rejunte, teste de funcionamento e limpeza do local.</t>
  </si>
  <si>
    <t>01.08.18</t>
  </si>
  <si>
    <t>Troca de assento para vaso sanitário</t>
  </si>
  <si>
    <t>Necessidade de substituição do assento para vaso sanitário</t>
  </si>
  <si>
    <t>Execução de troca de assento para vaso sanitário, material plástico, modelo rígido, padrão normal.
Está incluso: troca de peça, teste de funcionamento e limpeza do local.</t>
  </si>
  <si>
    <t>01.08.19</t>
  </si>
  <si>
    <t>Execução de troca de assento para vaso sanitário, material plástico, modelo rígido, padrão premium.
Está incluso: troca de peça, teste de funcionamento e limpeza do local.</t>
  </si>
  <si>
    <t>01.08.20</t>
  </si>
  <si>
    <t>material madeira</t>
  </si>
  <si>
    <t>Execução de troca de assento para vaso sanitário, material madeira, modelo rígido, padrão normal.
Está incluso: troca de peça, teste de funcionamento e limpeza do local.</t>
  </si>
  <si>
    <t>01.08.21</t>
  </si>
  <si>
    <t>Execução de troca de assento para vaso sanitário, material madeira, modelo rígido, padrão premium.
Está incluso: troca de peça, teste de funcionamento e limpeza do local.</t>
  </si>
  <si>
    <t>01.08.22</t>
  </si>
  <si>
    <t>modeo almofadado</t>
  </si>
  <si>
    <t>Execução de troca de assento para vaso sanitário, material plástico, modeo almofadado, padrão normal.
Está incluso: troca de peça, teste de funcionamento e limpeza do local.</t>
  </si>
  <si>
    <t>01.08.23</t>
  </si>
  <si>
    <t>almofadado</t>
  </si>
  <si>
    <t>Execução de troca de assento para vaso sanitário, material plástico, almofadado, padrão premium.
Está incluso: troca de peça, teste de funcionamento e limpeza do local.</t>
  </si>
  <si>
    <t>01.08.24</t>
  </si>
  <si>
    <t>Troca de assento para vaso sanitário especial</t>
  </si>
  <si>
    <t>com características individuais</t>
  </si>
  <si>
    <t>Execução de troca de assento para vaso sanitário especial, com características individuais.
Está incluso: troca de peça, teste de funcionamento e limpeza do local.</t>
  </si>
  <si>
    <t>01.09</t>
  </si>
  <si>
    <t>01.09.01</t>
  </si>
  <si>
    <t>Troca completa do kit de reparo para caixa acoplada</t>
  </si>
  <si>
    <t>único acionamento</t>
  </si>
  <si>
    <t>Vazamento de água devido a falhas no mecanismo interno da caixa acoplada do vaso sanitário.</t>
  </si>
  <si>
    <t>Substituição completa do kit interno da caixa acoplada com acionamento único.
Em nosso serviço está incluso: troca de peça, teste de funcionamento e limpeza do local.</t>
  </si>
  <si>
    <t>01.09.02</t>
  </si>
  <si>
    <t>duplo acionamento</t>
  </si>
  <si>
    <t>Substituição completa do kit interno da caixa acoplada com acionamento duplo.
Em nosso serviço está incluso: troca de peça, teste de funcionamento e limpeza do local.</t>
  </si>
  <si>
    <t>01.09.03</t>
  </si>
  <si>
    <t>Troca de anel para vedação da caixa acoplada</t>
  </si>
  <si>
    <t>Vazamento de água no vaso sanitário, devido a defeito no anel de vedação da caixa acoplada.</t>
  </si>
  <si>
    <t>Substituição do anel de vedação da caixa acoplada de modelo convencional.
Em nosso serviço está incluso: troca de peça, teste de funcionamento e limpeza do local.</t>
  </si>
  <si>
    <t>01.09.04</t>
  </si>
  <si>
    <t>Troca de parafuso para fixação da caixa acoplada</t>
  </si>
  <si>
    <t>Vazamento de água no vaso sanitário, devido a defeito na vedação do parafuso de fixação da caixa acoplada.</t>
  </si>
  <si>
    <t>Troca do parafuso para fixação da caixa acoplada de modelo convencional.
Em nosso serviço está incluso: troca de peça, teste de funcionamento e limpeza do local.</t>
  </si>
  <si>
    <t>01.09.05</t>
  </si>
  <si>
    <t>Troca completa da caixa acoplada</t>
  </si>
  <si>
    <t>material cerâmica</t>
  </si>
  <si>
    <t>modelo similar</t>
  </si>
  <si>
    <t>Caixa acoplada danificada, causando vazamentos e riscos de acidentes durante o uso</t>
  </si>
  <si>
    <t>Substituição completa da caixa acoplada, material cerâmica por modelo similar ou igual a existente.
Em nosso serviço está incluso: troca do flexível de entrada, sistema de acionamento, vedação e fixação da caixa acoplada, teste de funcionamento e limpeza do local.</t>
  </si>
  <si>
    <t>01.09.06</t>
  </si>
  <si>
    <t>01.09.07</t>
  </si>
  <si>
    <t>01.09.08</t>
  </si>
  <si>
    <t>Troca de tampa da caixa acoplada</t>
  </si>
  <si>
    <t>Tampa da caixa acoplada do vaso sanitário danificada, é necessário a substituição da mesma</t>
  </si>
  <si>
    <t>Instalar nova tampa da caixa acoplada, material cerâmica de modelo similar ou igual ao existente.
Em nosso serviço está incluso: troca de peça, teste de funcionamento e limpeza do local.</t>
  </si>
  <si>
    <t>01.09.09</t>
  </si>
  <si>
    <t>Troca de engate flexível da caixa acoplada</t>
  </si>
  <si>
    <t>Vazamento ocorrendo pelo flexível da caixa acoplada do vaso sanitário, causando perda de pressão na descarga e aumento no consumo de água.</t>
  </si>
  <si>
    <t>Instalar novo engate flexível da caixa acoplada, material plástico.
Em nosso serviço está incluso: troca de peça, teste de funcionamento e limpeza do local.</t>
  </si>
  <si>
    <t>01.09.10</t>
  </si>
  <si>
    <t>Instalar novo engate flexível da caixa acoplada, material metálico.
Em nosso serviço está incluso: troca de peça, teste de funcionamento e limpeza do local.</t>
  </si>
  <si>
    <t>01.09.11</t>
  </si>
  <si>
    <t>Troca de reparo para válvula da descarga</t>
  </si>
  <si>
    <t>modelos convencionais</t>
  </si>
  <si>
    <t>Válvula de descarga do vaso sanitário está com problemas no mecanismo interno, causando vazamentos, riscos de infiltração na parede e dificuldades no acionamento.</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</si>
  <si>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convencional, teste de funcionamento e limpeza do local.</t>
  </si>
  <si>
    <t>01.09.12</t>
  </si>
  <si>
    <t xml:space="preserve">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antigo, teste de funcionamento e limpeza do local.
</t>
  </si>
  <si>
    <t>01.09.13</t>
  </si>
  <si>
    <t>docol</t>
  </si>
  <si>
    <t xml:space="preserve">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docol, teste de funcionamento e limpeza do local.
</t>
  </si>
  <si>
    <t>01.09.14</t>
  </si>
  <si>
    <t>hydra max</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</si>
  <si>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Hydra Max, teste de funcionamento e limpeza do local.</t>
  </si>
  <si>
    <t>01.09.15</t>
  </si>
  <si>
    <t>hydra 2520 / 2530 / vcr</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</si>
  <si>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hydra 2520 / 2530 / vcr, teste de funcionamento e limpeza do local.</t>
  </si>
  <si>
    <t>01.09.16</t>
  </si>
  <si>
    <t>hydra lisa i / lisa ii</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</si>
  <si>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hydra lisa i / lisa ii, teste de funcionamento e limpeza do local.</t>
  </si>
  <si>
    <t>01.09.17</t>
  </si>
  <si>
    <t>lorenzetti p20</t>
  </si>
  <si>
    <t xml:space="preserve">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lorenzetti p20, teste de funcionamento e limpeza do local.
</t>
  </si>
  <si>
    <t>01.09.18</t>
  </si>
  <si>
    <t>lorenzetti p21 / p41</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</si>
  <si>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lorenzetti p21 / p41, teste de funcionamento e limpeza do local.</t>
  </si>
  <si>
    <t>01.09.19</t>
  </si>
  <si>
    <t>fabrimar</t>
  </si>
  <si>
    <t>Para resolver o problema, é necessário trocar o reparo da válvula de descarga. Para isso, será executado os seguintes passos: 
Fechar o registro de água, retirar a tampa da descarga, soltar a porca que prende a válvula antiga, retirar a válvula antiga, encaixar o novo reparo, fixar a porca, recolocar a tampa e abrir o registro de água.
Em nosso serviço está incluso: troca do reparo da válvula completa de modelo, fabrimar, teste de funcionamento e limpeza do local.</t>
  </si>
  <si>
    <t>01.09.20</t>
  </si>
  <si>
    <t>Troca de acabamento para válvula de descarga</t>
  </si>
  <si>
    <t>paralelo</t>
  </si>
  <si>
    <t>Válvula de descarga não original do vaso sanitário, de modelo convencional, está com problemas no acabamento, ocasionando dificuldades no acionamento.</t>
  </si>
  <si>
    <t>Instalar novo acabamento para válvula de descarga, modelos convencionais, igual ou similar ao existente.
Em nosso serviço stá incluso: troca de peça, teste de funcionamento e limpeza do local.</t>
  </si>
  <si>
    <t>01.09.21</t>
  </si>
  <si>
    <t>original</t>
  </si>
  <si>
    <t>Válvula de descarga original do vaso sanitário, de modelo convencional, está com problemas no acabamento, ocasionando dificuldades no acionamento.</t>
  </si>
  <si>
    <t>Instalar novo acabamento para válvula de descarga, modelos convencionais, original igual ou similar ao existente.
Em nosso serviço stá incluso: troca de peça, teste de funcionamento e limpeza do local.</t>
  </si>
  <si>
    <t>01.09.22</t>
  </si>
  <si>
    <t>Válvula de descarga não original do vaso sanitário, de modelo antigo, está com problemas no acabamento, ocasionando dificuldades no acionamento.</t>
  </si>
  <si>
    <t>Instalar novo acabamento para válvula de descarga, modelos antigos, igual ou similar ao existente.
Em nosso serviço stá incluso: troca de peça, teste de funcionamento e limpeza do local.</t>
  </si>
  <si>
    <t>01.09.23</t>
  </si>
  <si>
    <t>Válvula de descarga original do vaso sanitário, de modelo antigo, está com problemas no acabamento, ocasionando dificuldades no acionamento.</t>
  </si>
  <si>
    <t>Instalar novo acabamento para válvula de descarga, modelos antigos, original igual ou similar ao existente.
Em nosso serviço stá incluso: troca de peça, teste de funcionamento e limpeza do local.</t>
  </si>
  <si>
    <t>01.09.24</t>
  </si>
  <si>
    <t>Troca completa da base para válvula de descarga</t>
  </si>
  <si>
    <t>fabricante docol ou deca</t>
  </si>
  <si>
    <t>Descarga do vaso sanitário com defeitos, causando problemas no uso, vazamentos e risco de infiltrações, sendo necessário sua troca completa.</t>
  </si>
  <si>
    <t>Troca completa da base para válvula de descarga, fabricante docol ou deca.
Em nosso serviço está incluso: troca da base da descarga, peças de conexão, teste de funcionamento e limpeza do local.</t>
  </si>
  <si>
    <t>01.09.25</t>
  </si>
  <si>
    <t xml:space="preserve">Abertura da parede e troca completa da base para válvula de descarga do tipo docol ou deca, incluindo o fornecimento de peças para conexão e acabamento, fechamento da alvenaria com reboco e pintura, mantendo a cor atual existente para o acabamento. 
Após a conclusão do serviço, será feito o teste de funcionamento, limpeza e retirada dos entulhos.
</t>
  </si>
  <si>
    <t>01.09.26</t>
  </si>
  <si>
    <t>Execução de troca completa da base para válvula de descarga, fabricante docol ou deca, incluindo quebra e reconstrução da alvenaria, acabamento em cerâmica convencional similar, até 02 peças.
Está incluso: troca da base da descarga e peças de conexão, através de quebra e reconstrução da alvenaria com acabamento similar, teste de funcionamento e limpeza do local.</t>
  </si>
  <si>
    <t>01.09.27</t>
  </si>
  <si>
    <t>Execução de troca completa da base para válvula de descarga, fabricante docol ou deca, incluindo quebra e reconstrução da alvenaria, acabamento em cerâmica convencional, até 04 peças.
Está incluso: troca da base da descarga e peças de conexão, através de quebra e reconstrução da alvenaria com acabamento similar, teste de funcionamento e limpeza do local.</t>
  </si>
  <si>
    <t>01.09.28</t>
  </si>
  <si>
    <t>Execução de troca completa da base para válvula de descarga, fabricante docol ou deca, incluindo quebra e reconstrução da alvenaria, acabamento em cerâmica de museu similar, máximo 15x15 cm, até 02 peças.
Está incluso: troca da base da descarga e peças de conexão, através de quebra e reconstrução da alvenaria com acabamento similar, teste de funcionamento e limpeza do local.</t>
  </si>
  <si>
    <t>01.09.29</t>
  </si>
  <si>
    <t>Execução de troca completa da base para válvula de descarga, fabricante docol ou deca, incluindo quebra e reconstrução da alvenaria, acabamento em cerâmica de museu similar, máximo 15x15 cm, até 04 peças.
Está incluso: troca da base da descarga e peças de conexão, através de quebra e reconstrução da alvenaria com acabamento similar, teste de funcionamento e limpeza do local.</t>
  </si>
  <si>
    <t>01.09.30</t>
  </si>
  <si>
    <t>Execução de troca completa da base para válvula de descarga, fabricante docol ou deca, incluindo quebra e reconstrução da alvenaria, acabamento em cerâmica de museu similar, máximo 15x15 cm, até 06 peças.
Está incluso: troca da base da descarga e peças de conexão, através de quebra e reconstrução da alvenaria com acabamento similar, teste de funcionamento e limpeza do local.</t>
  </si>
  <si>
    <t>01.09.31</t>
  </si>
  <si>
    <t>Execução de troca completa da base para válvula de descarga, fabricante docol ou deca, incluindo quebra e reconstrução da alvenaria, acabamento em cerâmica de museu similar, máximo 30x30 cm, até 02 peças.
Está incluso: troca da base da descarga e peças de conexão, através de quebra e reconstrução da alvenaria com acabamento similar, teste de funcionamento e limpeza do local.</t>
  </si>
  <si>
    <t>01.09.32</t>
  </si>
  <si>
    <t>Execução de troca completa da base para válvula de descarga, fabricante docol ou deca, incluindo quebra e reconstrução da alvenaria, acabamento em cerâmica de museu similar, máximo 30x30 cm, até 04 peças.
Está incluso: troca da base da descarga e peças de conexão, através de quebra e reconstrução da alvenaria com acabamento similar, teste de funcionamento e limpeza do local.</t>
  </si>
  <si>
    <t>01.09.33</t>
  </si>
  <si>
    <t>Execução de troca completa da base para válvula de descarga, fabricante docol ou deca, incluindo quebra e reconstrução da alvenaria, acabamento em cerâmica de museu similar, máximo 60x60 cm, até 02 peças.
Está incluso: troca da base da descarga e peças de conexão, através de quebra e reconstrução da alvenaria com acabamento similar, teste de funcionamento e limpeza do local.</t>
  </si>
  <si>
    <t>01.09.34</t>
  </si>
  <si>
    <t>Execução de troca completa da base para válvula de descarga, fabricante docol ou deca, incluindo quebra e reconstrução da alvenaria, acabamento em cerâmica de museu similar, máximo 60x60 cm, até 04 peças.
Está incluso: troca da base da descarga e peças de conexão, através de quebra e reconstrução da alvenaria com acabamento similar, teste de funcionamento e limpeza do local.</t>
  </si>
  <si>
    <t>01.09.35</t>
  </si>
  <si>
    <t>Execução de troca completa da base para válvula de descarga, fabricante docol ou deca, incluindo quebra e reconstrução da alvenaria, acabamento em cerâmica de museu similar, a partir de 60x60 cm, até 02 peças.
Está incluso: troca da base da descarga e peças de conexão, através de quebra e reconstrução da alvenaria com acabamento similar, teste de funcionamento e limpeza do local.</t>
  </si>
  <si>
    <t>01.09.36</t>
  </si>
  <si>
    <t>Execução de troca completa da base para válvula de descarga, fabricante docol ou deca, incluindo quebra e reconstrução da alvenaria, acabamento em cerâmica de museu similar, a partir de 60x60 cm, até 04 peças.
Está incluso: troca da base da descarga e peças de conexão, através de quebra e reconstrução da alvenaria com acabamento similar, teste de funcionamento e limpeza do local.</t>
  </si>
  <si>
    <t>01.09.37</t>
  </si>
  <si>
    <t>Execução de troca completa da base para válvula de descarga, fabricante docol ou deca, incluindo quebra e reconstrução da alvenaria, acabamento em cerâmica disponível no local, até 04 peças.
Está incluso: troca da base da descarga e peças de conexão, através de quebra e reconstrução da alvenaria com acabamento similar, teste de funcionamento e limpeza do local.</t>
  </si>
  <si>
    <t>01.09.38</t>
  </si>
  <si>
    <t>Troca completa do reparo de caixa para descarga embutida (kit de reparo)</t>
  </si>
  <si>
    <t>montana</t>
  </si>
  <si>
    <t>Necessidade de substituição do mecanismo de descarga da caixa embutida</t>
  </si>
  <si>
    <t>Execução de troca completa do reparo de caixa para descarga embutida (kit de reparo), montana.
Está incluso: troca de peça, teste de funcionamento e limpeza do local.</t>
  </si>
  <si>
    <t>01.09.39</t>
  </si>
  <si>
    <t>Troca de caixa de descarga suspensa</t>
  </si>
  <si>
    <t>Necessidade de substituição da caixa de descarga suspensa</t>
  </si>
  <si>
    <t>Execução de troca de caixa de descarga suspensa, material plástico.
Está incluso: troca de peça, teste de funcionamento e limpeza do local.</t>
  </si>
  <si>
    <t>01.09.40</t>
  </si>
  <si>
    <t>Troca de tubo para descarga suspensa</t>
  </si>
  <si>
    <t>Necessidade de substituição da tubulação para caixa de descarga suspensa</t>
  </si>
  <si>
    <t>Execução de troca de tubo para descarga suspensa, material plástico.
Está incluso: troca de peça, teste de funcionamento e limpeza do local.</t>
  </si>
  <si>
    <t>01.10</t>
  </si>
  <si>
    <t>01.10.01</t>
  </si>
  <si>
    <t>Troca de ducha higiênica</t>
  </si>
  <si>
    <t>com misturador único</t>
  </si>
  <si>
    <t>Necessidade de substituição da ducha higiênica</t>
  </si>
  <si>
    <t>Execução de troca de ducha higiênica, com misturador único, material plástico, padrão simples.
Está incluso: troca de peça, teste de funcionamento e limpeza do local.</t>
  </si>
  <si>
    <t>01.10.02</t>
  </si>
  <si>
    <t>Execução de troca de ducha higiênica, com misturador único, material metálico, padrão normal.
Está incluso: troca de peça, teste de funcionamento e limpeza do local.</t>
  </si>
  <si>
    <t>01.10.03</t>
  </si>
  <si>
    <t>Execução de troca de ducha higiênica, com misturador único, material metálico, padrão premium.
Está incluso: troca de peça, teste de funcionamento e limpeza do local.</t>
  </si>
  <si>
    <t>01.10.04</t>
  </si>
  <si>
    <t>com misturador duplo</t>
  </si>
  <si>
    <t>Execução de troca de ducha higiênica, com misturador duplo, material metálico.
Está incluso: troca de peça, teste de funcionamento e limpeza do local.</t>
  </si>
  <si>
    <t>01.10.05</t>
  </si>
  <si>
    <t>Troca de mangueira e gatilho da ducha higiênica</t>
  </si>
  <si>
    <t>Necessidade de substituição da mangueira e gatilho para ducha higiênica</t>
  </si>
  <si>
    <t>Execução de troca de mangueira e gatilho da ducha higiênica, material metálico.
Está incluso: troca de peça, teste de funcionamento e limpeza do local.</t>
  </si>
  <si>
    <t>01.10.06</t>
  </si>
  <si>
    <t>Troca de aquecedor elétrico de passagem</t>
  </si>
  <si>
    <t>110v/220v</t>
  </si>
  <si>
    <t>Necessidade de substituição do aquecedor elétrico</t>
  </si>
  <si>
    <t>Execução de troca de aquecedor elétrico de passagem, 110v/220v.
Está incluso: troca do chuveiro por modelo igual ou similar, conector de cerâmica tripolar, teste de funcionamento e limpeza do local. Referência: Aquecedor Elétrico de Ponto Versátil 3T Branco Lorenzetti 5500W.</t>
  </si>
  <si>
    <t>01.11</t>
  </si>
  <si>
    <t>01.11.01</t>
  </si>
  <si>
    <t>Troca de sifão</t>
  </si>
  <si>
    <t>padrão sanfonado</t>
  </si>
  <si>
    <t>Necessidade de substituição do sifão</t>
  </si>
  <si>
    <t>Execução de troca de sifão, padrão sanfonado, material plástico.
Está incluso: troca de peça, teste de funcionamento e limpeza do local.</t>
  </si>
  <si>
    <t>01.11.02</t>
  </si>
  <si>
    <t>duplo</t>
  </si>
  <si>
    <t>Execução de troca de sifão, padrão sanfonado, material plástico, duplo.
Está incluso: troca de peça, teste de funcionamento e limpeza do local.</t>
  </si>
  <si>
    <t>01.11.03</t>
  </si>
  <si>
    <t>padrão rígido</t>
  </si>
  <si>
    <t>Execução de troca de sifão, padrão rígido, material metálico, padrão normal.
Está incluso: troca de peça, teste de funcionamento e limpeza do local.</t>
  </si>
  <si>
    <t>01.11.04</t>
  </si>
  <si>
    <t>Execução de troca de sifão, padrão rígido, material metálico, padrão premium.
Está incluso: troca de peça, teste de funcionamento e limpeza do local.</t>
  </si>
  <si>
    <t>01.11.05</t>
  </si>
  <si>
    <t>Execução de troca de sifão, padrão rígido, material metálico, duplo, padrão premium.
Está incluso: troca de peça, teste de funcionamento e limpeza do local.</t>
  </si>
  <si>
    <t>01.11.06</t>
  </si>
  <si>
    <t>Troca de sifão e válvula para pia</t>
  </si>
  <si>
    <t>cozinha</t>
  </si>
  <si>
    <t>Execução de troca de sifão e válvula para pia, cozinha, material plástico.
Está incluso: troca de peça, teste de funcionamento e limpeza do local.</t>
  </si>
  <si>
    <t>01.11.07</t>
  </si>
  <si>
    <t>Troca de válvula para pia com escape</t>
  </si>
  <si>
    <t>Necessidade de substituição da válvula de pia</t>
  </si>
  <si>
    <t>Execução de troca de válvula para pia com escape, cozinha, material metálico.
Está incluso: troca de peça, teste de funcionamento e limpeza do local.</t>
  </si>
  <si>
    <t>01.11.08</t>
  </si>
  <si>
    <t>Troca de válvula para pia</t>
  </si>
  <si>
    <t>Execução de troca de válvula para pia, cozinha, material metálico.
Está incluso: troca de peça, teste de funcionamento e limpeza do local.</t>
  </si>
  <si>
    <t>01.11.09</t>
  </si>
  <si>
    <t>lavatório ou tanque</t>
  </si>
  <si>
    <t>Execução de troca de válvula para pia, lavatório ou tanque, material plástico.
Está incluso: troca de peça, teste de funcionamento e limpeza do local.</t>
  </si>
  <si>
    <t>01.11.10</t>
  </si>
  <si>
    <t>Execução de troca de válvula para pia, lavatório ou tanque, material metálico.
Está incluso: troca de peça, teste de funcionamento e limpeza do local.</t>
  </si>
  <si>
    <t>01.11.11</t>
  </si>
  <si>
    <t>Troca de engate flexível para pia e lavatório</t>
  </si>
  <si>
    <t>Execução de troca de engate flexível para pia e lavatório, material plástico.
Está incluso: troca de peça, teste de funcionamento e limpeza do local.</t>
  </si>
  <si>
    <t>01.11.12</t>
  </si>
  <si>
    <t>Execução de troca de engate flexível para pia e lavatório, material metálico.
Está incluso: troca de peça, teste de funcionamento e limpeza do local.</t>
  </si>
  <si>
    <t>01.11.13</t>
  </si>
  <si>
    <t>Reparo de vedação para pia</t>
  </si>
  <si>
    <t>Necessidade de reparo na vedação da pia</t>
  </si>
  <si>
    <t>Execução de reparo de vedação para pia.
Está incluso: aplicação de vedante, teste de funcionamento e limpeza do local.</t>
  </si>
  <si>
    <t>01.11.14</t>
  </si>
  <si>
    <t>Reparo de fixação para cuba</t>
  </si>
  <si>
    <t>com retirada, limpeza, e recolocação da cuba</t>
  </si>
  <si>
    <t>Necessidade de fixar a cuba</t>
  </si>
  <si>
    <t>Execução de reparo de fixação para cuba, com retirada, limpeza, e recolocação da cuba.
Está incluso: retirada da cuba, remoção de residuos, recolocação, fixação da cuba e limpeza do local.</t>
  </si>
  <si>
    <t>01.11.15</t>
  </si>
  <si>
    <t>Troca de coluna de lavatório</t>
  </si>
  <si>
    <t>Necessidade de substituição da coluna para lavatório</t>
  </si>
  <si>
    <t>Execução de troca de coluna de lavatório, padrão simples.
Está incluso: troca de peça e limpeza do local.</t>
  </si>
  <si>
    <t>01.11.16</t>
  </si>
  <si>
    <t>Execução de troca de coluna de lavatório, padrão normal.
Está incluso: troca de peça e limpeza do local.</t>
  </si>
  <si>
    <t>01.11.17</t>
  </si>
  <si>
    <t xml:space="preserve">padrão premium </t>
  </si>
  <si>
    <t>Execução de troca de coluna de lavatório, padrão premium .
Está incluso: troca de peça e limpeza do local.</t>
  </si>
  <si>
    <t>01.11.18</t>
  </si>
  <si>
    <t>Troca de lavatório</t>
  </si>
  <si>
    <t>apoiada em coluna</t>
  </si>
  <si>
    <t>Necessidade de substituição do lavatório</t>
  </si>
  <si>
    <t>Execução de troca de lavatório, apoiada em coluna, padrão simples.
Está incluso: troca de peça e limpeza do local.</t>
  </si>
  <si>
    <t>01.11.19</t>
  </si>
  <si>
    <t>Execução de troca de lavatório, apoiada em coluna, padrão normal.
Está incluso: troca de peça e limpeza do local.</t>
  </si>
  <si>
    <t>01.11.20</t>
  </si>
  <si>
    <t>Execução de troca de lavatório, apoiada em coluna, padrão premium .
Está incluso: troca de peça e limpeza do local.</t>
  </si>
  <si>
    <t>01.11.21</t>
  </si>
  <si>
    <t>Troca de parafusos para fixação do lavatório</t>
  </si>
  <si>
    <t>Necessidade de reparo na fixação do lavatório</t>
  </si>
  <si>
    <t>Execução de troca de parafusos para fixação do lavatório.
Está incluso: troca de peça, teste de funcionamento e limpeza do local.</t>
  </si>
  <si>
    <t>01.11.22</t>
  </si>
  <si>
    <t>Troca de cuba para cozinha</t>
  </si>
  <si>
    <t>modelo para embutir</t>
  </si>
  <si>
    <t>material inox</t>
  </si>
  <si>
    <t>redonda com válvula</t>
  </si>
  <si>
    <t>diamentro 30cm e profundidade 14cm</t>
  </si>
  <si>
    <t>tramontina</t>
  </si>
  <si>
    <t>Necessidade de substituição da cuba</t>
  </si>
  <si>
    <t>Execução de troca de cuba para cozinha, modelo para embutir, material inox, redonda com válvula, diamentro 30cm e profundidade 14cm, tramontina, padrão normal.
Está incluso: retirada da cuba antiga, remoção de residuos, recolocação, fixação da cuba nova e limpeza do local.</t>
  </si>
  <si>
    <t>01.11.23</t>
  </si>
  <si>
    <t>diamentro 30cm e profundidade 16cm</t>
  </si>
  <si>
    <t>Execução de troca de cuba para cozinha, modelo para embutir, material inox, redonda com válvula, diamentro 30cm e profundidade 16cm, tramontina, padrão premium .
Está incluso: retirada da cuba antiga, remoção de residuos, recolocação, fixação da cuba nova e limpeza do local.</t>
  </si>
  <si>
    <t>01.11.24</t>
  </si>
  <si>
    <t>formato redonda com válvula</t>
  </si>
  <si>
    <t>diamentro 35cm e profundidade 14cm</t>
  </si>
  <si>
    <t>Execução de troca de cuba para cozinha, modelo para embutir, material inox, formato redonda com válvula, diamentro 35cm e profundidade 14cm, tramontina, padrão normal.
Está incluso: retirada da cuba antiga, remoção de residuos, recolocação, fixação da cuba nova e limpeza do local.</t>
  </si>
  <si>
    <t>01.11.25</t>
  </si>
  <si>
    <t>diamentro 35cm e profundidade 16cm</t>
  </si>
  <si>
    <t>Execução de troca de cuba para cozinha, modelo para embutir, material inox, formato redonda com válvula, diamentro 35cm e profundidade 16cm, tramontina, padrão premium .
Está incluso: retirada da cuba antiga, remoção de residuos, recolocação, fixação da cuba nova e limpeza do local.</t>
  </si>
  <si>
    <t>01.11.26</t>
  </si>
  <si>
    <t>diamentro 38cm e profundidade 14cm</t>
  </si>
  <si>
    <t>Execução de troca de cuba para cozinha, modelo para embutir, material inox, formato redonda com válvula, diamentro 38cm e profundidade 14cm, tramontina, padrão normal.
Está incluso: retirada da cuba antiga, remoção de residuos, recolocação, fixação da cuba nova e limpeza do local.</t>
  </si>
  <si>
    <t>01.11.27</t>
  </si>
  <si>
    <t>diamentro 38cm e profundidade 16cm</t>
  </si>
  <si>
    <t>Execução de troca de cuba para cozinha, modelo para embutir, material inox, formato redonda com válvula, diamentro 38cm e profundidade 16cm, tramontina, padrão premium .
Está incluso: retirada da cuba antiga, remoção de residuos, recolocação, fixação da cuba nova e limpeza do local.</t>
  </si>
  <si>
    <t>01.11.28</t>
  </si>
  <si>
    <t>formato retangular com válvula</t>
  </si>
  <si>
    <t>comprimento 40cm e profundidade 14cm</t>
  </si>
  <si>
    <t>Execução de troca de cuba para cozinha, modelo para embutir, material inox, formato retangular com válvula, comprimento 40cm e profundidade 14cm, tramontina, padrão normal.
Está incluso: retirada da cuba antiga, remoção de residuos, recolocação, fixação da cuba nova e limpeza do local.</t>
  </si>
  <si>
    <t>01.11.29</t>
  </si>
  <si>
    <t>comprimento 40cm e profundidade 17cm</t>
  </si>
  <si>
    <t>Execução de troca de cuba para cozinha, modelo para embutir, material inox, formato retangular com válvula, comprimento 40cm e profundidade 17cm, tramontina, padrão premium .
Está incluso: retirada da cuba antiga, remoção de residuos, recolocação, fixação da cuba nova e limpeza do local.</t>
  </si>
  <si>
    <t>01.11.30</t>
  </si>
  <si>
    <t>comprimento 47cm e profundidade 14cm</t>
  </si>
  <si>
    <t>Execução de troca de cuba para cozinha, modelo para embutir, material inox, formato retangular com válvula, comprimento 47cm e profundidade 14cm, tramontina, padrão normal.
Está incluso: retirada da cuba antiga, remoção de residuos, recolocação, fixação da cuba nova e limpeza do local.</t>
  </si>
  <si>
    <t>01.11.31</t>
  </si>
  <si>
    <t>Execução de troca de cuba para cozinha, modelo para embutir, material inox, formato retangular com válvula, comprimento 47cm e profundidade 14cm, tramontina, padrão premium .
Está incluso: retirada da cuba antiga, remoção de residuos, recolocação, fixação da cuba nova e limpeza do local.</t>
  </si>
  <si>
    <t>01.11.32</t>
  </si>
  <si>
    <t>comprimento 47cm e profundidade 17cm</t>
  </si>
  <si>
    <t>Execução de troca de cuba para cozinha, modelo para embutir, material inox, formato retangular com válvula, comprimento 47cm e profundidade 17cm, tramontina, padrão normal.
Está incluso: retirada da cuba antiga, remoção de residuos, recolocação, fixação da cuba nova e limpeza do local.</t>
  </si>
  <si>
    <t>01.11.33</t>
  </si>
  <si>
    <t>Execução de troca de cuba para cozinha, modelo para embutir, material inox, formato retangular com válvula, comprimento 47cm e profundidade 17cm, tramontina, padrão premium .
Está incluso: retirada da cuba antiga, remoção de residuos, recolocação, fixação da cuba nova e limpeza do local.</t>
  </si>
  <si>
    <t>01.11.34</t>
  </si>
  <si>
    <t>comprimento 56cm e profundidade 17cm</t>
  </si>
  <si>
    <t>Execução de troca de cuba para cozinha, modelo para embutir, material inox, formato retangular com válvula, comprimento 56cm e profundidade 17cm, tramontina, padrão normal.
Está incluso: retirada da cuba antiga, remoção de residuos, recolocação, fixação da cuba nova e limpeza do local.</t>
  </si>
  <si>
    <t>01.11.35</t>
  </si>
  <si>
    <t>Execução de troca de cuba para cozinha, modelo para embutir, material inox, formato retangular com válvula, comprimento 56cm e profundidade 17cm, tramontina, padrão premium .
Está incluso: retirada da cuba antiga, remoção de residuos, recolocação, fixação da cuba nova e limpeza do local.</t>
  </si>
  <si>
    <t>01.11.36</t>
  </si>
  <si>
    <t>Troca de cuba para banheiro</t>
  </si>
  <si>
    <t>modelo para sobrepor</t>
  </si>
  <si>
    <t>material cerâmico</t>
  </si>
  <si>
    <t>formato retangular</t>
  </si>
  <si>
    <t>Execução de troca de cuba para banheiro, modelo para sobrepor, material cerâmico, formato retangular, padrão simples.
Está incluso: retirada da cuba antiga, remoção de residuos, recolocação, fixação da cuba nova e limpeza do local.</t>
  </si>
  <si>
    <t>01.11.37</t>
  </si>
  <si>
    <t>Execução de troca de cuba para banheiro, modelo para sobrepor, material cerâmico, formato retangular, padrão normal.
Está incluso: retirada da cuba antiga, remoção de residuos, recolocação, fixação da cuba nova e limpeza do local.</t>
  </si>
  <si>
    <t>01.11.38</t>
  </si>
  <si>
    <t>Execução de troca de cuba para banheiro, modelo para sobrepor, material cerâmico, formato retangular, padrão premium .
Está incluso: retirada da cuba antiga, remoção de residuos, recolocação, fixação da cuba nova e limpeza do local.</t>
  </si>
  <si>
    <t>01.11.39</t>
  </si>
  <si>
    <t>modelo semi-encaixe</t>
  </si>
  <si>
    <t>Execução de troca de cuba para banheiro, modelo semi-encaixe, material cerâmico, formato retangular, padrão simples.
Está incluso: retirada da cuba antiga, remoção de residuos, recolocação, fixação da cuba nova e limpeza do local.</t>
  </si>
  <si>
    <t>01.11.40</t>
  </si>
  <si>
    <t>Execução de troca de cuba para banheiro, modelo semi-encaixe, material cerâmico, formato retangular, padrão normal.
Está incluso: retirada da cuba antiga, remoção de residuos, recolocação, fixação da cuba nova e limpeza do local.</t>
  </si>
  <si>
    <t>01.11.41</t>
  </si>
  <si>
    <t>Execução de troca de cuba para banheiro, modelo semi-encaixe, material cerâmico, formato retangular, padrão premium .
Está incluso: retirada da cuba antiga, remoção de residuos, recolocação, fixação da cuba nova e limpeza do local.</t>
  </si>
  <si>
    <t>01.11.42</t>
  </si>
  <si>
    <t>formato oval</t>
  </si>
  <si>
    <t>Execução de troca de cuba para banheiro, modelo para embutir, material cerâmico, formato oval, formato oval, padrão simples.
Está incluso: retirada da cuba antiga, remoção de residuos, recolocação, fixação da cuba nova e limpeza do local.</t>
  </si>
  <si>
    <t>01.11.43</t>
  </si>
  <si>
    <t>Execução de troca de cuba para banheiro, modelo para embutir, material cerâmico, formato oval, formato oval, padrão normal.
Está incluso: retirada da cuba antiga, remoção de residuos, recolocação, fixação da cuba nova e limpeza do local.</t>
  </si>
  <si>
    <t>01.11.44</t>
  </si>
  <si>
    <t>Execução de troca de cuba para banheiro, modelo para embutir, material cerâmico, formato oval, formato oval, padrão premium .
Está incluso: retirada da cuba antiga, remoção de residuos, recolocação, fixação da cuba nova e limpeza do local.</t>
  </si>
  <si>
    <t>01.11.45</t>
  </si>
  <si>
    <t>Troca de tampo de pia</t>
  </si>
  <si>
    <t>material resina</t>
  </si>
  <si>
    <t>medida 100 x 60</t>
  </si>
  <si>
    <t>com cuba em resina e sem válvula</t>
  </si>
  <si>
    <t>Necessidade de substituição do tampo</t>
  </si>
  <si>
    <t>Execução de troca de tampo de pia, material resina, medida 100 x 60, com cuba em resina e sem válvula.
Está incluso: retirada do tampo antigo, remoção de residuos, recolocação, fixação do tampo novo e limpeza do local.</t>
  </si>
  <si>
    <t>01.11.46</t>
  </si>
  <si>
    <t>medida 120 x 60</t>
  </si>
  <si>
    <t>Execução de troca de tampo de pia, material resina, medida 120 x 60, com cuba em resina e sem válvula.
Está incluso: retirada do tampo antigo, remoção de residuos, recolocação, fixação do tampo novo e limpeza do local.</t>
  </si>
  <si>
    <t>01.11.47</t>
  </si>
  <si>
    <t>medida 150 x 60</t>
  </si>
  <si>
    <t>Execução de troca de tampo de pia, material resina, medida 150 x 60, com cuba em resina e sem válvula.
Está incluso: retirada do tampo antigo, remoção de residuos, recolocação, fixação do tampo novo e limpeza do local.</t>
  </si>
  <si>
    <t>01.11.48</t>
  </si>
  <si>
    <t>com cuba metálica e sem válvula</t>
  </si>
  <si>
    <t>Execução de troca de tampo de pia, material resina, medida 120 x 60, com cuba metálica e sem válvula.
Está incluso: retirada do tampo antigo, remoção de residuos, recolocação, fixação do tampo novo e limpeza do local.</t>
  </si>
  <si>
    <t>01.11.49</t>
  </si>
  <si>
    <t>Execução de troca de tampo de pia, material resina, medida 150 x 60, com cuba metálica e sem válvula.
Está incluso: retirada do tampo antigo, remoção de residuos, recolocação, fixação do tampo novo e limpeza do local.</t>
  </si>
  <si>
    <t>01.11.50</t>
  </si>
  <si>
    <t>medida 100 x 52</t>
  </si>
  <si>
    <t>Execução de troca de tampo de pia, material inox, medida 100 x 52, com cuba metálica e sem válvula.
Está incluso: retirada do tampo antigo, remoção de residuos, recolocação, fixação do tampo novo e limpeza do local.</t>
  </si>
  <si>
    <t>01.11.51</t>
  </si>
  <si>
    <t>medida 120 x 52</t>
  </si>
  <si>
    <t>Execução de troca de tampo de pia, material inox, medida 120 x 52, com cuba metálica e sem válvula.
Está incluso: retirada do tampo antigo, remoção de residuos, recolocação, fixação do tampo novo e limpeza do local.</t>
  </si>
  <si>
    <t>01.11.52</t>
  </si>
  <si>
    <t>medida 150 x 52</t>
  </si>
  <si>
    <t>Execução de troca de tampo de pia, material inox, medida 150 x 52, com cuba metálica e sem válvula.
Está incluso: retirada do tampo antigo, remoção de residuos, recolocação, fixação do tampo novo e limpeza do local.</t>
  </si>
  <si>
    <t>01.11.53</t>
  </si>
  <si>
    <t>medida 200 x 52</t>
  </si>
  <si>
    <t>Execução de troca de tampo de pia, material inox, medida 200 x 52, com cuba metálica e sem válvula.
Está incluso: retirada do tampo antigo, remoção de residuos, recolocação, fixação do tampo novo e limpeza do local.</t>
  </si>
  <si>
    <t>01.11.54</t>
  </si>
  <si>
    <t>material granito</t>
  </si>
  <si>
    <t>modelo são gabriel - preto</t>
  </si>
  <si>
    <t>Execução de troca de tampo de pia, material granito, modelo são gabriel - preto, medida 120 x 60, com cuba metálica e sem válvula.
Está incluso: retirada do tampo antigo, remoção de residuos, recolocação, fixação do tampo novo e limpeza do local.</t>
  </si>
  <si>
    <t>01.11.55</t>
  </si>
  <si>
    <t>Execução de troca de tampo de pia, material granito, modelo são gabriel - preto, medida 150 x 60, com cuba metálica e sem válvula.
Está incluso: retirada do tampo antigo, remoção de residuos, recolocação, fixação do tampo novo e limpeza do local.</t>
  </si>
  <si>
    <t>01.11.56</t>
  </si>
  <si>
    <t>medida 180 x 60</t>
  </si>
  <si>
    <t>Execução de troca de tampo de pia, material granito, modelo são gabriel - preto, medida 180 x 60, com cuba metálica e sem válvula.
Está incluso: retirada do tampo antigo, remoção de residuos, recolocação, fixação do tampo novo e limpeza do local.</t>
  </si>
  <si>
    <t>01.11.57</t>
  </si>
  <si>
    <t>medida 200 x 60</t>
  </si>
  <si>
    <t>Execução de troca de tampo de pia, material granito, modelo são gabriel - preto, medida 200 x 60, com cuba metálica e sem válvula.
Está incluso: retirada do tampo antigo, remoção de residuos, recolocação, fixação do tampo novo e limpeza do local.</t>
  </si>
  <si>
    <t>01.11.58</t>
  </si>
  <si>
    <t>modelo corumba - cinza</t>
  </si>
  <si>
    <t>Execução de troca de tampo de pia, material granito, modelo corumba - cinza, medida 120 x 60, com cuba metálica e sem válvula.
Está incluso: retirada do tampo antigo, remoção de residuos, recolocação, fixação do tampo novo e limpeza do local.</t>
  </si>
  <si>
    <t>01.11.59</t>
  </si>
  <si>
    <t>Execução de troca de tampo de pia, material granito, modelo corumba - cinza, medida 150 x 60, com cuba metálica e sem válvula.
Está incluso: retirada do tampo antigo, remoção de residuos, recolocação, fixação do tampo novo e limpeza do local.</t>
  </si>
  <si>
    <t>01.11.60</t>
  </si>
  <si>
    <t>Execução de troca de tampo de pia, material granito, modelo corumba - cinza, medida 180 x 60, com cuba metálica e sem válvula.
Está incluso: retirada do tampo antigo, remoção de residuos, recolocação, fixação do tampo novo e limpeza do local.</t>
  </si>
  <si>
    <t>01.11.61</t>
  </si>
  <si>
    <t>Execução de troca de tampo de pia, material granito, modelo corumba - cinza, medida 200 x 60, com cuba metálica e sem válvula.
Está incluso: retirada do tampo antigo, remoção de residuos, recolocação, fixação do tampo novo e limpeza do local.</t>
  </si>
  <si>
    <t>01.11.62</t>
  </si>
  <si>
    <t>modelo portinari - branco</t>
  </si>
  <si>
    <t>Execução de troca de tampo de pia, material granito, modelo portinari - branco, medida 120 x 60, com cuba metálica e sem válvula.
Está incluso: retirada do tampo antigo, remoção de residuos, recolocação, fixação do tampo novo e limpeza do local.</t>
  </si>
  <si>
    <t>01.11.63</t>
  </si>
  <si>
    <t>Execução de troca de tampo de pia, material granito, modelo portinari - branco, medida 150 x 60, com cuba metálica e sem válvula.
Está incluso: retirada do tampo antigo, remoção de residuos, recolocação, fixação do tampo novo e limpeza do local.</t>
  </si>
  <si>
    <t>01.11.64</t>
  </si>
  <si>
    <t>Execução de troca de tampo de pia, material granito, modelo portinari - branco, medida 180 x 60, com cuba metálica e sem válvula.
Está incluso: retirada do tampo antigo, remoção de residuos, recolocação, fixação do tampo novo e limpeza do local.</t>
  </si>
  <si>
    <t>01.11.65</t>
  </si>
  <si>
    <t>Execução de troca de tampo de pia, material granito, modelo portinari - branco, medida 200 x 60, com cuba metálica e sem válvula.
Está incluso: retirada do tampo antigo, remoção de residuos, recolocação, fixação do tampo novo e limpeza do local.</t>
  </si>
  <si>
    <t>01.11.66</t>
  </si>
  <si>
    <t>modelo ubatuba - verde</t>
  </si>
  <si>
    <t>Execução de troca de tampo de pia, material granito, modelo ubatuba - verde, medida 120 x 60, com cuba metálica e sem válvula.
Está incluso: retirada do tampo antigo, remoção de residuos, recolocação, fixação do tampo novo e limpeza do local.</t>
  </si>
  <si>
    <t>01.11.67</t>
  </si>
  <si>
    <t>Execução de troca de tampo de pia, material granito, modelo ubatuba - verde, medida 150 x 60, com cuba metálica e sem válvula.
Está incluso: retirada do tampo antigo, remoção de residuos, recolocação, fixação do tampo novo e limpeza do local.</t>
  </si>
  <si>
    <t>01.11.68</t>
  </si>
  <si>
    <t>Execução de troca de tampo de pia, material granito, modelo ubatuba - verde, medida 180 x 60, com cuba metálica e sem válvula.
Está incluso: retirada do tampo antigo, remoção de residuos, recolocação, fixação do tampo novo e limpeza do local.</t>
  </si>
  <si>
    <t>01.11.69</t>
  </si>
  <si>
    <t>Execução de troca de tampo de pia, material granito, modelo ubatuba - verde, medida 200 x 60, com cuba metálica e sem válvula.
Está incluso: retirada do tampo antigo, remoção de residuos, recolocação, fixação do tampo novo e limpeza do local.</t>
  </si>
  <si>
    <t>01.11.70</t>
  </si>
  <si>
    <t>Troca de mão francesa</t>
  </si>
  <si>
    <t>par</t>
  </si>
  <si>
    <t>Necessidade de substituição da mão francesa</t>
  </si>
  <si>
    <t>Execução de troca de mão francesa, material metálico.
Está incluso: troca de peça, teste de funcionamento e limpeza do local.</t>
  </si>
  <si>
    <t>01.11.71</t>
  </si>
  <si>
    <t>Troca de tanque</t>
  </si>
  <si>
    <t>Necessidade de substituição do tanque</t>
  </si>
  <si>
    <t>Execução de troca de tanque, material plástico.
Está incluso: troca de peça e limpeza do local.</t>
  </si>
  <si>
    <t>01.11.72</t>
  </si>
  <si>
    <t>mármore sintético</t>
  </si>
  <si>
    <t>Execução de troca de tanque, mármore sintético.
Está incluso: troca de peça e limpeza do local.</t>
  </si>
  <si>
    <t>01.11.73</t>
  </si>
  <si>
    <t>Execução de troca de tanque, material inox.
Está incluso: troca de peça e limpeza do local.</t>
  </si>
  <si>
    <t>01.11.74</t>
  </si>
  <si>
    <t>Troca de gabinete para cozinha</t>
  </si>
  <si>
    <t>material madeira aglomerada</t>
  </si>
  <si>
    <t>comprimento 1.20m</t>
  </si>
  <si>
    <t>Necessidade de substituição do gabinete</t>
  </si>
  <si>
    <t>Execução de troca de gabinete para cozinha, material madeira aglomerada, comprimento 1.20m, padrão simples.
Está incluso: troca de peça e limpeza do local.</t>
  </si>
  <si>
    <t>01.11.75</t>
  </si>
  <si>
    <t>Execução de troca de gabinete para cozinha, material madeira aglomerada, comprimento 1.20m, padrão normal.
Está incluso: troca de peça e limpeza do local.</t>
  </si>
  <si>
    <t>01.11.76</t>
  </si>
  <si>
    <t>Instalação de cap para fechamento de furo em lavatório</t>
  </si>
  <si>
    <t>considerar o par</t>
  </si>
  <si>
    <t>Execução de instalação de cap para fechamento de furo em lavatório, considerar o par.
Está incluso: .</t>
  </si>
  <si>
    <t>01.11.77</t>
  </si>
  <si>
    <t>Reparo em conexões hidráulicas</t>
  </si>
  <si>
    <t>apenas mão de obra</t>
  </si>
  <si>
    <t>02 pontos</t>
  </si>
  <si>
    <t>01.12</t>
  </si>
  <si>
    <t>01.12.01</t>
  </si>
  <si>
    <t>Reparo em encanamento</t>
  </si>
  <si>
    <t>Execução de reparo em encanamento.
Está incluso: .</t>
  </si>
  <si>
    <t>01.12.02</t>
  </si>
  <si>
    <t>Troca de banheira/hidro</t>
  </si>
  <si>
    <t>Execução de troca de banheira/hidro.
Está incluso: .</t>
  </si>
  <si>
    <t>01.12.03</t>
  </si>
  <si>
    <t>Reparo de motor</t>
  </si>
  <si>
    <t>Execução de reparo de motor.
Está incluso: .</t>
  </si>
  <si>
    <t>01.12.04</t>
  </si>
  <si>
    <t>Reparo de banheira/hidro</t>
  </si>
  <si>
    <t>Execução de reparo de banheira/hidro.
Está incluso: .</t>
  </si>
  <si>
    <t>01.13</t>
  </si>
  <si>
    <t>01.13.01</t>
  </si>
  <si>
    <t>Construção de fossa, sumidouro e caixa de brita</t>
  </si>
  <si>
    <t>fossas</t>
  </si>
  <si>
    <t>até 10 m de tubulação</t>
  </si>
  <si>
    <t>Necessidade de construção de fossa</t>
  </si>
  <si>
    <t>Execução de construção de fossa, sumidouro e caixa de brita, fossas, até 10 m de tubulação.
Está incluso: construção e limpeza do local.</t>
  </si>
  <si>
    <t>01.13.02</t>
  </si>
  <si>
    <t>Isolamento de fossa e conexão com a rede pública</t>
  </si>
  <si>
    <t>sem acabamento</t>
  </si>
  <si>
    <t>Necessidade de isolamento da fossa</t>
  </si>
  <si>
    <t>Execução de isolamento de fossa e conexão com a rede pública, fossas, sem acabamento.
Está incluso: abertura de acesso ao local, execução do isolamento necessário, fechamento e limpeza do local..</t>
  </si>
  <si>
    <t>01.13.03</t>
  </si>
  <si>
    <t xml:space="preserve">Troca de tampa </t>
  </si>
  <si>
    <t>Necessidade de troca da tampa da fossa</t>
  </si>
  <si>
    <t>Execução de troca de tampa , fossas.
Está incluso: abertura de acesso ao local, retirada e descarte da tampa antiga, intalação da tampa nova com isolamento, fechamento e limpeza do local.</t>
  </si>
  <si>
    <t>01.14</t>
  </si>
  <si>
    <t>01.14.01</t>
  </si>
  <si>
    <t xml:space="preserve">Desentupimento de rede de esgoto </t>
  </si>
  <si>
    <t>com roto-rooter</t>
  </si>
  <si>
    <t>entre caixa de gordura e caixa de passagem</t>
  </si>
  <si>
    <t>Rede de esgoto entupida</t>
  </si>
  <si>
    <t>Execução de desentupimento de rede de esgoto , com roto-rooter, entre caixa de gordura e caixa de passagem.
Está incluso: abertura e fechamento de caixas com a vedação necessária, e limpeza do local.</t>
  </si>
  <si>
    <t>01.14.02</t>
  </si>
  <si>
    <t>Desentupimento de rede de esgoto e caixa de gordura</t>
  </si>
  <si>
    <t>entre a rede interna e a rede da rua</t>
  </si>
  <si>
    <t>Execução de desentupimento de rede de esgoto e caixa de gordura, com roto-rooter, entre a rede interna e a rede da rua.
Está incluso: abertura e fechamento de caixas com a vedação necessária, e limpeza do local.</t>
  </si>
  <si>
    <t>01.14.03</t>
  </si>
  <si>
    <t xml:space="preserve">Desentupimento  de rede de esgoto e caixa de gordura </t>
  </si>
  <si>
    <t>com desentupidor rotativo manual</t>
  </si>
  <si>
    <t>Execução de desentupimento  de rede de esgoto e caixa de gordura , com desentupidor rotativo manual.
Está incluso: abertura e fechamento de caixas com a vedação necessária, e limpeza do local.</t>
  </si>
  <si>
    <t>01.14.04</t>
  </si>
  <si>
    <t>Desentupimento de vaso sanitário</t>
  </si>
  <si>
    <t>com co2</t>
  </si>
  <si>
    <t>Execução de desentupimento de vaso sanitário, com co2.
Está incluso: utilização de co2 comprimido, injetado no vaso para proporcionar desobstrução e limpeza do local.</t>
  </si>
  <si>
    <t>01.14.05</t>
  </si>
  <si>
    <t>entre o ponto e a caixa de passagem</t>
  </si>
  <si>
    <t>Execução de desentupimento de vaso sanitário, com desentupidor rotativo manual, entre o ponto e a caixa de passagem.
Está incluso: retirada e recolocação do vaso sanitário, com a substituição do anel de vedação e limpeza do local.</t>
  </si>
  <si>
    <t>01.14.06</t>
  </si>
  <si>
    <t>Execução de desentupimento de vaso sanitário, com roto-rooter, entre o ponto e a caixa de passagem.
Está incluso: retirada e recolocação do vaso sanitário, com a substituição do anel de vedação e limpeza do local.</t>
  </si>
  <si>
    <t>01.14.07</t>
  </si>
  <si>
    <t>Desentupimento do sifão</t>
  </si>
  <si>
    <t>com desobstrução manual do ponto</t>
  </si>
  <si>
    <t>Execução de desentupimento do sifão, com desobstrução manual do ponto.
Está incluso: limpeza do local.</t>
  </si>
  <si>
    <t>01.14.08</t>
  </si>
  <si>
    <t>entre o ponto e a caixa de gordura</t>
  </si>
  <si>
    <t>Execução de desentupimento do sifão, com desentupidor rotativo manual, entre o ponto e a caixa de gordura.
Está incluso: limpeza do local.</t>
  </si>
  <si>
    <t>01.14.09</t>
  </si>
  <si>
    <t>Desentupimento de sifão</t>
  </si>
  <si>
    <t>Execução de desentupimento de sifão, com roto-rooter, entre o ponto e a caixa de gordura.
Está incluso: limpeza do local.</t>
  </si>
  <si>
    <t>01.14.10</t>
  </si>
  <si>
    <t>Desentupimento de ralo</t>
  </si>
  <si>
    <t>Execução de desentupimento de ralo, com desobstrução manual do ponto.
Está incluso: limpeza do local.</t>
  </si>
  <si>
    <t>01.14.11</t>
  </si>
  <si>
    <t>Execução de desentupimento de ralo, com desentupidor rotativo manual, entre o ponto e a caixa de passagem.
Está incluso: limpeza do local.</t>
  </si>
  <si>
    <t>01.14.12</t>
  </si>
  <si>
    <t>Execução de desentupimento de ralo, com roto-rooter, entre o ponto e a caixa de passagem.
Está incluso: limpeza do local.</t>
  </si>
  <si>
    <t>01.14.13</t>
  </si>
  <si>
    <t>Desentupimento de ralo de banheira e hidro</t>
  </si>
  <si>
    <t>manualmente</t>
  </si>
  <si>
    <t>Execução de desentupimento de ralo de banheira e hidro, manualmente, entre o ponto e a caixa de passagem.
Está incluso: limpeza do local.</t>
  </si>
  <si>
    <t>01.15</t>
  </si>
  <si>
    <t>01.15.01</t>
  </si>
  <si>
    <t>Troca de grelha</t>
  </si>
  <si>
    <t>Necessidade de substituição da grelha</t>
  </si>
  <si>
    <t>Execução de troca de grelha, interna, material plástico.
Está incluso: troca de peça e limpeza do local.</t>
  </si>
  <si>
    <t>01.15.02</t>
  </si>
  <si>
    <t>Execução de troca de grelha, interna, material inox.
Está incluso: troca de peça e limpeza do local.</t>
  </si>
  <si>
    <t>01.15.03</t>
  </si>
  <si>
    <t>material ferro</t>
  </si>
  <si>
    <t>quadrada</t>
  </si>
  <si>
    <t>Execução de troca de grelha, externa, material ferro, quadrada.
Está incluso: troca de peça e limpeza do local.</t>
  </si>
  <si>
    <t>01.15.04</t>
  </si>
  <si>
    <t>linear</t>
  </si>
  <si>
    <t>peça de 50cm</t>
  </si>
  <si>
    <t>Execução de troca de grelha, externa, material ferro, linear, peça de 50cm.
Está incluso: troca de peça e limpeza do local.</t>
  </si>
  <si>
    <t>01.16</t>
  </si>
  <si>
    <t>01.16.01</t>
  </si>
  <si>
    <t>Caça vazamento hidráulico</t>
  </si>
  <si>
    <t>em casa</t>
  </si>
  <si>
    <t>ambiente indefinido</t>
  </si>
  <si>
    <t>Vazamento oculto</t>
  </si>
  <si>
    <t>Execução de caça vazamento hidráulico, em casa, ambiente indefinido.
Está incluso: execução de testes com geofone ou outras técnicas para localização da origem do vazamento. Fornecimento do laudo técnico que comprove a existência do vazamento oculto.
Após a localização, será emitido um orçamento complementar para a resolução do problema.</t>
  </si>
  <si>
    <t>01.16.02</t>
  </si>
  <si>
    <t>em apartamento</t>
  </si>
  <si>
    <t>Execução de caça vazamento hidráulico, em apartamento, ambiente indefinido.
Está incluso: execução de testes com geofone ou outras técnicas para localização da origem do vazamento. Fornecimento do laudo técnico que comprove a existência do vazamento oculto.
Após a localização, será emitido um orçamento complementar para a resolução do problema.</t>
  </si>
  <si>
    <t>01.16.03</t>
  </si>
  <si>
    <t>em empresa</t>
  </si>
  <si>
    <t>Execução de caça vazamento hidráulico, em empresa, ambiente indefinido.
Está incluso: execução de testes com geofone ou outras técnicas para localização da origem do vazamento. Fornecimento do laudo técnico que comprove a existência do vazamento oculto.
Após a localização, será emitido um orçamento complementar para a resolução do problema.</t>
  </si>
  <si>
    <t>01.17</t>
  </si>
  <si>
    <t>01.17.01</t>
  </si>
  <si>
    <t>Troca de porta papel higênico</t>
  </si>
  <si>
    <t>parafusado</t>
  </si>
  <si>
    <t>Necessidade de substituição de porta papel</t>
  </si>
  <si>
    <t>Execução de troca de porta papel higênico, parafusado, material metálico.
Está incluso: troca de peça e limpeza do local.</t>
  </si>
  <si>
    <t>01.17.03</t>
  </si>
  <si>
    <t>Troca de porta-shapoo</t>
  </si>
  <si>
    <t>Necessidade de substituição de porta-shampoo</t>
  </si>
  <si>
    <t>Execução de troca de porta-shapoo, parafusado, material metálico.
Está incluso: troca de peça e limpeza do local.</t>
  </si>
  <si>
    <t>01.17.04</t>
  </si>
  <si>
    <t>Troca de porta toalhas</t>
  </si>
  <si>
    <t>Necessidade de substituição de porta toalhas</t>
  </si>
  <si>
    <t>Execução de troca de porta toalhas, parafusado, material metálico.
Está incluso: troca de peça e limpeza do local.</t>
  </si>
  <si>
    <t>01.17.05</t>
  </si>
  <si>
    <t>Troca de saboneteira</t>
  </si>
  <si>
    <t>Necessidade de substituição de saboneteira</t>
  </si>
  <si>
    <t>Execução de troca de saboneteira, parafusado, material metálico.
Está incluso: troca de peça e limpeza do local.</t>
  </si>
  <si>
    <t>01.18</t>
  </si>
  <si>
    <t>01.18.01</t>
  </si>
  <si>
    <t>Troca do regulador de gás</t>
  </si>
  <si>
    <t>p-13</t>
  </si>
  <si>
    <t>com mangueira</t>
  </si>
  <si>
    <t>Necessidade de substituição do regulador de gás e mangueira</t>
  </si>
  <si>
    <t>Execução de troca do regulador de gás, p-13, com mangueira.
Está incluso: troca do regulador, teste de funcionamento e limpeza do local.</t>
  </si>
  <si>
    <t>01.18.02</t>
  </si>
  <si>
    <t>p-45</t>
  </si>
  <si>
    <t>Necessidade de substituição do regulador de gás</t>
  </si>
  <si>
    <t>Execução de troca do regulador de gás, p-45.
Está incluso: troca do regulador, teste de funcionamento e limpeza do local.</t>
  </si>
  <si>
    <t>01.18.03</t>
  </si>
  <si>
    <t>Troca da mangueira de gás completa</t>
  </si>
  <si>
    <t>até 1.00m</t>
  </si>
  <si>
    <t>Necessidade de substituição da mangueira de gás</t>
  </si>
  <si>
    <t>Execução de troca da mangueira de gás completa, material metálico, até 1.00m.
Está incluso: troca da mangueira, teste de funcionamento e limpeza do local.</t>
  </si>
  <si>
    <t>01.18.04</t>
  </si>
  <si>
    <t>até 3.00m</t>
  </si>
  <si>
    <t>Execução de troca da mangueira de gás completa, material metálico, até 3.00m.
Está incluso: troca da mangueira, teste de funcionamento e limpeza do local.</t>
  </si>
  <si>
    <t>01.18.05</t>
  </si>
  <si>
    <t>Troca do registro de gás</t>
  </si>
  <si>
    <t>esfera</t>
  </si>
  <si>
    <t>Necessidade de substituição do registro de gás</t>
  </si>
  <si>
    <t>Execução de troca do registro de gás, esfera.
Está incluso: troca do registro, teste de funcionamento e limpeza do local.</t>
  </si>
  <si>
    <t>01.18.06</t>
  </si>
  <si>
    <t>Caça vazamento de gás e teste de estanqueidade</t>
  </si>
  <si>
    <t>Execução de caça vazamento de gás e teste de estanqueidade.
Está incluso: execução de testes com equipamentos técnicos para localização da origem do vazamento.
Após a localização, será emitido um orçamento complementar para a resolução do problema..</t>
  </si>
  <si>
    <t>01.18.07</t>
  </si>
  <si>
    <t>Troca de medidor de gás digital</t>
  </si>
  <si>
    <t>glp ou gn</t>
  </si>
  <si>
    <t>residencial</t>
  </si>
  <si>
    <t>conforme padrão</t>
  </si>
  <si>
    <t>Necessidade de substituição do medidor de gás</t>
  </si>
  <si>
    <t>Execução de troca de medidor de gás digital, glp ou gn, residencial, conforme padrão.
Está incluso: troca do medidor, teste de funcionamento e limpeza do local.</t>
  </si>
  <si>
    <t>01.18.08</t>
  </si>
  <si>
    <t>Troca de kit do medidor de gás digital com regulador</t>
  </si>
  <si>
    <t>Necessidade de substituição do medidor de gás com regulador</t>
  </si>
  <si>
    <t>Execução de troca de kit do medidor de gás digital com regulador, glp ou gn, residencial, conforme padrão.
Está incluso: troca do medidor com regulador, teste de funcionamento e limpeza do local.</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</si>
  <si>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</si>
  <si>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</si>
  <si>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</si>
  <si>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</si>
  <si>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02</t>
  </si>
  <si>
    <t>Elétrica</t>
  </si>
  <si>
    <t>PqCd2PVHbtM7RTNvJH6BK</t>
  </si>
  <si>
    <t>02.01</t>
  </si>
  <si>
    <t>Disjuntores</t>
  </si>
  <si>
    <t>HWk7pvN1dg59dRiF8R2tdV</t>
  </si>
  <si>
    <t>02.01.01</t>
  </si>
  <si>
    <t xml:space="preserve">Troca de disjuntor </t>
  </si>
  <si>
    <t>monopolar</t>
  </si>
  <si>
    <t>din</t>
  </si>
  <si>
    <t>Necessidade de substituição do disjuntor</t>
  </si>
  <si>
    <t>Execução de troca de disjuntor , monopolar, din.
Está incluso: Substituição de disjuntor, teste de funcionamento e limpeza do local.</t>
  </si>
  <si>
    <t>Substituição de disjuntor, teste de funcionamento e limpeza do local</t>
  </si>
  <si>
    <t>troca de disjuntor , monopolar, din</t>
  </si>
  <si>
    <t>https://www.leroymerlin.com.br/disjuntores/tipo-de-disjuntor/Din?filter[tipos-de-polos]=Monopolar&amp;order=melhor-preco&amp;filter[marca]=Schneider</t>
  </si>
  <si>
    <t>BqprwjAvu98U7Hr5d9tKF</t>
  </si>
  <si>
    <t>Troca de disjuntor , monopolar, din</t>
  </si>
  <si>
    <t>02.01.02</t>
  </si>
  <si>
    <t>bipolar</t>
  </si>
  <si>
    <t>até 63a</t>
  </si>
  <si>
    <t>Execução de troca de disjuntor , bipolar, din, até 63a.
Está incluso: Substituição de disjuntor, teste de funcionamento e limpeza do local.</t>
  </si>
  <si>
    <t>troca de disjuntor , bipolar, din, até 63a</t>
  </si>
  <si>
    <t>https://www.leroymerlin.com.br/disjuntores/tipo-de-disjuntor/Din?filter[tipos-de-polos]=Bipolar&amp;order=menor-preco&amp;filter[marca]=Schneider</t>
  </si>
  <si>
    <t>BVGgQnDpsSwAcqahDMHQ7m</t>
  </si>
  <si>
    <t>Troca de disjuntor , bipolar, din, até 63a</t>
  </si>
  <si>
    <t>02.01.03</t>
  </si>
  <si>
    <t>a partir de 63a</t>
  </si>
  <si>
    <t>Execução de troca de disjuntor , bipolar, din, a partir de 63a.
Está incluso: Substituição de disjuntor, teste de funcionamento e limpeza do local.</t>
  </si>
  <si>
    <t>troca de disjuntor , bipolar, din, a partir de 63a</t>
  </si>
  <si>
    <t>KWTG4uM6zP3PfcYxLjFTcn</t>
  </si>
  <si>
    <t>Troca de disjuntor , bipolar, din, a partir de 63a</t>
  </si>
  <si>
    <t>02.01.04</t>
  </si>
  <si>
    <t>tripolar</t>
  </si>
  <si>
    <t>Execução de troca de disjuntor , tripolar, din, até 63a.
Está incluso: Substituição de disjuntor, teste de funcionamento e limpeza do local.</t>
  </si>
  <si>
    <t>troca de disjuntor , tripolar, din, até 63a</t>
  </si>
  <si>
    <t>https://www.leroymerlin.com.br/disjuntores/tipo-de-disjuntor/Din?order=menor-preco&amp;filter[marca]=Schneider&amp;filter[tipos-de-polos]=Tripolar</t>
  </si>
  <si>
    <t>QgyGc3jLqZXeSZcUqxG5FA</t>
  </si>
  <si>
    <t>Troca de disjuntor , tripolar, din, até 63a</t>
  </si>
  <si>
    <t>02.01.05</t>
  </si>
  <si>
    <t>Execução de troca de disjuntor , tripolar, din, a partir de 63a.
Está incluso: Substituição de disjuntor, teste de funcionamento e limpeza do local.</t>
  </si>
  <si>
    <t>troca de disjuntor , tripolar, din, a partir de 63a</t>
  </si>
  <si>
    <t>SpND49aFzkC1AXCqjynpin</t>
  </si>
  <si>
    <t>Troca de disjuntor , tripolar, din, a partir de 63a</t>
  </si>
  <si>
    <t>02.01.06</t>
  </si>
  <si>
    <t>Troca de disjuntores tipo dr</t>
  </si>
  <si>
    <t>Execução de troca de disjuntores tipo dr, bipolar, din, até 63a.
Está incluso: Substituição de disjuntor, teste de funcionamento e limpeza do local.</t>
  </si>
  <si>
    <t>troca de disjuntores tipo dr, bipolar, din, até 63a</t>
  </si>
  <si>
    <t>https://www.leroymerlin.com.br/disjuntor-dr-bipolar-63a-300ma-steck_88508035</t>
  </si>
  <si>
    <t>Troca de disjuntores tipo dr, bipolar, din, até 63a</t>
  </si>
  <si>
    <t>02.01.07</t>
  </si>
  <si>
    <t>tetrapolar</t>
  </si>
  <si>
    <t>Execução de troca de disjuntores tipo dr, tetrapolar, din, até 63a.
Está incluso: Substituição de disjuntor, teste de funcionamento e limpeza do local.</t>
  </si>
  <si>
    <t>troca de disjuntores tipo dr, tetrapolar, din, até 63a</t>
  </si>
  <si>
    <t>https://www.leroymerlin.com.br/disjuntor-dr-tetrapolar-63a-30ma-steck_88508091</t>
  </si>
  <si>
    <t>Troca de disjuntores tipo dr, tetrapolar, din, até 63a</t>
  </si>
  <si>
    <t>02.01.08</t>
  </si>
  <si>
    <t>Execução de troca de disjuntores tipo dr, tetrapolar, din, a partir de 63a.
Está incluso: Substituição de disjuntor, teste de funcionamento e limpeza do local.</t>
  </si>
  <si>
    <t>troca de disjuntores tipo dr, tetrapolar, din, a partir de 63a</t>
  </si>
  <si>
    <t>https://www.leroymerlin.com.br/disjuntor-dr-tetrapolar-400v-80a-30ma-steck_89685274</t>
  </si>
  <si>
    <t>Troca de disjuntores tipo dr, tetrapolar, din, a partir de 63a</t>
  </si>
  <si>
    <t>02.01.09</t>
  </si>
  <si>
    <t>Readequação do quadro de disjuntores</t>
  </si>
  <si>
    <t>até 05 dijuntores</t>
  </si>
  <si>
    <t>Necessidade de readequação do quadro elétrico</t>
  </si>
  <si>
    <t>Execução de readequação do quadro de disjuntores, residencial, monopolar, din, até 05 dijuntores.
Está incluso: Substituição de disjuntores, correção em conexões, organização de cabos, teste de funcionamento e limpeza do local.</t>
  </si>
  <si>
    <t>Substituição de disjuntores, correção em conexões, organização de cabos, teste de funcionamento e limpeza do local</t>
  </si>
  <si>
    <t>readequação do quadro de disjuntores, residencial, monopolar, din, até 05 dijuntores</t>
  </si>
  <si>
    <t>Ar1KJ8yvMw7wtMQ6DCb1NX</t>
  </si>
  <si>
    <t>Readequação do quadro de disjuntores, residencial, monopolar, din, até 05 dijuntores</t>
  </si>
  <si>
    <t>02.01.10</t>
  </si>
  <si>
    <t>Execução de readequação do quadro de disjuntores, residencial, bipolar, din, até 05 dijuntores.
Está incluso: Substituição de disjuntores, correção em conexões, organização de cabos, teste de funcionamento e limpeza do local.</t>
  </si>
  <si>
    <t>readequação do quadro de disjuntores, residencial, bipolar, din, até 05 dijuntores</t>
  </si>
  <si>
    <t>XzDLkhJCPYXpHagGSh8oUi</t>
  </si>
  <si>
    <t>Readequação do quadro de disjuntores, residencial, bipolar, din, até 05 dijuntores</t>
  </si>
  <si>
    <t>02.01.11</t>
  </si>
  <si>
    <t>Execução de readequação do quadro de disjuntores, residencial, tripolar, din, até 05 dijuntores.
Está incluso: Substituição de disjuntores, correção em conexões, organização de cabos, teste de funcionamento e limpeza do local.</t>
  </si>
  <si>
    <t>readequação do quadro de disjuntores, residencial, tripolar, din, até 05 dijuntores</t>
  </si>
  <si>
    <t>KvwWJ8Yj9KRs4p6fcY5RCr</t>
  </si>
  <si>
    <t>Readequação do quadro de disjuntores, residencial, tripolar, din, até 05 dijuntores</t>
  </si>
  <si>
    <t>02.01.12</t>
  </si>
  <si>
    <t>Troca do quadro de disjuntores</t>
  </si>
  <si>
    <t>Execução de troca do quadro de disjuntores, padrão simples.
Está incluso: Substituição completa dos disjuntores, correção em conexões, organização de cabos, teste de funcionamento e limpeza do local.</t>
  </si>
  <si>
    <t>Substituição completa dos disjuntores, correção em conexões, organização de cabos, teste de funcionamento e limpeza do local</t>
  </si>
  <si>
    <t>troca do quadro de disjuntores, padrão simples</t>
  </si>
  <si>
    <t>W5eimGiG36462iTXLFSodS</t>
  </si>
  <si>
    <t>Troca do quadro de disjuntores, padrão simples</t>
  </si>
  <si>
    <t>02.01.13</t>
  </si>
  <si>
    <t>médio</t>
  </si>
  <si>
    <t>Execução de troca do quadro de disjuntores, médio.
Está incluso: Substituição completa dos disjuntores, correção em conexões, organização de cabos, teste de funcionamento e limpeza do local.</t>
  </si>
  <si>
    <t>troca do quadro de disjuntores, médio</t>
  </si>
  <si>
    <t>Je7mtGEi8JHytodGJ7znh9</t>
  </si>
  <si>
    <t>Troca do quadro de disjuntores, médio</t>
  </si>
  <si>
    <t>02.01.14</t>
  </si>
  <si>
    <t>Execução de troca do quadro de disjuntores, padrão premium.
Está incluso: Substituição completa dos disjuntores, correção em conexões, organização de cabos, teste de funcionamento e limpeza do local.</t>
  </si>
  <si>
    <t>troca do quadro de disjuntores, padrão premium</t>
  </si>
  <si>
    <t>T9aZo2YHhsQzdJGMy1h25S</t>
  </si>
  <si>
    <t>Troca do quadro de disjuntores, padrão premium</t>
  </si>
  <si>
    <t>02.02</t>
  </si>
  <si>
    <t>Fiação</t>
  </si>
  <si>
    <t>4ELDfaP8N4B6Ec8L9Fejd3</t>
  </si>
  <si>
    <t>02.02.01</t>
  </si>
  <si>
    <t>Troca de fiação da entrada</t>
  </si>
  <si>
    <t>padrão monopolar</t>
  </si>
  <si>
    <t>10mm</t>
  </si>
  <si>
    <t>até 10 metros</t>
  </si>
  <si>
    <t>Necessidade de readequação do circuíto elétrico</t>
  </si>
  <si>
    <t>Execução de troca de fiação da entrada, padrão monopolar, 10mm, até 10 metros.
Está incluso: Substituição da fiação, correção em conexões, teste de funcionamento e limpeza do local.</t>
  </si>
  <si>
    <t>Substituição da fiação, correção em conexões, teste de funcionamento e limpeza do local</t>
  </si>
  <si>
    <t>troca de fiação da entrada, padrão monopolar, 10mm, até 10 metros</t>
  </si>
  <si>
    <t>https://www.leroymerlin.com.br/cabo-flexível -sil-750v-10mm-preto_1571224715</t>
  </si>
  <si>
    <t>DV9qMHNZqhbJ9FpC279tZT</t>
  </si>
  <si>
    <t>Troca de fiação da entrada, padrão monopolar, 10mm, até 10 metros</t>
  </si>
  <si>
    <t>02.02.02</t>
  </si>
  <si>
    <t>até 15 metros</t>
  </si>
  <si>
    <t>Execução de troca de fiação da entrada, padrão monopolar, 10mm, até 15 metros.
Está incluso: Substituição da fiação, correção em conexões, teste de funcionamento e limpeza do local.</t>
  </si>
  <si>
    <t>troca de fiação da entrada, padrão monopolar, 10mm, até 15 metros</t>
  </si>
  <si>
    <t>Troca de fiação da entrada, padrão monopolar, 10mm, até 15 metros</t>
  </si>
  <si>
    <t>02.02.03</t>
  </si>
  <si>
    <t>até 20 metros</t>
  </si>
  <si>
    <t>Execução de troca de fiação da entrada, padrão monopolar, 10mm, até 20 metros.
Está incluso: Substituição da fiação, correção em conexões, teste de funcionamento e limpeza do local.</t>
  </si>
  <si>
    <t>troca de fiação da entrada, padrão monopolar, 10mm, até 20 metros</t>
  </si>
  <si>
    <t>Troca de fiação da entrada, padrão monopolar, 10mm, até 20 metros</t>
  </si>
  <si>
    <t>02.02.04</t>
  </si>
  <si>
    <t>padrão bipolar</t>
  </si>
  <si>
    <t>Execução de troca de fiação da entrada, padrão bipolar, 10mm, até 10 metros.
Está incluso: Substituição da fiação, correção em conexões, teste de funcionamento e limpeza do local.</t>
  </si>
  <si>
    <t>troca de fiação da entrada, padrão bipolar, 10mm, até 10 metros</t>
  </si>
  <si>
    <t>XwKqu8wxGt35NxAoH78wLu</t>
  </si>
  <si>
    <t>Troca de fiação da entrada, padrão bipolar, 10mm, até 10 metros</t>
  </si>
  <si>
    <t>02.02.05</t>
  </si>
  <si>
    <t>Execução de troca de fiação da entrada, padrão bipolar, 10mm, até 15 metros.
Está incluso: Substituição da fiação, correção em conexões, teste de funcionamento e limpeza do local.</t>
  </si>
  <si>
    <t>troca de fiação da entrada, padrão bipolar, 10mm, até 15 metros</t>
  </si>
  <si>
    <t>Troca de fiação da entrada, padrão bipolar, 10mm, até 15 metros</t>
  </si>
  <si>
    <t>02.02.06</t>
  </si>
  <si>
    <t>Execução de troca de fiação da entrada, padrão bipolar, 10mm, até 20 metros.
Está incluso: Substituição da fiação, correção em conexões, teste de funcionamento e limpeza do local.</t>
  </si>
  <si>
    <t>troca de fiação da entrada, padrão bipolar, 10mm, até 20 metros</t>
  </si>
  <si>
    <t>Troca de fiação da entrada, padrão bipolar, 10mm, até 20 metros</t>
  </si>
  <si>
    <t>02.02.07</t>
  </si>
  <si>
    <t>padrão tripolar</t>
  </si>
  <si>
    <t>Execução de troca de fiação da entrada, padrão tripolar, 10mm, até 10 metros.
Está incluso: Substituição da fiação, correção em conexões, teste de funcionamento e limpeza do local.</t>
  </si>
  <si>
    <t>troca de fiação da entrada, padrão tripolar, 10mm, até 10 metros</t>
  </si>
  <si>
    <t>4S9Lhih2N798Tf9vruqNXG</t>
  </si>
  <si>
    <t>Troca de fiação da entrada, padrão tripolar, 10mm, até 10 metros</t>
  </si>
  <si>
    <t>02.02.08</t>
  </si>
  <si>
    <t>Execução de troca de fiação da entrada, padrão tripolar, 10mm, até 15 metros.
Está incluso: Substituição da fiação, correção em conexões, teste de funcionamento e limpeza do local.</t>
  </si>
  <si>
    <t>troca de fiação da entrada, padrão tripolar, 10mm, até 15 metros</t>
  </si>
  <si>
    <t>Troca de fiação da entrada, padrão tripolar, 10mm, até 15 metros</t>
  </si>
  <si>
    <t>02.02.09</t>
  </si>
  <si>
    <t>Execução de troca de fiação da entrada, padrão tripolar, 10mm, até 20 metros.
Está incluso: Substituição da fiação, correção em conexões, teste de funcionamento e limpeza do local.</t>
  </si>
  <si>
    <t>troca de fiação da entrada, padrão tripolar, 10mm, até 20 metros</t>
  </si>
  <si>
    <t>Troca de fiação da entrada, padrão tripolar, 10mm, até 20 metros</t>
  </si>
  <si>
    <t>02.02.10</t>
  </si>
  <si>
    <t>Troca de fiação, novo circuito</t>
  </si>
  <si>
    <t>1.5mm</t>
  </si>
  <si>
    <t>fiação dupla</t>
  </si>
  <si>
    <t>iluminação</t>
  </si>
  <si>
    <t>Execução de troca de fiação, novo circuito, 1.5mm, fiação dupla, iluminação, até 10 metros.
Está incluso: Substituição da fiação, correção em conexões, teste de funcionamento e limpeza do local.</t>
  </si>
  <si>
    <t>troca de fiação, novo circuito, 1.5mm, fiação dupla, iluminação, até 10 metros</t>
  </si>
  <si>
    <t>https://www.leroymerlin.com.br/cabo-flexível -1,5mm-100metros-preto-750v-atoxsil-sil-fios_89510533</t>
  </si>
  <si>
    <t>RFzF8QpTP2rDojAqcEQooo</t>
  </si>
  <si>
    <t>Troca de fiação, novo circuito, 1.5mm, fiação dupla, iluminação, até 10 metros</t>
  </si>
  <si>
    <t>02.02.11</t>
  </si>
  <si>
    <t>Execução de troca de fiação, novo circuito, 1.5mm, fiação dupla, iluminação, até 15 metros.
Está incluso: Substituição da fiação, correção em conexões, teste de funcionamento e limpeza do local.</t>
  </si>
  <si>
    <t>troca de fiação, novo circuito, 1.5mm, fiação dupla, iluminação, até 15 metros</t>
  </si>
  <si>
    <t>Troca de fiação, novo circuito, 1.5mm, fiação dupla, iluminação, até 15 metros</t>
  </si>
  <si>
    <t>02.02.12</t>
  </si>
  <si>
    <t>Execução de troca de fiação, novo circuito, 1.5mm, fiação dupla, iluminação, até 20 metros.
Está incluso: Substituição da fiação, correção em conexões, teste de funcionamento e limpeza do local.</t>
  </si>
  <si>
    <t>troca de fiação, novo circuito, 1.5mm, fiação dupla, iluminação, até 20 metros</t>
  </si>
  <si>
    <t>QNmr9ygBhAbefNR6oYDSaY</t>
  </si>
  <si>
    <t>Troca de fiação, novo circuito, 1.5mm, fiação dupla, iluminação, até 20 metros</t>
  </si>
  <si>
    <t>02.02.13</t>
  </si>
  <si>
    <t>2.5mm</t>
  </si>
  <si>
    <t>tomadas comuns</t>
  </si>
  <si>
    <t>Execução de troca de fiação, novo circuito, 2.5mm, fiação dupla, tomadas comuns, até 10 metros.
Está incluso: Substituição da fiação, correção em conexões, teste de funcionamento e limpeza do local.</t>
  </si>
  <si>
    <t>troca de fiação, novo circuito, 2.5mm, fiação dupla, tomadas comuns, até 10 metros</t>
  </si>
  <si>
    <t>https://www.leroymerlin.com.br/cabo-flexível -2,5mm-100metros-preto-750v-atoxsil-sil-fios_89510596</t>
  </si>
  <si>
    <t>LsptokjnnbvMZm9hftY2pf</t>
  </si>
  <si>
    <t>Troca de fiação, novo circuito, 2.5mm, fiação dupla, tomadas comuns, até 10 metros</t>
  </si>
  <si>
    <t>02.02.14</t>
  </si>
  <si>
    <t>Execução de troca de fiação, novo circuito, 2.5mm, fiação dupla, tomadas comuns, até 15 metros.
Está incluso: Substituição da fiação, correção em conexões, teste de funcionamento e limpeza do local.</t>
  </si>
  <si>
    <t>troca de fiação, novo circuito, 2.5mm, fiação dupla, tomadas comuns, até 15 metros</t>
  </si>
  <si>
    <t>Troca de fiação, novo circuito, 2.5mm, fiação dupla, tomadas comuns, até 15 metros</t>
  </si>
  <si>
    <t>02.02.15</t>
  </si>
  <si>
    <t>Execução de troca de fiação, novo circuito, 2.5mm, fiação dupla, tomadas comuns, até 20 metros.
Está incluso: Substituição da fiação, correção em conexões, teste de funcionamento e limpeza do local.</t>
  </si>
  <si>
    <t>troca de fiação, novo circuito, 2.5mm, fiação dupla, tomadas comuns, até 20 metros</t>
  </si>
  <si>
    <t>WkBXhMzBCaL9fGiZfSgbts</t>
  </si>
  <si>
    <t>Troca de fiação, novo circuito, 2.5mm, fiação dupla, tomadas comuns, até 20 metros</t>
  </si>
  <si>
    <t>02.02.16</t>
  </si>
  <si>
    <t>4mm</t>
  </si>
  <si>
    <t>tomadas de uso  específico</t>
  </si>
  <si>
    <t>Execução de troca de fiação, novo circuito, 4mm, fiação dupla, tomadas de uso  específico, até 10 metros.
Está incluso: Substituição da fiação, correção em conexões, teste de funcionamento e limpeza do local.</t>
  </si>
  <si>
    <t>troca de fiação, novo circuito, 4mm, fiação dupla, tomadas de uso  específico, até 10 metros</t>
  </si>
  <si>
    <t>https://www.leroymerlin.com.br/cabo-flexível -4mm-100metros-preto-750v-atoxsil-sil-fios_89510652</t>
  </si>
  <si>
    <t>U1e9SFC9rrdchwu6Ujhc4Q</t>
  </si>
  <si>
    <t>Troca de fiação, novo circuito, 4mm, fiação dupla, tomadas de uso  específico, até 10 metros</t>
  </si>
  <si>
    <t>02.02.17</t>
  </si>
  <si>
    <t>Execução de troca de fiação, novo circuito, 4mm, fiação dupla, tomadas de uso  específico, até 15 metros.
Está incluso: Substituição da fiação, correção em conexões, teste de funcionamento e limpeza do local.</t>
  </si>
  <si>
    <t>troca de fiação, novo circuito, 4mm, fiação dupla, tomadas de uso  específico, até 15 metros</t>
  </si>
  <si>
    <t>Troca de fiação, novo circuito, 4mm, fiação dupla, tomadas de uso  específico, até 15 metros</t>
  </si>
  <si>
    <t>02.02.18</t>
  </si>
  <si>
    <t>Execução de troca de fiação, novo circuito, 4mm, fiação dupla, tomadas de uso  específico, até 20 metros.
Está incluso: Substituição da fiação, correção em conexões, teste de funcionamento e limpeza do local.</t>
  </si>
  <si>
    <t>troca de fiação, novo circuito, 4mm, fiação dupla, tomadas de uso  específico, até 20 metros</t>
  </si>
  <si>
    <t>ANUwh2cpKwbok2otCbKQ4a</t>
  </si>
  <si>
    <t>Troca de fiação, novo circuito, 4mm, fiação dupla, tomadas de uso  específico, até 20 metros</t>
  </si>
  <si>
    <t>02.02.19</t>
  </si>
  <si>
    <t>uso  específico</t>
  </si>
  <si>
    <t>Execução de troca de fiação, novo circuito, 4mm, fiação dupla, uso  específico, até 10 metros.
Está incluso: Substituição da fiação, correção em conexões, teste de funcionamento e limpeza do local.</t>
  </si>
  <si>
    <t>troca de fiação, novo circuito, 4mm, fiação dupla, uso  específico, até 10 metros</t>
  </si>
  <si>
    <t>2VmzSh5VFFehr2waKoWsZA</t>
  </si>
  <si>
    <t>Troca de fiação, novo circuito, 4mm, fiação dupla, uso  específico, até 10 metros</t>
  </si>
  <si>
    <t>02.02.20</t>
  </si>
  <si>
    <t>Execução de troca de fiação, novo circuito, 4mm, fiação dupla, uso  específico, até 15 metros.
Está incluso: Substituição da fiação, correção em conexões, teste de funcionamento e limpeza do local.</t>
  </si>
  <si>
    <t>troca de fiação, novo circuito, 4mm, fiação dupla, uso  específico, até 15 metros</t>
  </si>
  <si>
    <t>5b7UscQeayy4SwcJwWQqbK</t>
  </si>
  <si>
    <t>Troca de fiação, novo circuito, 4mm, fiação dupla, uso  específico, até 15 metros</t>
  </si>
  <si>
    <t>02.02.21</t>
  </si>
  <si>
    <t>Troca de fiação, novo circuito e disjuntor</t>
  </si>
  <si>
    <t>110v - até 3200w</t>
  </si>
  <si>
    <t>disjuntor monofásico de 32a</t>
  </si>
  <si>
    <t>Execução de troca de fiação, novo circuito e disjuntor, 4mm, fiação dupla, uso  específico, 110v - até 3200w, disjuntor monofásico de 32a, até 10 metros.
Está incluso: Substituição da fiação e disjuntor, correção em conexões, teste de funcionamento e limpeza do local.</t>
  </si>
  <si>
    <t>Substituição da fiação e disjuntor, correção em conexões, teste de funcionamento e limpeza do local</t>
  </si>
  <si>
    <t>troca de fiação, novo circuito e disjuntor, 4mm, fiação dupla, uso  específico, 110v - até 3200w, disjuntor monofásico de 32a, até 10 metros</t>
  </si>
  <si>
    <t>https://www.leroymerlin.com.br/disjuntor-din-monopolar-easy9-1p-25a-curva-c-3000a-schneider_90262550</t>
  </si>
  <si>
    <t>XX6sxMNadgMRyoEpm6haAD</t>
  </si>
  <si>
    <t>Troca de fiação, novo circuito e disjuntor, 4mm, fiação dupla, uso  específico, 110v - até 3200w, disjuntor monofásico de 32a, até 10 metros</t>
  </si>
  <si>
    <t>02.02.22</t>
  </si>
  <si>
    <t>Execução de troca de fiação, novo circuito e disjuntor, 4mm, fiação dupla, uso  específico, 110v - até 3200w, disjuntor monofásico de 32a, até 15 metros.
Está incluso: Substituição da fiação e disjuntor, correção em conexões, teste de funcionamento e limpeza do local.</t>
  </si>
  <si>
    <t>troca de fiação, novo circuito e disjuntor, 4mm, fiação dupla, uso  específico, 110v - até 3200w, disjuntor monofásico de 32a, até 15 metros</t>
  </si>
  <si>
    <t>JDk5CSGHusNRiABHfWS28P</t>
  </si>
  <si>
    <t>Troca de fiação, novo circuito e disjuntor, 4mm, fiação dupla, uso  específico, 110v - até 3200w, disjuntor monofásico de 32a, até 15 metros</t>
  </si>
  <si>
    <t>02.02.23</t>
  </si>
  <si>
    <t>220v - até 6000w</t>
  </si>
  <si>
    <t>disjuntor bifásico de 32a</t>
  </si>
  <si>
    <t>Execução de troca de fiação, novo circuito e disjuntor, 4mm, fiação dupla, uso  específico, 220v - até 6000w, disjuntor bifásico de 32a, até 10 metros.
Está incluso: Substituição da fiação e disjuntor, correção em conexões, teste de funcionamento e limpeza do local.</t>
  </si>
  <si>
    <t>troca de fiação, novo circuito e disjuntor, 4mm, fiação dupla, uso  específico, 220v - até 6000w, disjuntor bifásico de 32a, até 10 metros</t>
  </si>
  <si>
    <t>https://www.leroymerlin.com.br/disjuntor-din-bipolar-easy9-2p-32a-curva-c-3000a-schneider_90262641</t>
  </si>
  <si>
    <t>UJcgNffHNBfHfdMuk94yuE</t>
  </si>
  <si>
    <t>Troca de fiação, novo circuito e disjuntor, 4mm, fiação dupla, uso  específico, 220v - até 6000w, disjuntor bifásico de 32a, até 10 metros</t>
  </si>
  <si>
    <t>02.02.24</t>
  </si>
  <si>
    <t>Execução de troca de fiação, novo circuito e disjuntor, 4mm, fiação dupla, uso  específico, 220v - até 6000w, disjuntor bifásico de 32a, até 15 metros.
Está incluso: Substituição da fiação e disjuntor, correção em conexões, teste de funcionamento e limpeza do local.</t>
  </si>
  <si>
    <t>troca de fiação, novo circuito e disjuntor, 4mm, fiação dupla, uso  específico, 220v - até 6000w, disjuntor bifásico de 32a, até 15 metros</t>
  </si>
  <si>
    <t>JZksLQvSA4uzbH2P4rEZqH</t>
  </si>
  <si>
    <t>Troca de fiação, novo circuito e disjuntor, 4mm, fiação dupla, uso  específico, 220v - até 6000w, disjuntor bifásico de 32a, até 15 metros</t>
  </si>
  <si>
    <t>02.02.25</t>
  </si>
  <si>
    <t>6mm</t>
  </si>
  <si>
    <t>Execução de troca de fiação, novo circuito, 6mm, fiação dupla, uso  específico, até 10 metros.
Está incluso: Substituição da fiação, correção em conexões, teste de funcionamento e limpeza do local.</t>
  </si>
  <si>
    <t>troca de fiação, novo circuito, 6mm, fiação dupla, uso  específico, até 10 metros</t>
  </si>
  <si>
    <t>https://www.leroymerlin.com.br/cabo-flexível -6mm-100metros-preto-750v-atoxsil-sil-fios_89510764</t>
  </si>
  <si>
    <t>PNL3BZYVxWn4Gkxx3NEZRE</t>
  </si>
  <si>
    <t>Troca de fiação, novo circuito, 6mm, fiação dupla, uso  específico, até 10 metros</t>
  </si>
  <si>
    <t>02.02.26</t>
  </si>
  <si>
    <t>Execução de troca de fiação, novo circuito, 6mm, fiação dupla, uso  específico, até 15 metros.
Está incluso: Substituição da fiação, correção em conexões, teste de funcionamento e limpeza do local.</t>
  </si>
  <si>
    <t>troca de fiação, novo circuito, 6mm, fiação dupla, uso  específico, até 15 metros</t>
  </si>
  <si>
    <t>Troca de fiação, novo circuito, 6mm, fiação dupla, uso  específico, até 15 metros</t>
  </si>
  <si>
    <t>02.02.27</t>
  </si>
  <si>
    <t>Execução de troca de fiação, novo circuito, 6mm, fiação dupla, uso  específico, até 20 metros.
Está incluso: Substituição da fiação, correção em conexões, teste de funcionamento e limpeza do local.</t>
  </si>
  <si>
    <t>troca de fiação, novo circuito, 6mm, fiação dupla, uso  específico, até 20 metros</t>
  </si>
  <si>
    <t>L7KCTXcQVEjmHdHgtyWx97</t>
  </si>
  <si>
    <t>Troca de fiação, novo circuito, 6mm, fiação dupla, uso  específico, até 20 metros</t>
  </si>
  <si>
    <t>02.02.28</t>
  </si>
  <si>
    <t>110v - até 4700w</t>
  </si>
  <si>
    <t>disjuntor monofásico de 40a</t>
  </si>
  <si>
    <t>Execução de troca de fiação, novo circuito e disjuntor, 6mm, fiação dupla, uso  específico, 110v - até 4700w, disjuntor monofásico de 40a, até 10 metros.
Está incluso: Substituição da fiação e disjuntor, correção em conexões, teste de funcionamento e limpeza do local.</t>
  </si>
  <si>
    <t>troca de fiação, novo circuito e disjuntor, 6mm, fiação dupla, uso  específico, 110v - até 4700w, disjuntor monofásico de 40a, até 10 metros</t>
  </si>
  <si>
    <t>https://www.leroymerlin.com.br/disjuntor-din-monopolar-easy9-1p-40a-curva-c-3000a-schneider_90262571</t>
  </si>
  <si>
    <t>Srv1zJnZjHZpfMuVqSuZua</t>
  </si>
  <si>
    <t>Troca de fiação, novo circuito e disjuntor, 6mm, fiação dupla, uso  específico, 110v - até 4700w, disjuntor monofásico de 40a, até 10 metros</t>
  </si>
  <si>
    <t>02.02.29</t>
  </si>
  <si>
    <t>Execução de troca de fiação, novo circuito e disjuntor, 6mm, fiação dupla, uso  específico, 110v - até 4700w, disjuntor monofásico de 40a, até 15 metros.
Está incluso: Substituição da fiação e disjuntor, correção em conexões, teste de funcionamento e limpeza do local.</t>
  </si>
  <si>
    <t>troca de fiação, novo circuito e disjuntor, 6mm, fiação dupla, uso  específico, 110v - até 4700w, disjuntor monofásico de 40a, até 15 metros</t>
  </si>
  <si>
    <t>Troca de fiação, novo circuito e disjuntor, 6mm, fiação dupla, uso  específico, 110v - até 4700w, disjuntor monofásico de 40a, até 15 metros</t>
  </si>
  <si>
    <t>02.02.30</t>
  </si>
  <si>
    <t>Execução de troca de fiação, novo circuito e disjuntor, 6mm, fiação dupla, uso  específico, 110v - até 4700w, disjuntor monofásico de 40a, até 20 metros.
Está incluso: Substituição da fiação e disjuntor, correção em conexões, teste de funcionamento e limpeza do local.</t>
  </si>
  <si>
    <t>troca de fiação, novo circuito e disjuntor, 6mm, fiação dupla, uso  específico, 110v - até 4700w, disjuntor monofásico de 40a, até 20 metros</t>
  </si>
  <si>
    <t>Np1mT4FQQZJXKzSXD3VcXR</t>
  </si>
  <si>
    <t>Troca de fiação, novo circuito e disjuntor, 6mm, fiação dupla, uso  específico, 110v - até 4700w, disjuntor monofásico de 40a, até 20 metros</t>
  </si>
  <si>
    <t>02.02.31</t>
  </si>
  <si>
    <t>220v - até 6800w</t>
  </si>
  <si>
    <t>disjuntor bifásico de 35a</t>
  </si>
  <si>
    <t>Execução de troca de fiação, novo circuito e disjuntor, 6mm, fiação dupla, uso  específico, 220v - até 6800w, disjuntor bifásico de 35a, até 10 metros.
Está incluso: Substituição da fiação e disjuntor, correção em conexões, teste de funcionamento e limpeza do local.</t>
  </si>
  <si>
    <t>troca de fiação, novo circuito e disjuntor, 6mm, fiação dupla, uso  específico, 220v - até 6800w, disjuntor bifásico de 35a, até 10 metros</t>
  </si>
  <si>
    <t>7AV4y1BB9AWMSK66Th5JdM</t>
  </si>
  <si>
    <t>Troca de fiação, novo circuito e disjuntor, 6mm, fiação dupla, uso  específico, 220v - até 6800w, disjuntor bifásico de 35a, até 10 metros</t>
  </si>
  <si>
    <t>02.02.32</t>
  </si>
  <si>
    <t>Execução de troca de fiação, novo circuito e disjuntor, 6mm, fiação dupla, uso  específico, 220v - até 6800w, disjuntor bifásico de 35a, até 15 metros.
Está incluso: Substituição da fiação e disjuntor, correção em conexões, teste de funcionamento e limpeza do local.</t>
  </si>
  <si>
    <t>troca de fiação, novo circuito e disjuntor, 6mm, fiação dupla, uso  específico, 220v - até 6800w, disjuntor bifásico de 35a, até 15 metros</t>
  </si>
  <si>
    <t>Troca de fiação, novo circuito e disjuntor, 6mm, fiação dupla, uso  específico, 220v - até 6800w, disjuntor bifásico de 35a, até 15 metros</t>
  </si>
  <si>
    <t>02.02.33</t>
  </si>
  <si>
    <t>Execução de troca de fiação, novo circuito e disjuntor, 6mm, fiação dupla, uso  específico, 220v - até 6800w, disjuntor bifásico de 35a, até 20 metros.
Está incluso: Substituição da fiação e disjuntor, correção em conexões, teste de funcionamento e limpeza do local.</t>
  </si>
  <si>
    <t>troca de fiação, novo circuito e disjuntor, 6mm, fiação dupla, uso  específico, 220v - até 6800w, disjuntor bifásico de 35a, até 20 metros</t>
  </si>
  <si>
    <t>E774guoEVUX7qdcNByR3Px</t>
  </si>
  <si>
    <t>Troca de fiação, novo circuito e disjuntor, 6mm, fiação dupla, uso  específico, 220v - até 6800w, disjuntor bifásico de 35a, até 20 metros</t>
  </si>
  <si>
    <t>02.02.34</t>
  </si>
  <si>
    <t>Execução de troca de fiação, novo circuito, 10mm, fiação dupla, uso  específico, até 10 metros.
Está incluso: Substituição da fiação, correção em conexões, teste de funcionamento e limpeza do local.</t>
  </si>
  <si>
    <t>troca de fiação, novo circuito, 10mm, fiação dupla, uso  específico, até 10 metros</t>
  </si>
  <si>
    <t>https://www.leroymerlin.com.br/cabo-flex--750v-10mm-branco-bobina-100m-sil_1570843158</t>
  </si>
  <si>
    <t>JctrqWqED62bgNDTB5fV2i</t>
  </si>
  <si>
    <t>Troca de fiação, novo circuito, 10mm, fiação dupla, uso  específico, até 10 metros</t>
  </si>
  <si>
    <t>02.02.35</t>
  </si>
  <si>
    <t>Execução de troca de fiação, novo circuito, 10mm, fiação dupla, uso  específico, até 15 metros.
Está incluso: Substituição da fiação, correção em conexões, teste de funcionamento e limpeza do local.</t>
  </si>
  <si>
    <t>troca de fiação, novo circuito, 10mm, fiação dupla, uso  específico, até 15 metros</t>
  </si>
  <si>
    <t>Troca de fiação, novo circuito, 10mm, fiação dupla, uso  específico, até 15 metros</t>
  </si>
  <si>
    <t>02.02.36</t>
  </si>
  <si>
    <t>Execução de troca de fiação, novo circuito, 10mm, fiação dupla, uso  específico, até 20 metros.
Está incluso: Substituição da fiação, correção em conexões, teste de funcionamento e limpeza do local.</t>
  </si>
  <si>
    <t>troca de fiação, novo circuito, 10mm, fiação dupla, uso  específico, até 20 metros</t>
  </si>
  <si>
    <t>WALYjBfAxDztpFUC1mPBHK</t>
  </si>
  <si>
    <t>Troca de fiação, novo circuito, 10mm, fiação dupla, uso  específico, até 20 metros</t>
  </si>
  <si>
    <t>02.02.37</t>
  </si>
  <si>
    <t>110v - até 5500w</t>
  </si>
  <si>
    <t>disjuntor monofásico de 50a</t>
  </si>
  <si>
    <t>Execução de troca de fiação, novo circuito e disjuntor, 10mm, fiação dupla, uso  específico, 110v - até 5500w, disjuntor monofásico de 50a, até 10 metros.
Está incluso: Substituição da fiação e disjuntor, correção em conexões, teste de funcionamento e limpeza do local.</t>
  </si>
  <si>
    <t>troca de fiação, novo circuito e disjuntor, 10mm, fiação dupla, uso  específico, 110v - até 5500w, disjuntor monofásico de 50a, até 10 metros</t>
  </si>
  <si>
    <t>8wDd815mCc4pa9DUHBpSV3</t>
  </si>
  <si>
    <t>Troca de fiação, novo circuito e disjuntor, 10mm, fiação dupla, uso  específico, 110v - até 5500w, disjuntor monofásico de 50a, até 10 metros</t>
  </si>
  <si>
    <t>02.02.38</t>
  </si>
  <si>
    <t>Execução de troca de fiação, novo circuito e disjuntor, 10mm, fiação dupla, uso  específico, 110v - até 5500w, disjuntor monofásico de 50a, até 15 metros.
Está incluso: Substituição da fiação e disjuntor, correção em conexões, teste de funcionamento e limpeza do local.</t>
  </si>
  <si>
    <t>troca de fiação, novo circuito e disjuntor, 10mm, fiação dupla, uso  específico, 110v - até 5500w, disjuntor monofásico de 50a, até 15 metros</t>
  </si>
  <si>
    <t>Troca de fiação, novo circuito e disjuntor, 10mm, fiação dupla, uso  específico, 110v - até 5500w, disjuntor monofásico de 50a, até 15 metros</t>
  </si>
  <si>
    <t>02.02.39</t>
  </si>
  <si>
    <t>Execução de troca de fiação, novo circuito e disjuntor, 10mm, fiação dupla, uso  específico, 110v - até 5500w, disjuntor monofásico de 50a, até 20 metros.
Está incluso: Substituição da fiação e disjuntor, correção em conexões, teste de funcionamento e limpeza do local.</t>
  </si>
  <si>
    <t>troca de fiação, novo circuito e disjuntor, 10mm, fiação dupla, uso  específico, 110v - até 5500w, disjuntor monofásico de 50a, até 20 metros</t>
  </si>
  <si>
    <t>2GXiqqAdeSxyzc5RufvzbR</t>
  </si>
  <si>
    <t>Troca de fiação, novo circuito e disjuntor, 10mm, fiação dupla, uso  específico, 110v - até 5500w, disjuntor monofásico de 50a, até 20 metros</t>
  </si>
  <si>
    <t>02.02.40</t>
  </si>
  <si>
    <t>fiação única</t>
  </si>
  <si>
    <t>aterramento</t>
  </si>
  <si>
    <t>até 10m</t>
  </si>
  <si>
    <t>Execução de troca de fiação, novo circuito, 1.5mm, fiação única, aterramento, até 10m.
Está incluso: Substituição da fiação, correção em conexões, teste de funcionamento e limpeza do local.</t>
  </si>
  <si>
    <t>troca de fiação, novo circuito, 1.5mm, fiação única, aterramento, até 10m</t>
  </si>
  <si>
    <t>https://www.leroymerlin.com.br/cabo-flexível -1,5mm-100metros-verde-750v-atoxsil-sil-fios_89510582</t>
  </si>
  <si>
    <t>8uAzrzjxF7tVoFvFJfHGkN</t>
  </si>
  <si>
    <t>Troca de fiação, novo circuito, 1.5mm, fiação única, aterramento, até 10m</t>
  </si>
  <si>
    <t>02.02.41</t>
  </si>
  <si>
    <t>Execução de troca de fiação, novo circuito, 1.5mm, fiação única, aterramento, até 15 metros.
Está incluso: Substituição da fiação, correção em conexões, teste de funcionamento e limpeza do local.</t>
  </si>
  <si>
    <t>troca de fiação, novo circuito, 1.5mm, fiação única, aterramento, até 15 metros</t>
  </si>
  <si>
    <t>Troca de fiação, novo circuito, 1.5mm, fiação única, aterramento, até 15 metros</t>
  </si>
  <si>
    <t>02.02.42</t>
  </si>
  <si>
    <t>Execução de troca de fiação, novo circuito, 1.5mm, fiação única, aterramento, até 20 metros.
Está incluso: Substituição da fiação, correção em conexões, teste de funcionamento e limpeza do local.</t>
  </si>
  <si>
    <t>troca de fiação, novo circuito, 1.5mm, fiação única, aterramento, até 20 metros</t>
  </si>
  <si>
    <t>Troca de fiação, novo circuito, 1.5mm, fiação única, aterramento, até 20 metros</t>
  </si>
  <si>
    <t>02.02.43</t>
  </si>
  <si>
    <t>até 30 metros</t>
  </si>
  <si>
    <t>Execução de troca de fiação, novo circuito, 1.5mm, fiação única, aterramento, até 30 metros.
Está incluso: Substituição da fiação, correção em conexões, teste de funcionamento e limpeza do local.</t>
  </si>
  <si>
    <t>troca de fiação, novo circuito, 1.5mm, fiação única, aterramento, até 30 metros</t>
  </si>
  <si>
    <t>Ac4WJK9pDTkcCkYHJbkFDh</t>
  </si>
  <si>
    <t>Troca de fiação, novo circuito, 1.5mm, fiação única, aterramento, até 30 metros</t>
  </si>
  <si>
    <t>02.02.44</t>
  </si>
  <si>
    <t>Manutenção corretiva de circuito elétrico</t>
  </si>
  <si>
    <t>com até 02 pontos</t>
  </si>
  <si>
    <t xml:space="preserve">Execução de manutenção corretiva de circuito elétrico, até 15 metros, com até 02 pontos.
Está incluso: Testes em pontos elétricos, correção do funcionamento e limpeza do local.
Observação: É importante mencionar que, após concluir essa etapa, poderemos descobrir que o circuíto elétrico necessite de substituição da fiação ou de componentes,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elétrico confiável e eficaz, e estamos comprometidos em fornecer serviços de alta qualidade a um preço justo.
</t>
  </si>
  <si>
    <t>Testes em pontos elétricos, correção do funcionamento e limpeza do local</t>
  </si>
  <si>
    <t>manutenção corretiva de circuito elétrico, até 15 metros, com até 02 pontos</t>
  </si>
  <si>
    <t>o circuíto elétrico necessite de substituição da fiação ou de componentes</t>
  </si>
  <si>
    <t>sistema elétrico</t>
  </si>
  <si>
    <t>SVYAXcXPwE9Hh7KXsVQAjX</t>
  </si>
  <si>
    <t>Manutenção corretiva de circuito elétrico, até 15 metros, com até 02 pontos</t>
  </si>
  <si>
    <t>02.02.45</t>
  </si>
  <si>
    <t>com até 05 pontos</t>
  </si>
  <si>
    <t xml:space="preserve">Execução de manutenção corretiva de circuito elétrico, até 15 metros, com até 05 pontos.
Está incluso: Testes em pontos elétricos, correção do funcionamento e limpeza do local.
Observação: É importante mencionar que, após concluir essa etapa, poderemos descobrir que o circuíto elétrico necessite de substituição da fiação ou de componentes,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elétrico confiável e eficaz, e estamos comprometidos em fornecer serviços de alta qualidade a um preço justo.
</t>
  </si>
  <si>
    <t>manutenção corretiva de circuito elétrico, até 15 metros, com até 05 pontos</t>
  </si>
  <si>
    <t>Uhi2z5gM5a6fibabaNGBUY</t>
  </si>
  <si>
    <t>Manutenção corretiva de circuito elétrico, até 15 metros, com até 05 pontos</t>
  </si>
  <si>
    <t>02.02.46</t>
  </si>
  <si>
    <t>com até 10 pontos</t>
  </si>
  <si>
    <t xml:space="preserve">Execução de manutenção corretiva de circuito elétrico, até 15 metros, com até 10 pontos.
Está incluso: Testes em pontos elétricos, correção do funcionamento e limpeza do local.
Observação: É importante mencionar que, após concluir essa etapa, poderemos descobrir que o circuíto elétrico necessite de substituição da fiação ou de componentes,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elétrico confiável e eficaz, e estamos comprometidos em fornecer serviços de alta qualidade a um preço justo.
</t>
  </si>
  <si>
    <t>manutenção corretiva de circuito elétrico, até 15 metros, com até 10 pontos</t>
  </si>
  <si>
    <t>Manutenção corretiva de circuito elétrico, até 15 metros, com até 10 pontos</t>
  </si>
  <si>
    <t>02.03</t>
  </si>
  <si>
    <t>Iluminação</t>
  </si>
  <si>
    <t>Gw7Krjp2y2FQzwsvXvJ5Ze</t>
  </si>
  <si>
    <t>02.03.01</t>
  </si>
  <si>
    <t>Troca de lâmpada</t>
  </si>
  <si>
    <t>Necessidade de substituição da lâmpada</t>
  </si>
  <si>
    <t>Execução de troca de lâmpada, convencional.
Está incluso: Troca de lâmpada, teste de funcionamento e limpeza do local.</t>
  </si>
  <si>
    <t>Troca de lâmpada, teste de funcionamento e limpeza do local</t>
  </si>
  <si>
    <t>troca de lâmpada, convencional</t>
  </si>
  <si>
    <t>4ACWydHoL1RG7Mk7g425Hq</t>
  </si>
  <si>
    <t>Troca de lâmpada, convencional</t>
  </si>
  <si>
    <t>02.03.02</t>
  </si>
  <si>
    <t>fluorescente - tubular</t>
  </si>
  <si>
    <t>dupla</t>
  </si>
  <si>
    <t>Execução de troca de lâmpada, fluorescente - tubular, dupla.
Está incluso: Troca de lâmpada, teste de funcionamento e limpeza do local.</t>
  </si>
  <si>
    <t>troca de lâmpada, fluorescente - tubular, dupla</t>
  </si>
  <si>
    <t>RnUcePAWDY2gVJxEFmk1Ry</t>
  </si>
  <si>
    <t>Troca de lâmpada, fluorescente - tubular, dupla</t>
  </si>
  <si>
    <t>02.03.03</t>
  </si>
  <si>
    <t>Troca de reator</t>
  </si>
  <si>
    <t>Execução de troca de reator, fluorescente - tubular.
Está incluso: Troca de lâmpada, teste de funcionamento e limpeza do local.</t>
  </si>
  <si>
    <t>troca de reator, fluorescente - tubular</t>
  </si>
  <si>
    <t>7X2SimnckDg6poSnruqJuC</t>
  </si>
  <si>
    <t>Troca de reator, fluorescente - tubular</t>
  </si>
  <si>
    <t>02.03.04</t>
  </si>
  <si>
    <t>dicroica</t>
  </si>
  <si>
    <t>par-20</t>
  </si>
  <si>
    <t>Execução de troca de lâmpada, dicroica, par-20.
Está incluso: Troca de lâmpada, teste de funcionamento e limpeza do local.</t>
  </si>
  <si>
    <t>troca de lâmpada, dicroica, par-20</t>
  </si>
  <si>
    <t>https://www.leroymerlin.com.br/lampada-par20-led-7w-2700k-branco-quente-e27-bivolt_1569620717</t>
  </si>
  <si>
    <t>Y2XfeetPE52DtLnB4hbvAE</t>
  </si>
  <si>
    <t>Troca de lâmpada, dicroica, par-20</t>
  </si>
  <si>
    <t>02.03.05</t>
  </si>
  <si>
    <t>ar-70</t>
  </si>
  <si>
    <t>Execução de troca de lâmpada, dicroica, ar-70.
Está incluso: Troca de lâmpada, teste de funcionamento e limpeza do local.</t>
  </si>
  <si>
    <t>troca de lâmpada, dicroica, ar-70</t>
  </si>
  <si>
    <t>https://www.leroymerlin.com.br/lampada-led-ar70-4,8w-24o-gu10-taschibra-bivolt-4000k-neutro-suave_1568120602</t>
  </si>
  <si>
    <t>miUvRsbeU52iDaKS9ZZYy</t>
  </si>
  <si>
    <t>Troca de lâmpada, dicroica, ar-70</t>
  </si>
  <si>
    <t>02.03.06</t>
  </si>
  <si>
    <t>gu-10</t>
  </si>
  <si>
    <t>Execução de troca de lâmpada, dicroica, gu-10.
Está incluso: Troca de lâmpada, teste de funcionamento e limpeza do local.</t>
  </si>
  <si>
    <t>troca de lâmpada, dicroica, gu-10</t>
  </si>
  <si>
    <t>https://www.leroymerlin.com.br/lampada-de-led-gu10-mr16-6,5w-525lm-luz-amarela-bivolt-black---decker_91915663</t>
  </si>
  <si>
    <t>S6fuRTSqYiwoCZvyzvPm43</t>
  </si>
  <si>
    <t>Troca de lâmpada, dicroica, gu-10</t>
  </si>
  <si>
    <t>02.03.07</t>
  </si>
  <si>
    <t>Conversão de lâmpada fluorescente para led</t>
  </si>
  <si>
    <t>Execução de conversão de lâmpada fluorescente para led.
Está incluso: Adequação de lâmpada, teste de funcionamento e limpeza do local.</t>
  </si>
  <si>
    <t>Adequação de lâmpada, teste de funcionamento e limpeza do local</t>
  </si>
  <si>
    <t>conversão de lâmpada fluorescente para led</t>
  </si>
  <si>
    <t>7Co3G4dq4HKF4jGA6TsNxZ</t>
  </si>
  <si>
    <t>02.03.08</t>
  </si>
  <si>
    <t>led</t>
  </si>
  <si>
    <t>Necessidade de substituição do reator</t>
  </si>
  <si>
    <t>Execução de troca de reator, led.
Está incluso: Troca de reator, teste de funcionamento e limpeza do local.</t>
  </si>
  <si>
    <t>Troca de reator, teste de funcionamento e limpeza do local</t>
  </si>
  <si>
    <t>troca de reator, led</t>
  </si>
  <si>
    <t>GcsR1sgzGa637EytoHe3Mw</t>
  </si>
  <si>
    <t>Troca de reator, led</t>
  </si>
  <si>
    <t>02.03.09</t>
  </si>
  <si>
    <t>Troca de bocal</t>
  </si>
  <si>
    <t>Necessidade de substituição do bocal</t>
  </si>
  <si>
    <t>Execução de troca de bocal.
Está incluso: Troca do bocal de cerâmica, teste de funcionamento e limpeza do local.</t>
  </si>
  <si>
    <t>Troca do bocal de cerâmica, teste de funcionamento e limpeza do local</t>
  </si>
  <si>
    <t>troca de bocal</t>
  </si>
  <si>
    <t>PdWqbDZCBqzvzAFAC2bQPN</t>
  </si>
  <si>
    <t>02.03.10</t>
  </si>
  <si>
    <t>Troca de luminária</t>
  </si>
  <si>
    <t>embutir</t>
  </si>
  <si>
    <t>croica</t>
  </si>
  <si>
    <t>Necessidade de substituição da luminária</t>
  </si>
  <si>
    <t>Execução de troca de luminária, embutir, croica, padrão simples.
Está incluso: Troca de luminária, teste de funcionamento e limpeza do local.</t>
  </si>
  <si>
    <t>Troca de luminária, teste de funcionamento e limpeza do local</t>
  </si>
  <si>
    <t>troca de luminária, embutir, croica, padrão simples</t>
  </si>
  <si>
    <t>Di3EcynNA9asRTSo2SrAYd</t>
  </si>
  <si>
    <t>Troca de luminária, embutir, croica, padrão simples</t>
  </si>
  <si>
    <t>02.03.11</t>
  </si>
  <si>
    <t>Execução de troca de luminária, embutir, croica, padrão normal.
Está incluso: Troca de luminária, teste de funcionamento e limpeza do local.</t>
  </si>
  <si>
    <t>troca de luminária, embutir, croica, padrão normal</t>
  </si>
  <si>
    <t>NZCVj77v4dYYgocJqpTCCe</t>
  </si>
  <si>
    <t>Troca de luminária, embutir, croica, padrão normal</t>
  </si>
  <si>
    <t>02.03.12</t>
  </si>
  <si>
    <t>Execução de troca de luminária, embutir, croica, padrão premium.
Está incluso: Troca de luminária, teste de funcionamento e limpeza do local.</t>
  </si>
  <si>
    <t>troca de luminária, embutir, croica, padrão premium</t>
  </si>
  <si>
    <t>4KgX3HwHWYE9FJcQw3sPpT</t>
  </si>
  <si>
    <t>Troca de luminária, embutir, croica, padrão premium</t>
  </si>
  <si>
    <t>02.03.13</t>
  </si>
  <si>
    <t>painel led</t>
  </si>
  <si>
    <t>Execução de troca de luminária, embutir, painel led, padrão simples.
Está incluso: Troca de luminária, teste de funcionamento e limpeza do local.</t>
  </si>
  <si>
    <t>troca de luminária, embutir, painel led, padrão simples</t>
  </si>
  <si>
    <t>5DDFaGL8RjyrVgedKzp72T</t>
  </si>
  <si>
    <t>Troca de luminária, embutir, painel led, padrão simples</t>
  </si>
  <si>
    <t>02.03.14</t>
  </si>
  <si>
    <t>Execução de troca de luminária, embutir, painel led, padrão normal.
Está incluso: Troca de luminária, teste de funcionamento e limpeza do local.</t>
  </si>
  <si>
    <t>troca de luminária, embutir, painel led, padrão normal</t>
  </si>
  <si>
    <t>KvdoM1MvWHdfmnYCaqJHJj</t>
  </si>
  <si>
    <t>Troca de luminária, embutir, painel led, padrão normal</t>
  </si>
  <si>
    <t>02.03.15</t>
  </si>
  <si>
    <t>Execução de troca de luminária, embutir, painel led, padrão premium.
Está incluso: Troca de luminária, teste de funcionamento e limpeza do local.</t>
  </si>
  <si>
    <t>troca de luminária, embutir, painel led, padrão premium</t>
  </si>
  <si>
    <t>UHmg4AdgS1MRfkZsDVM3Kg</t>
  </si>
  <si>
    <t>Troca de luminária, embutir, painel led, padrão premium</t>
  </si>
  <si>
    <t>02.03.16</t>
  </si>
  <si>
    <t>spot led</t>
  </si>
  <si>
    <t>Execução de troca de luminária, embutir, spot led, padrão simples.
Está incluso: Troca de luminária, teste de funcionamento e limpeza do local.</t>
  </si>
  <si>
    <t>troca de luminária, embutir, spot led, padrão simples</t>
  </si>
  <si>
    <t>Troca de luminária, embutir, spot led, padrão simples</t>
  </si>
  <si>
    <t>02.03.17</t>
  </si>
  <si>
    <t>Execução de troca de luminária, embutir, spot led, padrão normal.
Está incluso: Troca de luminária, teste de funcionamento e limpeza do local.</t>
  </si>
  <si>
    <t>troca de luminária, embutir, spot led, padrão normal</t>
  </si>
  <si>
    <t>Troca de luminária, embutir, spot led, padrão normal</t>
  </si>
  <si>
    <t>02.03.18</t>
  </si>
  <si>
    <t>Execução de troca de luminária, embutir, spot led, padrão premium.
Está incluso: Troca de luminária, teste de funcionamento e limpeza do local.</t>
  </si>
  <si>
    <t>troca de luminária, embutir, spot led, padrão premium</t>
  </si>
  <si>
    <t>Troca de luminária, embutir, spot led, padrão premium</t>
  </si>
  <si>
    <t>02.03.19</t>
  </si>
  <si>
    <t>sobrepor</t>
  </si>
  <si>
    <t>Execução de troca de luminária, sobrepor, spot led, padrão simples.
Está incluso: Troca de luminária, teste de funcionamento e limpeza do local.</t>
  </si>
  <si>
    <t>troca de luminária, sobrepor, spot led, padrão simples</t>
  </si>
  <si>
    <t>https://www.leroymerlin.com.br/spot-de-embutir-redondo-led-9w-luz-amarela-inspire-bivolt_91037282</t>
  </si>
  <si>
    <t>Y1rx3JsJ6DBLRQGfiGnTe1</t>
  </si>
  <si>
    <t>Troca de luminária, sobrepor, spot led, padrão simples</t>
  </si>
  <si>
    <t>02.03.20</t>
  </si>
  <si>
    <t>Execução de troca de luminária, sobrepor, spot led, padrão normal.
Está incluso: Troca de luminária, teste de funcionamento e limpeza do local.</t>
  </si>
  <si>
    <t>troca de luminária, sobrepor, spot led, padrão normal</t>
  </si>
  <si>
    <t>https://www.leroymerlin.com.br/luminaria-led-arandela-tartaruga-fit-oval-7w-6500k-luz-branca-bivolt-jardim-area-interna-externa-ip65-startec_1571059463</t>
  </si>
  <si>
    <t>9SVHYGdLHxjjdgoP2rJLug</t>
  </si>
  <si>
    <t>Troca de luminária, sobrepor, spot led, padrão normal</t>
  </si>
  <si>
    <t>02.03.21</t>
  </si>
  <si>
    <t>Execução de troca de luminária, sobrepor, spot led, padrão premium.
Está incluso: Troca de luminária, teste de funcionamento e limpeza do local.</t>
  </si>
  <si>
    <t>troca de luminária, sobrepor, spot led, padrão premium</t>
  </si>
  <si>
    <t>96oeHGXTcHDGhcnXbdogHi</t>
  </si>
  <si>
    <t>Troca de luminária, sobrepor, spot led, padrão premium</t>
  </si>
  <si>
    <t>02.03.22</t>
  </si>
  <si>
    <t>Execução de troca de luminária, sobrepor, painel led, padrão simples.
Está incluso: Troca de luminária, teste de funcionamento e limpeza do local.</t>
  </si>
  <si>
    <t>troca de luminária, sobrepor, painel led, padrão simples</t>
  </si>
  <si>
    <t>https://www.leroymerlin.com.br/painel-plafon-led-6w-luminaria-sobrepor-redondo-branco-quente-st534_1566733185</t>
  </si>
  <si>
    <t>2QbVyErA576j3Qziudz3S8</t>
  </si>
  <si>
    <t>Troca de luminária, sobrepor, painel led, padrão simples</t>
  </si>
  <si>
    <t>02.03.23</t>
  </si>
  <si>
    <t>Execução de troca de luminária, sobrepor, painel led, padrão normal.
Está incluso: Troca de luminária, teste de funcionamento e limpeza do local.</t>
  </si>
  <si>
    <t>troca de luminária, sobrepor, painel led, padrão normal</t>
  </si>
  <si>
    <t>GVgfpryAas5mZi4Q2oR1as</t>
  </si>
  <si>
    <t>Troca de luminária, sobrepor, painel led, padrão normal</t>
  </si>
  <si>
    <t>02.03.24</t>
  </si>
  <si>
    <t>Execução de troca de luminária, sobrepor, painel led, padrão premium.
Está incluso: Troca de luminária, teste de funcionamento e limpeza do local.</t>
  </si>
  <si>
    <t>troca de luminária, sobrepor, painel led, padrão premium</t>
  </si>
  <si>
    <t>Vrh2nBEYEhTw6nbtBhGE2P</t>
  </si>
  <si>
    <t>Troca de luminária, sobrepor, painel led, padrão premium</t>
  </si>
  <si>
    <t>02.03.25</t>
  </si>
  <si>
    <t>trilho-eletrificado</t>
  </si>
  <si>
    <t>Execução de troca de luminária, sobrepor, trilho-eletrificado, padrão simples.
Está incluso: Troca de luminária, teste de funcionamento e limpeza do local.</t>
  </si>
  <si>
    <t>troca de luminária, sobrepor, trilho-eletrificado, padrão simples</t>
  </si>
  <si>
    <t>WCvXPXvAKmDysEmqSvGuGM</t>
  </si>
  <si>
    <t>Troca de luminária, sobrepor, trilho-eletrificado, padrão simples</t>
  </si>
  <si>
    <t>02.03.26</t>
  </si>
  <si>
    <t>Execução de troca de luminária, sobrepor, trilho-eletrificado, padrão normal.
Está incluso: Troca de luminária, teste de funcionamento e limpeza do local.</t>
  </si>
  <si>
    <t>troca de luminária, sobrepor, trilho-eletrificado, padrão normal</t>
  </si>
  <si>
    <t>CePfCX4X91CTNBCPC5YMvd</t>
  </si>
  <si>
    <t>Troca de luminária, sobrepor, trilho-eletrificado, padrão normal</t>
  </si>
  <si>
    <t>02.03.27</t>
  </si>
  <si>
    <t>Execução de troca de luminária, sobrepor, trilho-eletrificado, padrão premium.
Está incluso: Troca de luminária, teste de funcionamento e limpeza do local.</t>
  </si>
  <si>
    <t>troca de luminária, sobrepor, trilho-eletrificado, padrão premium</t>
  </si>
  <si>
    <t>MJdQtpN9YZHg3XrpXJN4hR</t>
  </si>
  <si>
    <t>Troca de luminária, sobrepor, trilho-eletrificado, padrão premium</t>
  </si>
  <si>
    <t>02.03.28</t>
  </si>
  <si>
    <t>pendente</t>
  </si>
  <si>
    <t>Execução de troca de luminária, pendente, padrão simples.
Está incluso: Troca de luminária, teste de funcionamento e limpeza do local.</t>
  </si>
  <si>
    <t>troca de luminária, pendente, padrão simples</t>
  </si>
  <si>
    <t>6iRPh4PVt4YHHRjGibFmbw</t>
  </si>
  <si>
    <t>Troca de luminária, pendente, padrão simples</t>
  </si>
  <si>
    <t>02.03.29</t>
  </si>
  <si>
    <t>Execução de troca de luminária, pendente, padrão normal.
Está incluso: Troca de luminária, teste de funcionamento e limpeza do local.</t>
  </si>
  <si>
    <t>troca de luminária, pendente, padrão normal</t>
  </si>
  <si>
    <t>Mf5EUevTcZaehcRTgo5LtE</t>
  </si>
  <si>
    <t>Troca de luminária, pendente, padrão normal</t>
  </si>
  <si>
    <t>02.03.30</t>
  </si>
  <si>
    <t>Execução de troca de luminária, pendente, padrão premium.
Está incluso: Troca de luminária, teste de funcionamento e limpeza do local.</t>
  </si>
  <si>
    <t>troca de luminária, pendente, padrão premium</t>
  </si>
  <si>
    <t>P6K2vnCXbTsVixKzX9JVY5</t>
  </si>
  <si>
    <t>Troca de luminária, pendente, padrão premium</t>
  </si>
  <si>
    <t>02.03.31</t>
  </si>
  <si>
    <t>tubular led</t>
  </si>
  <si>
    <t>Execução de troca de luminária, sobrepor, tubular led, padrão normal.
Está incluso: Troca de luminária, teste de funcionamento e limpeza do local.</t>
  </si>
  <si>
    <t>troca de luminária, sobrepor, tubular led, padrão normal</t>
  </si>
  <si>
    <t>https://www.leroymerlin.com.br/luminaria-de-teto-sobrepor-led-18w-luz-branca-blumenau_89699813</t>
  </si>
  <si>
    <t>XcdR6y8q7EZuXZmtyGMsbd</t>
  </si>
  <si>
    <t>Troca de luminária, sobrepor, tubular led, padrão normal</t>
  </si>
  <si>
    <t>02.03.32</t>
  </si>
  <si>
    <t>Execução de troca de luminária, sobrepor, tubular led, padrão premium.
Está incluso: Troca de luminária, teste de funcionamento e limpeza do local.</t>
  </si>
  <si>
    <t>troca de luminária, sobrepor, tubular led, padrão premium</t>
  </si>
  <si>
    <t>https://www.leroymerlin.com.br/luminaria-de-teto-led-18w-luz-branca-llum-bronzearte_90843431</t>
  </si>
  <si>
    <t>GHQ5Sgb1wTiSu4YYt77uQX</t>
  </si>
  <si>
    <t>Troca de luminária, sobrepor, tubular led, padrão premium</t>
  </si>
  <si>
    <t>02.03.33</t>
  </si>
  <si>
    <t>Execução de troca de luminária, embutir, tubular led, padrão normal.
Está incluso: Troca de luminária, teste de funcionamento e limpeza do local.</t>
  </si>
  <si>
    <t>troca de luminária, embutir, tubular led, padrão normal</t>
  </si>
  <si>
    <t>https://www.leroymerlin.com.br/luminaria-tl-slim-10-embutir-autovolt--taschibra-branco_1568543909</t>
  </si>
  <si>
    <t>WMFogN9pAPjN5UUhh6cskK</t>
  </si>
  <si>
    <t>Troca de luminária, embutir, tubular led, padrão normal</t>
  </si>
  <si>
    <t>02.03.34</t>
  </si>
  <si>
    <t>Execução de troca de luminária, embutir, tubular led, padrão premium.
Está incluso: Troca de luminária, teste de funcionamento e limpeza do local.</t>
  </si>
  <si>
    <t>troca de luminária, embutir, tubular led, padrão premium</t>
  </si>
  <si>
    <t>https://www.leroymerlin.com.br/luminaria-led-tube-2x60-embutir-branco-sevilha-6500k-tualux_1567332235</t>
  </si>
  <si>
    <t>VH53mXWHciwJqM6GWTss25</t>
  </si>
  <si>
    <t>Troca de luminária, embutir, tubular led, padrão premium</t>
  </si>
  <si>
    <t>02.03.35</t>
  </si>
  <si>
    <t>Fixação de luminária</t>
  </si>
  <si>
    <t>Necessidade de fixação da luminária</t>
  </si>
  <si>
    <t>Execução de fixação de luminária.
Está incluso: Fixação de luminária, teste de funcionamento e limpeza do local.</t>
  </si>
  <si>
    <t>Fixação de luminária, teste de funcionamento e limpeza do local</t>
  </si>
  <si>
    <t>fixação de luminária</t>
  </si>
  <si>
    <t>3ZHapK2ujDMoxB5YnxNKoJ</t>
  </si>
  <si>
    <t>02.03.36</t>
  </si>
  <si>
    <t>fita de led</t>
  </si>
  <si>
    <t>até 5 metros</t>
  </si>
  <si>
    <t>Execução de troca de luminária, fita de led, até 5 metros.
Está incluso: Troca de luminária, teste de funcionamento e limpeza do local.</t>
  </si>
  <si>
    <t>troca de luminária, fita de led, até 5 metros</t>
  </si>
  <si>
    <t>2iHJWqAdcob9EStJ3oBN93</t>
  </si>
  <si>
    <t>Troca de luminária, fita de led, até 5 metros</t>
  </si>
  <si>
    <t>02.03.37</t>
  </si>
  <si>
    <t>Troca de luminária de emergência</t>
  </si>
  <si>
    <t>Execução de troca de luminária de emergência, convencional.
Está incluso: Troca de luminária, teste de funcionamento e limpeza do local.</t>
  </si>
  <si>
    <t>troca de luminária de emergência, convencional</t>
  </si>
  <si>
    <t>https://www.leroymerlin.com.br/luminaria-taschibra-de-emergencia-30-leds-pratic-tle-06-bivolt--6000k-luz-branca_1570472271</t>
  </si>
  <si>
    <t>433SjQuAk1b9JbBZSX9pmt</t>
  </si>
  <si>
    <t>Troca de luminária de emergência, convencional</t>
  </si>
  <si>
    <t>02.04</t>
  </si>
  <si>
    <t>Tomadas E Interruptores</t>
  </si>
  <si>
    <t>PQqqTVrR3wnyYhKjhjq2tb</t>
  </si>
  <si>
    <t>02.04.01</t>
  </si>
  <si>
    <t>Troca do conjunto de tomada / interruptor</t>
  </si>
  <si>
    <t>única</t>
  </si>
  <si>
    <t>com espelho</t>
  </si>
  <si>
    <t>peça única</t>
  </si>
  <si>
    <t>Necessídade de substituição do ponto elétrico</t>
  </si>
  <si>
    <t>Execução de troca do conjunto de tomada / interruptor, única, com espelho, peça única, padrão normal.
Está incluso: Troca de peça, teste de funcionamento e limpeza do local.</t>
  </si>
  <si>
    <t>Troca de peça, teste de funcionamento e limpeza do local</t>
  </si>
  <si>
    <t>troca do conjunto de tomada / interruptor, única, com espelho, peça única, padrão normal</t>
  </si>
  <si>
    <t>https://www.leroymerlin.com.br/cj-tomada-20a-horizontal-4x2--tramontina-lux2-57145-013_1566862800</t>
  </si>
  <si>
    <t>2skGuwExTEcs6zVXFGX2Dz</t>
  </si>
  <si>
    <t>Troca do conjunto de tomada / interruptor, única, com espelho, peça única, padrão normal</t>
  </si>
  <si>
    <t>02.04.02</t>
  </si>
  <si>
    <t>Execução de troca do conjunto de tomada / interruptor, única, com espelho, peça única, padrão premium.
Está incluso: Troca de peça, teste de funcionamento e limpeza do local.</t>
  </si>
  <si>
    <t>troca do conjunto de tomada / interruptor, única, com espelho, peça única, padrão premium</t>
  </si>
  <si>
    <t>https://www.leroymerlin.com.br/conjunto-1-tomada-10a-fame-modulare-1429_1568293132</t>
  </si>
  <si>
    <t>Troca do conjunto de tomada / interruptor, única, com espelho, peça única, padrão premium</t>
  </si>
  <si>
    <t>02.04.03</t>
  </si>
  <si>
    <t>Execução de troca do conjunto de tomada / interruptor, dupla, com espelho, peça única, padrão normal.
Está incluso: Troca de peça, teste de funcionamento e limpeza do local.</t>
  </si>
  <si>
    <t>troca do conjunto de tomada / interruptor, dupla, com espelho, peça única, padrão normal</t>
  </si>
  <si>
    <t>https://www.leroymerlin.com.br/cj-tomada-dupla-10a-4x2-tramontina-lux2-tlx57145-065br_1566862793?_gl=1*j3a6we*_ga*MTE1MzYxNDkyMS4xNjc1MTYyMzIx*_ga_H3FWJKTQEQ*MTY5MTc2MjgyMS4yNTEuMS4xNjkxNzYzMjAwLjE2LjAuMA..</t>
  </si>
  <si>
    <t>FcRwrbZ4AhxhtkoWDy6F86</t>
  </si>
  <si>
    <t>Troca do conjunto de tomada / interruptor, dupla, com espelho, peça única, padrão normal</t>
  </si>
  <si>
    <t>02.04.04</t>
  </si>
  <si>
    <t>Execução de troca do conjunto de tomada / interruptor, dupla, com espelho, peça única, padrão premium.
Está incluso: Troca de peça, teste de funcionamento e limpeza do local.</t>
  </si>
  <si>
    <t>troca do conjunto de tomada / interruptor, dupla, com espelho, peça única, padrão premium</t>
  </si>
  <si>
    <t>https://www.leroymerlin.com.br/conjunto-2-tomada-energia-dupla-10a-250v-branco-habitat-fame_89430523?_gl=1*1u67gr5*_ga*MTE1MzYxNDkyMS4xNjc1MTYyMzIx*_ga_H3FWJKTQEQ*MTY5MTc2MjgyMS4yNTEuMS4xNjkxNzYyODI4LjUzLjAuMA..</t>
  </si>
  <si>
    <t>Troca do conjunto de tomada / interruptor, dupla, com espelho, peça única, padrão premium</t>
  </si>
  <si>
    <t>02.04.05</t>
  </si>
  <si>
    <t>tripla</t>
  </si>
  <si>
    <t>Execução de troca do conjunto de tomada / interruptor, tripla, com espelho, peça única, padrão normal.
Está incluso: Troca de peça, teste de funcionamento e limpeza do local.</t>
  </si>
  <si>
    <t>troca do conjunto de tomada / interruptor, tripla, com espelho, peça única, padrão normal</t>
  </si>
  <si>
    <t>https://www.leroymerlin.com.br/cj-tomada-tripla-10a-4x2-tramontina-lux2-tlx57145-076br_1566862796</t>
  </si>
  <si>
    <t>3Y6MevuwPNFBK4uALzEYzC</t>
  </si>
  <si>
    <t>Troca do conjunto de tomada / interruptor, tripla, com espelho, peça única, padrão normal</t>
  </si>
  <si>
    <t>02.04.06</t>
  </si>
  <si>
    <t>Execução de troca do conjunto de tomada / interruptor, tripla, com espelho, peça única, padrão premium.
Está incluso: Troca de peça, teste de funcionamento e limpeza do local.</t>
  </si>
  <si>
    <t>troca do conjunto de tomada / interruptor, tripla, com espelho, peça única, padrão premium</t>
  </si>
  <si>
    <t>https://www.leroymerlin.com.br/conjunto-4x2-com-3-tomadas-2p-t-20-a-250-v-tramontina-izyflat-branco_1571344789</t>
  </si>
  <si>
    <t>Troca do conjunto de tomada / interruptor, tripla, com espelho, peça única, padrão premium</t>
  </si>
  <si>
    <t>02.04.07</t>
  </si>
  <si>
    <t>Troca de sensor de presença e/ou luminosidade</t>
  </si>
  <si>
    <t>Necessídade de substituição da fotocélula</t>
  </si>
  <si>
    <t>Execução de troca de fotocélula.
Está incluso: Troca de peça, teste de funcionamento e limpeza do local.</t>
  </si>
  <si>
    <t>troca de sensor de presença e/ou luminosidade</t>
  </si>
  <si>
    <t>https://www.leroymerlin.com.br/sensor-de-presenca-fotocelula-interno-bivolt-qualitronix_89562123</t>
  </si>
  <si>
    <t>6Lgssr812HhbXr2E7Swmrq</t>
  </si>
  <si>
    <t>02.04.08</t>
  </si>
  <si>
    <t>Troca de campainha</t>
  </si>
  <si>
    <t>Necessídade de substituição da campainha</t>
  </si>
  <si>
    <t>Execução de troca de campainha.
Está incluso: Troca de peça, teste de funcionamento e limpeza do local.</t>
  </si>
  <si>
    <t>troca de campainha</t>
  </si>
  <si>
    <t>JkzLQE3PNVdpL7iPHknpEa</t>
  </si>
  <si>
    <t>02.04.09</t>
  </si>
  <si>
    <t>Instalação ou troca de canaleta</t>
  </si>
  <si>
    <t>incluso tomada e fiação 2 x 2.5mm + 1x 1.5mm</t>
  </si>
  <si>
    <t>a cada 3 metros</t>
  </si>
  <si>
    <t>Necessídade de instalação de canaleta</t>
  </si>
  <si>
    <t>Execução de instalação ou troca de canaleta, incluso tomada e fiação 2 x 2.5mm + 1x 1.5mm, a cada 3 metros.
Está incluso: Troca de peça, teste de funcionamento e limpeza do local.</t>
  </si>
  <si>
    <t>instalação ou troca de canaleta, incluso tomada e fiação 2 x 2.5mm + 1x 1.5mm, a cada 3 metros</t>
  </si>
  <si>
    <t>9btmtX9xYRWFqHirph4ej9</t>
  </si>
  <si>
    <t>Instalação ou troca de canaleta, incluso tomada e fiação 2 x 2.5mm + 1x 1.5mm, a cada 3 metros</t>
  </si>
  <si>
    <t>02.04.10</t>
  </si>
  <si>
    <t>Reparo em conjunto de tomada / interruptor</t>
  </si>
  <si>
    <t>reparo em conjunto de tomada / interruptor, apenas mão de obra</t>
  </si>
  <si>
    <t>Reparo em conjunto de tomada / interruptor, apenas mão de obra</t>
  </si>
  <si>
    <t>02.05</t>
  </si>
  <si>
    <t>Interfone</t>
  </si>
  <si>
    <t>83f8QXQViYj2Rs7HgvjfWb</t>
  </si>
  <si>
    <t>02.05.01</t>
  </si>
  <si>
    <t>Troca de interfone</t>
  </si>
  <si>
    <t>com teclado</t>
  </si>
  <si>
    <t>Necessídade de substituição do interfone</t>
  </si>
  <si>
    <t xml:space="preserve">Execução de troca de interfone, com teclado.
Está incluso: Substituição do aparelho de interfone,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</si>
  <si>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Substituição do aparelho de interfone, teste de funcionamento e limpeza do local</t>
  </si>
  <si>
    <t>troca de interfone, com teclado</t>
  </si>
  <si>
    <t>a fiação esteja danificada</t>
  </si>
  <si>
    <t>circuíto de interfone</t>
  </si>
  <si>
    <t>https://www.leroymerlin.com.br/telefone-de-parede-interfone-cinza-tc20-intelbras_87842706</t>
  </si>
  <si>
    <t>PdMBP2hqWdWcxorHVyDSQv</t>
  </si>
  <si>
    <t>Troca de interfone, com teclado</t>
  </si>
  <si>
    <t>02.05.02</t>
  </si>
  <si>
    <t>sem teclado</t>
  </si>
  <si>
    <t xml:space="preserve">Execução de troca de interfone, sem teclado.
Está incluso: Substituição do aparelho de interfone,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</si>
  <si>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troca de interfone, sem teclado</t>
  </si>
  <si>
    <t>https://www.leroymerlin.com.br/interfone-eletronico-residencial--az-s02-hdl_89036633</t>
  </si>
  <si>
    <t>H6RqtCb7tkcuJJ6tWeQvC4</t>
  </si>
  <si>
    <t>Troca de interfone, sem teclado</t>
  </si>
  <si>
    <t>02.05.03</t>
  </si>
  <si>
    <t>Troca de interfone e porteiro eletrônico</t>
  </si>
  <si>
    <t xml:space="preserve">Execução de troca de interfone e porteiro eletrônico, padrão normal.
Está incluso: Substituição do aparelho de interfone com porteiro eletrônico,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</si>
  <si>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Substituição do aparelho de interfone com porteiro eletrônico, teste de funcionamento e limpeza do local</t>
  </si>
  <si>
    <t>troca de interfone e porteiro eletrônico, padrão normal</t>
  </si>
  <si>
    <t>https://www.leroymerlin.com.br/kit-porteiro-eletronico-residencial-ipr-1010-intelbras_89744536</t>
  </si>
  <si>
    <t>SD7EMXCzekWiZ7VNxsYdKd</t>
  </si>
  <si>
    <t>Troca de interfone e porteiro eletrônico, padrão normal</t>
  </si>
  <si>
    <t>02.05.04</t>
  </si>
  <si>
    <t xml:space="preserve">Execução de troca de interfone e porteiro eletrônico, padrão premium.
Está incluso: Substituição do aparelho de interfone com porteiro eletrônico,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</si>
  <si>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troca de interfone e porteiro eletrônico, padrão premium</t>
  </si>
  <si>
    <t>https://www.leroymerlin.com.br/kit-porteiro-eletronico-residencial-audio-class-branco-hdl_92179591</t>
  </si>
  <si>
    <t>Troca de interfone e porteiro eletrônico, padrão premium</t>
  </si>
  <si>
    <t>02.05.05</t>
  </si>
  <si>
    <t>modelo com câmera e tela</t>
  </si>
  <si>
    <t xml:space="preserve">Execução de troca de interfone e porteiro eletrônico, modelo com câmera e tela, padrão normal.
Está incluso: Substituição do aparelho de interfone com porteiro eletrônico com câmera,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</si>
  <si>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Substituição do aparelho de interfone com porteiro eletrônico com câmera, teste de funcionamento e limpeza do local</t>
  </si>
  <si>
    <t>troca de interfone e porteiro eletrônico, modelo com câmera e tela, padrão normal</t>
  </si>
  <si>
    <t>https://produto.mercadolivre.com.br/MLB-1912908629-video-porteiro-interfone-com-camera-lvr1010-viso-noturna-_JM?variation=87622891764#reco_item_pos=6&amp;reco_backend=vip_pads_up_buybox&amp;reco_backend_type=low_level&amp;reco_client=vip-pads-up&amp;reco_id=305d3988-b866-4961-affd-620d467202a3&amp;is_advertising=true&amp;ad_domain=VIPDESKTOP_UP&amp;ad_position=7&amp;ad_click_id=OGExMzdmMWQtMmE0NC00ZGY2LWFiZTUtZGE4NDlhYjI3ZGU3</t>
  </si>
  <si>
    <t>Troca de interfone e porteiro eletrônico, modelo com câmera e tela, padrão normal</t>
  </si>
  <si>
    <t>02.05.06</t>
  </si>
  <si>
    <t xml:space="preserve">Execução de troca de interfone e porteiro eletrônico, modelo com câmera e tela, padrão premium.
Está incluso: Substituição do aparelho de interfone com porteiro eletrônico com câmera,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</si>
  <si>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troca de interfone e porteiro eletrônico, modelo com câmera e tela, padrão premium</t>
  </si>
  <si>
    <t>https://produto.mercadolivre.com.br/MLB-1112653667-interfone-com-video-hdl-cmera-infra-com-viso-noturna-sense-classic-s-original-com-nota-fiscal-e-garantia-de-1-ano-_JM#position=14&amp;search_layout=grid&amp;type=item&amp;tracking_id=2a0df658-e9c2-4aec-a43f-926a56966b87</t>
  </si>
  <si>
    <t>Troca de interfone e porteiro eletrônico, modelo com câmera e tela, padrão premium</t>
  </si>
  <si>
    <t>02.05.07</t>
  </si>
  <si>
    <t>Troca de conector do interfone</t>
  </si>
  <si>
    <t>Necessídade de substituição do conector do interfone</t>
  </si>
  <si>
    <t xml:space="preserve">Execução de troca de conector do interfone.
Está incluso: Substituição de conector do interfone,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</si>
  <si>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Substituição de conector do interfone, teste de funcionamento e limpeza do local</t>
  </si>
  <si>
    <t>troca de conector do interfone</t>
  </si>
  <si>
    <t>TWMkab4RmCBY8QgXLDWVai</t>
  </si>
  <si>
    <t>02.05.08</t>
  </si>
  <si>
    <t>Troca de fiação do interfone</t>
  </si>
  <si>
    <t>casa</t>
  </si>
  <si>
    <t>Necessidade de readequação do circuíto do interfone</t>
  </si>
  <si>
    <t xml:space="preserve">Execução de troca de fiação do interfone, casa, fácil execução.
Está incluso: Substituição da fiação, correção em conexões, teste de funcionamento e limpeza do local.
Observação: É importante mencionar que, após concluir essa etapa, poderemos descobrir que o aparelho de interne esteja danificado,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</si>
  <si>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troca de fiação do interfone, casa</t>
  </si>
  <si>
    <t>o aparelho de interne esteja danificado</t>
  </si>
  <si>
    <t>9JyAXGwh1FyWbsSHQ5zUjk</t>
  </si>
  <si>
    <t>Troca de fiação do interfone, casa</t>
  </si>
  <si>
    <t>02.05.09</t>
  </si>
  <si>
    <t>apartamento</t>
  </si>
  <si>
    <t xml:space="preserve">Execução de troca de fiação do interfone, casa, difícil execução.
Está incluso: Substituição da fiação, correção em conexões, teste de funcionamento e limpeza do local.
Observação: É importante mencionar que, após concluir essa etapa, poderemos descobrir que o aparelho de interne esteja danificado,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circuíto de interfone confiável e eficaz, e estamos comprometidos em fornecer serviços de alta qualidade a um preço justo.
</t>
  </si>
  <si>
    <t>troca de fiação do interfone, apartamento</t>
  </si>
  <si>
    <t>7XZN3sdwYFivdYL4XQDGWw</t>
  </si>
  <si>
    <t>Troca de fiação do interfone, apartamento</t>
  </si>
  <si>
    <t>02.06</t>
  </si>
  <si>
    <t>Ventilador De Teto</t>
  </si>
  <si>
    <t>QapSTmmHmMmQjqXk7NCd1U</t>
  </si>
  <si>
    <t>02.06.01</t>
  </si>
  <si>
    <t xml:space="preserve">Troca de ventilador </t>
  </si>
  <si>
    <t>Necessídade de substituição do ventilador</t>
  </si>
  <si>
    <t xml:space="preserve">Execução de troca de ventilador , padrão simples.
Está incluso: Substituição do aparelho de ventilação,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</si>
  <si>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Substituição do aparelho de ventilação, teste de funcionamento e limpeza do local</t>
  </si>
  <si>
    <t>troca de ventilador , padrão simples</t>
  </si>
  <si>
    <t>sistema de ventilação</t>
  </si>
  <si>
    <t>QR7MNsBqXV2NA4am6i3gyt</t>
  </si>
  <si>
    <t>Troca de ventilador , padrão simples</t>
  </si>
  <si>
    <t>02.06.02</t>
  </si>
  <si>
    <t xml:space="preserve">Execução de troca de ventilador , padrão normal.
Está incluso: Substituição do aparelho de ventilação,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</si>
  <si>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troca de ventilador , padrão normal</t>
  </si>
  <si>
    <t>7iZfQm6i5ThHQ5BJcjSKbL</t>
  </si>
  <si>
    <t>Troca de ventilador , padrão normal</t>
  </si>
  <si>
    <t>02.06.03</t>
  </si>
  <si>
    <t xml:space="preserve">Execução de troca de ventilador , padrão premium.
Está incluso: Substituição do aparelho de ventilação,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</si>
  <si>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troca de ventilador , padrão premium</t>
  </si>
  <si>
    <t>8HXX11unL9SfyULX6mUdfv</t>
  </si>
  <si>
    <t>Troca de ventilador , padrão premium</t>
  </si>
  <si>
    <t>02.06.04</t>
  </si>
  <si>
    <t>Troca de capacitor</t>
  </si>
  <si>
    <t>ventilador</t>
  </si>
  <si>
    <t xml:space="preserve">Execução de troca de capacitor, ventilador.
Está incluso: Troca de peça,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</si>
  <si>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troca de capacitor, ventilador</t>
  </si>
  <si>
    <t>UMfFjUb9ohpsLgLaEmHDvJ</t>
  </si>
  <si>
    <t>Troca de capacitor, ventilador</t>
  </si>
  <si>
    <t>02.06.05</t>
  </si>
  <si>
    <t>Troca de interruptor (chave de comando)</t>
  </si>
  <si>
    <t xml:space="preserve">Execução de troca de interruptor (chave de comando), ventilador.
Está incluso: Troca de peça,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</si>
  <si>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troca de interruptor (chave de comando), ventilador</t>
  </si>
  <si>
    <t>B5JoUydDiDeaPKqo1gePP6</t>
  </si>
  <si>
    <t>Troca de interruptor (chave de comando), ventilador</t>
  </si>
  <si>
    <t>02.06.06</t>
  </si>
  <si>
    <t>Troca de controle remoto</t>
  </si>
  <si>
    <t xml:space="preserve">Execução de troca de controle remoto, ventilador.
Está incluso: Troca de peça, teste de funcionamento e limpeza do local.
Observação: É importante mencionar que, após concluir essa etapa, poderemos descobrir que a fiação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sistema de ventilação confiável e eficaz, e estamos comprometidos em fornecer serviços de alta qualidade a um preço justo.
</t>
  </si>
  <si>
    <t>troca de controle remoto, ventilador</t>
  </si>
  <si>
    <t>Gn4HXLUYYbieh9662u8UTb</t>
  </si>
  <si>
    <t>Troca de controle remoto, ventilador</t>
  </si>
  <si>
    <t>02.06.07</t>
  </si>
  <si>
    <t>Troca de paleta do ventilador</t>
  </si>
  <si>
    <t>Execução de troca de paleta do ventilador.
Está incluso: Troca de peça, teste de funcionamento e limpeza do local.</t>
  </si>
  <si>
    <t>troca de paleta do ventilador</t>
  </si>
  <si>
    <t>JBtPRTT68mCUahbxhiHVk2</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</si>
  <si>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</si>
  <si>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</si>
  <si>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</si>
  <si>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</si>
  <si>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03</t>
  </si>
  <si>
    <t>Vidros E Esquadrias</t>
  </si>
  <si>
    <t>3QsCvUy3pN8CTHoMf1sHNE</t>
  </si>
  <si>
    <t>03.01</t>
  </si>
  <si>
    <t>Box</t>
  </si>
  <si>
    <t>21xcTzaYnu6z626HfT2Z3f</t>
  </si>
  <si>
    <t>03.01.01</t>
  </si>
  <si>
    <t>Fornecimento e instalação de folha de box</t>
  </si>
  <si>
    <t>material acrilico</t>
  </si>
  <si>
    <t>incluso peças necessárias, vedação, e limpeza</t>
  </si>
  <si>
    <t>fornecimento e instalação de folha de box, material acrilico, incluso peças necessárias, vedação, e limpeza</t>
  </si>
  <si>
    <t>JhKcZWSyPasCrkkSLrkscY</t>
  </si>
  <si>
    <t>Fornecimento e instalação de folha de box, material acrilico, incluso peças necessárias, vedação, e limpeza</t>
  </si>
  <si>
    <t>03.01.02</t>
  </si>
  <si>
    <t>material vidro</t>
  </si>
  <si>
    <t>fornecimento e instalação de folha de box, material vidro, incluso peças necessárias, vedação, e limpeza</t>
  </si>
  <si>
    <t>47KHSYmwwbWR2QS2JV5Ay5</t>
  </si>
  <si>
    <t>Fornecimento e instalação de folha de box, material vidro, incluso peças necessárias, vedação, e limpeza</t>
  </si>
  <si>
    <t>03.01.03</t>
  </si>
  <si>
    <t>Troca de guia do trilho do box</t>
  </si>
  <si>
    <t>incluso ajuste, vedação, e limpeza</t>
  </si>
  <si>
    <t>troca de guia do trilho do box, material plástico, incluso ajuste, vedação, e limpeza</t>
  </si>
  <si>
    <t>L1NHy4outAM6PofGtRiJsn</t>
  </si>
  <si>
    <t>Troca de guia do trilho do box, material plástico, incluso ajuste, vedação, e limpeza</t>
  </si>
  <si>
    <t>03.01.04</t>
  </si>
  <si>
    <t>troca de guia do trilho do box, material metálico, incluso ajuste, vedação, e limpeza</t>
  </si>
  <si>
    <t>Troca de guia do trilho do box, material metálico, incluso ajuste, vedação, e limpeza</t>
  </si>
  <si>
    <t>03.01.05</t>
  </si>
  <si>
    <t>Troca de roldana do box</t>
  </si>
  <si>
    <t>por folha</t>
  </si>
  <si>
    <t>troca de roldana do box, incluso ajuste, vedação, e limpeza, por folha</t>
  </si>
  <si>
    <t>6UgbNxn6pSt8HsGovGtfoF</t>
  </si>
  <si>
    <t>Troca de roldana do box, incluso ajuste, vedação, e limpeza, por folha</t>
  </si>
  <si>
    <t>03.01.06</t>
  </si>
  <si>
    <t>Troca de puxador do box</t>
  </si>
  <si>
    <t>troca de puxador do box, material plástico</t>
  </si>
  <si>
    <t>https://www.leroymerlin.com.br/puxador-para-box-de-banheiro-abs-branco_1566952087</t>
  </si>
  <si>
    <t>Zh4MVUnFQhtGdesGPkGUF</t>
  </si>
  <si>
    <t>Troca de puxador do box, material plástico</t>
  </si>
  <si>
    <t>03.01.07</t>
  </si>
  <si>
    <t>Reparo na vedação dos perfis do box com pu</t>
  </si>
  <si>
    <t>Reparos necessários, teste de funcionamento e limpeza do local</t>
  </si>
  <si>
    <t>reparo na vedação dos perfis do box com pu</t>
  </si>
  <si>
    <t>Jyu8QerqqkEKtCAYQ966Uq</t>
  </si>
  <si>
    <t>03.01.08</t>
  </si>
  <si>
    <t>Troca de dobradiça do box</t>
  </si>
  <si>
    <t>o par</t>
  </si>
  <si>
    <t>troca de dobradiça do box, o par, por folha</t>
  </si>
  <si>
    <t>LXRmhHrwN28xCoE7bBoAt5</t>
  </si>
  <si>
    <t>Troca de dobradiça do box, o par, por folha</t>
  </si>
  <si>
    <t>03.01.09</t>
  </si>
  <si>
    <t>Troca de perfis do box</t>
  </si>
  <si>
    <t>material aluminio</t>
  </si>
  <si>
    <t>troca de perfis do box, material aluminio</t>
  </si>
  <si>
    <t>Troca de perfis do box, material aluminio</t>
  </si>
  <si>
    <t>03.01.10</t>
  </si>
  <si>
    <t>Troca completa de box reto</t>
  </si>
  <si>
    <t>Remoção, instalação, teste de funcionamento e limpeza do local</t>
  </si>
  <si>
    <t>troca completa de box reto, material vidro</t>
  </si>
  <si>
    <t>Troca completa de box reto, material vidro</t>
  </si>
  <si>
    <t>03.01.11</t>
  </si>
  <si>
    <t>Troca completa de box canto</t>
  </si>
  <si>
    <t>troca completa de box canto, material vidro</t>
  </si>
  <si>
    <t>Troca completa de box canto, material vidro</t>
  </si>
  <si>
    <t>03.01.12</t>
  </si>
  <si>
    <t>troca completa de box reto, material acrilico</t>
  </si>
  <si>
    <t>Troca completa de box reto, material acrilico</t>
  </si>
  <si>
    <t>03.01.13</t>
  </si>
  <si>
    <t>troca completa de box canto, material acrilico</t>
  </si>
  <si>
    <t>Troca completa de box canto, material acrilico</t>
  </si>
  <si>
    <t>03.02</t>
  </si>
  <si>
    <t>Espelho</t>
  </si>
  <si>
    <t>657Y4j4p5vohUTyUJhXaxq</t>
  </si>
  <si>
    <t>03.02.02</t>
  </si>
  <si>
    <t>Troca de espelho</t>
  </si>
  <si>
    <t>lapidado</t>
  </si>
  <si>
    <t>até 0.50 m2</t>
  </si>
  <si>
    <t>troca de espelho, lapidado, até 0.50 m2</t>
  </si>
  <si>
    <t>65EX38uvmMrafGQLuxJEfz</t>
  </si>
  <si>
    <t>Troca de espelho, lapidado, até 0.50 m2</t>
  </si>
  <si>
    <t>03.02.03</t>
  </si>
  <si>
    <t>até 1.00 m2</t>
  </si>
  <si>
    <t>troca de espelho, lapidado, até 1.00 m2</t>
  </si>
  <si>
    <t>Troca de espelho, lapidado, até 1.00 m2</t>
  </si>
  <si>
    <t>03.02.04</t>
  </si>
  <si>
    <t>até 1.50 m2</t>
  </si>
  <si>
    <t>troca de espelho, lapidado, até 1.50 m2</t>
  </si>
  <si>
    <t>Troca de espelho, lapidado, até 1.50 m2</t>
  </si>
  <si>
    <t>03.02.05</t>
  </si>
  <si>
    <t>até 2.00 m2</t>
  </si>
  <si>
    <t>troca de espelho, lapidado, até 2.00 m2</t>
  </si>
  <si>
    <t>Troca de espelho, lapidado, até 2.00 m2</t>
  </si>
  <si>
    <t>03.03</t>
  </si>
  <si>
    <t>Vidro</t>
  </si>
  <si>
    <t>5VdUNjG7DwNQbY6KDp1NdT</t>
  </si>
  <si>
    <t>03.03.01</t>
  </si>
  <si>
    <t>Troca de vidro comum</t>
  </si>
  <si>
    <t>incluso limpeza, fixação e vedação necessária</t>
  </si>
  <si>
    <t>troca de vidro comum, 4mm, até 0.50 m2, incluso limpeza, fixação e vedação necessária</t>
  </si>
  <si>
    <t>RJZ7ZYhhV2eHKPrfE8NDw1</t>
  </si>
  <si>
    <t>Troca de vidro comum, 4mm, até 0.50 m2, incluso limpeza, fixação e vedação necessária</t>
  </si>
  <si>
    <t>03.03.02</t>
  </si>
  <si>
    <t>Troca de vidro comum com pelicula</t>
  </si>
  <si>
    <t>troca de vidro comum com pelicula, 4mm, até 0.50 m2, incluso limpeza, fixação e vedação necessária</t>
  </si>
  <si>
    <t>Troca de vidro comum com pelicula, 4mm, até 0.50 m2, incluso limpeza, fixação e vedação necessária</t>
  </si>
  <si>
    <t>03.03.03</t>
  </si>
  <si>
    <t>troca de vidro comum, 4mm, até 1.00 m2, incluso limpeza, fixação e vedação necessária</t>
  </si>
  <si>
    <t>Troca de vidro comum, 4mm, até 1.00 m2, incluso limpeza, fixação e vedação necessária</t>
  </si>
  <si>
    <t>03.03.04</t>
  </si>
  <si>
    <t>troca de vidro comum com pelicula, 4mm, até 1.00 m2, incluso limpeza, fixação e vedação necessária</t>
  </si>
  <si>
    <t>Troca de vidro comum com pelicula, 4mm, até 1.00 m2, incluso limpeza, fixação e vedação necessária</t>
  </si>
  <si>
    <t>03.03.05</t>
  </si>
  <si>
    <t>troca de vidro comum, 6mm, até 0.50 m2, incluso limpeza, fixação e vedação necessária</t>
  </si>
  <si>
    <t>4ZYVozfPEGUW519Wb37gGQ</t>
  </si>
  <si>
    <t>Troca de vidro comum, 6mm, até 0.50 m2, incluso limpeza, fixação e vedação necessária</t>
  </si>
  <si>
    <t>03.03.06</t>
  </si>
  <si>
    <t>troca de vidro comum com pelicula, 6mm, até 0.50 m2, incluso limpeza, fixação e vedação necessária</t>
  </si>
  <si>
    <t>Troca de vidro comum com pelicula, 6mm, até 0.50 m2, incluso limpeza, fixação e vedação necessária</t>
  </si>
  <si>
    <t>03.03.07</t>
  </si>
  <si>
    <t>troca de vidro comum, 6mm, até 1.00 m2, incluso limpeza, fixação e vedação necessária</t>
  </si>
  <si>
    <t>NhpkgTE6RpPVemfF9dbD9W</t>
  </si>
  <si>
    <t>Troca de vidro comum, 6mm, até 1.00 m2, incluso limpeza, fixação e vedação necessária</t>
  </si>
  <si>
    <t>03.03.08</t>
  </si>
  <si>
    <t>troca de vidro comum com pelicula, 6mm, até 1.00 m2, incluso limpeza, fixação e vedação necessária</t>
  </si>
  <si>
    <t>Troca de vidro comum com pelicula, 6mm, até 1.00 m2, incluso limpeza, fixação e vedação necessária</t>
  </si>
  <si>
    <t>03.03.09</t>
  </si>
  <si>
    <t>Fixação de vidro utilizando massa de vidraceiro</t>
  </si>
  <si>
    <t>fixação de vidro utilizando massa de vidraceiro, por folha</t>
  </si>
  <si>
    <t>Fixação de vidro utilizando massa de vidraceiro, por folha</t>
  </si>
  <si>
    <t>03.03.10</t>
  </si>
  <si>
    <t>Troca de vidro laminado em fachadas e janelas de prédios.</t>
  </si>
  <si>
    <t>incolor</t>
  </si>
  <si>
    <t>troca de vidro laminado em fachadas e janelas de prédios., 6mm, até 0.50 m2, incolor, incluso limpeza, fixação e vedação necessária</t>
  </si>
  <si>
    <t>Troca de vidro laminado em fachadas e janelas de prédios., 6mm, até 0.50 m2, incolor, incluso limpeza, fixação e vedação necessária</t>
  </si>
  <si>
    <t>03.03.11</t>
  </si>
  <si>
    <t>troca de vidro laminado em fachadas e janelas de prédios., 6mm, até 1.00 m2, incolor, incluso limpeza, fixação e vedação necessária</t>
  </si>
  <si>
    <t>Troca de vidro laminado em fachadas e janelas de prédios., 6mm, até 1.00 m2, incolor, incluso limpeza, fixação e vedação necessária</t>
  </si>
  <si>
    <t>03.03.12</t>
  </si>
  <si>
    <t>8mm</t>
  </si>
  <si>
    <t>troca de vidro laminado em fachadas e janelas de prédios., 8mm, até 0.50 m2, incolor, incluso limpeza, fixação e vedação necessária</t>
  </si>
  <si>
    <t>Troca de vidro laminado em fachadas e janelas de prédios., 8mm, até 0.50 m2, incolor, incluso limpeza, fixação e vedação necessária</t>
  </si>
  <si>
    <t>03.03.13</t>
  </si>
  <si>
    <t>troca de vidro laminado em fachadas e janelas de prédios., 8mm, até 1.00 m2, incolor, incluso limpeza, fixação e vedação necessária</t>
  </si>
  <si>
    <t>Troca de vidro laminado em fachadas e janelas de prédios., 8mm, até 1.00 m2, incolor, incluso limpeza, fixação e vedação necessária</t>
  </si>
  <si>
    <t>03.03.14</t>
  </si>
  <si>
    <t>verde ou fumê</t>
  </si>
  <si>
    <t>troca de vidro laminado em fachadas e janelas de prédios., 6mm, até 0.50 m2, verde ou fumê, incluso limpeza, fixação e vedação necessária</t>
  </si>
  <si>
    <t>Troca de vidro laminado em fachadas e janelas de prédios., 6mm, até 0.50 m2, verde ou fumê, incluso limpeza, fixação e vedação necessária</t>
  </si>
  <si>
    <t>03.03.15</t>
  </si>
  <si>
    <t>troca de vidro laminado em fachadas e janelas de prédios., 6mm, até 1.00 m2, verde ou fumê, incluso limpeza, fixação e vedação necessária</t>
  </si>
  <si>
    <t>Troca de vidro laminado em fachadas e janelas de prédios., 6mm, até 1.00 m2, verde ou fumê, incluso limpeza, fixação e vedação necessária</t>
  </si>
  <si>
    <t>03.03.16</t>
  </si>
  <si>
    <t>troca de vidro laminado em fachadas e janelas de prédios., 8mm, até 0.50 m2, verde ou fumê, incluso limpeza, fixação e vedação necessária</t>
  </si>
  <si>
    <t>Troca de vidro laminado em fachadas e janelas de prédios., 8mm, até 0.50 m2, verde ou fumê, incluso limpeza, fixação e vedação necessária</t>
  </si>
  <si>
    <t>03.03.17</t>
  </si>
  <si>
    <t>troca de vidro laminado em fachadas e janelas de prédios., 8mm, até 1.00 m2, verde ou fumê, incluso limpeza, fixação e vedação necessária</t>
  </si>
  <si>
    <t>Troca de vidro laminado em fachadas e janelas de prédios., 8mm, até 1.00 m2, verde ou fumê, incluso limpeza, fixação e vedação necessária</t>
  </si>
  <si>
    <t>03.04</t>
  </si>
  <si>
    <t>Porta De Vidro</t>
  </si>
  <si>
    <t>QX426jwPALPxwkfUYyx6kt</t>
  </si>
  <si>
    <t>03.04.01</t>
  </si>
  <si>
    <t>Troca de mola para porta de vidro</t>
  </si>
  <si>
    <t>tipo giro</t>
  </si>
  <si>
    <t>troca de mola para porta de vidro, tipo giro</t>
  </si>
  <si>
    <t>QroUzweEzMcreyRNhkCxSK</t>
  </si>
  <si>
    <t>Troca de mola para porta de vidro, tipo giro</t>
  </si>
  <si>
    <t>03.04.02</t>
  </si>
  <si>
    <t>Troca de dobradiças para porta de vidro</t>
  </si>
  <si>
    <t>troca de dobradiças para porta de vidro, tipo giro</t>
  </si>
  <si>
    <t>Troca de dobradiças para porta de vidro, tipo giro</t>
  </si>
  <si>
    <t>03.04.03</t>
  </si>
  <si>
    <t>Troca de fechadura para porta de vidro</t>
  </si>
  <si>
    <t>sem maçaneta</t>
  </si>
  <si>
    <t>troca de fechadura para porta de vidro, tipo giro, sem maçaneta</t>
  </si>
  <si>
    <t>Troca de fechadura para porta de vidro, tipo giro, sem maçaneta</t>
  </si>
  <si>
    <t>03.04.04</t>
  </si>
  <si>
    <t>Fornecimento e instalação de folha de vidro para porta</t>
  </si>
  <si>
    <t>incluso ferragens necessárias, regulagem e limpeza</t>
  </si>
  <si>
    <t>fornecimento e instalação de folha de vidro para porta, tipo giro, até 1.50 m2, incluso ferragens necessárias, regulagem e limpeza, por folha</t>
  </si>
  <si>
    <t>Fornecimento e instalação de folha de vidro para porta, tipo giro, até 1.50 m2, incluso ferragens necessárias, regulagem e limpeza, por folha</t>
  </si>
  <si>
    <t>03.04.05</t>
  </si>
  <si>
    <t>fornecimento e instalação de folha de vidro para porta, tipo giro, até 2.00 m2, incluso ferragens necessárias, regulagem e limpeza, por folha</t>
  </si>
  <si>
    <t>Fornecimento e instalação de folha de vidro para porta, tipo giro, até 2.00 m2, incluso ferragens necessárias, regulagem e limpeza, por folha</t>
  </si>
  <si>
    <t>03.04.06</t>
  </si>
  <si>
    <t>Troca de roldanas para porta de vidro de correr</t>
  </si>
  <si>
    <t>tipo stanley</t>
  </si>
  <si>
    <t>incluso limpeza, lubrificação e ajustes necessários para o funcionamento do sistema</t>
  </si>
  <si>
    <t>troca de roldanas para porta de vidro de correr, tipo stanley, incluso limpeza, lubrificação e ajustes necessários para o funcionamento do sistema, por folha</t>
  </si>
  <si>
    <t>Troca de roldanas para porta de vidro de correr, tipo stanley, incluso limpeza, lubrificação e ajustes necessários para o funcionamento do sistema, por folha</t>
  </si>
  <si>
    <t>03.04.07</t>
  </si>
  <si>
    <t>Reposição de escova em fita para vedação e proteção  da porta de vidro de correr</t>
  </si>
  <si>
    <t>reposição de escova em fita para vedação e proteção  da porta de vidro de correr, tipo stanley, incluso limpeza, lubrificação e ajustes necessários para o funcionamento do sistema, por folha</t>
  </si>
  <si>
    <t>Reposição de escova em fita para vedação e proteção  da porta de vidro de correr, tipo stanley, incluso limpeza, lubrificação e ajustes necessários para o funcionamento do sistema, por folha</t>
  </si>
  <si>
    <t>03.04.08</t>
  </si>
  <si>
    <t xml:space="preserve">Reparo da vedação e fixação com pu na folha da porta de vidro de correr </t>
  </si>
  <si>
    <t>reparo da vedação e fixação com pu na folha da porta de vidro de correr , tipo stanley, incluso limpeza, lubrificação e ajustes necessários para o funcionamento do sistema, por folha</t>
  </si>
  <si>
    <t>Reparo da vedação e fixação com pu na folha da porta de vidro de correr , tipo stanley, incluso limpeza, lubrificação e ajustes necessários para o funcionamento do sistema, por folha</t>
  </si>
  <si>
    <t>03.04.09</t>
  </si>
  <si>
    <t xml:space="preserve">Reparo da vedação com pu nos perfis da porta de vidro de correr </t>
  </si>
  <si>
    <t>sacada média</t>
  </si>
  <si>
    <t>reparo da vedação com pu nos perfis da porta de vidro de correr , tipo stanley, incluso limpeza, lubrificação e ajustes necessários para o funcionamento do sistema, sacada média</t>
  </si>
  <si>
    <t>Reparo da vedação com pu nos perfis da porta de vidro de correr , tipo stanley, incluso limpeza, lubrificação e ajustes necessários para o funcionamento do sistema, sacada média</t>
  </si>
  <si>
    <t>03.04.10</t>
  </si>
  <si>
    <t>sacada grande</t>
  </si>
  <si>
    <t>reparo da vedação com pu nos perfis da porta de vidro de correr , tipo stanley, incluso limpeza, lubrificação e ajustes necessários para o funcionamento do sistema, sacada grande</t>
  </si>
  <si>
    <t>Reparo da vedação com pu nos perfis da porta de vidro de correr , tipo stanley, incluso limpeza, lubrificação e ajustes necessários para o funcionamento do sistema, sacada grande</t>
  </si>
  <si>
    <t>03.04.11</t>
  </si>
  <si>
    <t>Reinstalação de folha da porta de vidro de correr</t>
  </si>
  <si>
    <t>incluso troca das roldanas, limpeza, lubrificação e ajustes necessários para o funcionamento do sistema</t>
  </si>
  <si>
    <t>reinstalação de folha da porta de vidro de correr, tipo stanley, incluso troca das roldanas, limpeza, lubrificação e ajustes necessários para o funcionamento do sistema, por folha</t>
  </si>
  <si>
    <t>Reinstalação de folha da porta de vidro de correr, tipo stanley, incluso troca das roldanas, limpeza, lubrificação e ajustes necessários para o funcionamento do sistema, por folha</t>
  </si>
  <si>
    <t>03.04.12</t>
  </si>
  <si>
    <t>Troca de fechadura  ou trinco para porta de vidro de correr</t>
  </si>
  <si>
    <t>troca de fechadura  ou trinco para porta de vidro de correr, tipo stanley, incluso limpeza, lubrificação e ajustes necessários para o funcionamento do sistema</t>
  </si>
  <si>
    <t>Troca de fechadura  ou trinco para porta de vidro de correr, tipo stanley, incluso limpeza, lubrificação e ajustes necessários para o funcionamento do sistema</t>
  </si>
  <si>
    <t>03.04.13</t>
  </si>
  <si>
    <t>Revisão do sistema de funcionamento da porta de vidro de correr</t>
  </si>
  <si>
    <t>não considera troca de peças</t>
  </si>
  <si>
    <t>revisão do sistema de funcionamento da porta de vidro de correr, tipo stanley, incluso limpeza, lubrificação e ajustes necessários para o funcionamento do sistema, não considera troca de peças</t>
  </si>
  <si>
    <t>Revisão do sistema de funcionamento da porta de vidro de correr, tipo stanley, incluso limpeza, lubrificação e ajustes necessários para o funcionamento do sistema, não considera troca de peças</t>
  </si>
  <si>
    <t>03.04.14</t>
  </si>
  <si>
    <t>Fornecimento e instalação de folha da porta de vidro de correr</t>
  </si>
  <si>
    <t>incluso troca das roldanas, peças necessárias, limpeza, lubrificação e ajustes necessários para o funcionamento do sistema</t>
  </si>
  <si>
    <t>fornecimento e instalação de folha da porta de vidro de correr, tipo stanley, incluso troca das roldanas, peças necessárias, limpeza, lubrificação e ajustes necessários para o funcionamento do sistema, por folha</t>
  </si>
  <si>
    <t>Fornecimento e instalação de folha da porta de vidro de correr, tipo stanley, incluso troca das roldanas, peças necessárias, limpeza, lubrificação e ajustes necessários para o funcionamento do sistema, por folha</t>
  </si>
  <si>
    <t>03.04.15</t>
  </si>
  <si>
    <t>troca de roldanas para porta de vidro de correr, tipo convencional, incluso limpeza, lubrificação e ajustes necessários para o funcionamento do sistema, por folha</t>
  </si>
  <si>
    <t>Troca de roldanas para porta de vidro de correr, tipo convencional, incluso limpeza, lubrificação e ajustes necessários para o funcionamento do sistema, por folha</t>
  </si>
  <si>
    <t>03.04.16</t>
  </si>
  <si>
    <t>reposição de escova em fita para vedação e proteção  da porta de vidro de correr, tipo convencional, incluso limpeza, lubrificação e ajustes necessários para o funcionamento do sistema, por folha</t>
  </si>
  <si>
    <t>Reposição de escova em fita para vedação e proteção  da porta de vidro de correr, tipo convencional, incluso limpeza, lubrificação e ajustes necessários para o funcionamento do sistema, por folha</t>
  </si>
  <si>
    <t>03.04.17</t>
  </si>
  <si>
    <t>reparo da vedação e fixação com pu na folha da porta de vidro de correr , tipo convencional, incluso limpeza, lubrificação e ajustes necessários para o funcionamento do sistema, por folha</t>
  </si>
  <si>
    <t>Reparo da vedação e fixação com pu na folha da porta de vidro de correr , tipo convencional, incluso limpeza, lubrificação e ajustes necessários para o funcionamento do sistema, por folha</t>
  </si>
  <si>
    <t>03.04.18</t>
  </si>
  <si>
    <t>reparo da vedação com pu nos perfis da porta de vidro de correr , tipo convencional, incluso limpeza, lubrificação e ajustes necessários para o funcionamento do sistema, sacada média</t>
  </si>
  <si>
    <t>Reparo da vedação com pu nos perfis da porta de vidro de correr , tipo convencional, incluso limpeza, lubrificação e ajustes necessários para o funcionamento do sistema, sacada média</t>
  </si>
  <si>
    <t>03.04.19</t>
  </si>
  <si>
    <t>reparo da vedação com pu nos perfis da porta de vidro de correr , tipo convencional, incluso limpeza, lubrificação e ajustes necessários para o funcionamento do sistema, sacada grande</t>
  </si>
  <si>
    <t>Reparo da vedação com pu nos perfis da porta de vidro de correr , tipo convencional, incluso limpeza, lubrificação e ajustes necessários para o funcionamento do sistema, sacada grande</t>
  </si>
  <si>
    <t>03.04.20</t>
  </si>
  <si>
    <t>reinstalação de folha da porta de vidro de correr, tipo convencional, incluso troca das roldanas, limpeza, lubrificação e ajustes necessários para o funcionamento do sistema, por folha</t>
  </si>
  <si>
    <t>Reinstalação de folha da porta de vidro de correr, tipo convencional, incluso troca das roldanas, limpeza, lubrificação e ajustes necessários para o funcionamento do sistema, por folha</t>
  </si>
  <si>
    <t>03.04.21</t>
  </si>
  <si>
    <t>troca de fechadura  ou trinco para porta de vidro de correr, tipo convencional, incluso limpeza, lubrificação e ajustes necessários para o funcionamento do sistema</t>
  </si>
  <si>
    <t>Troca de fechadura  ou trinco para porta de vidro de correr, tipo convencional, incluso limpeza, lubrificação e ajustes necessários para o funcionamento do sistema</t>
  </si>
  <si>
    <t>03.04.22</t>
  </si>
  <si>
    <t>revisão do sistema de funcionamento da porta de vidro de correr, tipo convencional, incluso limpeza, lubrificação e ajustes necessários para o funcionamento do sistema, não considera troca de peças</t>
  </si>
  <si>
    <t>Revisão do sistema de funcionamento da porta de vidro de correr, tipo convencional, incluso limpeza, lubrificação e ajustes necessários para o funcionamento do sistema, não considera troca de peças</t>
  </si>
  <si>
    <t>03.04.23</t>
  </si>
  <si>
    <t>fornecimento e instalação de folha da porta de vidro de correr, tipo convencional, incluso troca das roldanas, peças necessárias, limpeza, lubrificação e ajustes necessários para o funcionamento do sistema, por folha</t>
  </si>
  <si>
    <t>Fornecimento e instalação de folha da porta de vidro de correr, tipo convencional, incluso troca das roldanas, peças necessárias, limpeza, lubrificação e ajustes necessários para o funcionamento do sistema, por folha</t>
  </si>
  <si>
    <t>03.04.24</t>
  </si>
  <si>
    <t>com maçaneta</t>
  </si>
  <si>
    <t>troca de fechadura para porta de vidro, tipo giro, com maçaneta</t>
  </si>
  <si>
    <t>Troca de fechadura para porta de vidro, tipo giro, com maçaneta</t>
  </si>
  <si>
    <t>03.05</t>
  </si>
  <si>
    <t>Janela De Vidro</t>
  </si>
  <si>
    <t>SPB8JVgpKCBWx85PvPHkWo</t>
  </si>
  <si>
    <t>03.05.01</t>
  </si>
  <si>
    <t>Troca de dobradiças para janelas de vidro basculantes</t>
  </si>
  <si>
    <t>troca de dobradiças para janelas de vidro basculantes</t>
  </si>
  <si>
    <t>03.05.02</t>
  </si>
  <si>
    <t>Troca de trinco para janelas de vidro basculantes</t>
  </si>
  <si>
    <t>troca de trinco para janelas de vidro basculantes</t>
  </si>
  <si>
    <t>03.05.03</t>
  </si>
  <si>
    <t>Fornecimento e instalação de folha de vidro para janela de vidro basculante</t>
  </si>
  <si>
    <t>fornecimento e instalação de folha de vidro para janela de vidro basculante, até 0.50 m2, incluso ferragens necessárias, regulagem e limpeza</t>
  </si>
  <si>
    <t>Fornecimento e instalação de folha de vidro para janela de vidro basculante, até 0.50 m2, incluso ferragens necessárias, regulagem e limpeza</t>
  </si>
  <si>
    <t>03.05.04</t>
  </si>
  <si>
    <t>fornecimento e instalação de folha de vidro para janela de vidro basculante, até 1.00 m2, incluso ferragens necessárias, regulagem e limpeza</t>
  </si>
  <si>
    <t>Fornecimento e instalação de folha de vidro para janela de vidro basculante, até 1.00 m2, incluso ferragens necessárias, regulagem e limpeza</t>
  </si>
  <si>
    <t>03.05.05</t>
  </si>
  <si>
    <t>Reposição de escova em fita para vedação e proteção  da janela de vidro basculante</t>
  </si>
  <si>
    <t>reposição de escova em fita para vedação e proteção  da janela de vidro basculante</t>
  </si>
  <si>
    <t>03.05.06</t>
  </si>
  <si>
    <t>Troca de roldanas para janela de vidro de correr</t>
  </si>
  <si>
    <t>troca de roldanas para janela de vidro de correr, tipo stanley, incluso limpeza, lubrificação e ajustes necessários para o funcionamento do sistema, por folha</t>
  </si>
  <si>
    <t>Troca de roldanas para janela de vidro de correr, tipo stanley, incluso limpeza, lubrificação e ajustes necessários para o funcionamento do sistema, por folha</t>
  </si>
  <si>
    <t>03.05.07</t>
  </si>
  <si>
    <t>Reposição de escova em fita para vedação e proteção  da janela de vidro de correr</t>
  </si>
  <si>
    <t>reposição de escova em fita para vedação e proteção  da janela de vidro de correr, tipo stanley, incluso limpeza, lubrificação e ajustes necessários para o funcionamento do sistema, por folha</t>
  </si>
  <si>
    <t>Reposição de escova em fita para vedação e proteção  da janela de vidro de correr, tipo stanley, incluso limpeza, lubrificação e ajustes necessários para o funcionamento do sistema, por folha</t>
  </si>
  <si>
    <t>03.05.08</t>
  </si>
  <si>
    <t xml:space="preserve">Reparo da vedação e fixação com pu na folha da janela de vidro de correr </t>
  </si>
  <si>
    <t>reparo da vedação e fixação com pu na folha da janela de vidro de correr , tipo stanley, incluso limpeza, lubrificação e ajustes necessários para o funcionamento do sistema, por folha</t>
  </si>
  <si>
    <t>Reparo da vedação e fixação com pu na folha da janela de vidro de correr , tipo stanley, incluso limpeza, lubrificação e ajustes necessários para o funcionamento do sistema, por folha</t>
  </si>
  <si>
    <t>03.05.09</t>
  </si>
  <si>
    <t xml:space="preserve">Reparo da vedação com pu nos perfis da janela de vidro de correr </t>
  </si>
  <si>
    <t>reparo da vedação com pu nos perfis da janela de vidro de correr , tipo stanley, incluso limpeza, lubrificação e ajustes necessários para o funcionamento do sistema, sacada média</t>
  </si>
  <si>
    <t>Reparo da vedação com pu nos perfis da janela de vidro de correr , tipo stanley, incluso limpeza, lubrificação e ajustes necessários para o funcionamento do sistema, sacada média</t>
  </si>
  <si>
    <t>03.05.10</t>
  </si>
  <si>
    <t>reparo da vedação com pu nos perfis da janela de vidro de correr , tipo stanley, incluso limpeza, lubrificação e ajustes necessários para o funcionamento do sistema, sacada grande</t>
  </si>
  <si>
    <t>Reparo da vedação com pu nos perfis da janela de vidro de correr , tipo stanley, incluso limpeza, lubrificação e ajustes necessários para o funcionamento do sistema, sacada grande</t>
  </si>
  <si>
    <t>03.05.11</t>
  </si>
  <si>
    <t>Reinstalação de folha da janela de vidro de correr</t>
  </si>
  <si>
    <t>reinstalação de folha da janela de vidro de correr, tipo stanley, incluso troca das roldanas, limpeza, lubrificação e ajustes necessários para o funcionamento do sistema, por folha</t>
  </si>
  <si>
    <t>Reinstalação de folha da janela de vidro de correr, tipo stanley, incluso troca das roldanas, limpeza, lubrificação e ajustes necessários para o funcionamento do sistema, por folha</t>
  </si>
  <si>
    <t>03.05.12</t>
  </si>
  <si>
    <t>Troca de fechadura  ou trinco para janela de vidro de correr</t>
  </si>
  <si>
    <t>troca de fechadura  ou trinco para janela de vidro de correr, tipo stanley, incluso limpeza, lubrificação e ajustes necessários para o funcionamento do sistema</t>
  </si>
  <si>
    <t>Troca de fechadura  ou trinco para janela de vidro de correr, tipo stanley, incluso limpeza, lubrificação e ajustes necessários para o funcionamento do sistema</t>
  </si>
  <si>
    <t>03.05.13</t>
  </si>
  <si>
    <t>Revisão do sistema de funcionamento da janela de vidro de correr</t>
  </si>
  <si>
    <t>revisão do sistema de funcionamento da janela de vidro de correr, tipo stanley, incluso limpeza, lubrificação e ajustes necessários para o funcionamento do sistema, não considera troca de peças</t>
  </si>
  <si>
    <t>Revisão do sistema de funcionamento da janela de vidro de correr, tipo stanley, incluso limpeza, lubrificação e ajustes necessários para o funcionamento do sistema, não considera troca de peças</t>
  </si>
  <si>
    <t>03.05.14</t>
  </si>
  <si>
    <t>Fornecimento e instalação de folha da janela de vidro de correr</t>
  </si>
  <si>
    <t>fornecimento e instalação de folha da janela de vidro de correr, tipo stanley, incluso troca das roldanas, peças necessárias, limpeza, lubrificação e ajustes necessários para o funcionamento do sistema, por folha</t>
  </si>
  <si>
    <t>Fornecimento e instalação de folha da janela de vidro de correr, tipo stanley, incluso troca das roldanas, peças necessárias, limpeza, lubrificação e ajustes necessários para o funcionamento do sistema, por folha</t>
  </si>
  <si>
    <t>03.05.15</t>
  </si>
  <si>
    <t>troca de roldanas para janela de vidro de correr, tipo convencional, incluso limpeza, lubrificação e ajustes necessários para o funcionamento do sistema, por folha</t>
  </si>
  <si>
    <t>Troca de roldanas para janela de vidro de correr, tipo convencional, incluso limpeza, lubrificação e ajustes necessários para o funcionamento do sistema, por folha</t>
  </si>
  <si>
    <t>03.05.16</t>
  </si>
  <si>
    <t>reposição de escova em fita para vedação e proteção  da janela de vidro de correr, tipo convencional, incluso limpeza, lubrificação e ajustes necessários para o funcionamento do sistema, por folha</t>
  </si>
  <si>
    <t>Reposição de escova em fita para vedação e proteção  da janela de vidro de correr, tipo convencional, incluso limpeza, lubrificação e ajustes necessários para o funcionamento do sistema, por folha</t>
  </si>
  <si>
    <t>03.05.17</t>
  </si>
  <si>
    <t>reparo da vedação e fixação com pu na folha da janela de vidro de correr , tipo convencional, incluso limpeza, lubrificação e ajustes necessários para o funcionamento do sistema, por folha</t>
  </si>
  <si>
    <t>Reparo da vedação e fixação com pu na folha da janela de vidro de correr , tipo convencional, incluso limpeza, lubrificação e ajustes necessários para o funcionamento do sistema, por folha</t>
  </si>
  <si>
    <t>03.05.18</t>
  </si>
  <si>
    <t>reparo da vedação com pu nos perfis da janela de vidro de correr , tipo convencional, incluso limpeza, lubrificação e ajustes necessários para o funcionamento do sistema, sacada média</t>
  </si>
  <si>
    <t>Reparo da vedação com pu nos perfis da janela de vidro de correr , tipo convencional, incluso limpeza, lubrificação e ajustes necessários para o funcionamento do sistema, sacada média</t>
  </si>
  <si>
    <t>03.05.19</t>
  </si>
  <si>
    <t>reparo da vedação com pu nos perfis da janela de vidro de correr , tipo convencional, incluso limpeza, lubrificação e ajustes necessários para o funcionamento do sistema, sacada grande</t>
  </si>
  <si>
    <t>Reparo da vedação com pu nos perfis da janela de vidro de correr , tipo convencional, incluso limpeza, lubrificação e ajustes necessários para o funcionamento do sistema, sacada grande</t>
  </si>
  <si>
    <t>03.05.20</t>
  </si>
  <si>
    <t>reinstalação de folha da janela de vidro de correr, tipo convencional, incluso troca das roldanas, limpeza, lubrificação e ajustes necessários para o funcionamento do sistema, por folha</t>
  </si>
  <si>
    <t>Reinstalação de folha da janela de vidro de correr, tipo convencional, incluso troca das roldanas, limpeza, lubrificação e ajustes necessários para o funcionamento do sistema, por folha</t>
  </si>
  <si>
    <t>03.05.21</t>
  </si>
  <si>
    <t>troca de fechadura  ou trinco para janela de vidro de correr, tipo convencional, incluso limpeza, lubrificação e ajustes necessários para o funcionamento do sistema</t>
  </si>
  <si>
    <t>Troca de fechadura  ou trinco para janela de vidro de correr, tipo convencional, incluso limpeza, lubrificação e ajustes necessários para o funcionamento do sistema</t>
  </si>
  <si>
    <t>03.05.22</t>
  </si>
  <si>
    <t>revisão do sistema de funcionamento da janela de vidro de correr, tipo convencional, incluso limpeza, lubrificação e ajustes necessários para o funcionamento do sistema, não considera troca de peças</t>
  </si>
  <si>
    <t>Revisão do sistema de funcionamento da janela de vidro de correr, tipo convencional, incluso limpeza, lubrificação e ajustes necessários para o funcionamento do sistema, não considera troca de peças</t>
  </si>
  <si>
    <t>03.05.23</t>
  </si>
  <si>
    <t>fornecimento e instalação de folha da janela de vidro de correr, tipo convencional, incluso troca das roldanas, peças necessárias, limpeza, lubrificação e ajustes necessários para o funcionamento do sistema, por folha</t>
  </si>
  <si>
    <t>Fornecimento e instalação de folha da janela de vidro de correr, tipo convencional, incluso troca das roldanas, peças necessárias, limpeza, lubrificação e ajustes necessários para o funcionamento do sistema, por folha</t>
  </si>
  <si>
    <t>03.06</t>
  </si>
  <si>
    <t>Sacada De Vidro</t>
  </si>
  <si>
    <t>EbZDYfGfGd5rsaVCagXEm1</t>
  </si>
  <si>
    <t>03.06.01</t>
  </si>
  <si>
    <t>Troca de roldanas para sacada</t>
  </si>
  <si>
    <t>tipo reiki</t>
  </si>
  <si>
    <t>troca de roldanas para sacada, tipo reiki, incluso limpeza, lubrificação e ajustes necessários para o funcionamento do sistema, por folha</t>
  </si>
  <si>
    <t>Troca de roldanas para sacada, tipo reiki, incluso limpeza, lubrificação e ajustes necessários para o funcionamento do sistema, por folha</t>
  </si>
  <si>
    <t>03.06.02</t>
  </si>
  <si>
    <t>Reposição de escova em fita para vedação e proteção  da sacada</t>
  </si>
  <si>
    <t>reposição de escova em fita para vedação e proteção  da sacada, tipo reiki, incluso limpeza, lubrificação e ajustes necessários para o funcionamento do sistema, por folha</t>
  </si>
  <si>
    <t>Reposição de escova em fita para vedação e proteção  da sacada, tipo reiki, incluso limpeza, lubrificação e ajustes necessários para o funcionamento do sistema, por folha</t>
  </si>
  <si>
    <t>03.06.03</t>
  </si>
  <si>
    <t xml:space="preserve">Reparo da vedação e fixação com pu na folha de vidro da sacada </t>
  </si>
  <si>
    <t>reparo da vedação e fixação com pu na folha de vidro da sacada , tipo reiki, incluso limpeza, lubrificação e ajustes necessários para o funcionamento do sistema, por folha</t>
  </si>
  <si>
    <t>Reparo da vedação e fixação com pu na folha de vidro da sacada , tipo reiki, incluso limpeza, lubrificação e ajustes necessários para o funcionamento do sistema, por folha</t>
  </si>
  <si>
    <t>03.06.04</t>
  </si>
  <si>
    <t xml:space="preserve">Reparo da vedação com pu nos perfis da sacada </t>
  </si>
  <si>
    <t>reparo da vedação com pu nos perfis da sacada , tipo reiki, incluso limpeza, lubrificação e ajustes necessários para o funcionamento do sistema, sacada média</t>
  </si>
  <si>
    <t>Reparo da vedação com pu nos perfis da sacada , tipo reiki, incluso limpeza, lubrificação e ajustes necessários para o funcionamento do sistema, sacada média</t>
  </si>
  <si>
    <t>03.06.05</t>
  </si>
  <si>
    <t>reparo da vedação com pu nos perfis da sacada , tipo reiki, incluso limpeza, lubrificação e ajustes necessários para o funcionamento do sistema, sacada grande</t>
  </si>
  <si>
    <t>Reparo da vedação com pu nos perfis da sacada , tipo reiki, incluso limpeza, lubrificação e ajustes necessários para o funcionamento do sistema, sacada grande</t>
  </si>
  <si>
    <t>03.06.06</t>
  </si>
  <si>
    <t>Reinstalação de folha de vidro da sacada</t>
  </si>
  <si>
    <t>reinstalação de folha de vidro da sacada, tipo reiki, incluso troca das roldanas, limpeza, lubrificação e ajustes necessários para o funcionamento do sistema, por folha</t>
  </si>
  <si>
    <t>Reinstalação de folha de vidro da sacada, tipo reiki, incluso troca das roldanas, limpeza, lubrificação e ajustes necessários para o funcionamento do sistema, por folha</t>
  </si>
  <si>
    <t>03.06.07</t>
  </si>
  <si>
    <t>Troca de fechadura para sacada</t>
  </si>
  <si>
    <t>troca de fechadura para sacada, tipo reiki, incluso limpeza, lubrificação e ajustes necessários para o funcionamento do sistema</t>
  </si>
  <si>
    <t>Troca de fechadura para sacada, tipo reiki, incluso limpeza, lubrificação e ajustes necessários para o funcionamento do sistema</t>
  </si>
  <si>
    <t>03.06.08</t>
  </si>
  <si>
    <t>Revisão do sistema de funcionamento da sacada</t>
  </si>
  <si>
    <t>revisão do sistema de funcionamento da sacada, tipo reiki, incluso limpeza, lubrificação e ajustes necessários para o funcionamento do sistema, não considera troca de peças</t>
  </si>
  <si>
    <t>Revisão do sistema de funcionamento da sacada, tipo reiki, incluso limpeza, lubrificação e ajustes necessários para o funcionamento do sistema, não considera troca de peças</t>
  </si>
  <si>
    <t>03.06.09</t>
  </si>
  <si>
    <t>Fornecimento e instalação de folha de vidro da sacada</t>
  </si>
  <si>
    <t>fornecimento e instalação de folha de vidro da sacada, tipo reiki, incluso troca das roldanas, peças necessárias, limpeza, lubrificação e ajustes necessários para o funcionamento do sistema, por folha</t>
  </si>
  <si>
    <t>Fornecimento e instalação de folha de vidro da sacada, tipo reiki, incluso troca das roldanas, peças necessárias, limpeza, lubrificação e ajustes necessários para o funcionamento do sistema, por folha</t>
  </si>
  <si>
    <t>03.06.10</t>
  </si>
  <si>
    <t>troca de roldanas para sacada, tipo stanley, incluso limpeza, lubrificação e ajustes necessários para o funcionamento do sistema, por folha</t>
  </si>
  <si>
    <t>Troca de roldanas para sacada, tipo stanley, incluso limpeza, lubrificação e ajustes necessários para o funcionamento do sistema, por folha</t>
  </si>
  <si>
    <t>03.06.11</t>
  </si>
  <si>
    <t>reposição de escova em fita para vedação e proteção  da sacada, tipo stanley, incluso limpeza, lubrificação e ajustes necessários para o funcionamento do sistema, por folha</t>
  </si>
  <si>
    <t>Reposição de escova em fita para vedação e proteção  da sacada, tipo stanley, incluso limpeza, lubrificação e ajustes necessários para o funcionamento do sistema, por folha</t>
  </si>
  <si>
    <t>03.06.12</t>
  </si>
  <si>
    <t>reparo da vedação e fixação com pu na folha de vidro da sacada , tipo stanley, incluso limpeza, lubrificação e ajustes necessários para o funcionamento do sistema, por folha</t>
  </si>
  <si>
    <t>Reparo da vedação e fixação com pu na folha de vidro da sacada , tipo stanley, incluso limpeza, lubrificação e ajustes necessários para o funcionamento do sistema, por folha</t>
  </si>
  <si>
    <t>03.06.13</t>
  </si>
  <si>
    <t>reparo da vedação com pu nos perfis da sacada , tipo stanley, incluso limpeza, lubrificação e ajustes necessários para o funcionamento do sistema, sacada média</t>
  </si>
  <si>
    <t>Reparo da vedação com pu nos perfis da sacada , tipo stanley, incluso limpeza, lubrificação e ajustes necessários para o funcionamento do sistema, sacada média</t>
  </si>
  <si>
    <t>03.06.14</t>
  </si>
  <si>
    <t>reparo da vedação com pu nos perfis da sacada , tipo stanley, incluso limpeza, lubrificação e ajustes necessários para o funcionamento do sistema, sacada grande</t>
  </si>
  <si>
    <t>Reparo da vedação com pu nos perfis da sacada , tipo stanley, incluso limpeza, lubrificação e ajustes necessários para o funcionamento do sistema, sacada grande</t>
  </si>
  <si>
    <t>03.06.15</t>
  </si>
  <si>
    <t>reinstalação de folha de vidro da sacada, tipo stanley, incluso troca das roldanas, limpeza, lubrificação e ajustes necessários para o funcionamento do sistema, por folha</t>
  </si>
  <si>
    <t>Reinstalação de folha de vidro da sacada, tipo stanley, incluso troca das roldanas, limpeza, lubrificação e ajustes necessários para o funcionamento do sistema, por folha</t>
  </si>
  <si>
    <t>03.06.16</t>
  </si>
  <si>
    <t>Troca de fechadura  ou trinco para sacada</t>
  </si>
  <si>
    <t>troca de fechadura  ou trinco para sacada, tipo stanley, incluso limpeza, lubrificação e ajustes necessários para o funcionamento do sistema</t>
  </si>
  <si>
    <t>Troca de fechadura  ou trinco para sacada, tipo stanley, incluso limpeza, lubrificação e ajustes necessários para o funcionamento do sistema</t>
  </si>
  <si>
    <t>03.06.17</t>
  </si>
  <si>
    <t>revisão do sistema de funcionamento da sacada, tipo stanley, incluso limpeza, lubrificação e ajustes necessários para o funcionamento do sistema, não considera troca de peças</t>
  </si>
  <si>
    <t>Revisão do sistema de funcionamento da sacada, tipo stanley, incluso limpeza, lubrificação e ajustes necessários para o funcionamento do sistema, não considera troca de peças</t>
  </si>
  <si>
    <t>03.06.18</t>
  </si>
  <si>
    <t>fornecimento e instalação de folha de vidro da sacada, tipo stanley, incluso troca das roldanas, peças necessárias, limpeza, lubrificação e ajustes necessários para o funcionamento do sistema, por folha</t>
  </si>
  <si>
    <t>Fornecimento e instalação de folha de vidro da sacada, tipo stanley, incluso troca das roldanas, peças necessárias, limpeza, lubrificação e ajustes necessários para o funcionamento do sistema, por folha</t>
  </si>
  <si>
    <t>03.06.19</t>
  </si>
  <si>
    <t>troca de roldanas para sacada, tipo convencional, incluso limpeza, lubrificação e ajustes necessários para o funcionamento do sistema, por folha</t>
  </si>
  <si>
    <t>Troca de roldanas para sacada, tipo convencional, incluso limpeza, lubrificação e ajustes necessários para o funcionamento do sistema, por folha</t>
  </si>
  <si>
    <t>03.06.20</t>
  </si>
  <si>
    <t>reposição de escova em fita para vedação e proteção  da sacada, tipo convencional, incluso limpeza, lubrificação e ajustes necessários para o funcionamento do sistema, por folha</t>
  </si>
  <si>
    <t>Reposição de escova em fita para vedação e proteção  da sacada, tipo convencional, incluso limpeza, lubrificação e ajustes necessários para o funcionamento do sistema, por folha</t>
  </si>
  <si>
    <t>03.06.21</t>
  </si>
  <si>
    <t>reparo da vedação e fixação com pu na folha de vidro da sacada , tipo convencional, incluso limpeza, lubrificação e ajustes necessários para o funcionamento do sistema, por folha</t>
  </si>
  <si>
    <t>Reparo da vedação e fixação com pu na folha de vidro da sacada , tipo convencional, incluso limpeza, lubrificação e ajustes necessários para o funcionamento do sistema, por folha</t>
  </si>
  <si>
    <t>03.06.22</t>
  </si>
  <si>
    <t>reparo da vedação com pu nos perfis da sacada , tipo convencional, incluso limpeza, lubrificação e ajustes necessários para o funcionamento do sistema, sacada média</t>
  </si>
  <si>
    <t>Reparo da vedação com pu nos perfis da sacada , tipo convencional, incluso limpeza, lubrificação e ajustes necessários para o funcionamento do sistema, sacada média</t>
  </si>
  <si>
    <t>03.06.23</t>
  </si>
  <si>
    <t>reparo da vedação com pu nos perfis da sacada , tipo convencional, incluso limpeza, lubrificação e ajustes necessários para o funcionamento do sistema, sacada grande</t>
  </si>
  <si>
    <t>Reparo da vedação com pu nos perfis da sacada , tipo convencional, incluso limpeza, lubrificação e ajustes necessários para o funcionamento do sistema, sacada grande</t>
  </si>
  <si>
    <t>03.06.24</t>
  </si>
  <si>
    <t>reinstalação de folha de vidro da sacada, tipo convencional, incluso troca das roldanas, limpeza, lubrificação e ajustes necessários para o funcionamento do sistema, por folha</t>
  </si>
  <si>
    <t>Reinstalação de folha de vidro da sacada, tipo convencional, incluso troca das roldanas, limpeza, lubrificação e ajustes necessários para o funcionamento do sistema, por folha</t>
  </si>
  <si>
    <t>03.06.25</t>
  </si>
  <si>
    <t>troca de fechadura  ou trinco para sacada, tipo convencional, incluso limpeza, lubrificação e ajustes necessários para o funcionamento do sistema</t>
  </si>
  <si>
    <t>https://www.leroymerlin.com.br/fechadura-bate-e-fecha-para-janela-de-correr-v-v-preto_1567043700</t>
  </si>
  <si>
    <t>Troca de fechadura  ou trinco para sacada, tipo convencional, incluso limpeza, lubrificação e ajustes necessários para o funcionamento do sistema</t>
  </si>
  <si>
    <t>03.06.26</t>
  </si>
  <si>
    <t>revisão do sistema de funcionamento da sacada, tipo convencional, incluso limpeza, lubrificação e ajustes necessários para o funcionamento do sistema, não considera troca de peças</t>
  </si>
  <si>
    <t>Revisão do sistema de funcionamento da sacada, tipo convencional, incluso limpeza, lubrificação e ajustes necessários para o funcionamento do sistema, não considera troca de peças</t>
  </si>
  <si>
    <t>03.06.27</t>
  </si>
  <si>
    <t>fornecimento e instalação de folha de vidro da sacada, tipo convencional, incluso troca das roldanas, peças necessárias, limpeza, lubrificação e ajustes necessários para o funcionamento do sistema, por folha</t>
  </si>
  <si>
    <t>Fornecimento e instalação de folha de vidro da sacada, tipo convencional, incluso troca das roldanas, peças necessárias, limpeza, lubrificação e ajustes necessários para o funcionamento do sistema, por folha</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</si>
  <si>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</si>
  <si>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</si>
  <si>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</si>
  <si>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</si>
  <si>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04</t>
  </si>
  <si>
    <t>Serralheria</t>
  </si>
  <si>
    <t>XebaWa2FG12EbephbVi8zf</t>
  </si>
  <si>
    <t>04.01</t>
  </si>
  <si>
    <t>Esquadrias De Alumínio</t>
  </si>
  <si>
    <t>KmvUY9Yqtc6PE8pqvbgfBF</t>
  </si>
  <si>
    <t>04.01.01</t>
  </si>
  <si>
    <t>Reposição de escova em fita para vedação e proteção em esquadria de aluminio</t>
  </si>
  <si>
    <t>reposição de escova em fita para vedação e proteção em esquadria de aluminio, incluso limpeza, lubrificação e ajustes necessários para o funcionamento do sistema, por folha</t>
  </si>
  <si>
    <t>Reposição de escova em fita para vedação e proteção em esquadria de aluminio, incluso limpeza, lubrificação e ajustes necessários para o funcionamento do sistema, por folha</t>
  </si>
  <si>
    <t>04.01.02</t>
  </si>
  <si>
    <t>Reparo da vedação e fixação com pu em esquadria de aluminio</t>
  </si>
  <si>
    <t>reparo da vedação e fixação com pu em esquadria de aluminio, incluso limpeza, lubrificação e ajustes necessários para o funcionamento do sistema, por folha</t>
  </si>
  <si>
    <t>Reparo da vedação e fixação com pu em esquadria de aluminio, incluso limpeza, lubrificação e ajustes necessários para o funcionamento do sistema, por folha</t>
  </si>
  <si>
    <t>04.01.03</t>
  </si>
  <si>
    <t>Reparo da vedação com pu no perfil de fixação entre esquadrias de alumínio e parede</t>
  </si>
  <si>
    <t>reparo da vedação com pu no perfil de fixação entre esquadrias de alumínio e parede, incluso limpeza, lubrificação e ajustes necessários para o funcionamento do sistema</t>
  </si>
  <si>
    <t>Reparo da vedação com pu no perfil de fixação entre esquadrias de alumínio e parede, incluso limpeza, lubrificação e ajustes necessários para o funcionamento do sistema</t>
  </si>
  <si>
    <t>04.01.04</t>
  </si>
  <si>
    <t>Reparo de funcionamento em esquadria de alumínio</t>
  </si>
  <si>
    <t>incluso troca de peças, limpeza e lubrificação</t>
  </si>
  <si>
    <t>reparo de funcionamento em esquadria de alumínio, incluso troca de peças, limpeza e lubrificação</t>
  </si>
  <si>
    <t>Reparo de funcionamento em esquadria de alumínio, incluso troca de peças, limpeza e lubrificação</t>
  </si>
  <si>
    <t>04.01.05</t>
  </si>
  <si>
    <t>Troca de janela de alumínio</t>
  </si>
  <si>
    <t>incluso o vidro</t>
  </si>
  <si>
    <t>troca de janela de alumínio, até 0.50 m2, incluso o vidro, padrão normal</t>
  </si>
  <si>
    <t>Tj1qUdqtdCQ5j7Uv5HXkor</t>
  </si>
  <si>
    <t>Troca de janela de alumínio, até 0.50 m2, incluso o vidro, padrão normal</t>
  </si>
  <si>
    <t>04.01.06</t>
  </si>
  <si>
    <t>troca de janela de alumínio, até 0.50 m2, incluso o vidro, padrão premium</t>
  </si>
  <si>
    <t>EVJVPuVyFAYfpcnFqwX7zH</t>
  </si>
  <si>
    <t>Troca de janela de alumínio, até 0.50 m2, incluso o vidro, padrão premium</t>
  </si>
  <si>
    <t>04.01.07</t>
  </si>
  <si>
    <t>troca de janela de alumínio, até 1.00 m2, incluso o vidro, padrão normal</t>
  </si>
  <si>
    <t>CCYWPeDyENovRsPpTMtA91</t>
  </si>
  <si>
    <t>Troca de janela de alumínio, até 1.00 m2, incluso o vidro, padrão normal</t>
  </si>
  <si>
    <t>04.01.08</t>
  </si>
  <si>
    <t>troca de janela de alumínio, até 1.00 m2, incluso o vidro, padrão premium</t>
  </si>
  <si>
    <t>Hc8WEXGuhdQ6RAxcMiFZPp</t>
  </si>
  <si>
    <t>Troca de janela de alumínio, até 1.00 m2, incluso o vidro, padrão premium</t>
  </si>
  <si>
    <t>04.01.09</t>
  </si>
  <si>
    <t>troca de janela de alumínio, até 1.50 m2, incluso o vidro, padrão normal</t>
  </si>
  <si>
    <t>JLpfr2coZHZPqsCYTGPtwi</t>
  </si>
  <si>
    <t>Troca de janela de alumínio, até 1.50 m2, incluso o vidro, padrão normal</t>
  </si>
  <si>
    <t>04.01.10</t>
  </si>
  <si>
    <t>troca de janela de alumínio, até 1.50 m2, incluso o vidro, padrão premium</t>
  </si>
  <si>
    <t>FTtpRcTC6wc31EWbSRY726</t>
  </si>
  <si>
    <t>Troca de janela de alumínio, até 1.50 m2, incluso o vidro, padrão premium</t>
  </si>
  <si>
    <t>04.01.11</t>
  </si>
  <si>
    <t>troca de janela de alumínio, até 2.00 m2, incluso o vidro, padrão normal</t>
  </si>
  <si>
    <t>9XJArkhUKnRBNvfd4FX3E9</t>
  </si>
  <si>
    <t>Troca de janela de alumínio, até 2.00 m2, incluso o vidro, padrão normal</t>
  </si>
  <si>
    <t>04.01.12</t>
  </si>
  <si>
    <t>troca de janela de alumínio, até 2.00 m2, incluso o vidro, padrão premium</t>
  </si>
  <si>
    <t>LJ4Fgw8vo77r5DojxHZJxQ</t>
  </si>
  <si>
    <t>Troca de janela de alumínio, até 2.00 m2, incluso o vidro, padrão premium</t>
  </si>
  <si>
    <t>04.01.13</t>
  </si>
  <si>
    <t>modelo pantográfica ou camarão</t>
  </si>
  <si>
    <t>troca de janela de alumínio, modelo pantográfica ou camarão, até 1.00 m2, incluso o vidro</t>
  </si>
  <si>
    <t>2wgyKv8PQwXG9A2Xp3Uyo4</t>
  </si>
  <si>
    <t>Troca de janela de alumínio, modelo pantográfica ou camarão, até 1.00 m2, incluso o vidro</t>
  </si>
  <si>
    <t>04.01.14</t>
  </si>
  <si>
    <t>troca de janela de alumínio, modelo pantográfica ou camarão, até 1.50 m2, incluso o vidro</t>
  </si>
  <si>
    <t>TvaURW1v8e2ivLtjrAFgzT</t>
  </si>
  <si>
    <t>Troca de janela de alumínio, modelo pantográfica ou camarão, até 1.50 m2, incluso o vidro</t>
  </si>
  <si>
    <t>04.01.15</t>
  </si>
  <si>
    <t>troca de janela de alumínio, modelo pantográfica ou camarão, até 2.00 m2, incluso o vidro</t>
  </si>
  <si>
    <t>PPKBFdjY8Z7shnY7A3pE2X</t>
  </si>
  <si>
    <t>Troca de janela de alumínio, modelo pantográfica ou camarão, até 2.00 m2, incluso o vidro</t>
  </si>
  <si>
    <t>04.01.16</t>
  </si>
  <si>
    <t>Troca de trilho da folha de correr</t>
  </si>
  <si>
    <t>material alumínio</t>
  </si>
  <si>
    <t>incluso regulagem e limpeza</t>
  </si>
  <si>
    <t>troca de trilho da folha de correr, material alumínio, incluso regulagem e limpeza</t>
  </si>
  <si>
    <t>Cktg2jb2pLSf8n2RJcSPhL</t>
  </si>
  <si>
    <t>Troca de trilho da folha de correr, material alumínio, incluso regulagem e limpeza</t>
  </si>
  <si>
    <t>04.01.17</t>
  </si>
  <si>
    <t>Troca de dobradiça ou haste para janela</t>
  </si>
  <si>
    <t>troca de dobradiça ou haste para janela, material alumínio, incluso regulagem e limpeza</t>
  </si>
  <si>
    <t>6NJxG95n4qVonLnTEYormv</t>
  </si>
  <si>
    <t>Troca de dobradiça ou haste para janela, material alumínio, incluso regulagem e limpeza</t>
  </si>
  <si>
    <t>04.01.18</t>
  </si>
  <si>
    <t>Reparo de portão</t>
  </si>
  <si>
    <t>até 5 pontos</t>
  </si>
  <si>
    <t>reparo de portão, material alumínio, até 5 pontos</t>
  </si>
  <si>
    <t>DkaSAoKhN2gKe8JC5JP6mX</t>
  </si>
  <si>
    <t>Reparo de portão, material alumínio, até 5 pontos</t>
  </si>
  <si>
    <t>04.01.19</t>
  </si>
  <si>
    <t>Troca completa de porta de alumínio brilhante</t>
  </si>
  <si>
    <t>modelo de giro</t>
  </si>
  <si>
    <t>sem abertura</t>
  </si>
  <si>
    <t>incluso batente, fechadura e dobradiças</t>
  </si>
  <si>
    <t>acabamento em reboco e pintura similar</t>
  </si>
  <si>
    <t>Substituição de porta de alumínio</t>
  </si>
  <si>
    <t>Execução de troca completa de porta de alumínio brilhante, modelo de giro, sem abertura, incluso batente, fechadura e dobradiças, acabamento em reboco e pintura similar.
Está incluso: retirada e descarte do conjunto de porta antigo, instalação do novo conjunto de porta, refazer acabamento similar, teste de funcionamento e limpeza do local.</t>
  </si>
  <si>
    <t>retirada e descarte do conjunto de porta antigo, instalação do novo conjunto de porta, refazer acabamento similar, teste de funcionamento e limpeza do local</t>
  </si>
  <si>
    <t>troca completa de porta de alumínio brilhante, modelo de giro, sem abertura, incluso batente, fechadura e dobradiças, acabamento em reboco e pintura similar</t>
  </si>
  <si>
    <t>https://www.leroymerlin.com.br/porta-de-aluminio-palheta-2,10-x-0,80-esquerda-linha-all-soft-cor-brilhante_1566774980</t>
  </si>
  <si>
    <t>Troca completa de porta de alumínio brilhante, modelo de giro, sem abertura, incluso batente, fechadura e dobradiças, acabamento em reboco e pintura similar</t>
  </si>
  <si>
    <t>04.01.20</t>
  </si>
  <si>
    <t>com abertura</t>
  </si>
  <si>
    <t>Execução de troca completa de porta de alumínio brilhante, modelo de giro, com abertura, incluso batente, fechadura e dobradiças, acabamento em reboco e pintura similar.
Está incluso: retirada e descarte do conjunto de porta antigo, instalação do novo conjunto de porta, refazer acabamento similar, teste de funcionamento e limpeza do local.</t>
  </si>
  <si>
    <t>troca completa de porta de alumínio brilhante, modelo de giro, com abertura, incluso batente, fechadura e dobradiças, acabamento em reboco e pintura similar</t>
  </si>
  <si>
    <t>https://www.leroymerlin.com.br/porta-de-aluminio-basculante-2,10-x-0,90-direita-linha-all-modular-cor-brilhante_1566764337</t>
  </si>
  <si>
    <t>Troca completa de porta de alumínio brilhante, modelo de giro, com abertura, incluso batente, fechadura e dobradiças, acabamento em reboco e pintura similar</t>
  </si>
  <si>
    <t>04.01.21</t>
  </si>
  <si>
    <t>veneziana</t>
  </si>
  <si>
    <t>Execução de troca completa de porta de alumínio brilhante, modelo de giro, veneziana, incluso batente, fechadura e dobradiças, acabamento em reboco e pintura similar.
Está incluso: retirada e descarte do conjunto de porta antigo, instalação do novo conjunto de porta, refazer acabamento similar, teste de funcionamento e limpeza do local.</t>
  </si>
  <si>
    <t>troca completa de porta de alumínio brilhante, modelo de giro, veneziana, incluso batente, fechadura e dobradiças, acabamento em reboco e pintura similar</t>
  </si>
  <si>
    <t>https://www.leroymerlin.com.br/porta-de-aluminio-brilhante-palheta-cmc-modular-lado-direito-2-10--a--x-0-80--l-_1566791752</t>
  </si>
  <si>
    <t>Troca completa de porta de alumínio brilhante, modelo de giro, veneziana, incluso batente, fechadura e dobradiças, acabamento em reboco e pintura similar</t>
  </si>
  <si>
    <t>04.01.22</t>
  </si>
  <si>
    <t>Troca completa de porta de alumínio pintado</t>
  </si>
  <si>
    <t>Execução de troca completa de porta de alumínio pintado, modelo de giro, sem abertura, incluso batente, fechadura e dobradiças, acabamento em reboco e pintura similar.
Está incluso: retirada e descarte do conjunto de porta antigo, instalação do novo conjunto de porta, refazer acabamento similar, teste de funcionamento e limpeza do local.</t>
  </si>
  <si>
    <t>troca completa de porta de alumínio pintado, modelo de giro, sem abertura, incluso batente, fechadura e dobradiças, acabamento em reboco e pintura similar</t>
  </si>
  <si>
    <t>https://www.leroymerlin.com.br/porta-de-aluminio-palheta-2,10-x-0,80-esquerda-linha-all-soft-cor-branco_1566787231</t>
  </si>
  <si>
    <t>Troca completa de porta de alumínio pintado, modelo de giro, sem abertura, incluso batente, fechadura e dobradiças, acabamento em reboco e pintura similar</t>
  </si>
  <si>
    <t>04.01.23</t>
  </si>
  <si>
    <t>Execução de troca completa de porta de alumínio pintado, modelo de giro, com abertura, incluso batente, fechadura e dobradiças, acabamento em reboco e pintura similar.
Está incluso: retirada e descarte do conjunto de porta antigo, instalação do novo conjunto de porta, refazer acabamento similar, teste de funcionamento e limpeza do local.</t>
  </si>
  <si>
    <t>troca completa de porta de alumínio pintado, modelo de giro, com abertura, incluso batente, fechadura e dobradiças, acabamento em reboco e pintura similar</t>
  </si>
  <si>
    <t>https://www.leroymerlin.com.br/porta-postigo-de-giro-aluminio-branco-grade-vertical-com-fechadura-2,10x0,80m-lado-esquerdo-linha-home-3a-aluminio_89361013</t>
  </si>
  <si>
    <t>Troca completa de porta de alumínio pintado, modelo de giro, com abertura, incluso batente, fechadura e dobradiças, acabamento em reboco e pintura similar</t>
  </si>
  <si>
    <t>04.01.24</t>
  </si>
  <si>
    <t>Execução de troca completa de porta de alumínio pintado, modelo de giro, veneziana, incluso batente, fechadura e dobradiças, acabamento em reboco e pintura similar.
Está incluso: retirada e descarte do conjunto de porta antigo, instalação do novo conjunto de porta, refazer acabamento similar, teste de funcionamento e limpeza do local.</t>
  </si>
  <si>
    <t>troca completa de porta de alumínio pintado, modelo de giro, veneziana, incluso batente, fechadura e dobradiças, acabamento em reboco e pintura similar</t>
  </si>
  <si>
    <t>https://www.leroymerlin.com.br/porta-veneziana-de-giro-aluminio-branco-com-fechadura-2,10x0,80m-lado-esquerdo-linha-home-3a-aluminio_89302962</t>
  </si>
  <si>
    <t>Troca completa de porta de alumínio pintado, modelo de giro, veneziana, incluso batente, fechadura e dobradiças, acabamento em reboco e pintura similar</t>
  </si>
  <si>
    <t>04.01.25</t>
  </si>
  <si>
    <t>Execução de troca completa de porta de alumínio brilhante, modelo de giro, sem abertura,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</si>
  <si>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brilhante, modelo de giro, sem abertura, incluso batente, fechadura e dobradiças, acabamento em cerâmica convencional similar</t>
  </si>
  <si>
    <t>Troca completa de porta de alumínio brilhante, modelo de giro, sem abertura, incluso batente, fechadura e dobradiças, acabamento em cerâmica convencional similar</t>
  </si>
  <si>
    <t>04.01.26</t>
  </si>
  <si>
    <t>Execução de troca completa de porta de alumínio brilhante, modelo de giro, com abertura,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</si>
  <si>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brilhante, modelo de giro, com abertura, incluso batente, fechadura e dobradiças, acabamento em cerâmica convencional similar</t>
  </si>
  <si>
    <t>Troca completa de porta de alumínio brilhante, modelo de giro, com abertura, incluso batente, fechadura e dobradiças, acabamento em cerâmica convencional similar</t>
  </si>
  <si>
    <t>04.01.27</t>
  </si>
  <si>
    <t>Execução de troca completa de porta de alumínio brilhante, modelo de giro, veneziana,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</si>
  <si>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brilhante, modelo de giro, veneziana, incluso batente, fechadura e dobradiças, acabamento em cerâmica convencional similar</t>
  </si>
  <si>
    <t>Troca completa de porta de alumínio brilhante, modelo de giro, veneziana, incluso batente, fechadura e dobradiças, acabamento em cerâmica convencional similar</t>
  </si>
  <si>
    <t>04.01.28</t>
  </si>
  <si>
    <t>Execução de troca completa de porta de alumínio pintado, modelo de giro, sem abertura,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</si>
  <si>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pintado, modelo de giro, sem abertura, incluso batente, fechadura e dobradiças, acabamento em cerâmica convencional similar</t>
  </si>
  <si>
    <t>Troca completa de porta de alumínio pintado, modelo de giro, sem abertura, incluso batente, fechadura e dobradiças, acabamento em cerâmica convencional similar</t>
  </si>
  <si>
    <t>04.01.29</t>
  </si>
  <si>
    <t>Execução de troca completa de porta de alumínio pintado, modelo de giro, com abertura,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</si>
  <si>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pintado, modelo de giro, com abertura, incluso batente, fechadura e dobradiças, acabamento em cerâmica convencional similar</t>
  </si>
  <si>
    <t>Troca completa de porta de alumínio pintado, modelo de giro, com abertura, incluso batente, fechadura e dobradiças, acabamento em cerâmica convencional similar</t>
  </si>
  <si>
    <t>04.01.30</t>
  </si>
  <si>
    <t>Execução de troca completa de porta de alumínio pintado, modelo de giro, veneziana, incluso batente, fechadura e dobradiças, acabamento em cerâmica convencional similar.
Está incluso: retirada e descarte do conjunto de porta antigo, instalação do novo conjunto de porta, refazer acabamento similar, teste de funcionamento e limpeza do local.</t>
  </si>
  <si>
    <t>troca completa de porta de alumínio pintado, modelo de giro, veneziana, incluso batente, fechadura e dobradiças, acabamento em cerâmica convencional similar</t>
  </si>
  <si>
    <t>Troca completa de porta de alumínio pintado, modelo de giro, veneziana, incluso batente, fechadura e dobradiças, acabamento em cerâmica convencional similar</t>
  </si>
  <si>
    <t>04.01.31</t>
  </si>
  <si>
    <t>Execução de troca completa de porta de alumínio brilhante, modelo de giro, sem abertura,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</si>
  <si>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brilhante, modelo de giro, sem abertura, incluso batente, fechadura e dobradiças, acabamento em cerâmica de museu similar</t>
  </si>
  <si>
    <t>Troca completa de porta de alumínio brilhante, modelo de giro, sem abertura, incluso batente, fechadura e dobradiças, acabamento em cerâmica de museu similar</t>
  </si>
  <si>
    <t>04.01.32</t>
  </si>
  <si>
    <t>Execução de troca completa de porta de alumínio brilhante, modelo de giro, com abertura,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</si>
  <si>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brilhante, modelo de giro, com abertura, incluso batente, fechadura e dobradiças, acabamento em cerâmica de museu similar</t>
  </si>
  <si>
    <t>Troca completa de porta de alumínio brilhante, modelo de giro, com abertura, incluso batente, fechadura e dobradiças, acabamento em cerâmica de museu similar</t>
  </si>
  <si>
    <t>04.01.33</t>
  </si>
  <si>
    <t>Execução de troca completa de porta de alumínio brilhante, modelo de giro, veneziana,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</si>
  <si>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brilhante, modelo de giro, veneziana, incluso batente, fechadura e dobradiças, acabamento em cerâmica de museu similar</t>
  </si>
  <si>
    <t>Troca completa de porta de alumínio brilhante, modelo de giro, veneziana, incluso batente, fechadura e dobradiças, acabamento em cerâmica de museu similar</t>
  </si>
  <si>
    <t>04.01.34</t>
  </si>
  <si>
    <t>Execução de troca completa de porta de alumínio pintado, modelo de giro, sem abertura,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</si>
  <si>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pintado, modelo de giro, sem abertura, incluso batente, fechadura e dobradiças, acabamento em cerâmica de museu similar</t>
  </si>
  <si>
    <t>Troca completa de porta de alumínio pintado, modelo de giro, sem abertura, incluso batente, fechadura e dobradiças, acabamento em cerâmica de museu similar</t>
  </si>
  <si>
    <t>04.01.35</t>
  </si>
  <si>
    <t>Execução de troca completa de porta de alumínio pintado, modelo de giro, com abertura,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</si>
  <si>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pintado, modelo de giro, com abertura, incluso batente, fechadura e dobradiças, acabamento em cerâmica de museu similar</t>
  </si>
  <si>
    <t>Troca completa de porta de alumínio pintado, modelo de giro, com abertura, incluso batente, fechadura e dobradiças, acabamento em cerâmica de museu similar</t>
  </si>
  <si>
    <t>04.01.36</t>
  </si>
  <si>
    <t>Execução de troca completa de porta de alumínio pintado, modelo de giro, veneziana, incluso batente, fechadura e dobradiças, acabamento em cerâmica de museu similar.
Está incluso: retirada e descarte do conjunto de porta antigo, instalação do novo conjunto de porta, refazer acabamento similar, teste de funcionamento e limpeza do local.</t>
  </si>
  <si>
    <t>troca completa de porta de alumínio pintado, modelo de giro, veneziana, incluso batente, fechadura e dobradiças, acabamento em cerâmica de museu similar</t>
  </si>
  <si>
    <t>Troca completa de porta de alumínio pintado, modelo de giro, veneziana, incluso batente, fechadura e dobradiças, acabamento em cerâmica de museu similar</t>
  </si>
  <si>
    <t>04.01.37</t>
  </si>
  <si>
    <t>modelo de correr</t>
  </si>
  <si>
    <t>02 folhas</t>
  </si>
  <si>
    <t>incluso batente, fechadura e roldanas</t>
  </si>
  <si>
    <t>Execução de troca completa de porta de alumínio pintado, modelo de correr, 02 folhas, incluso batente, fechadura e roldanas, acabamento em reboco e pintura similar.
Está incluso: retirada e descarte do conjunto de porta antigo, instalação do novo conjunto de porta, refazer acabamento similar, teste de funcionamento e limpeza do local.</t>
  </si>
  <si>
    <t>troca completa de porta de alumínio pintado, modelo de correr, 02 folhas, incluso batente, fechadura e roldanas, acabamento em reboco e pintura similar</t>
  </si>
  <si>
    <t>https://www.leroymerlin.com.br/porta-de-correr-sacada-2-folhas-2-10-x-1-50-branca-linha-25-com-fechadura_1566950916</t>
  </si>
  <si>
    <t>Troca completa de porta de alumínio pintado, modelo de correr, 02 folhas, incluso batente, fechadura e roldanas, acabamento em reboco e pintura similar</t>
  </si>
  <si>
    <t>04.01.38</t>
  </si>
  <si>
    <t>04 folhas</t>
  </si>
  <si>
    <t>Execução de troca completa de porta de alumínio pintado, modelo de correr, 04 folhas, incluso batente, fechadura e roldanas, acabamento em reboco e pintura similar.
Está incluso: retirada e descarte do conjunto de porta antigo, instalação do novo conjunto de porta, refazer acabamento similar, teste de funcionamento e limpeza do local.</t>
  </si>
  <si>
    <t>troca completa de porta de alumínio pintado, modelo de correr, 04 folhas, incluso batente, fechadura e roldanas, acabamento em reboco e pintura similar</t>
  </si>
  <si>
    <t>https://www.leroymerlin.com.br/porta-de-correr-sacada-4-folhas-2-10-x-2-00-branca-linha-25-com-fechadura_1566951057</t>
  </si>
  <si>
    <t>Troca completa de porta de alumínio pintado, modelo de correr, 04 folhas, incluso batente, fechadura e roldanas, acabamento em reboco e pintura similar</t>
  </si>
  <si>
    <t>04.01.39</t>
  </si>
  <si>
    <t>Troca de conjunto de roldana para porta de alumínio</t>
  </si>
  <si>
    <t>modeo de correr</t>
  </si>
  <si>
    <t>Reparo de porta de alumínio</t>
  </si>
  <si>
    <t>Execução de troca de conjunto de roldana para porta de alumínio, modeo de correr, por folha.
Está incluso: retirada e recolocação da folha de porta, substituição de peças, ajuste de funcionamento e limpeza do local.</t>
  </si>
  <si>
    <t>retirada e recolocação da folha de porta, substituição de peças, ajuste de funcionamento e limpeza do local</t>
  </si>
  <si>
    <t>troca de conjunto de roldana para porta de alumínio, modeo de correr, por folha</t>
  </si>
  <si>
    <t>Troca de conjunto de roldana para porta de alumínio, modeo de correr, por folha</t>
  </si>
  <si>
    <t>04.01.40</t>
  </si>
  <si>
    <t>Troca do fecho para porta de alumínio</t>
  </si>
  <si>
    <t>Execução de troca do fecho para porta de alumínio, modelo de correr, por folha.
Está incluso: Substituição de peças, ajuste de funcionamento e limpeza do local.</t>
  </si>
  <si>
    <t>Substituição de peças, ajuste de funcionamento e limpeza do local</t>
  </si>
  <si>
    <t>troca do fecho para porta de alumínio, modelo de correr, por folha</t>
  </si>
  <si>
    <t>https://www.leroymerlin.com.br/fecho-concha-com-chave-para-porta-balcao-branco-fec44_1568939399</t>
  </si>
  <si>
    <t>Troca do fecho para porta de alumínio, modelo de correr, por folha</t>
  </si>
  <si>
    <t>04.01.41</t>
  </si>
  <si>
    <t>Troca completa de peças para porta de alumínio</t>
  </si>
  <si>
    <t>incluso roldana, fecho e escova de vedação</t>
  </si>
  <si>
    <t>Execução de troca completa de peças para porta de alumínio, modelo de correr, por folha, incluso roldana, fecho e escova de vedação.
Está incluso: retirada e recolocação da folha de porta, substituição de peças, ajuste de funcionamento e limpeza do local.</t>
  </si>
  <si>
    <t>troca completa de peças para porta de alumínio, modelo de correr, por folha, incluso roldana, fecho e escova de vedação</t>
  </si>
  <si>
    <t>Troca completa de peças para porta de alumínio, modelo de correr, por folha, incluso roldana, fecho e escova de vedação</t>
  </si>
  <si>
    <t>04.02</t>
  </si>
  <si>
    <t>Esquadrias De Ferro</t>
  </si>
  <si>
    <t>SWndbgCebYkbHuoeCLy42v</t>
  </si>
  <si>
    <t>04.02.01</t>
  </si>
  <si>
    <t>Troca de fecho ou fechadura da janela</t>
  </si>
  <si>
    <t>troca de fecho ou fechadura da janela, material ferro, padrão normal</t>
  </si>
  <si>
    <t>JtEUVj42fgCeoWwXsebWZE</t>
  </si>
  <si>
    <t>Troca de fecho ou fechadura da janela, material ferro, padrão normal</t>
  </si>
  <si>
    <t>04.02.02</t>
  </si>
  <si>
    <t>troca de fecho ou fechadura da janela, material ferro, padrão premium</t>
  </si>
  <si>
    <t>LswcT4VpSjbogB8X5M5Awi</t>
  </si>
  <si>
    <t>Troca de fecho ou fechadura da janela, material ferro, padrão premium</t>
  </si>
  <si>
    <t>04.02.03</t>
  </si>
  <si>
    <t>Troca de conjunto das roldanas de janela</t>
  </si>
  <si>
    <t>troca de conjunto das roldanas de janela, material ferro, por folha</t>
  </si>
  <si>
    <t>Tcpof6oiZp22ND9zWe1a69</t>
  </si>
  <si>
    <t>Troca de conjunto das roldanas de janela, material ferro, por folha</t>
  </si>
  <si>
    <t>04.02.04</t>
  </si>
  <si>
    <t>Troca de vedação de janela</t>
  </si>
  <si>
    <t>troca de vedação de janela, material ferro</t>
  </si>
  <si>
    <t>A1CUaLC1cKjpiFCDitgDYW</t>
  </si>
  <si>
    <t>Troca de vedação de janela, material ferro</t>
  </si>
  <si>
    <t>04.02.05</t>
  </si>
  <si>
    <t>Troca de puxador para janela</t>
  </si>
  <si>
    <t>troca de puxador para janela, material ferro, padrão normal</t>
  </si>
  <si>
    <t>XcBdnpqmT8FN1cmkPLa8jo</t>
  </si>
  <si>
    <t>Troca de puxador para janela, material ferro, padrão normal</t>
  </si>
  <si>
    <t>04.02.06</t>
  </si>
  <si>
    <t>troca de puxador para janela, material ferro, padrão premium</t>
  </si>
  <si>
    <t>ytwDo9LTorZpH7FbL2RPD</t>
  </si>
  <si>
    <t>Troca de puxador para janela, material ferro, padrão premium</t>
  </si>
  <si>
    <t>04.02.07</t>
  </si>
  <si>
    <t>Troca de braço articulado para janela</t>
  </si>
  <si>
    <t>até 40cm</t>
  </si>
  <si>
    <t>troca de braço articulado para janela, material ferro, até 40cm, o par</t>
  </si>
  <si>
    <t>https://www.leroymerlin.com.br/braco-articulacao-para-maxim-ar-aluminio-400mm-2-pecas_90562633</t>
  </si>
  <si>
    <t>AbxAFg9Dbap3AnfhiqsH3b</t>
  </si>
  <si>
    <t>Troca de braço articulado para janela, material ferro, até 40cm, o par</t>
  </si>
  <si>
    <t>04.02.08</t>
  </si>
  <si>
    <t>Fixação de janela</t>
  </si>
  <si>
    <t>fixação de janela, material ferro</t>
  </si>
  <si>
    <t>YBGhG2dxp4L3sJc5BS8rJ2</t>
  </si>
  <si>
    <t>Fixação de janela, material ferro</t>
  </si>
  <si>
    <t>04.02.09</t>
  </si>
  <si>
    <t>Troca de dobradiça de aço para veneziana</t>
  </si>
  <si>
    <t>troca de dobradiça de aço para veneziana, material ferro</t>
  </si>
  <si>
    <t>EwNXStRSSjUP22scSw9vB9</t>
  </si>
  <si>
    <t>Troca de dobradiça de aço para veneziana, material ferro</t>
  </si>
  <si>
    <t>04.02.10</t>
  </si>
  <si>
    <t>Troca de dobradiça de latão para veneziana</t>
  </si>
  <si>
    <t>troca de dobradiça de latão para veneziana, material ferro</t>
  </si>
  <si>
    <t>BiJKC6meKJU3qATLgrRJk9</t>
  </si>
  <si>
    <t>Troca de dobradiça de latão para veneziana, material ferro</t>
  </si>
  <si>
    <t>04.02.11</t>
  </si>
  <si>
    <t xml:space="preserve">Fixação de veneziana </t>
  </si>
  <si>
    <t>fixação de veneziana , material ferro</t>
  </si>
  <si>
    <t>4McqzhjhnkTJDeZoB1bMHf</t>
  </si>
  <si>
    <t>Fixação de veneziana , material ferro</t>
  </si>
  <si>
    <t>04.02.12</t>
  </si>
  <si>
    <t>Lubrificaçao de porta ou janela pantográfica</t>
  </si>
  <si>
    <t>lubrificaçao de porta ou janela pantográfica, material ferro</t>
  </si>
  <si>
    <t>AuJpfpHRW6x6YqHRQF4m1r</t>
  </si>
  <si>
    <t>Lubrificaçao de porta ou janela pantográfica, material ferro</t>
  </si>
  <si>
    <t>04.02.13</t>
  </si>
  <si>
    <t>Troca de tela mosquiteiro para janela</t>
  </si>
  <si>
    <t>padrão 60cm x 60cm</t>
  </si>
  <si>
    <t>troca de tela mosquiteiro para janela, material ferro, padrão 60cm x 60cm</t>
  </si>
  <si>
    <t>TxQx7KjRFbj8KcSjmsepmR</t>
  </si>
  <si>
    <t>Troca de tela mosquiteiro para janela, material ferro, padrão 60cm x 60cm</t>
  </si>
  <si>
    <t>04.02.14</t>
  </si>
  <si>
    <t>padrão 100cm x 100cm</t>
  </si>
  <si>
    <t>troca de tela mosquiteiro para janela, material ferro, padrão 100cm x 100cm</t>
  </si>
  <si>
    <t>Troca de tela mosquiteiro para janela, material ferro, padrão 100cm x 100cm</t>
  </si>
  <si>
    <t>04.02.15</t>
  </si>
  <si>
    <t>padrão 120cm x 120cm</t>
  </si>
  <si>
    <t>troca de tela mosquiteiro para janela, material ferro, padrão 120cm x 120cm</t>
  </si>
  <si>
    <t>Troca de tela mosquiteiro para janela, material ferro, padrão 120cm x 120cm</t>
  </si>
  <si>
    <t>04.02.16</t>
  </si>
  <si>
    <t>padrão 150cm x 150cm</t>
  </si>
  <si>
    <t>troca de tela mosquiteiro para janela, material ferro, padrão 150cm x 150cm</t>
  </si>
  <si>
    <t>Troca de tela mosquiteiro para janela, material ferro, padrão 150cm x 150cm</t>
  </si>
  <si>
    <t>04.02.17</t>
  </si>
  <si>
    <t>Troca de tela mosquiteiro para porta</t>
  </si>
  <si>
    <t>padrão 70cm x 210cm</t>
  </si>
  <si>
    <t>troca de tela mosquiteiro para porta, material ferro, padrão 70cm x 210cm</t>
  </si>
  <si>
    <t>PopUeid3mk8zaxspWLhees</t>
  </si>
  <si>
    <t>Troca de tela mosquiteiro para porta, material ferro, padrão 70cm x 210cm</t>
  </si>
  <si>
    <t>04.02.18</t>
  </si>
  <si>
    <t>padrão 80cm x 210cm</t>
  </si>
  <si>
    <t>troca de tela mosquiteiro para porta, material ferro, padrão 80cm x 210cm</t>
  </si>
  <si>
    <t>Troca de tela mosquiteiro para porta, material ferro, padrão 80cm x 210cm</t>
  </si>
  <si>
    <t>04.02.19</t>
  </si>
  <si>
    <t>padrão 90cm x 210cm</t>
  </si>
  <si>
    <t>troca de tela mosquiteiro para porta, material ferro, padrão 90cm x 210cm</t>
  </si>
  <si>
    <t>Troca de tela mosquiteiro para porta, material ferro, padrão 90cm x 210cm</t>
  </si>
  <si>
    <t>04.02.20</t>
  </si>
  <si>
    <t>padrão 100cm x 210cm</t>
  </si>
  <si>
    <t>troca de tela mosquiteiro para porta, material ferro, padrão 100cm x 210cm</t>
  </si>
  <si>
    <t>Troca de tela mosquiteiro para porta, material ferro, padrão 100cm x 210cm</t>
  </si>
  <si>
    <t>04.02.21</t>
  </si>
  <si>
    <t>Troca de dobradiça de aço para porta</t>
  </si>
  <si>
    <t>troca de dobradiça de aço para porta, material ferro</t>
  </si>
  <si>
    <t>Wyvd3a3UxVhUQT2uxB47vB</t>
  </si>
  <si>
    <t>Troca de dobradiça de aço para porta, material ferro</t>
  </si>
  <si>
    <t>04.02.22</t>
  </si>
  <si>
    <t>Troca de dobradiça de latão para porta</t>
  </si>
  <si>
    <t>troca de dobradiça de latão para porta, material ferro</t>
  </si>
  <si>
    <t>VeqVb9UH6keizYpNsjs54K</t>
  </si>
  <si>
    <t>Troca de dobradiça de latão para porta, material ferro</t>
  </si>
  <si>
    <t>04.02.23</t>
  </si>
  <si>
    <t>Troca de conjunto das roldanas de porta</t>
  </si>
  <si>
    <t>roldanas embutidas</t>
  </si>
  <si>
    <t>troca de conjunto das roldanas de porta, material ferro, roldanas embutidas</t>
  </si>
  <si>
    <t>KkLKMTCu3327wGYhJ9mheB</t>
  </si>
  <si>
    <t>Troca de conjunto das roldanas de porta, material ferro, roldanas embutidas</t>
  </si>
  <si>
    <t>04.02.24</t>
  </si>
  <si>
    <t>roldanas aparentes</t>
  </si>
  <si>
    <t>troca de conjunto das roldanas de porta, material ferro, roldanas aparentes</t>
  </si>
  <si>
    <t>FZMupqPhajSiiLGf4YEQLE</t>
  </si>
  <si>
    <t>Troca de conjunto das roldanas de porta, material ferro, roldanas aparentes</t>
  </si>
  <si>
    <t>04.02.25</t>
  </si>
  <si>
    <t>Troca de fecho ou fechadura de porta</t>
  </si>
  <si>
    <t>troca de fecho ou fechadura de porta, padrão normal</t>
  </si>
  <si>
    <t>5C4DF3E7wbNdP31Rx9sStp</t>
  </si>
  <si>
    <t>Troca de fecho ou fechadura de porta, padrão normal</t>
  </si>
  <si>
    <t>04.02.26</t>
  </si>
  <si>
    <t>troca de fecho ou fechadura de porta, padrão premium</t>
  </si>
  <si>
    <t>AYYcS18A4ws9sKGjU2MDCG</t>
  </si>
  <si>
    <t>Troca de fecho ou fechadura de porta, padrão premium</t>
  </si>
  <si>
    <t>04.02.27</t>
  </si>
  <si>
    <t>Troca de postigo</t>
  </si>
  <si>
    <t>troca de postigo, material ferro</t>
  </si>
  <si>
    <t>PJhRuYUe3RUDQFgSCWaRH8</t>
  </si>
  <si>
    <t>Troca de postigo, material ferro</t>
  </si>
  <si>
    <t>04.02.28</t>
  </si>
  <si>
    <t>Solda de portão</t>
  </si>
  <si>
    <t>solda de portão, material ferro, até 5 pontos</t>
  </si>
  <si>
    <t>VreBx51CvDxwcy3fCWrGx1</t>
  </si>
  <si>
    <t>Solda de portão, material ferro, até 5 pontos</t>
  </si>
  <si>
    <t>04.02.29</t>
  </si>
  <si>
    <t>Troca de motor do portão</t>
  </si>
  <si>
    <t>correr</t>
  </si>
  <si>
    <t>troca de motor do portão, correr</t>
  </si>
  <si>
    <t>HuhK18fZWtaPrgh4hwYbeY</t>
  </si>
  <si>
    <t>Troca de motor do portão, correr</t>
  </si>
  <si>
    <t>04.02.30</t>
  </si>
  <si>
    <t>Troca de motor e braço de elevação do portão</t>
  </si>
  <si>
    <t>elevação</t>
  </si>
  <si>
    <t>troca de motor e braço de elevação do portão, elevação</t>
  </si>
  <si>
    <t>C22U2auM3emU73i8xN77aA</t>
  </si>
  <si>
    <t>Troca de motor e braço de elevação do portão, elevação</t>
  </si>
  <si>
    <t>04.02.31</t>
  </si>
  <si>
    <t>Troca de trilho do portão</t>
  </si>
  <si>
    <t xml:space="preserve">até 6m </t>
  </si>
  <si>
    <t xml:space="preserve">troca de trilho do portão, parafusado, até 6m </t>
  </si>
  <si>
    <t>9npcPCFaD1coJUHFL4Rn1H</t>
  </si>
  <si>
    <t xml:space="preserve">Troca de trilho do portão, parafusado, até 6m </t>
  </si>
  <si>
    <t>04.02.32</t>
  </si>
  <si>
    <t>chumbado</t>
  </si>
  <si>
    <t xml:space="preserve">troca de trilho do portão, chumbado, até 6m </t>
  </si>
  <si>
    <t>3agff9bGgEsNMD562r3jtk</t>
  </si>
  <si>
    <t xml:space="preserve">Troca de trilho do portão, chumbado, até 6m </t>
  </si>
  <si>
    <t>04.02.33</t>
  </si>
  <si>
    <t>Troca de placa do motor do portão</t>
  </si>
  <si>
    <t>troca de placa do motor do portão</t>
  </si>
  <si>
    <t>HF2VTTbFredFV3srH4jCh</t>
  </si>
  <si>
    <t>04.02.34</t>
  </si>
  <si>
    <t>Troca de batente para fim de curso do portão</t>
  </si>
  <si>
    <t>troca de batente para fim de curso do portão</t>
  </si>
  <si>
    <t>Ha6YLs9CQ1w6DJtsq6TZuf</t>
  </si>
  <si>
    <t>04.02.35</t>
  </si>
  <si>
    <t>Troca de cremalheira do portão</t>
  </si>
  <si>
    <t>até 3m</t>
  </si>
  <si>
    <t>troca de cremalheira do portão, até 3m</t>
  </si>
  <si>
    <t>HrLAT81Wrj7SJBvrMYA74L</t>
  </si>
  <si>
    <t>Troca de cremalheira do portão, até 3m</t>
  </si>
  <si>
    <t>04.02.36</t>
  </si>
  <si>
    <t>Troca de roldanas do portão</t>
  </si>
  <si>
    <t>troca de roldanas do portão</t>
  </si>
  <si>
    <t>LcjFm25mxicSBmZhrWuXwe</t>
  </si>
  <si>
    <t>04.02.37</t>
  </si>
  <si>
    <t>Troca de capa protetora para motor de portão</t>
  </si>
  <si>
    <t>conforme padrão já instalado</t>
  </si>
  <si>
    <t>troca de capa protetora para motor de portão, material plástico, conforme padrão já instalado</t>
  </si>
  <si>
    <t>Troca de capa protetora para motor de portão, material plástico, conforme padrão já instalado</t>
  </si>
  <si>
    <t>04.02.38</t>
  </si>
  <si>
    <t>Troca de fechadura interna para portão</t>
  </si>
  <si>
    <t>modelo com trinco</t>
  </si>
  <si>
    <t>com chave comum</t>
  </si>
  <si>
    <t>troca de fechadura interna para portão, modelo com trinco, com chave comum</t>
  </si>
  <si>
    <t>https://www.leroymerlin.com.br/fechadura-para-portao-100mm-trinco-reversivel-aco-preto-f1500-pf-alianca_86606786</t>
  </si>
  <si>
    <t>Troca de fechadura interna para portão, modelo com trinco, com chave comum</t>
  </si>
  <si>
    <t>04.02.39</t>
  </si>
  <si>
    <t>com chave tetra</t>
  </si>
  <si>
    <t>troca de fechadura interna para portão, modelo com trinco, com chave tetra</t>
  </si>
  <si>
    <t>https://www.leroymerlin.com.br/fechadura-para-portao-100mm-trinco-reversivel-aco-preto-f1510pf-tetra-alianca_88129482</t>
  </si>
  <si>
    <t>Troca de fechadura interna para portão, modelo com trinco, com chave tetra</t>
  </si>
  <si>
    <t>04.02.40</t>
  </si>
  <si>
    <t>modelo eletrônica</t>
  </si>
  <si>
    <t>troca de fechadura interna para portão, modelo eletrônica, com chave comum</t>
  </si>
  <si>
    <t>https://www.leroymerlin.com.br/fechadura-eletrica-stam-12v-40mm-preto-fosco-de-aco-inox_1567352265</t>
  </si>
  <si>
    <t>Troca de fechadura interna para portão, modelo eletrônica, com chave comum</t>
  </si>
  <si>
    <t>04.02.41</t>
  </si>
  <si>
    <t>com chave multiponto</t>
  </si>
  <si>
    <t>troca de fechadura interna para portão, modelo eletrônica, com chave multiponto</t>
  </si>
  <si>
    <t>https://www.leroymerlin.com.br/fechadura-de-sobrepor-eletrica-multiponto-preta--52019561--pado_1571488836</t>
  </si>
  <si>
    <t>Troca de fechadura interna para portão, modelo eletrônica, com chave multiponto</t>
  </si>
  <si>
    <t>04.02.42</t>
  </si>
  <si>
    <t>Troca de fechadura para porta de enrolar</t>
  </si>
  <si>
    <t>troca de fechadura para porta de enrolar, com chave tetra</t>
  </si>
  <si>
    <t>https://www.leroymerlin.com.br/fechadura-para-porta-de-enrolar-1201-stam-tetra_1566954177</t>
  </si>
  <si>
    <t>Troca de fechadura para porta de enrolar, com chave tetra</t>
  </si>
  <si>
    <t>04.02.43</t>
  </si>
  <si>
    <t>Fornecimento de tag eletrônico para acesso de portão</t>
  </si>
  <si>
    <t>fornecimento de tag eletrônico para acesso de portão</t>
  </si>
  <si>
    <t>04.03</t>
  </si>
  <si>
    <t>Cobertura</t>
  </si>
  <si>
    <t>04.03.01</t>
  </si>
  <si>
    <t>Instalação de toldo</t>
  </si>
  <si>
    <t>cobertura em lona</t>
  </si>
  <si>
    <t>estrutura alumínio</t>
  </si>
  <si>
    <t>m2</t>
  </si>
  <si>
    <t>instalação de toldo, cobertura em lona, estrutura alumínio</t>
  </si>
  <si>
    <t>Instalação de toldo, cobertura em lona, estrutura alumínio</t>
  </si>
  <si>
    <t>04.03.02</t>
  </si>
  <si>
    <t>Troca de toldo</t>
  </si>
  <si>
    <t>troca de toldo, cobertura em lona, estrutura alumínio</t>
  </si>
  <si>
    <t>Troca de toldo, cobertura em lona, estrutura alumínio</t>
  </si>
  <si>
    <t>04.03.03</t>
  </si>
  <si>
    <t>Troca da cobertura do toldo</t>
  </si>
  <si>
    <t>material lona</t>
  </si>
  <si>
    <t>troca da cobertura do toldo, material lona</t>
  </si>
  <si>
    <t>Troca da cobertura do toldo, material lona</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</si>
  <si>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</si>
  <si>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</si>
  <si>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</si>
  <si>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</si>
  <si>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05</t>
  </si>
  <si>
    <t>Marcenaria</t>
  </si>
  <si>
    <t>4yt27gSDAomHPE6VjqzxtC</t>
  </si>
  <si>
    <t>05.01</t>
  </si>
  <si>
    <t>Esquadrias De Madeira</t>
  </si>
  <si>
    <t>BtTH7eeJiTtrwakDN4PwRT</t>
  </si>
  <si>
    <t>05.01.01</t>
  </si>
  <si>
    <t>Colagem de folha de porta</t>
  </si>
  <si>
    <t>fórmica</t>
  </si>
  <si>
    <t>colagem de folha de porta, fórmica</t>
  </si>
  <si>
    <t>VPqseppV6FaAPe1tZSmd9X</t>
  </si>
  <si>
    <t>Colagem de folha de porta, fórmica</t>
  </si>
  <si>
    <t>05.01.02</t>
  </si>
  <si>
    <t>Troca de folha de porta para uso interno</t>
  </si>
  <si>
    <t>correr ou giro</t>
  </si>
  <si>
    <t>lisa</t>
  </si>
  <si>
    <t>incluso pintura comum</t>
  </si>
  <si>
    <t>reaproveitando ferragem</t>
  </si>
  <si>
    <t>troca de folha de porta para uso interno, correr ou giro, lisa, incluso pintura comum, reaproveitando ferragem, padrão simples</t>
  </si>
  <si>
    <t>https://www.leroymerlin.com.br/folha-de-porta-de-giro-de-madeira-sarrafeada-lisa-lamina-crua-curupixa-2,10x0,80m-pinhal-portas_89823062</t>
  </si>
  <si>
    <t>CiTVYSgQDpo7y2bw7jeVaM</t>
  </si>
  <si>
    <t>Troca de folha de porta para uso interno, correr ou giro, lisa, incluso pintura comum, reaproveitando ferragem, padrão simples</t>
  </si>
  <si>
    <t>05.01.03</t>
  </si>
  <si>
    <t>troca de folha de porta para uso interno, correr ou giro, lisa, incluso pintura comum, reaproveitando ferragem, padrão normal</t>
  </si>
  <si>
    <t>https://www.leroymerlin.com.br/folha-de-porta-de-giro-de-madeira-sarrafeada-decorada-lamina-crua-curupixa-2,10x0,80m-pinhal-portas_89823160</t>
  </si>
  <si>
    <t>Troca de folha de porta para uso interno, correr ou giro, lisa, incluso pintura comum, reaproveitando ferragem, padrão normal</t>
  </si>
  <si>
    <t>05.01.04</t>
  </si>
  <si>
    <t>Troca de folha de porta para uso externo</t>
  </si>
  <si>
    <t>troca de folha de porta para uso externo, correr ou giro, lisa, incluso pintura comum, reaproveitando ferragem, padrão simples</t>
  </si>
  <si>
    <t>https://www.leroymerlin.com.br/folha-de-porta-de-giro-decorada-madeira-macica-natural-2,10x0,90m-cruzeiro_87666712</t>
  </si>
  <si>
    <t>9BnWBiKwQRDpTRDV4gRSHQ</t>
  </si>
  <si>
    <t>Troca de folha de porta para uso externo, correr ou giro, lisa, incluso pintura comum, reaproveitando ferragem, padrão simples</t>
  </si>
  <si>
    <t>05.01.05</t>
  </si>
  <si>
    <t>frisada ou boiserie</t>
  </si>
  <si>
    <t>troca de folha de porta para uso externo, correr ou giro, frisada ou boiserie, incluso pintura comum, reaproveitando ferragem, padrão normal</t>
  </si>
  <si>
    <t>https://www.leroymerlin.com.br/folha-de-porta-de-giro-decorada-madeira-macica-angelim-2,10x0,90m-modelo-irene-galon_91950635</t>
  </si>
  <si>
    <t>FKEHUDzKjs6t6zMhWces3K</t>
  </si>
  <si>
    <t>Troca de folha de porta para uso externo, correr ou giro, frisada ou boiserie, incluso pintura comum, reaproveitando ferragem, padrão normal</t>
  </si>
  <si>
    <t>05.01.06</t>
  </si>
  <si>
    <t>frisada, boiserie ou almofadada</t>
  </si>
  <si>
    <t xml:space="preserve">troca de folha de porta para uso externo, correr ou giro, frisada, boiserie ou almofadada, incluso pintura comum, reaproveitando ferragem, padrão premium </t>
  </si>
  <si>
    <t>https://www.leroymerlin.com.br/porta-de-madeira-macica-02-almofadas-diagonal-casmavi-de-cedro-arana-2-10--a--x-0-92--l-_1570514839?_gl=1*2bxmla*_ga*MTE1MzYxNDkyMS4xNjc1MTYyMzIx*_ga_H3FWJKTQEQ*MTY5MTc3OTk5Ny4yNTMuMS4xNjkxNzg0NDQxLjUwLjAuMA..</t>
  </si>
  <si>
    <t>Ky96CnMW8oeLcP6QgBhUcM</t>
  </si>
  <si>
    <t xml:space="preserve">Troca de folha de porta para uso externo, correr ou giro, frisada, boiserie ou almofadada, incluso pintura comum, reaproveitando ferragem, padrão premium </t>
  </si>
  <si>
    <t>05.01.07</t>
  </si>
  <si>
    <t>incluso pintura anti chama</t>
  </si>
  <si>
    <t>troca de folha de porta para uso interno, correr ou giro, lisa, incluso pintura anti chama, reaproveitando ferragem, padrão simples</t>
  </si>
  <si>
    <t>Troca de folha de porta para uso interno, correr ou giro, lisa, incluso pintura anti chama, reaproveitando ferragem, padrão simples</t>
  </si>
  <si>
    <t>05.01.08</t>
  </si>
  <si>
    <t>troca de folha de porta para uso interno, correr ou giro, frisada ou boiserie, incluso pintura anti chama, reaproveitando ferragem, padrão normal</t>
  </si>
  <si>
    <t>Troca de folha de porta para uso interno, correr ou giro, frisada ou boiserie, incluso pintura anti chama, reaproveitando ferragem, padrão normal</t>
  </si>
  <si>
    <t>05.01.09</t>
  </si>
  <si>
    <t>troca de folha de porta para uso externo, correr ou giro, lisa, incluso pintura anti chama, reaproveitando ferragem, padrão simples</t>
  </si>
  <si>
    <t>Troca de folha de porta para uso externo, correr ou giro, lisa, incluso pintura anti chama, reaproveitando ferragem, padrão simples</t>
  </si>
  <si>
    <t>05.01.10</t>
  </si>
  <si>
    <t>troca de folha de porta para uso externo, correr ou giro, frisada ou boiserie, incluso pintura anti chama, reaproveitando ferragem, padrão normal</t>
  </si>
  <si>
    <t>Troca de folha de porta para uso externo, correr ou giro, frisada ou boiserie, incluso pintura anti chama, reaproveitando ferragem, padrão normal</t>
  </si>
  <si>
    <t>05.01.11</t>
  </si>
  <si>
    <t xml:space="preserve">troca de folha de porta para uso externo, correr ou giro, frisada, boiserie ou almofadada, incluso pintura anti chama, reaproveitando ferragem, padrão premium </t>
  </si>
  <si>
    <t xml:space="preserve">Troca de folha de porta para uso externo, correr ou giro, frisada, boiserie ou almofadada, incluso pintura anti chama, reaproveitando ferragem, padrão premium </t>
  </si>
  <si>
    <t>05.01.12</t>
  </si>
  <si>
    <t>sanfonada</t>
  </si>
  <si>
    <t>b=90cm x a=210cm</t>
  </si>
  <si>
    <t>troca de folha de porta para uso interno, sanfonada, pvc, b=90cm x a=210cm</t>
  </si>
  <si>
    <t>https://www.leroymerlin.com.br/porta-sanfonada-lisa-pvc-branco-2,10x0,84m-artens_89335715</t>
  </si>
  <si>
    <t>Wqmxe2VtNh1qSVGkTXLLVr</t>
  </si>
  <si>
    <t>Troca de folha de porta para uso interno, sanfonada, pvc, b=90cm x a=210cm</t>
  </si>
  <si>
    <t>05.01.13</t>
  </si>
  <si>
    <t>Aplainamento de porta</t>
  </si>
  <si>
    <t>incluso o reparo do acabamento</t>
  </si>
  <si>
    <t>porta interna</t>
  </si>
  <si>
    <t>aplainamento de porta, incluso o reparo do acabamento, porta interna</t>
  </si>
  <si>
    <t>RUbcEkPbMhsQdGfAAs7DCo</t>
  </si>
  <si>
    <t>Aplainamento de porta, incluso o reparo do acabamento, porta interna</t>
  </si>
  <si>
    <t>05.01.14</t>
  </si>
  <si>
    <t>porta externa</t>
  </si>
  <si>
    <t>aplainamento de porta, incluso o reparo do acabamento, porta externa</t>
  </si>
  <si>
    <t>Aplainamento de porta, incluso o reparo do acabamento, porta externa</t>
  </si>
  <si>
    <t>05.01.15</t>
  </si>
  <si>
    <t>Troca de marco e vista de madeira</t>
  </si>
  <si>
    <t>incluso pintura</t>
  </si>
  <si>
    <t>reaproveitando folha de porta e ferragem</t>
  </si>
  <si>
    <t>troca de marco e vista de madeira, incluso pintura, reaproveitando folha de porta e ferragem, acabamento em reboco e pintura similar</t>
  </si>
  <si>
    <t>https://www.leroymerlin.com.br/batente-de-madeira-para-porta-caxilho-forra-marco-210x17x3-cm-eucalipto-neonx_1570949161</t>
  </si>
  <si>
    <t>Troca de marco e vista de madeira, incluso pintura, reaproveitando folha de porta e ferragem, acabamento em reboco e pintura similar</t>
  </si>
  <si>
    <t>05.01.16</t>
  </si>
  <si>
    <t>troca de marco e vista de madeira, incluso pintura, reaproveitando folha de porta e ferragem, acabamento em cerâmica convencional similar</t>
  </si>
  <si>
    <t>Troca de marco e vista de madeira, incluso pintura, reaproveitando folha de porta e ferragem, acabamento em cerâmica convencional similar</t>
  </si>
  <si>
    <t>05.01.17</t>
  </si>
  <si>
    <t>troca de marco e vista de madeira, incluso pintura, reaproveitando folha de porta e ferragem, acabamento em cerâmica de museu similar</t>
  </si>
  <si>
    <t>Troca de marco e vista de madeira, incluso pintura, reaproveitando folha de porta e ferragem, acabamento em cerâmica de museu similar</t>
  </si>
  <si>
    <t>05.01.18</t>
  </si>
  <si>
    <t>Troca de vista de madeira</t>
  </si>
  <si>
    <t>troca de vista de madeira, incluso pintura</t>
  </si>
  <si>
    <t>https://www.leroymerlin.com.br/jogo-de-alizar-guarnicao-cetim-liso-mapaf-5x1-cm_1570833115</t>
  </si>
  <si>
    <t>Troca de vista de madeira, incluso pintura</t>
  </si>
  <si>
    <t>05.01.19</t>
  </si>
  <si>
    <t>Troca do kit de porta para uso interno completo</t>
  </si>
  <si>
    <t>incluso folha de porta, trilho, roldana, fechadura e pintura</t>
  </si>
  <si>
    <t>troca do kit de porta para uso interno completo, correr, lisa, incluso folha de porta, trilho, roldana, fechadura e pintura, padrão normal</t>
  </si>
  <si>
    <t>https://www.leroymerlin.com.br/porta-de-correr-lisa-em-madeira-semi-solida-hdf-com-trilho-de-aluminio-mapaf-112cm-x-210cm_1571492315</t>
  </si>
  <si>
    <t>Troca do kit de porta para uso interno completo, correr, lisa, incluso folha de porta, trilho, roldana, fechadura e pintura, padrão normal</t>
  </si>
  <si>
    <t>05.01.20</t>
  </si>
  <si>
    <t>giro</t>
  </si>
  <si>
    <t>incluso folha de porta, marco, vista, fechadura e pintura</t>
  </si>
  <si>
    <t>troca do kit de porta para uso interno completo, giro, lisa, incluso folha de porta, marco, vista, fechadura e pintura, acabamento em reboco e pintura similar, padrão simples</t>
  </si>
  <si>
    <t>https://www.leroymerlin.com.br/kit-porta-de-madeira-210x80cm-batente-14cm-fechadura-taco-de-golf-interna-mescla-lisa-hale-esquadrias-mescla_1571448356</t>
  </si>
  <si>
    <t>Troca do kit de porta para uso interno completo, giro, lisa, incluso folha de porta, marco, vista, fechadura e pintura, acabamento em reboco e pintura similar, padrão simples</t>
  </si>
  <si>
    <t>05.01.21</t>
  </si>
  <si>
    <t>troca do kit de porta para uso interno completo, giro, lisa, incluso folha de porta, marco, vista, fechadura e pintura, acabamento em reboco e pintura similar, padrão normal</t>
  </si>
  <si>
    <t>https://www.leroymerlin.com.br/kit-porta-tauari-verniz-lisa-mapaf-batente-16cm-84,5x215-abertura-lado-esquerdo_1571336494</t>
  </si>
  <si>
    <t>Troca do kit de porta para uso interno completo, giro, lisa, incluso folha de porta, marco, vista, fechadura e pintura, acabamento em reboco e pintura similar, padrão normal</t>
  </si>
  <si>
    <t>05.01.22</t>
  </si>
  <si>
    <t>incluso folha de porta, marco, vista, fechadura e acabamento laqueada</t>
  </si>
  <si>
    <t xml:space="preserve">troca do kit de porta para uso interno completo, giro, lisa, incluso folha de porta, marco, vista, fechadura e acabamento laqueada, acabamento em reboco e pintura similar, padrão premium </t>
  </si>
  <si>
    <t>https://www.leroymerlin.com.br/kit-porta-de-madeira-de-giro-direito-e-esquerdo-branca-210x80cm-com-batente-13x3,5-ate-4cm-delicata-rohden_90887566</t>
  </si>
  <si>
    <t xml:space="preserve">Troca do kit de porta para uso interno completo, giro, lisa, incluso folha de porta, marco, vista, fechadura e acabamento laqueada, acabamento em reboco e pintura similar, padrão premium </t>
  </si>
  <si>
    <t>05.01.23</t>
  </si>
  <si>
    <t>Troca do kit de porta para uso externo completo</t>
  </si>
  <si>
    <t>troca do kit de porta para uso externo completo, giro, lisa, incluso folha de porta, marco, vista, fechadura e pintura, acabamento em reboco e pintura similar, padrão simples</t>
  </si>
  <si>
    <t>https://www.leroymerlin.com.br/porta-lisa-montada-em-madeira-semi-solida-hdf-mapaf-80cm-x-210cm_1571492069</t>
  </si>
  <si>
    <t>Troca do kit de porta para uso externo completo, giro, lisa, incluso folha de porta, marco, vista, fechadura e pintura, acabamento em reboco e pintura similar, padrão simples</t>
  </si>
  <si>
    <t>05.01.24</t>
  </si>
  <si>
    <t>troca do kit de porta para uso externo completo, giro, frisada ou boiserie, incluso folha de porta, marco, vista, fechadura e pintura, acabamento em reboco e pintura similar, padrão normal</t>
  </si>
  <si>
    <t>https://www.leroymerlin.com.br/kit-porta-de-madeira-frisada-215,5x86,5cm-batente-14cm-fechadura-manual-rodam-portas-marrom_1571662534</t>
  </si>
  <si>
    <t>Troca do kit de porta para uso externo completo, giro, frisada ou boiserie, incluso folha de porta, marco, vista, fechadura e pintura, acabamento em reboco e pintura similar, padrão normal</t>
  </si>
  <si>
    <t>05.01.25</t>
  </si>
  <si>
    <t xml:space="preserve">troca do kit de porta para uso externo completo, giro, frisada ou boiserie, incluso folha de porta, marco, vista, fechadura e acabamento laqueada, acabamento em reboco e pintura similar, padrão premium </t>
  </si>
  <si>
    <t>https://www.leroymerlin.com.br/kit-porta-de-madeira-210x90cm-frisada-laqueada-esquerda-moldufama-branco_1571486761</t>
  </si>
  <si>
    <t xml:space="preserve">Troca do kit de porta para uso externo completo, giro, frisada ou boiserie, incluso folha de porta, marco, vista, fechadura e acabamento laqueada, acabamento em reboco e pintura similar, padrão premium </t>
  </si>
  <si>
    <t>05.01.26</t>
  </si>
  <si>
    <t xml:space="preserve">troca do kit de porta para uso externo completo, giro, frisada, boiserie ou almofadada, incluso folha de porta, marco, vista, fechadura e pintura, acabamento em reboco e pintura similar, padrão premium </t>
  </si>
  <si>
    <t>https://www.leroymerlin.com.br/kit-porta-tauari-italia-mapaf-215x96,5-abertura-lado-direito_1571223204</t>
  </si>
  <si>
    <t xml:space="preserve">Troca do kit de porta para uso externo completo, giro, frisada, boiserie ou almofadada, incluso folha de porta, marco, vista, fechadura e pintura, acabamento em reboco e pintura similar, padrão premium </t>
  </si>
  <si>
    <t>05.01.27</t>
  </si>
  <si>
    <t>troca do kit de porta para uso interno completo, giro, lisa, incluso folha de porta, marco, vista, fechadura e pintura, acabamento em cerâmica convencional similar, padrão simples</t>
  </si>
  <si>
    <t>Troca do kit de porta para uso interno completo, giro, lisa, incluso folha de porta, marco, vista, fechadura e pintura, acabamento em cerâmica convencional similar, padrão simples</t>
  </si>
  <si>
    <t>05.01.28</t>
  </si>
  <si>
    <t>troca do kit de porta para uso interno completo, giro, lisa, incluso folha de porta, marco, vista, fechadura e pintura, acabamento em cerâmica convencional similar, padrão normal</t>
  </si>
  <si>
    <t>Troca do kit de porta para uso interno completo, giro, lisa, incluso folha de porta, marco, vista, fechadura e pintura, acabamento em cerâmica convencional similar, padrão normal</t>
  </si>
  <si>
    <t>05.01.29</t>
  </si>
  <si>
    <t xml:space="preserve">troca do kit de porta para uso interno completo, giro, lisa, incluso folha de porta, marco, vista, fechadura e acabamento laqueada, acabamento em cerâmica convencional similar, padrão premium </t>
  </si>
  <si>
    <t xml:space="preserve">Troca do kit de porta para uso interno completo, giro, lisa, incluso folha de porta, marco, vista, fechadura e acabamento laqueada, acabamento em cerâmica convencional similar, padrão premium </t>
  </si>
  <si>
    <t>05.01.30</t>
  </si>
  <si>
    <t>troca do kit de porta para uso externo completo, giro, lisa, incluso folha de porta, marco, vista, fechadura e pintura, acabamento em cerâmica convencional similar, padrão simples</t>
  </si>
  <si>
    <t>Troca do kit de porta para uso externo completo, giro, lisa, incluso folha de porta, marco, vista, fechadura e pintura, acabamento em cerâmica convencional similar, padrão simples</t>
  </si>
  <si>
    <t>05.01.31</t>
  </si>
  <si>
    <t>troca do kit de porta para uso externo completo, giro, frisada ou boiserie, incluso folha de porta, marco, vista, fechadura e pintura, acabamento em cerâmica convencional similar, padrão normal</t>
  </si>
  <si>
    <t>Troca do kit de porta para uso externo completo, giro, frisada ou boiserie, incluso folha de porta, marco, vista, fechadura e pintura, acabamento em cerâmica convencional similar, padrão normal</t>
  </si>
  <si>
    <t>05.01.32</t>
  </si>
  <si>
    <t xml:space="preserve">troca do kit de porta para uso externo completo, giro, frisada ou boiserie, incluso folha de porta, marco, vista, fechadura e acabamento laqueada, acabamento em cerâmica convencional similar, padrão premium </t>
  </si>
  <si>
    <t xml:space="preserve">Troca do kit de porta para uso externo completo, giro, frisada ou boiserie, incluso folha de porta, marco, vista, fechadura e acabamento laqueada, acabamento em cerâmica convencional similar, padrão premium </t>
  </si>
  <si>
    <t>05.01.33</t>
  </si>
  <si>
    <t xml:space="preserve">troca do kit de porta para uso externo completo, giro, frisada, boiserie ou almofadada, incluso folha de porta, marco, vista, fechadura e pintura, acabamento em cerâmica convencional similar, padrão premium </t>
  </si>
  <si>
    <t xml:space="preserve">Troca do kit de porta para uso externo completo, giro, frisada, boiserie ou almofadada, incluso folha de porta, marco, vista, fechadura e pintura, acabamento em cerâmica convencional similar, padrão premium </t>
  </si>
  <si>
    <t>05.01.34</t>
  </si>
  <si>
    <t>troca do kit de porta para uso interno completo, giro, lisa, incluso folha de porta, marco, vista, fechadura e pintura, acabamento em cerâmica de museu similar, padrão simples</t>
  </si>
  <si>
    <t>Troca do kit de porta para uso interno completo, giro, lisa, incluso folha de porta, marco, vista, fechadura e pintura, acabamento em cerâmica de museu similar, padrão simples</t>
  </si>
  <si>
    <t>05.01.35</t>
  </si>
  <si>
    <t>troca do kit de porta para uso interno completo, giro, lisa, incluso folha de porta, marco, vista, fechadura e pintura, acabamento em cerâmica de museu similar, padrão normal</t>
  </si>
  <si>
    <t>Troca do kit de porta para uso interno completo, giro, lisa, incluso folha de porta, marco, vista, fechadura e pintura, acabamento em cerâmica de museu similar, padrão normal</t>
  </si>
  <si>
    <t>05.01.36</t>
  </si>
  <si>
    <t xml:space="preserve">troca do kit de porta para uso interno completo, giro, lisa, incluso folha de porta, marco, vista, fechadura e acabamento laqueada, acabamento em cerâmica de museu similar, padrão premium </t>
  </si>
  <si>
    <t xml:space="preserve">Troca do kit de porta para uso interno completo, giro, lisa, incluso folha de porta, marco, vista, fechadura e acabamento laqueada, acabamento em cerâmica de museu similar, padrão premium </t>
  </si>
  <si>
    <t>05.01.37</t>
  </si>
  <si>
    <t>troca do kit de porta para uso externo completo, giro, lisa, incluso folha de porta, marco, vista, fechadura e pintura, acabamento em cerâmica de museu similar, padrão simples</t>
  </si>
  <si>
    <t>Troca do kit de porta para uso externo completo, giro, lisa, incluso folha de porta, marco, vista, fechadura e pintura, acabamento em cerâmica de museu similar, padrão simples</t>
  </si>
  <si>
    <t>05.01.38</t>
  </si>
  <si>
    <t>troca do kit de porta para uso externo completo, giro, frisada ou boiserie, incluso folha de porta, marco, vista, fechadura e pintura, acabamento em cerâmica de museu similar, padrão normal</t>
  </si>
  <si>
    <t>Troca do kit de porta para uso externo completo, giro, frisada ou boiserie, incluso folha de porta, marco, vista, fechadura e pintura, acabamento em cerâmica de museu similar, padrão normal</t>
  </si>
  <si>
    <t>05.01.39</t>
  </si>
  <si>
    <t xml:space="preserve">troca do kit de porta para uso externo completo, giro, frisada ou boiserie, incluso folha de porta, marco, vista, fechadura e acabamento laqueada, acabamento em cerâmica de museu similar, padrão premium </t>
  </si>
  <si>
    <t xml:space="preserve">Troca do kit de porta para uso externo completo, giro, frisada ou boiserie, incluso folha de porta, marco, vista, fechadura e acabamento laqueada, acabamento em cerâmica de museu similar, padrão premium </t>
  </si>
  <si>
    <t>05.01.40</t>
  </si>
  <si>
    <t xml:space="preserve">troca do kit de porta para uso externo completo, giro, frisada, boiserie ou almofadada, incluso folha de porta, marco, vista, fechadura e pintura, acabamento em cerâmica de museu similar, padrão premium </t>
  </si>
  <si>
    <t xml:space="preserve">Troca do kit de porta para uso externo completo, giro, frisada, boiserie ou almofadada, incluso folha de porta, marco, vista, fechadura e pintura, acabamento em cerâmica de museu similar, padrão premium </t>
  </si>
  <si>
    <t>05.01.41</t>
  </si>
  <si>
    <t>Troca do par de roldanas para janela de madeira</t>
  </si>
  <si>
    <t xml:space="preserve"> incluso limpeza, lubrificação e ajustes necessários para o funcionamento do sistema</t>
  </si>
  <si>
    <t>troca do par de roldanas para janela de madeira, correr, por folha,  incluso limpeza, lubrificação e ajustes necessários para o funcionamento do sistema</t>
  </si>
  <si>
    <t>https://www.mercadolivre.com.br/roldana-concava-rodizio-4r-porta-correr-madeira-80kg-stanley/p/MLB26263141?from=gshop&amp;matt_tool=14804773&amp;matt_word=&amp;matt_source=google&amp;matt_campaign_id=14302215543&amp;matt_ad_group_id=130580035590&amp;matt_match_type=&amp;matt_network=g&amp;matt_device=c&amp;matt_creative=542969737626&amp;matt_keyword=&amp;matt_ad_position=&amp;matt_ad_type=pla&amp;matt_merchant_id=735128188&amp;matt_product_id=MLB26263141-product&amp;matt_product_partition_id=2268051758390&amp;matt_target_id=pla-2268051758390&amp;cq_src=google_ads&amp;cq_cmp=14302215543&amp;cq_net=g&amp;cq_plt=gp&amp;gad_source=1&amp;gclid=Cj0KCQiAwP6sBhDAARIsAPfK_wY-DYQqqlYd0KPrCSnNqQ-wWnDhr0tewJNLBKVEYHK73L_VWyRmLCwaAk0CEALw_wcB</t>
  </si>
  <si>
    <t>Troca do par de roldanas para janela de madeira, correr, por folha,  incluso limpeza, lubrificação e ajustes necessários para o funcionamento do sistema</t>
  </si>
  <si>
    <t>05.01.42</t>
  </si>
  <si>
    <t>Troca dos trilhos para janela de madeira</t>
  </si>
  <si>
    <t>por janela</t>
  </si>
  <si>
    <t>troca dos trilhos para janela de madeira, correr, por janela,  incluso limpeza, lubrificação e ajustes necessários para o funcionamento do sistema</t>
  </si>
  <si>
    <t>Troca dos trilhos para janela de madeira, correr, por janela,  incluso limpeza, lubrificação e ajustes necessários para o funcionamento do sistema</t>
  </si>
  <si>
    <t>05.01.43</t>
  </si>
  <si>
    <t>Troca completa do mecanismo de abertura da janela de madeira</t>
  </si>
  <si>
    <t xml:space="preserve"> incluso troca de roldanas, trilhos e guia, com limpeza, lubrificação e ajustes necessários para o funcionamento do sistema</t>
  </si>
  <si>
    <t>troca completa do mecanismo de abertura da janela de madeira, correr, por janela,  incluso troca de roldanas, trilhos e guia, com limpeza, lubrificação e ajustes necessários para o funcionamento do sistema</t>
  </si>
  <si>
    <t>Troca completa do mecanismo de abertura da janela de madeira, correr, por janela,  incluso troca de roldanas, trilhos e guia, com limpeza, lubrificação e ajustes necessários para o funcionamento do sistema</t>
  </si>
  <si>
    <t>05.01.44</t>
  </si>
  <si>
    <t>com acabamento em pintura laca ou chapa melaniníca</t>
  </si>
  <si>
    <t>troca de folha de porta para uso interno, correr ou giro, lisa, com acabamento em pintura laca ou chapa melaniníca, reaproveitando ferragem, padrão premium</t>
  </si>
  <si>
    <t>https://www.leroymerlin.com.br/porta-de-madeira-de-giro-direito-e-esquerdo-branca-210x90cm-sarrafeada-laca-pu-branca-lisa-ipumirim_90555171</t>
  </si>
  <si>
    <t>Troca de folha de porta para uso interno, correr ou giro, lisa, com acabamento em pintura laca ou chapa melaniníca, reaproveitando ferragem, padrão premium</t>
  </si>
  <si>
    <t>05.02</t>
  </si>
  <si>
    <t>Acessórios</t>
  </si>
  <si>
    <t>WGKt3LaFZNU7MXA7tjJJZz</t>
  </si>
  <si>
    <t>05.02.01</t>
  </si>
  <si>
    <t>Troca de puxador para porta</t>
  </si>
  <si>
    <t>latão</t>
  </si>
  <si>
    <t>troca de puxador para porta, latão, padrão simples</t>
  </si>
  <si>
    <t>P14JYLs32BxncMrS5bBmwZ</t>
  </si>
  <si>
    <t>Troca de puxador para porta, latão, padrão simples</t>
  </si>
  <si>
    <t>05.02.02</t>
  </si>
  <si>
    <t>cromado</t>
  </si>
  <si>
    <t>troca de puxador para porta, cromado, padrão normal</t>
  </si>
  <si>
    <t>Fb8oNKfnjuUkgnrYsfGAAG</t>
  </si>
  <si>
    <t>Troca de puxador para porta, cromado, padrão normal</t>
  </si>
  <si>
    <t>05.02.03</t>
  </si>
  <si>
    <t xml:space="preserve">troca de puxador para porta, material inox, padrão premium </t>
  </si>
  <si>
    <t>cjMA9Fymz7525Csc4xmCU</t>
  </si>
  <si>
    <t xml:space="preserve">Troca de puxador para porta, material inox, padrão premium </t>
  </si>
  <si>
    <t>05.02.04</t>
  </si>
  <si>
    <t>Troca de dobradiça</t>
  </si>
  <si>
    <t>aço</t>
  </si>
  <si>
    <t>porta</t>
  </si>
  <si>
    <t>madeira</t>
  </si>
  <si>
    <t>troca de dobradiça, aço, porta, madeira</t>
  </si>
  <si>
    <t>TgroXMoqEjPCrNyRDRQapd</t>
  </si>
  <si>
    <t>Troca de dobradiça, aço, porta, madeira</t>
  </si>
  <si>
    <t>05.02.05</t>
  </si>
  <si>
    <t>troca de dobradiça, latão, porta, madeira</t>
  </si>
  <si>
    <t>8FdCQ6jorPiQ9gymikVgs1</t>
  </si>
  <si>
    <t>Troca de dobradiça, latão, porta, madeira</t>
  </si>
  <si>
    <t>05.02.06</t>
  </si>
  <si>
    <t>Troca de conjunto de roldanas</t>
  </si>
  <si>
    <t>embutidas</t>
  </si>
  <si>
    <t>troca de conjunto de roldanas, embutidas, porta, madeira</t>
  </si>
  <si>
    <t>https://www.leroymerlin.com.br/roldana-concava-embutir-para-porta-de-correr-40kg-aco-polido-2-pecas_90562780</t>
  </si>
  <si>
    <t>3FBKeuS8ueWKpCqbZFDRGr</t>
  </si>
  <si>
    <t>Troca de conjunto de roldanas, embutidas, porta, madeira</t>
  </si>
  <si>
    <t>05.02.07</t>
  </si>
  <si>
    <t>aparentes</t>
  </si>
  <si>
    <t>troca de conjunto de roldanas, aparentes, porta, madeira</t>
  </si>
  <si>
    <t>https://www.leroymerlin.com.br/kit-porta-de-correr-roldana-aparente-trilho-aluminio-polido-2-mt_1567321124</t>
  </si>
  <si>
    <t>MgvSQbYssBiw6akRZXDDkp</t>
  </si>
  <si>
    <t>Troca de conjunto de roldanas, aparentes, porta, madeira</t>
  </si>
  <si>
    <t>05.02.08</t>
  </si>
  <si>
    <t>Troca fecho ou tranca</t>
  </si>
  <si>
    <t>troca fecho ou tranca, latão, porta, madeira, padrão normal</t>
  </si>
  <si>
    <t>https://www.leroymerlin.com.br/trinco-para-porta-aco-pega-ladrao_90398546</t>
  </si>
  <si>
    <t>XCtCEVAYPFH9fVyB4dKkYy</t>
  </si>
  <si>
    <t>Troca fecho ou tranca, latão, porta, madeira, padrão normal</t>
  </si>
  <si>
    <t>05.02.09</t>
  </si>
  <si>
    <t>troca fecho ou tranca, cromado, porta, madeira, padrão premium</t>
  </si>
  <si>
    <t>https://www.leroymerlin.com.br/trinco-pega-ladrao-zamac-cromado-1-peca_89830664</t>
  </si>
  <si>
    <t>XCcLphMch7DXWJhfqqbRzY</t>
  </si>
  <si>
    <t>Troca fecho ou tranca, cromado, porta, madeira, padrão premium</t>
  </si>
  <si>
    <t>05.02.10</t>
  </si>
  <si>
    <t>Fixador de porta / magnético ou de pressão</t>
  </si>
  <si>
    <t>fixador de porta / magnético ou de pressão, porta, madeira</t>
  </si>
  <si>
    <t>https://www.leroymerlin.com.br/fixador-trava-porta-no-piso-starfer-cromado_1566987981</t>
  </si>
  <si>
    <t>YH6rX7M67bpm3zhFmuJCmF</t>
  </si>
  <si>
    <t>Fixador de porta / magnético ou de pressão, porta, madeira</t>
  </si>
  <si>
    <t>05.02.11</t>
  </si>
  <si>
    <t>Troca do conjunto de dobradiça tipo pino para janela</t>
  </si>
  <si>
    <t>pivotante</t>
  </si>
  <si>
    <t>incluso a retirada e recolocação da janela, com ajuste necessários para o funcionamento</t>
  </si>
  <si>
    <t>troca do conjunto de dobradiça tipo pino para janela, pivotante, incluso a retirada e recolocação da janela, com ajuste necessários para o funcionamento, por folha</t>
  </si>
  <si>
    <t>https://www.leroymerlin.com.br/pino-guia-para-janela-pivotante-1-peca_87516716</t>
  </si>
  <si>
    <t>Troca do conjunto de dobradiça tipo pino para janela, pivotante, incluso a retirada e recolocação da janela, com ajuste necessários para o funcionamento, por folha</t>
  </si>
  <si>
    <t>05.02.12</t>
  </si>
  <si>
    <t>Troca do conjunto de dobradiça tipo pino para porta</t>
  </si>
  <si>
    <t>até 100kg</t>
  </si>
  <si>
    <t>incluso a retirada e recolocação da porta, com ajuste necessários para o funcionamento</t>
  </si>
  <si>
    <t>troca do conjunto de dobradiça tipo pino para porta, pivotante, até 100kg, incluso a retirada e recolocação da porta, com ajuste necessários para o funcionamento</t>
  </si>
  <si>
    <t>https://www.leroymerlin.com.br/dobradica-para-porta-pivotante-inox-cromada-ate-100kg-1-peca_89103763</t>
  </si>
  <si>
    <t>Troca do conjunto de dobradiça tipo pino para porta, pivotante, até 100kg, incluso a retirada e recolocação da porta, com ajuste necessários para o funcionamento</t>
  </si>
  <si>
    <t>05.02.13</t>
  </si>
  <si>
    <t>até 200kg</t>
  </si>
  <si>
    <t>troca do conjunto de dobradiça tipo pino para porta, pivotante, até 200kg, incluso a retirada e recolocação da porta, com ajuste necessários para o funcionamento</t>
  </si>
  <si>
    <t>https://www.leroymerlin.com.br/dobradica-para-porta-pivotante-em-aco-inox-prata-dovale_90394500</t>
  </si>
  <si>
    <t>Troca do conjunto de dobradiça tipo pino para porta, pivotante, até 200kg, incluso a retirada e recolocação da porta, com ajuste necessários para o funcionamento</t>
  </si>
  <si>
    <t>05.02.14</t>
  </si>
  <si>
    <t>Execução de serviços gerais</t>
  </si>
  <si>
    <t>baixa complexidade</t>
  </si>
  <si>
    <t>execução de serviços gerais, baixa complexidade</t>
  </si>
  <si>
    <t>Execução de serviços gerais, baixa complexidade</t>
  </si>
  <si>
    <t>05.02.15</t>
  </si>
  <si>
    <t>Troca de porta condimentos</t>
  </si>
  <si>
    <t>metálico</t>
  </si>
  <si>
    <t>troca de porta condimentos, metálico</t>
  </si>
  <si>
    <t>https://www.amazon.com.br/Porta-Latas-Lateral-Cromado-Jomer/dp/B07Y8VBFYB/ref=asc_df_B07Y8VBFYB/?tag=googleshopp00-20&amp;linkCode=df0&amp;hvadid=379765457684&amp;hvpos=&amp;hvnetw=g&amp;hvrand=8805403397612066305&amp;hvpone=&amp;hvptwo=&amp;hvqmt=&amp;hvdev=c&amp;hvdvcmdl=&amp;hvlocint=&amp;hvlocphy=2076&amp;hvtargid=pla-907003613695&amp;psc=1&amp;mcid=83e69c978431303fa82f243bbe5528fb</t>
  </si>
  <si>
    <t>Troca de porta condimentos, metálico</t>
  </si>
  <si>
    <t>05.03</t>
  </si>
  <si>
    <t>Fechadura</t>
  </si>
  <si>
    <t>Y9JFjE4tXmhSNZksUoJfKk</t>
  </si>
  <si>
    <t>05.03.01</t>
  </si>
  <si>
    <t>Fixação ou regulagem</t>
  </si>
  <si>
    <t>fixação ou regulagem, porta, madeira</t>
  </si>
  <si>
    <t>MfjpnUaQv6jpJ9PaaYXNaD</t>
  </si>
  <si>
    <t>Fixação ou regulagem, porta, madeira</t>
  </si>
  <si>
    <t>05.03.02</t>
  </si>
  <si>
    <t xml:space="preserve">Troca de fechadura </t>
  </si>
  <si>
    <t>porta de entrada</t>
  </si>
  <si>
    <t>troca de fechadura , externa, porta de entrada, madeira, padrão simples</t>
  </si>
  <si>
    <t>UJMUmAe9upUZpBgL6SHAFM</t>
  </si>
  <si>
    <t>Troca de fechadura , externa, porta de entrada, madeira, padrão simples</t>
  </si>
  <si>
    <t>05.03.03</t>
  </si>
  <si>
    <t>troca de fechadura , externa, porta de entrada, madeira, padrão normal</t>
  </si>
  <si>
    <t>RfKrHQAkeuW6TeTdq7snNw</t>
  </si>
  <si>
    <t>Troca de fechadura , externa, porta de entrada, madeira, padrão normal</t>
  </si>
  <si>
    <t>05.03.04</t>
  </si>
  <si>
    <t xml:space="preserve">troca de fechadura , externa, porta de entrada, madeira, padrão premium </t>
  </si>
  <si>
    <t>https://www.leroymerlin.com.br/fechadura-para-porta-de-entrada-antique-55mm-comum-com-espelho-mercurio-arouca_85220296</t>
  </si>
  <si>
    <t>F29odrtJwzM7ykbYqmmJdf</t>
  </si>
  <si>
    <t xml:space="preserve">Troca de fechadura , externa, porta de entrada, madeira, padrão premium </t>
  </si>
  <si>
    <t>05.03.05</t>
  </si>
  <si>
    <t>tetra</t>
  </si>
  <si>
    <t>troca de fechadura , tetra, porta de entrada, madeira, padrão simples</t>
  </si>
  <si>
    <t>EoepvXnGV9NPZLP52UMhgd</t>
  </si>
  <si>
    <t>Troca de fechadura , tetra, porta de entrada, madeira, padrão simples</t>
  </si>
  <si>
    <t>05.03.06</t>
  </si>
  <si>
    <t>troca de fechadura , tetra, porta de entrada, madeira, padrão normal</t>
  </si>
  <si>
    <t>LxqQ7xcQeFfPmdtz12hhot</t>
  </si>
  <si>
    <t>Troca de fechadura , tetra, porta de entrada, madeira, padrão normal</t>
  </si>
  <si>
    <t>05.03.07</t>
  </si>
  <si>
    <t xml:space="preserve">troca de fechadura , tetra, porta de entrada, madeira, padrão premium </t>
  </si>
  <si>
    <t>YP8zXcSqF7RXPwdN3Mo3WW</t>
  </si>
  <si>
    <t xml:space="preserve">Troca de fechadura , tetra, porta de entrada, madeira, padrão premium </t>
  </si>
  <si>
    <t>05.03.08</t>
  </si>
  <si>
    <t>fixa</t>
  </si>
  <si>
    <t>porta de banheiro</t>
  </si>
  <si>
    <t>troca de fechadura , fixa, porta de banheiro, madeira, padrão simples</t>
  </si>
  <si>
    <t>https://www.leroymerlin.com.br/fechadura-para-porta-de-banheiro-polido-40mm-comum-roseta-premium-alianca_90789496</t>
  </si>
  <si>
    <t>TgXmJZs2rUTLj8zFC3z7bE</t>
  </si>
  <si>
    <t>Troca de fechadura , fixa, porta de banheiro, madeira, padrão simples</t>
  </si>
  <si>
    <t>05.03.09</t>
  </si>
  <si>
    <t>troca de fechadura , fixa, porta de banheiro, madeira, padrão normal</t>
  </si>
  <si>
    <t>https://www.leroymerlin.com.br/fechadura-para-porta-de-banheiro-cromado-40mm-comum-com-roseta-una-z-arouca_87349710</t>
  </si>
  <si>
    <t>6BWMpTzs26GWitp6iYiqaf</t>
  </si>
  <si>
    <t>Troca de fechadura , fixa, porta de banheiro, madeira, padrão normal</t>
  </si>
  <si>
    <t>05.03.10</t>
  </si>
  <si>
    <t xml:space="preserve">troca de fechadura , fixa, porta de banheiro, madeira, padrão premium </t>
  </si>
  <si>
    <t>https://www.leroymerlin.com.br/fechadura-para-porta-de-banheiro-acetinado-55mm-comum-com-roseta-smile-papaiz_88122440</t>
  </si>
  <si>
    <t>GmXkSn73uHVgs4uaYRrJzs</t>
  </si>
  <si>
    <t xml:space="preserve">Troca de fechadura , fixa, porta de banheiro, madeira, padrão premium </t>
  </si>
  <si>
    <t>05.03.11</t>
  </si>
  <si>
    <t>porta de quarto</t>
  </si>
  <si>
    <t>troca de fechadura , interna, porta de quarto, madeira, padrão simples</t>
  </si>
  <si>
    <t>https://www.leroymerlin.com.br/fechadura-interna-espelho-aco-40mm-mgm-stilo-cromado_1569942436</t>
  </si>
  <si>
    <t>39TAMxpjxiW9hHGw3ssUBv</t>
  </si>
  <si>
    <t>Troca de fechadura , interna, porta de quarto, madeira, padrão simples</t>
  </si>
  <si>
    <t>05.03.12</t>
  </si>
  <si>
    <t>troca de fechadura , interna, porta de quarto, madeira, padrão normal</t>
  </si>
  <si>
    <t>https://www.leroymerlin.com.br/fechadura-arouca-victoria-interna_1570231794</t>
  </si>
  <si>
    <t>CzCpzSCs2LAC3SazXzLAL4</t>
  </si>
  <si>
    <t>Troca de fechadura , interna, porta de quarto, madeira, padrão normal</t>
  </si>
  <si>
    <t>05.03.13</t>
  </si>
  <si>
    <t xml:space="preserve">troca de fechadura , interna, porta de quarto, madeira, padrão premium </t>
  </si>
  <si>
    <t>https://www.leroymerlin.com.br/fechadura-pado-sara-de-porta-interna-55mm-cromada_1568918174</t>
  </si>
  <si>
    <t>V9QuikQqUGgVaw7MXQkVYq</t>
  </si>
  <si>
    <t xml:space="preserve">Troca de fechadura , interna, porta de quarto, madeira, padrão premium </t>
  </si>
  <si>
    <t>05.03.14</t>
  </si>
  <si>
    <t xml:space="preserve">Troca de espelho ou roseta </t>
  </si>
  <si>
    <t>troca de espelho ou roseta , porta</t>
  </si>
  <si>
    <t>G2XAbJFAPXLhAaVk1KMtJm</t>
  </si>
  <si>
    <t>Troca de espelho ou roseta , porta</t>
  </si>
  <si>
    <t>05.03.15</t>
  </si>
  <si>
    <t>Troca de pilha ou bateria da fechadura</t>
  </si>
  <si>
    <t>troca de pilha ou bateria da fechadura, porta</t>
  </si>
  <si>
    <t>F4ha54vAv1fQU9ZsVXyVx</t>
  </si>
  <si>
    <t>Troca de pilha ou bateria da fechadura, porta</t>
  </si>
  <si>
    <t>05.03.16</t>
  </si>
  <si>
    <t>Troca de contra testa para fechadura</t>
  </si>
  <si>
    <t>troca de contra testa para fechadura, porta</t>
  </si>
  <si>
    <t>RcBVz6AerYf1PzKqT4ur4P</t>
  </si>
  <si>
    <t>Troca de contra testa para fechadura, porta</t>
  </si>
  <si>
    <t>05.03.17</t>
  </si>
  <si>
    <t>Troca de puxador ou maçaneta</t>
  </si>
  <si>
    <t>troca de puxador ou maçaneta, porta, padrão simples</t>
  </si>
  <si>
    <t>6hrJZvqDsMwfH2qAZ43YoD</t>
  </si>
  <si>
    <t>Troca de puxador ou maçaneta, porta, padrão simples</t>
  </si>
  <si>
    <t>05.03.18</t>
  </si>
  <si>
    <t>troca de puxador ou maçaneta, porta, padrão normal</t>
  </si>
  <si>
    <t>PE7zxpKbxNa6s975u2ppNb</t>
  </si>
  <si>
    <t>Troca de puxador ou maçaneta, porta, padrão normal</t>
  </si>
  <si>
    <t>05.03.19</t>
  </si>
  <si>
    <t xml:space="preserve">troca de puxador ou maçaneta, porta, padrão premium </t>
  </si>
  <si>
    <t>64rVwsEFyHjBJfjNxTwnGc</t>
  </si>
  <si>
    <t xml:space="preserve">Troca de puxador ou maçaneta, porta, padrão premium </t>
  </si>
  <si>
    <t>05.03.20</t>
  </si>
  <si>
    <t>troca de fechadura , tetra, sobrepor</t>
  </si>
  <si>
    <t>https://www.leroymerlin.com.br/fechadura-para-portao-sobrepor-stam-1701-100-preta-preto-tetra-chave-reforcada_1567446521</t>
  </si>
  <si>
    <t>Troca de fechadura , tetra, sobrepor</t>
  </si>
  <si>
    <t>05.03.21</t>
  </si>
  <si>
    <t>Troca do miolo de fechadura</t>
  </si>
  <si>
    <t>correios</t>
  </si>
  <si>
    <t>com fornecimento de 02 chaves</t>
  </si>
  <si>
    <t>troca do miolo de fechadura, correios, com fornecimento de 02 chaves</t>
  </si>
  <si>
    <t>Troca do miolo de fechadura, correios, com fornecimento de 02 chaves</t>
  </si>
  <si>
    <t>05.04</t>
  </si>
  <si>
    <t>Chaves</t>
  </si>
  <si>
    <t>6F5mx2sVdYCeE8v11APVsU</t>
  </si>
  <si>
    <t>05.04.01</t>
  </si>
  <si>
    <t>Controle de portão com configuração</t>
  </si>
  <si>
    <t>controle de portão com configuração</t>
  </si>
  <si>
    <t>3KXtoot45YeLyw7f7Q9c2w</t>
  </si>
  <si>
    <t>05.04.02</t>
  </si>
  <si>
    <t>Confecção de chave</t>
  </si>
  <si>
    <t>confecção de chave, padrão simples</t>
  </si>
  <si>
    <t>BGq1A6Auhd9uSu3uJjvqzb</t>
  </si>
  <si>
    <t>Confecção de chave, padrão simples</t>
  </si>
  <si>
    <t>05.04.03</t>
  </si>
  <si>
    <t>confecção de chave, tetra</t>
  </si>
  <si>
    <t>VFFuvz5HsMgKNEpxS6wyxb</t>
  </si>
  <si>
    <t>Confecção de chave, tetra</t>
  </si>
  <si>
    <t>05.04.04</t>
  </si>
  <si>
    <t>correio</t>
  </si>
  <si>
    <t>confecção de chave, correio</t>
  </si>
  <si>
    <t>DkHP3j4gK36QkpQEGWmmPB</t>
  </si>
  <si>
    <t>Confecção de chave, correio</t>
  </si>
  <si>
    <t>05.04.05</t>
  </si>
  <si>
    <t>confecção de chave, interna</t>
  </si>
  <si>
    <t>Tj5fWgBWxXAk8zQPhbP7rn</t>
  </si>
  <si>
    <t>Confecção de chave, interna</t>
  </si>
  <si>
    <t>05.04.06</t>
  </si>
  <si>
    <t>banheiro</t>
  </si>
  <si>
    <t>confecção de chave, banheiro</t>
  </si>
  <si>
    <t>AqshaNgFKJnh6REpcB35G7</t>
  </si>
  <si>
    <t>Confecção de chave, banheiro</t>
  </si>
  <si>
    <t>05.04.07</t>
  </si>
  <si>
    <t xml:space="preserve">Abertura e troca de cadeado </t>
  </si>
  <si>
    <t>comum</t>
  </si>
  <si>
    <t>abertura e troca de cadeado , comum</t>
  </si>
  <si>
    <t>https://www.leroymerlin.com.br/cadeado-45-mm-zamac-latonado-e-coat-com-2-chaves-stam_1566759199</t>
  </si>
  <si>
    <t>AFTPWV7uZdP1cd8bYHt98U</t>
  </si>
  <si>
    <t>Abertura e troca de cadeado , comum</t>
  </si>
  <si>
    <t>05.05</t>
  </si>
  <si>
    <t>Cobertura De Madeira</t>
  </si>
  <si>
    <t>DKsYoAsy3PKmF2SS8aaxvg</t>
  </si>
  <si>
    <t>05.05.01</t>
  </si>
  <si>
    <t>Troca de telha ou cumeeira</t>
  </si>
  <si>
    <t>material fibrocimento - 6mm</t>
  </si>
  <si>
    <t>somente 1 telha</t>
  </si>
  <si>
    <t>troca de telha ou cumeeira, material fibrocimento - 6mm, somente 1 telha</t>
  </si>
  <si>
    <t>https://www.leroymerlin.com.br/telha-fibrocimento-2,44mx1,10mx6mm-ondulada-brasilit_89492095</t>
  </si>
  <si>
    <t>3dkajoCUu247ZMxfq8uFZ3</t>
  </si>
  <si>
    <t>Troca de telha ou cumeeira, material fibrocimento - 6mm, somente 1 telha</t>
  </si>
  <si>
    <t>05.05.02</t>
  </si>
  <si>
    <t>até 05 unidades</t>
  </si>
  <si>
    <t>troca de telha ou cumeeira, material fibrocimento - 6mm, até 05 unidades</t>
  </si>
  <si>
    <t>Troca de telha ou cumeeira, material fibrocimento - 6mm, até 05 unidades</t>
  </si>
  <si>
    <t>05.05.03</t>
  </si>
  <si>
    <t>até 10 unidades</t>
  </si>
  <si>
    <t>troca de telha ou cumeeira, material fibrocimento - 6mm, até 10 unidades</t>
  </si>
  <si>
    <t>Troca de telha ou cumeeira, material fibrocimento - 6mm, até 10 unidades</t>
  </si>
  <si>
    <t>05.05.04</t>
  </si>
  <si>
    <t>até 15 unidades</t>
  </si>
  <si>
    <t>troca de telha ou cumeeira, material fibrocimento - 6mm, até 15 unidades</t>
  </si>
  <si>
    <t>Troca de telha ou cumeeira, material fibrocimento - 6mm, até 15 unidades</t>
  </si>
  <si>
    <t>05.05.05</t>
  </si>
  <si>
    <t>até 20 unidades</t>
  </si>
  <si>
    <t>troca de telha ou cumeeira, material fibrocimento - 6mm, até 20 unidades</t>
  </si>
  <si>
    <t>Troca de telha ou cumeeira, material fibrocimento - 6mm, até 20 unidades</t>
  </si>
  <si>
    <t>05.05.06</t>
  </si>
  <si>
    <t>adicional para acesso mecanizado</t>
  </si>
  <si>
    <t>troca de telha ou cumeeira, material fibrocimento - 6mm, adicional para acesso mecanizado</t>
  </si>
  <si>
    <t>FQtnS8JJN2DDMEbJEWrtgk</t>
  </si>
  <si>
    <t>Troca de telha ou cumeeira, material fibrocimento - 6mm, adicional para acesso mecanizado</t>
  </si>
  <si>
    <t>05.05.07</t>
  </si>
  <si>
    <t>troca de telha ou cumeeira, material cerâmica, até 20 unidades</t>
  </si>
  <si>
    <t>https://www.leroymerlin.com.br/telha-ceramica-44,50x25,30x6,8-romana-terracota-resinada-top-telha_90775412</t>
  </si>
  <si>
    <t>CJMbvdPjsQDXDGWrmgbkKc</t>
  </si>
  <si>
    <t>Troca de telha ou cumeeira, material cerâmica, até 20 unidades</t>
  </si>
  <si>
    <t>05.05.08</t>
  </si>
  <si>
    <t>até 30 unidades</t>
  </si>
  <si>
    <t>troca de telha ou cumeeira, material cerâmica, até 30 unidades</t>
  </si>
  <si>
    <t>84kPvjpQNyZG5ATRapqS8N</t>
  </si>
  <si>
    <t>Troca de telha ou cumeeira, material cerâmica, até 30 unidades</t>
  </si>
  <si>
    <t>05.05.09</t>
  </si>
  <si>
    <t>até 40 unidades</t>
  </si>
  <si>
    <t>troca de telha ou cumeeira, material cerâmica, até 40 unidades</t>
  </si>
  <si>
    <t>CK1eaMtiVkfdsu6iZjjfw1</t>
  </si>
  <si>
    <t>Troca de telha ou cumeeira, material cerâmica, até 40 unidades</t>
  </si>
  <si>
    <t>05.05.10</t>
  </si>
  <si>
    <t>até 50 unidades</t>
  </si>
  <si>
    <t>troca de telha ou cumeeira, material cerâmica, até 50 unidades</t>
  </si>
  <si>
    <t>Troca de telha ou cumeeira, material cerâmica, até 50 unidades</t>
  </si>
  <si>
    <t>05.05.11</t>
  </si>
  <si>
    <t>Alinhamento de telha</t>
  </si>
  <si>
    <t>até 20 m2</t>
  </si>
  <si>
    <t>alinhamento de telha, material cerâmica, até 20 m2</t>
  </si>
  <si>
    <t>DLgM2un9KZ8byQ5QB5heqp</t>
  </si>
  <si>
    <t>Alinhamento de telha, material cerâmica, até 20 m2</t>
  </si>
  <si>
    <t>05.05.12</t>
  </si>
  <si>
    <t>até 40 m2</t>
  </si>
  <si>
    <t>alinhamento de telha, material cerâmica, até 40 m2</t>
  </si>
  <si>
    <t>JZ9tghZzhRtvW66vQCGfjx</t>
  </si>
  <si>
    <t>Alinhamento de telha, material cerâmica, até 40 m2</t>
  </si>
  <si>
    <t>05.05.13</t>
  </si>
  <si>
    <t>Impermeabilização dos parafusos com pu</t>
  </si>
  <si>
    <t>impermeabilização dos parafusos com pu</t>
  </si>
  <si>
    <t>LiS7qrtMkY9iZXqxkVWsbE</t>
  </si>
  <si>
    <t>05.05.14</t>
  </si>
  <si>
    <t>Troca de ripa e/ou caibros de madeira</t>
  </si>
  <si>
    <t>para telha de fibrocimento - 6mm</t>
  </si>
  <si>
    <t>até 10 m2</t>
  </si>
  <si>
    <t>troca de ripa e/ou caibros de madeira, para telha de fibrocimento - 6mm, até 10 m2</t>
  </si>
  <si>
    <t>LHYom5Uu37dFDvK6vdY3Ue</t>
  </si>
  <si>
    <t>Troca de ripa e/ou caibros de madeira, para telha de fibrocimento - 6mm, até 10 m2</t>
  </si>
  <si>
    <t>05.05.15</t>
  </si>
  <si>
    <t>troca de ripa e/ou caibros de madeira, para telha de fibrocimento - 6mm, até 20 m2</t>
  </si>
  <si>
    <t>Troca de ripa e/ou caibros de madeira, para telha de fibrocimento - 6mm, até 20 m2</t>
  </si>
  <si>
    <t>05.05.16</t>
  </si>
  <si>
    <t>Troca de ripa e/ou caibros</t>
  </si>
  <si>
    <t>para telha de cerâmica</t>
  </si>
  <si>
    <t>troca de ripa e/ou caibros, para telha de cerâmica, até 10 m2</t>
  </si>
  <si>
    <t>8t8WC5nVpRxjSPnDHcupgu</t>
  </si>
  <si>
    <t>Troca de ripa e/ou caibros, para telha de cerâmica, até 10 m2</t>
  </si>
  <si>
    <t>05.05.17</t>
  </si>
  <si>
    <t>troca de ripa e/ou caibros, para telha de cerâmica, até 20 m2</t>
  </si>
  <si>
    <t>Troca de ripa e/ou caibros, para telha de cerâmica, até 20 m2</t>
  </si>
  <si>
    <t>05.05.18</t>
  </si>
  <si>
    <t>Reparo de calhas, rufos e pingadeiras</t>
  </si>
  <si>
    <t>fácil acesso</t>
  </si>
  <si>
    <t>até 10 m</t>
  </si>
  <si>
    <t>reparo de calhas, rufos e pingadeiras, fácil acesso, até 10 m</t>
  </si>
  <si>
    <t>3iyXT7619Rd28oC2wQ5agB</t>
  </si>
  <si>
    <t>Reparo de calhas, rufos e pingadeiras, fácil acesso, até 10 m</t>
  </si>
  <si>
    <t>05.05.19</t>
  </si>
  <si>
    <t xml:space="preserve">difícil acesso </t>
  </si>
  <si>
    <t>reparo de calhas, rufos e pingadeiras, difícil acesso , até 10 m</t>
  </si>
  <si>
    <t>SU5hrzCimeTcEM24W2YdGy</t>
  </si>
  <si>
    <t>Reparo de calhas, rufos e pingadeiras, difícil acesso , até 10 m</t>
  </si>
  <si>
    <t>05.05.20</t>
  </si>
  <si>
    <t>Impermeabilização de calha</t>
  </si>
  <si>
    <t>impermeabilização de calha, fácil acesso, até 10 m</t>
  </si>
  <si>
    <t>LP5FchzVFh1ysA59Xt4fER</t>
  </si>
  <si>
    <t>Impermeabilização de calha, fácil acesso, até 10 m</t>
  </si>
  <si>
    <t>05.05.21</t>
  </si>
  <si>
    <t>impermeabilização de calha, difícil acesso , até 10 m</t>
  </si>
  <si>
    <t>rjGfU7CkS77nwpFGiXqFC</t>
  </si>
  <si>
    <t>Impermeabilização de calha, difícil acesso , até 10 m</t>
  </si>
  <si>
    <t>05.05.22</t>
  </si>
  <si>
    <t>Impermeabilização de laje</t>
  </si>
  <si>
    <t>manta asfaltica</t>
  </si>
  <si>
    <t>impermeabilização de laje, manta asfaltica, até 10 m</t>
  </si>
  <si>
    <t>WaNmGm8owfJdF9DJzmH6oV</t>
  </si>
  <si>
    <t>Impermeabilização de laje, manta asfaltica, até 10 m</t>
  </si>
  <si>
    <t>05.05.23</t>
  </si>
  <si>
    <t>Troca de calha de aço</t>
  </si>
  <si>
    <t>beiral</t>
  </si>
  <si>
    <t>até 5 m</t>
  </si>
  <si>
    <t>troca de calha de aço, beiral, fácil acesso, até 5 m</t>
  </si>
  <si>
    <t>V81WDW4NEZuzKdHC82semw</t>
  </si>
  <si>
    <t>Troca de calha de aço, beiral, fácil acesso, até 5 m</t>
  </si>
  <si>
    <t>05.05.24</t>
  </si>
  <si>
    <t>troca de calha de aço, beiral, fácil acesso, até 10 m</t>
  </si>
  <si>
    <t>Troca de calha de aço, beiral, fácil acesso, até 10 m</t>
  </si>
  <si>
    <t>05.05.25</t>
  </si>
  <si>
    <t>troca de calha de aço, beiral, difícil acesso , até 5 m</t>
  </si>
  <si>
    <t>Kfcfc5PZeSEt7QaxczPC85</t>
  </si>
  <si>
    <t>Troca de calha de aço, beiral, difícil acesso , até 5 m</t>
  </si>
  <si>
    <t>05.05.26</t>
  </si>
  <si>
    <t>troca de calha de aço, beiral, difícil acesso , até 10 m</t>
  </si>
  <si>
    <t>Troca de calha de aço, beiral, difícil acesso , até 10 m</t>
  </si>
  <si>
    <t>05.05.27</t>
  </si>
  <si>
    <t>platibanda</t>
  </si>
  <si>
    <t>troca de calha de aço, platibanda, fácil acesso, até 5 m</t>
  </si>
  <si>
    <t>NydoQfanQs1zam9u9rB9Hv</t>
  </si>
  <si>
    <t>Troca de calha de aço, platibanda, fácil acesso, até 5 m</t>
  </si>
  <si>
    <t>05.05.28</t>
  </si>
  <si>
    <t>troca de calha de aço, platibanda, fácil acesso, até 10 m</t>
  </si>
  <si>
    <t>Troca de calha de aço, platibanda, fácil acesso, até 10 m</t>
  </si>
  <si>
    <t>05.05.29</t>
  </si>
  <si>
    <t>troca de calha de aço, platibanda, difícil acesso , até 5 m</t>
  </si>
  <si>
    <t>Mem1LHnGDMETFsgNCuRVHA</t>
  </si>
  <si>
    <t>Troca de calha de aço, platibanda, difícil acesso , até 5 m</t>
  </si>
  <si>
    <t>05.05.30</t>
  </si>
  <si>
    <t>troca de calha de aço, platibanda, difícil acesso , até 10 m</t>
  </si>
  <si>
    <t>Troca de calha de aço, platibanda, difícil acesso , até 10 m</t>
  </si>
  <si>
    <t>05.05.31</t>
  </si>
  <si>
    <t>Troca de rufo de aço</t>
  </si>
  <si>
    <t>troca de rufo de aço, fácil acesso, até 5 m</t>
  </si>
  <si>
    <t>EWFt48cj1s1dSFKD4uazU4</t>
  </si>
  <si>
    <t>Troca de rufo de aço, fácil acesso, até 5 m</t>
  </si>
  <si>
    <t>05.05.32</t>
  </si>
  <si>
    <t>troca de rufo de aço, fácil acesso, até 10 m</t>
  </si>
  <si>
    <t>Troca de rufo de aço, fácil acesso, até 10 m</t>
  </si>
  <si>
    <t>05.05.33</t>
  </si>
  <si>
    <t>troca de rufo de aço, difícil acesso , até 5 m</t>
  </si>
  <si>
    <t>Troca de rufo de aço, difícil acesso , até 5 m</t>
  </si>
  <si>
    <t>05.05.34</t>
  </si>
  <si>
    <t>troca de rufo de aço, difícil acesso , até 10 m</t>
  </si>
  <si>
    <t>Troca de rufo de aço, difícil acesso , até 10 m</t>
  </si>
  <si>
    <t>05.05.35</t>
  </si>
  <si>
    <t>Troca de água furtada de aço</t>
  </si>
  <si>
    <t>troca de água furtada de aço, fácil acesso, até 5 m</t>
  </si>
  <si>
    <t>Troca de água furtada de aço, fácil acesso, até 5 m</t>
  </si>
  <si>
    <t>05.05.36</t>
  </si>
  <si>
    <t>troca de água furtada de aço, fácil acesso, até 10 m</t>
  </si>
  <si>
    <t>Troca de água furtada de aço, fácil acesso, até 10 m</t>
  </si>
  <si>
    <t>05.05.37</t>
  </si>
  <si>
    <t>troca de água furtada de aço, difícil acesso , até 5 m</t>
  </si>
  <si>
    <t>Troca de água furtada de aço, difícil acesso , até 5 m</t>
  </si>
  <si>
    <t>05.05.38</t>
  </si>
  <si>
    <t>troca de água furtada de aço, difícil acesso , até 10 m</t>
  </si>
  <si>
    <t>Troca de água furtada de aço, difícil acesso , até 10 m</t>
  </si>
  <si>
    <t>05.05.39</t>
  </si>
  <si>
    <t>Troca de cumeeira de aço</t>
  </si>
  <si>
    <t>troca de cumeeira de aço, fácil acesso, até 5 m</t>
  </si>
  <si>
    <t>Troca de cumeeira de aço, fácil acesso, até 5 m</t>
  </si>
  <si>
    <t>05.05.40</t>
  </si>
  <si>
    <t>troca de cumeeira de aço, fácil acesso, até 10 m</t>
  </si>
  <si>
    <t>Troca de cumeeira de aço, fácil acesso, até 10 m</t>
  </si>
  <si>
    <t>05.05.41</t>
  </si>
  <si>
    <t>troca de cumeeira de aço, difícil acesso , até 5 m</t>
  </si>
  <si>
    <t>Troca de cumeeira de aço, difícil acesso , até 5 m</t>
  </si>
  <si>
    <t>05.05.42</t>
  </si>
  <si>
    <t>troca de cumeeira de aço, difícil acesso , até 10 m</t>
  </si>
  <si>
    <t>Troca de cumeeira de aço, difícil acesso , até 10 m</t>
  </si>
  <si>
    <t>05.05.43</t>
  </si>
  <si>
    <t>Troca completa do telhado</t>
  </si>
  <si>
    <t>troca completa do telhado, convencional</t>
  </si>
  <si>
    <t>Troca completa do telhado, convencional</t>
  </si>
  <si>
    <t>05.05.44</t>
  </si>
  <si>
    <t>complexo</t>
  </si>
  <si>
    <t>troca completa do telhado, complexo</t>
  </si>
  <si>
    <t>6PUtdK1YkHjpTtuKpasqjz</t>
  </si>
  <si>
    <t>Troca completa do telhado, complexo</t>
  </si>
  <si>
    <t>05.05.45</t>
  </si>
  <si>
    <t>Impermeabilização com aplicação de manta liquida</t>
  </si>
  <si>
    <t>até 15m2 com 02 demãos</t>
  </si>
  <si>
    <t>Execução de impermeabilização com aplicação de manta liquida, até 15m2 com 02 demãos.
Está incluso: limpeza do local, aplicação de manta liquida e teste de estanqueidade.</t>
  </si>
  <si>
    <t>limpeza do local, aplicação de manta liquida e teste de estanqueidade</t>
  </si>
  <si>
    <t>impermeabilização com aplicação de manta liquida, até 15m2 com 02 demãos</t>
  </si>
  <si>
    <t>https://www.leroymerlin.com.br/manta-liquida-sikafill-rapido-branco-17kg-sika_90908503</t>
  </si>
  <si>
    <t>Impermeabilização com aplicação de manta liquida, até 15m2 com 02 demãos</t>
  </si>
  <si>
    <t>05.05.46</t>
  </si>
  <si>
    <t>incluso drymanta</t>
  </si>
  <si>
    <t>Execução de impermeabilização com aplicação de manta liquida, até 15m2 com 02 demãos, incluso drymanta.
Está incluso: limpeza do local, aplicação de manta liquida com drymanta e teste de estanqueidade.</t>
  </si>
  <si>
    <t>limpeza do local, aplicação de manta liquida com drymanta e teste de estanqueidade</t>
  </si>
  <si>
    <t>impermeabilização com aplicação de manta liquida, até 15m2 com 02 demãos, incluso drymanta</t>
  </si>
  <si>
    <t>https://www.leroymerlin.com.br/drymanta-25mx1m_91868273</t>
  </si>
  <si>
    <t>Impermeabilização com aplicação de manta liquida, até 15m2 com 02 demãos, incluso drymanta</t>
  </si>
  <si>
    <t>05.05.47</t>
  </si>
  <si>
    <t>até 30m2 com 02 demãos</t>
  </si>
  <si>
    <t>Execução de impermeabilização com aplicação de manta liquida, até 30m2 com 02 demãos.
Está incluso: limpeza do local, aplicação de manta liquida e teste de estanqueidade.</t>
  </si>
  <si>
    <t>impermeabilização com aplicação de manta liquida, até 30m2 com 02 demãos</t>
  </si>
  <si>
    <t>Impermeabilização com aplicação de manta liquida, até 30m2 com 02 demãos</t>
  </si>
  <si>
    <t>05.05.48</t>
  </si>
  <si>
    <t>Execução de impermeabilização com aplicação de manta liquida, até 30m2 com 02 demãos, incluso drymanta.
Está incluso: limpeza do local, aplicação de manta liquida com drymanta e teste de estanqueidade.</t>
  </si>
  <si>
    <t>impermeabilização com aplicação de manta liquida, até 30m2 com 02 demãos, incluso drymanta</t>
  </si>
  <si>
    <t>Impermeabilização com aplicação de manta liquida, até 30m2 com 02 demãos, incluso drymanta</t>
  </si>
  <si>
    <t>05.05.49</t>
  </si>
  <si>
    <t>até 45m2 com 02 demãos</t>
  </si>
  <si>
    <t>Execução de impermeabilização com aplicação de manta liquida, até 45m2 com 02 demãos.
Está incluso: limpeza do local, aplicação de manta liquida e teste de estanqueidade.</t>
  </si>
  <si>
    <t>impermeabilização com aplicação de manta liquida, até 45m2 com 02 demãos</t>
  </si>
  <si>
    <t>Impermeabilização com aplicação de manta liquida, até 45m2 com 02 demãos</t>
  </si>
  <si>
    <t>05.05.50</t>
  </si>
  <si>
    <t>Execução de impermeabilização com aplicação de manta liquida, até 45m2 com 02 demãos, incluso drymanta.
Está incluso: limpeza do local, aplicação de manta liquida com drymanta e teste de estanqueidade.</t>
  </si>
  <si>
    <t>impermeabilização com aplicação de manta liquida, até 45m2 com 02 demãos, incluso drymanta</t>
  </si>
  <si>
    <t>Impermeabilização com aplicação de manta liquida, até 45m2 com 02 demãos, incluso drymanta</t>
  </si>
  <si>
    <t>05.05.51</t>
  </si>
  <si>
    <t>até 60m2 com 02 demãos</t>
  </si>
  <si>
    <t>Execução de impermeabilização com aplicação de manta liquida, até 60m2 com 02 demãos.
Está incluso: limpeza do local, aplicação de manta liquida e teste de estanqueidade.</t>
  </si>
  <si>
    <t>impermeabilização com aplicação de manta liquida, até 60m2 com 02 demãos</t>
  </si>
  <si>
    <t>Impermeabilização com aplicação de manta liquida, até 60m2 com 02 demãos</t>
  </si>
  <si>
    <t>05.05.52</t>
  </si>
  <si>
    <t>Execução de impermeabilização com aplicação de manta liquida, até 60m2 com 02 demãos, incluso drymanta.
Está incluso: limpeza do local, aplicação de manta liquida com drymanta e teste de estanqueidade.</t>
  </si>
  <si>
    <t>impermeabilização com aplicação de manta liquida, até 60m2 com 02 demãos, incluso drymanta</t>
  </si>
  <si>
    <t>Impermeabilização com aplicação de manta liquida, até 60m2 com 02 demãos, incluso drymanta</t>
  </si>
  <si>
    <t>05.06</t>
  </si>
  <si>
    <t>Moveis De Madeira</t>
  </si>
  <si>
    <t>14PT3u5VrFQNLfAiuDgzme</t>
  </si>
  <si>
    <t>05.06.01</t>
  </si>
  <si>
    <t>Desmontagem e/ou montagem de móveis</t>
  </si>
  <si>
    <t>pequeno</t>
  </si>
  <si>
    <t>desmontagem e/ou montagem de móveis, pequeno</t>
  </si>
  <si>
    <t>ADD9zmTDiKvVRaJc5rjbCK</t>
  </si>
  <si>
    <t>Desmontagem e/ou montagem de móveis, pequeno</t>
  </si>
  <si>
    <t>05.06.02</t>
  </si>
  <si>
    <t>desmontagem e/ou montagem de móveis, médio</t>
  </si>
  <si>
    <t>JjmZS3moeFEfjko8pmQou2</t>
  </si>
  <si>
    <t>Desmontagem e/ou montagem de móveis, médio</t>
  </si>
  <si>
    <t>05.06.03</t>
  </si>
  <si>
    <t>grande</t>
  </si>
  <si>
    <t>desmontagem e/ou montagem de móveis, grande</t>
  </si>
  <si>
    <t>RdLEVvGJKveqPUNJ4QdVe5</t>
  </si>
  <si>
    <t>Desmontagem e/ou montagem de móveis, grande</t>
  </si>
  <si>
    <t>05.06.04</t>
  </si>
  <si>
    <t>Troca de madeira MDF</t>
  </si>
  <si>
    <t>cores variadas</t>
  </si>
  <si>
    <t>troca de madeira mdf, cores variadas</t>
  </si>
  <si>
    <t>CyVv2RxAU63cVVV17AWjcH</t>
  </si>
  <si>
    <t>Troca de madeira MDF, cores variadas</t>
  </si>
  <si>
    <t>05.06.05</t>
  </si>
  <si>
    <t>Troca do conjunto de dobradiças</t>
  </si>
  <si>
    <t>material aço</t>
  </si>
  <si>
    <t>35mm</t>
  </si>
  <si>
    <t>padrão convencional</t>
  </si>
  <si>
    <t>02 unidades por porta</t>
  </si>
  <si>
    <t>troca do conjunto de dobradiças, material aço, 35mm, padrão convencional, 02 unidades por porta</t>
  </si>
  <si>
    <t>https://www.leroymerlin.com.br/dobradica-para-moveis-curva-35mm-95o-aco-1-peca_89372465</t>
  </si>
  <si>
    <t>JdmR5AL4y8eo63EpKsrfoH</t>
  </si>
  <si>
    <t>Troca do conjunto de dobradiças, material aço, 35mm, padrão convencional, 02 unidades por porta</t>
  </si>
  <si>
    <t>05.06.06</t>
  </si>
  <si>
    <t>03 unidades por porta</t>
  </si>
  <si>
    <t>troca do conjunto de dobradiças, material aço, 35mm, padrão convencional, 03 unidades por porta</t>
  </si>
  <si>
    <t>Troca do conjunto de dobradiças, material aço, 35mm, padrão convencional, 03 unidades por porta</t>
  </si>
  <si>
    <t>05.06.07</t>
  </si>
  <si>
    <t>Troca de trilho / corrediça</t>
  </si>
  <si>
    <t>tipo roldana</t>
  </si>
  <si>
    <t>para gaveta</t>
  </si>
  <si>
    <t>até 30cm</t>
  </si>
  <si>
    <t>suporta até 20kg</t>
  </si>
  <si>
    <t>considerando a troca do par</t>
  </si>
  <si>
    <t>troca de trilho / corrediça, tipo roldana, para gaveta, até 30cm, suporta até 20kg, considerando a troca do par</t>
  </si>
  <si>
    <t>https://www.leroymerlin.com.br/corredica-roldana-aco-inox-extracao-parcial-30cm-ate-20kg-1-par_87668924</t>
  </si>
  <si>
    <t>NuE61VekoTNNTnkZrLCJkZ</t>
  </si>
  <si>
    <t>Troca de trilho / corrediça, tipo roldana, para gaveta, até 30cm, suporta até 20kg, considerando a troca do par</t>
  </si>
  <si>
    <t>05.06.08</t>
  </si>
  <si>
    <t>até 45cm</t>
  </si>
  <si>
    <t>troca de trilho / corrediça, tipo roldana, para gaveta, até 45cm, suporta até 20kg, considerando a troca do par</t>
  </si>
  <si>
    <t>https://www.leroymerlin.com.br/corredica-roldana-aco-extracao-parcial-45cm-ate-20kg-1-par_87669120</t>
  </si>
  <si>
    <t>Troca de trilho / corrediça, tipo roldana, para gaveta, até 45cm, suporta até 20kg, considerando a troca do par</t>
  </si>
  <si>
    <t>05.06.09</t>
  </si>
  <si>
    <t>tipo telescópica</t>
  </si>
  <si>
    <t>até 25cm</t>
  </si>
  <si>
    <t>suporta até 25kg</t>
  </si>
  <si>
    <t>troca de trilho / corrediça, tipo telescópica, para gaveta, até 25cm, suporta até 25kg, considerando a troca do par</t>
  </si>
  <si>
    <t>https://www.leroymerlin.com.br/corredica-telescopica-para-gaveta-aco-zincado-25cm-ate-25kg-1-par_89083015</t>
  </si>
  <si>
    <t>Troca de trilho / corrediça, tipo telescópica, para gaveta, até 25cm, suporta até 25kg, considerando a troca do par</t>
  </si>
  <si>
    <t>05.06.10</t>
  </si>
  <si>
    <t>até 55cm</t>
  </si>
  <si>
    <t>troca de trilho / corrediça, tipo telescópica, para gaveta, até 55cm, suporta até 25kg, considerando a troca do par</t>
  </si>
  <si>
    <t>https://www.leroymerlin.com.br/corredica-telescopica-para-gaveta-aco-zincado-55cm-ate-25kg-1-par_89083071</t>
  </si>
  <si>
    <t>Troca de trilho / corrediça, tipo telescópica, para gaveta, até 55cm, suporta até 25kg, considerando a troca do par</t>
  </si>
  <si>
    <t>05.06.11</t>
  </si>
  <si>
    <t>até 50cm</t>
  </si>
  <si>
    <t>suporta até 30kg</t>
  </si>
  <si>
    <t>troca de trilho / corrediça, tipo telescópica, para gaveta, até 50cm, suporta até 30kg, considerando a troca do par</t>
  </si>
  <si>
    <t>https://www.leroymerlin.com.br/corredica-mini-telescopica-para-gaveta-aco-50cm-ate-30kg-1-par_90597871</t>
  </si>
  <si>
    <t>Troca de trilho / corrediça, tipo telescópica, para gaveta, até 50cm, suporta até 30kg, considerando a troca do par</t>
  </si>
  <si>
    <t>05.06.12</t>
  </si>
  <si>
    <t>suporta até 35kg</t>
  </si>
  <si>
    <t>troca de trilho / corrediça, tipo telescópica, para gaveta, até 45cm, suporta até 35kg, considerando a troca do par</t>
  </si>
  <si>
    <t>https://www.leroymerlin.com.br/corredica-telescopica-aco-abertura-por-toque-extracao-total-45cm-ate-35kg-1-par-fgvtn_90597962</t>
  </si>
  <si>
    <t>Troca de trilho / corrediça, tipo telescópica, para gaveta, até 45cm, suporta até 35kg, considerando a troca do par</t>
  </si>
  <si>
    <t>05.06.13</t>
  </si>
  <si>
    <t>troca de trilho / corrediça, tipo telescópica, para gaveta, até 50cm, suporta até 35kg, considerando a troca do par</t>
  </si>
  <si>
    <t>https://www.leroymerlin.com.br/corredica-telescopica-aco-amortecedor-extracao-total-50cm-ate-35kg-1-par-fgvtn_90597920</t>
  </si>
  <si>
    <t>Troca de trilho / corrediça, tipo telescópica, para gaveta, até 50cm, suporta até 35kg, considerando a troca do par</t>
  </si>
  <si>
    <t>05.06.14</t>
  </si>
  <si>
    <t>Troca de pistão a gás</t>
  </si>
  <si>
    <t>para porta de armário</t>
  </si>
  <si>
    <t>até 10kg</t>
  </si>
  <si>
    <t>considerando a troca  unitária</t>
  </si>
  <si>
    <t>troca de pistão a gás, para porta de armário, até 10kg, considerando a troca  unitária, padrão normal</t>
  </si>
  <si>
    <t>https://www.leroymerlin.com.br/pistao-a-gas-forca-normal-prata-100n-10kg_90598025</t>
  </si>
  <si>
    <t>QrN4NgvbHvjTRBxj8KVR1e</t>
  </si>
  <si>
    <t>Troca de pistão a gás, para porta de armário, até 10kg, considerando a troca  unitária, padrão normal</t>
  </si>
  <si>
    <t>05.06.15</t>
  </si>
  <si>
    <t>troca de pistão a gás, para porta de armário, até 10kg, considerando a troca  unitária, padrão premium</t>
  </si>
  <si>
    <t>https://www.leroymerlin.com.br/pistao-a-gas-forca-normal-prata-100n-10kg_90924344</t>
  </si>
  <si>
    <t>UViVGJafS41mTLUDpNPFu6</t>
  </si>
  <si>
    <t>Troca de pistão a gás, para porta de armário, até 10kg, considerando a troca  unitária, padrão premium</t>
  </si>
  <si>
    <t>05.06.16</t>
  </si>
  <si>
    <t>Troca completa dos trilhos e roldanas da porta do guarda-roupa</t>
  </si>
  <si>
    <t>Execução de troca completa dos trilhos e roldanas da porta do guarda-roupa, 02 folhas.
Está incluso: troca do trilho superior e inferior, roldanas inferiores e superiores, ajustes necessários, teste de funcionamento e limpeza do local..</t>
  </si>
  <si>
    <t>troca do trilho superior e inferior, roldanas inferiores e superiores, ajustes necessários, teste de funcionamento e limpeza do local.</t>
  </si>
  <si>
    <t>troca completa dos trilhos e roldanas da porta do guarda-roupa, 02 folhas</t>
  </si>
  <si>
    <t>Troca completa dos trilhos e roldanas da porta do guarda-roupa, 02 folhas</t>
  </si>
  <si>
    <t>05.06.17</t>
  </si>
  <si>
    <t>03 folhas</t>
  </si>
  <si>
    <t>Execução de troca completa dos trilhos e roldanas da porta do guarda-roupa, 03 folhas.
Está incluso: troca do trilho superior e inferior, roldanas inferiores e superiores, ajustes necessários, teste de funcionamento e limpeza do local..</t>
  </si>
  <si>
    <t>troca completa dos trilhos e roldanas da porta do guarda-roupa, 03 folhas</t>
  </si>
  <si>
    <t>Troca completa dos trilhos e roldanas da porta do guarda-roupa, 03 folhas</t>
  </si>
  <si>
    <t>05.06.18</t>
  </si>
  <si>
    <t>Troca das roldanas da porta do guarda-roupa</t>
  </si>
  <si>
    <t>Execução de troca das roldanas da porta do guarda-roupa, por folha.
Está incluso: troca das roldanas inferiores e superiores, ajustes necessários, teste de funcionamento e limpeza do local..</t>
  </si>
  <si>
    <t>troca das roldanas inferiores e superiores, ajustes necessários, teste de funcionamento e limpeza do local.</t>
  </si>
  <si>
    <t>troca das roldanas da porta do guarda-roupa, por folha</t>
  </si>
  <si>
    <t>Troca das roldanas da porta do guarda-roupa, por folha</t>
  </si>
  <si>
    <t>05.06.19</t>
  </si>
  <si>
    <t>Troca do trilho superior da porta do guarda-roupa</t>
  </si>
  <si>
    <t>Execução de troca do trilho superior da porta do guarda-roupa, 02 folhas.
Está incluso: troca do trilho superior, ajustes necessários, teste de funcionamento e limpeza do local..</t>
  </si>
  <si>
    <t>troca do trilho superior, ajustes necessários, teste de funcionamento e limpeza do local.</t>
  </si>
  <si>
    <t>troca do trilho superior da porta do guarda-roupa, 02 folhas</t>
  </si>
  <si>
    <t>Troca do trilho superior da porta do guarda-roupa, 02 folhas</t>
  </si>
  <si>
    <t>05.06.20</t>
  </si>
  <si>
    <t>Execução de troca do trilho superior da porta do guarda-roupa, 03 folhas.
Está incluso: troca do trilho superior, ajustes necessários, teste de funcionamento e limpeza do local..</t>
  </si>
  <si>
    <t>troca do trilho superior da porta do guarda-roupa, 03 folhas</t>
  </si>
  <si>
    <t>Troca do trilho superior da porta do guarda-roupa, 03 folhas</t>
  </si>
  <si>
    <t>05.06.21</t>
  </si>
  <si>
    <t>Troca do trilho inferior da porta do guarda-roupa</t>
  </si>
  <si>
    <t>Execução de troca do trilho inferior da porta do guarda-roupa, 02 folhas.
Está incluso: troca do trilho inferior, ajustes necessários, teste de funcionamento e limpeza do local..</t>
  </si>
  <si>
    <t>troca do trilho inferior, ajustes necessários, teste de funcionamento e limpeza do local.</t>
  </si>
  <si>
    <t>troca do trilho inferior da porta do guarda-roupa, 02 folhas</t>
  </si>
  <si>
    <t>Troca do trilho inferior da porta do guarda-roupa, 02 folhas</t>
  </si>
  <si>
    <t>05.06.22</t>
  </si>
  <si>
    <t>Execução de troca do trilho inferior da porta do guarda-roupa, 03 folhas.
Está incluso: troca do trilho inferior, ajustes necessários, teste de funcionamento e limpeza do local..</t>
  </si>
  <si>
    <t>troca do trilho inferior da porta do guarda-roupa, 03 folhas</t>
  </si>
  <si>
    <t>Troca do trilho inferior da porta do guarda-roupa, 03 folhas</t>
  </si>
  <si>
    <t>05.06.23</t>
  </si>
  <si>
    <t>Fornecimento de cama box de solteiro</t>
  </si>
  <si>
    <t>Desocupação</t>
  </si>
  <si>
    <t>fornecimento de cama box de solteiro, desocupação</t>
  </si>
  <si>
    <t>https://www.leroymerlin.com.br/cama-box-colchao-solteiro-espuma-d45-lazio-pillow-top-88x188x67cm-branco---bege-hellen-suporta-ate-120kg-por-pessoa_1571878377?region=outros&amp;srsltid=AfmBOopoA5TT5tJbvt0dtEZmekQs4NqrDfQGSo-kRS_xodRkk68EYkDZxYw</t>
  </si>
  <si>
    <t>Fornecimento de cama box de solteiro, Desocupação</t>
  </si>
  <si>
    <t>05.06.24</t>
  </si>
  <si>
    <t>Fornecimento de cama box de casal</t>
  </si>
  <si>
    <t>fornecimento de cama box de casal, desocupação</t>
  </si>
  <si>
    <t>https://www.koerich.com.br/p/conjunto-box-casal-scotland-138x72-molas-maxspring-bege-herval/k8129?gad_source=4&amp;gclid=CjwKCAjwooq3BhB3EiwAYqYoEh8AGEL3pCeZPxxmbWSRF0UFDxcfxy_ytUchZMM0hYFEC-aVhYRZORoCvAcQAvD_BwE</t>
  </si>
  <si>
    <t>Fornecimento de cama box de casal, Desocupação</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</si>
  <si>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</si>
  <si>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</si>
  <si>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</si>
  <si>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</si>
  <si>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08</t>
  </si>
  <si>
    <t>Equipamentos Eletrônicos</t>
  </si>
  <si>
    <t>476hKj5kTtp8UXjLcmG9aR</t>
  </si>
  <si>
    <t>08.01</t>
  </si>
  <si>
    <t>Ar Condicionado</t>
  </si>
  <si>
    <t>WhJfQXrQxaJ6GkE6TjB5ky</t>
  </si>
  <si>
    <t>08.01.01</t>
  </si>
  <si>
    <t>Instalação de ar condicionado - com material</t>
  </si>
  <si>
    <t>tubulação interna</t>
  </si>
  <si>
    <t>9000 ou 12000 btus</t>
  </si>
  <si>
    <t>até 2 metros de rede elétrica</t>
  </si>
  <si>
    <t>instalação de ar condicionado - com material, tubulação interna, 9000 ou 12000 btus, fácil acesso, até 2 metros de rede elétrica</t>
  </si>
  <si>
    <t>Ar condicionado</t>
  </si>
  <si>
    <t>EKoff8L5aN6NexLJVpHBva</t>
  </si>
  <si>
    <t>Instalação de ar condicionado - com material, tubulação interna, 9000 ou 12000 btus, fácil acesso, até 2 metros de rede elétrica</t>
  </si>
  <si>
    <t>08.01.02</t>
  </si>
  <si>
    <t>instalação de ar condicionado - com material, tubulação interna, 9000 ou 12000 btus, difícil acesso , até 2 metros de rede elétrica</t>
  </si>
  <si>
    <t>HYFSW4pFBtFtFp7m9beWQa</t>
  </si>
  <si>
    <t>Instalação de ar condicionado - com material, tubulação interna, 9000 ou 12000 btus, difícil acesso , até 2 metros de rede elétrica</t>
  </si>
  <si>
    <t>08.01.03</t>
  </si>
  <si>
    <t>18000 btus</t>
  </si>
  <si>
    <t>instalação de ar condicionado - com material, tubulação interna, 18000 btus, fácil acesso, até 2 metros de rede elétrica</t>
  </si>
  <si>
    <t>QkHNj3NdV6hEySgzvbpAoJ</t>
  </si>
  <si>
    <t>Instalação de ar condicionado - com material, tubulação interna, 18000 btus, fácil acesso, até 2 metros de rede elétrica</t>
  </si>
  <si>
    <t>08.01.04</t>
  </si>
  <si>
    <t>instalação de ar condicionado - com material, tubulação interna, 18000 btus, difícil acesso , até 2 metros de rede elétrica</t>
  </si>
  <si>
    <t>74FC4aPUBYWGaNUqJT9kQi</t>
  </si>
  <si>
    <t>Instalação de ar condicionado - com material, tubulação interna, 18000 btus, difícil acesso , até 2 metros de rede elétrica</t>
  </si>
  <si>
    <t>08.01.05</t>
  </si>
  <si>
    <t>a partir de 3 metros de rede elétrica</t>
  </si>
  <si>
    <t>m</t>
  </si>
  <si>
    <t>instalação de ar condicionado - com material, tubulação interna, 9000 ou 12000 btus, fácil acesso, a partir de 3 metros de rede elétrica</t>
  </si>
  <si>
    <t>Xae4kfBPBo8t72aQRcUuTB</t>
  </si>
  <si>
    <t>Instalação de ar condicionado - com material, tubulação interna, 9000 ou 12000 btus, fácil acesso, a partir de 3 metros de rede elétrica</t>
  </si>
  <si>
    <t>08.01.06</t>
  </si>
  <si>
    <t>instalação de ar condicionado - com material, tubulação interna, 9000 ou 12000 btus, difícil acesso , a partir de 3 metros de rede elétrica</t>
  </si>
  <si>
    <t>Ks6QkWS3MUYiPs4pyhwumR</t>
  </si>
  <si>
    <t>Instalação de ar condicionado - com material, tubulação interna, 9000 ou 12000 btus, difícil acesso , a partir de 3 metros de rede elétrica</t>
  </si>
  <si>
    <t>08.01.07</t>
  </si>
  <si>
    <t>18000 ou 30000 btus</t>
  </si>
  <si>
    <t>instalação de ar condicionado - com material, tubulação interna, 18000 ou 30000 btus, fácil acesso, a partir de 3 metros de rede elétrica</t>
  </si>
  <si>
    <t>Vw91iBHzQV8eHKAt1vnuPP</t>
  </si>
  <si>
    <t>Instalação de ar condicionado - com material, tubulação interna, 18000 ou 30000 btus, fácil acesso, a partir de 3 metros de rede elétrica</t>
  </si>
  <si>
    <t>08.01.08</t>
  </si>
  <si>
    <t>instalação de ar condicionado - com material, tubulação interna, 18000 ou 30000 btus, difícil acesso , a partir de 3 metros de rede elétrica</t>
  </si>
  <si>
    <t>Q3BvrtmYaGEnbvpvBuF8Vr</t>
  </si>
  <si>
    <t>Instalação de ar condicionado - com material, tubulação interna, 18000 ou 30000 btus, difícil acesso , a partir de 3 metros de rede elétrica</t>
  </si>
  <si>
    <t>08.01.09</t>
  </si>
  <si>
    <t>tubulação exposta</t>
  </si>
  <si>
    <t>instalação de ar condicionado - com material, tubulação exposta, 9000 ou 12000 btus, até 2 metros de rede elétrica</t>
  </si>
  <si>
    <t>CYcNbKaP3h6PpwQQpmu2UK</t>
  </si>
  <si>
    <t>Instalação de ar condicionado - com material, tubulação exposta, 9000 ou 12000 btus, até 2 metros de rede elétrica</t>
  </si>
  <si>
    <t>08.01.10</t>
  </si>
  <si>
    <t>instalação de ar condicionado - com material, tubulação exposta, 18000 ou 30000 btus, até 2 metros de rede elétrica</t>
  </si>
  <si>
    <t>Pb3nvVYAbpyraQVFxGdkmX</t>
  </si>
  <si>
    <t>Instalação de ar condicionado - com material, tubulação exposta, 18000 ou 30000 btus, até 2 metros de rede elétrica</t>
  </si>
  <si>
    <t>08.01.11</t>
  </si>
  <si>
    <t>instalação de ar condicionado - com material, tubulação exposta, 9000 ou 12000 btus, a partir de 3 metros de rede elétrica</t>
  </si>
  <si>
    <t>TzbVwjiUo7JUKHi1eamMiK</t>
  </si>
  <si>
    <t>Instalação de ar condicionado - com material, tubulação exposta, 9000 ou 12000 btus, a partir de 3 metros de rede elétrica</t>
  </si>
  <si>
    <t>08.01.12</t>
  </si>
  <si>
    <t>instalação de ar condicionado - com material, tubulação exposta, 18000 ou 30000 btus, a partir de 3 metros de rede elétrica</t>
  </si>
  <si>
    <t>NqU3GNjmFMvPPfWmicqoku</t>
  </si>
  <si>
    <t>Instalação de ar condicionado - com material, tubulação exposta, 18000 ou 30000 btus, a partir de 3 metros de rede elétrica</t>
  </si>
  <si>
    <t>08.01.13</t>
  </si>
  <si>
    <t>Troca de ar condicionado</t>
  </si>
  <si>
    <t>janela</t>
  </si>
  <si>
    <t>7500 btus</t>
  </si>
  <si>
    <t>Substituição do aparelho de ar condicionado.</t>
  </si>
  <si>
    <t>Execução de troca de ar condicionado, janela, 7500 btus.
Está incluso: remoção e descarte do aparelho antigo, teste da alimentação elétrica, instalção do novo aparelho,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</si>
  <si>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remoção e descarte do aparelho antigo, teste da alimentação elétrica, instalção do novo aparelho,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</si>
  <si>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ar condicionado, janela, 7500 btus</t>
  </si>
  <si>
    <t>não</t>
  </si>
  <si>
    <t>https://www.leroymerlin.com.br/ar-condicionado-janela-7500-btus-frio-branco-220v-eletronico-midea_92055936</t>
  </si>
  <si>
    <t>Troca de ar condicionado, janela, 7500 btus</t>
  </si>
  <si>
    <t>08.01.14</t>
  </si>
  <si>
    <t>10000 btus</t>
  </si>
  <si>
    <t>Execução de troca de ar condicionado, janela, 10000 btus.
Está incluso: remoção e descarte do aparelho antigo, teste da alimentação elétrica, instalção do novo aparelho,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</si>
  <si>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ar condicionado, janela, 10000 btus</t>
  </si>
  <si>
    <t>https://www.centralar.com.br/p/ar-condicionado-janela-eletronico-springer-midea-10000-btus-frio-220v-monofasico-qck105rb.html?gad_source=1&amp;gclid=CjwKCAiA1-6sBhAoEiwArqlGPt58DDY_nIfaDjk6wQBuOBvDrJUPkzhSrSTt98WShcKrpbuqOgU60hoCE1UQAvD_BwE</t>
  </si>
  <si>
    <t>Troca de ar condicionado, janela, 10000 btus</t>
  </si>
  <si>
    <t>08.01.15</t>
  </si>
  <si>
    <t>Limpeza com hidrojateamento e higienização</t>
  </si>
  <si>
    <t>ar condicionado</t>
  </si>
  <si>
    <t xml:space="preserve">Acumulo de sujeira no aparelho de ar condicionado convencional.
</t>
  </si>
  <si>
    <t>Execução de limpeza com hidrojateamento e higienização, ar condicionado, convencional.
Está incluso: limpeza do local e higiênização do aparelho.
Observação: Por conta das constantes variações de preço dos materiais de ar condicionado, dependendo da data de aprovação, podemos precisar solicitar um valor complementar e que será previamente aprovado para a atualização desse orçamento.</t>
  </si>
  <si>
    <t>limpeza do local e higiênização do aparelho.
Observação: Por conta das constantes variações de preço dos materiais de ar condicionado, dependendo da data de aprovação, podemos precisar solicitar um valor complementar e que será previamente aprovado para a atualização desse orçamento</t>
  </si>
  <si>
    <t>limpeza com hidrojateamento e higienização, ar condicionado, convencional</t>
  </si>
  <si>
    <t>DakdwSuAXawd1bWrKFAVCf</t>
  </si>
  <si>
    <t>Limpeza com hidrojateamento e higienização, ar condicionado, convencional</t>
  </si>
  <si>
    <t>08.01.16</t>
  </si>
  <si>
    <t>teto</t>
  </si>
  <si>
    <t xml:space="preserve">Acumulo de sujeira no aparelho de ar condicionado de teto. 
</t>
  </si>
  <si>
    <t>Execução de limpeza com hidrojateamento e higienização, ar condicionado, teto.
Está incluso: limpeza do local e higiênização do aparelho.
Observação: Por conta das constantes variações de preço dos materiais de ar condicionado, dependendo da data de aprovação, podemos precisar solicitar um valor complementar e que será previamente aprovado para a atualização desse orçamento.</t>
  </si>
  <si>
    <t>limpeza do local e higiênização do aparelho.
Observação: Por conta das constantes variações de preço dos materiais de ar condicionado, dependendo da data de aprovação, podemos precisar solicitar um valor complementar e que será previamente aprovado para a atualização desse orçamento</t>
  </si>
  <si>
    <t>limpeza com hidrojateamento e higienização, ar condicionado, teto</t>
  </si>
  <si>
    <t>v78c42dWU6AawxgibaYXh</t>
  </si>
  <si>
    <t>Limpeza com hidrojateamento e higienização, ar condicionado, teto</t>
  </si>
  <si>
    <t>08.01.17</t>
  </si>
  <si>
    <t>Troca de placa</t>
  </si>
  <si>
    <t>inverter</t>
  </si>
  <si>
    <t>troca de placa, ar condicionado, inverter</t>
  </si>
  <si>
    <t>K5JTpRjZRhxobipEVjUBP3</t>
  </si>
  <si>
    <t>Troca de placa, ar condicionado, inverter</t>
  </si>
  <si>
    <t>08.01.18</t>
  </si>
  <si>
    <t>convencional / universal</t>
  </si>
  <si>
    <t>troca de placa, ar condicionado, convencional / universal</t>
  </si>
  <si>
    <t>6LiBUB8wMpADn8mrhxkK4n</t>
  </si>
  <si>
    <t>Troca de placa, ar condicionado, convencional / universal</t>
  </si>
  <si>
    <t>08.01.19</t>
  </si>
  <si>
    <t>Recarga de gás refrigerante R410</t>
  </si>
  <si>
    <t xml:space="preserve">Falta de refrigeração no aparelho de ar condicionado convencional.
</t>
  </si>
  <si>
    <t xml:space="preserve">Execução de recarga de gás refrigerante r410, ar condicionado, convencional.
Está incluso: recarga de gás.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existem vazamentos de gás no sistema interno ou na tubulação de gás,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</si>
  <si>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recarga de gás.
Observação: Por conta das constantes variações de preço dos materiais de ar condicionado, dependendo da data de aprovação, podemos precisar solicitar um valor complementar e que será previamente aprovado para a atualização desse orçamento</t>
  </si>
  <si>
    <t>recarga de gás refrigerante r410, ar condicionado, convencional</t>
  </si>
  <si>
    <t>sim</t>
  </si>
  <si>
    <t>existem vazamentos de gás no sistema interno ou na tubulação de gás</t>
  </si>
  <si>
    <t>um sistema de ar condicionado</t>
  </si>
  <si>
    <t>X28V6sa2TEYZZg9QfHvJu6</t>
  </si>
  <si>
    <t>Recarga de gás refrigerante R410, ar condicionado, convencional</t>
  </si>
  <si>
    <t>08.01.20</t>
  </si>
  <si>
    <t>Reparo de vazamento em flanges e recarga de gás R410</t>
  </si>
  <si>
    <t xml:space="preserve">Constatação de vazamento em conexões e falta de refrigeração no aparelho de ar condicionado convencional.
</t>
  </si>
  <si>
    <t xml:space="preserve">Execução de reparo de vazamento em flanges e recarga de gás r410, ar condicionado, convencional.
Está incluso: substituição de peças, recarga de gás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existem vazamentos de gás no sistema interno ou na tubulação de gás,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</si>
  <si>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substituição de peças, recarga de gás e limpeza do local.
Observação: Por conta das constantes variações de preço dos materiais de ar condicionado, dependendo da data de aprovação, podemos precisar solicitar um valor complementar e que será previamente aprovado para a atualização desse orçamento</t>
  </si>
  <si>
    <t>reparo de vazamento em flanges e recarga de gás r410, ar condicionado, convencional</t>
  </si>
  <si>
    <t>WUqKNim1R1fzBYjqQP2kS8</t>
  </si>
  <si>
    <t>Reparo de vazamento em flanges e recarga de gás R410, ar condicionado, convencional</t>
  </si>
  <si>
    <t>08.01.21</t>
  </si>
  <si>
    <t>Troca da serpentina e recerga de gás R410</t>
  </si>
  <si>
    <t>troca da serpentina e recerga de gás r410, ar condicionado, convencional</t>
  </si>
  <si>
    <t>AaB6c9wrQvQC3e54UjaDQP</t>
  </si>
  <si>
    <t>Troca da serpentina e recerga de gás R410, ar condicionado, convencional</t>
  </si>
  <si>
    <t>08.01.22</t>
  </si>
  <si>
    <t>Troca do controle remoto</t>
  </si>
  <si>
    <t xml:space="preserve">Falha no funcionamento do controle remoto, após teste e troca de pilhas.
</t>
  </si>
  <si>
    <t xml:space="preserve">Execução de troca do controle remoto, ar condicionado.
Está incluso: subtituição do controle e configuração.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aparelho não esteja funcionando corretamente,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</si>
  <si>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subtituição do controle e configuração.
Observação: Por conta das constantes variações de preço dos materiais de ar condicionado, dependendo da data de aprovação, podemos precisar solicitar um valor complementar e que será previamente aprovado para a atualização desse orçamento</t>
  </si>
  <si>
    <t>troca do controle remoto, ar condicionado</t>
  </si>
  <si>
    <t xml:space="preserve"> o aparelho não esteja funcionando corretamente</t>
  </si>
  <si>
    <t>https://www.leroymerlin.com.br/controle-remoto-universal-multifuncoes-para-ar-condicionado-gcr40upp1-br_90152174</t>
  </si>
  <si>
    <t>LkaGUesjqvHvw9WBmknNn1</t>
  </si>
  <si>
    <t>Troca do controle remoto, ar condicionado</t>
  </si>
  <si>
    <t>08.01.23</t>
  </si>
  <si>
    <t>Troca do capacitor</t>
  </si>
  <si>
    <t>troca do capacitor, ar condicionado</t>
  </si>
  <si>
    <t>ShXr5kvUHdAWH4WryU7S4B</t>
  </si>
  <si>
    <t>Troca do capacitor, ar condicionado</t>
  </si>
  <si>
    <t>08.01.24</t>
  </si>
  <si>
    <t>Troca do suporte</t>
  </si>
  <si>
    <t>Execução de troca do suporte, ar condicionado.
Está incluso: substituição de peças e limpeza do local.
Observação: Por conta das constantes variações de preço dos materiais de ar condicionado, dependendo da data de aprovação, podemos precisar solicitar um valor complementar e que será previamente aprovado para a atualização desse orçamento.</t>
  </si>
  <si>
    <t>substituição de peças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</si>
  <si>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do suporte, ar condicionado</t>
  </si>
  <si>
    <t>DXAuMdJjj97SbJDZ9iQ41C</t>
  </si>
  <si>
    <t>Troca do suporte, ar condicionado</t>
  </si>
  <si>
    <t>08.01.25</t>
  </si>
  <si>
    <t>Troca da caixa de proteção externa para ar condicionado</t>
  </si>
  <si>
    <t>modelo janela</t>
  </si>
  <si>
    <t>Necessidade de substituir proteção externa do ar condicionado</t>
  </si>
  <si>
    <t>Execução de troca da caixa de proteção externa para ar condicionado, modelo janela, padrão simples.
Está incluso: substituição de peças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</si>
  <si>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da caixa de proteção externa para ar condicionado, modelo janela, padrão simples</t>
  </si>
  <si>
    <t>7KLoZ4p9iTi2zAqBxbQ3LY</t>
  </si>
  <si>
    <t>Troca da caixa de proteção externa para ar condicionado, modelo janela, padrão simples</t>
  </si>
  <si>
    <t>08.01.26</t>
  </si>
  <si>
    <t>Execução de troca da caixa de proteção externa para ar condicionado, modelo janela, padrão normal.
Está incluso: substituição de peças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</si>
  <si>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da caixa de proteção externa para ar condicionado, modelo janela, padrão normal</t>
  </si>
  <si>
    <t>LnqknTCaN9eLZwFCjcQYGL</t>
  </si>
  <si>
    <t>Troca da caixa de proteção externa para ar condicionado, modelo janela, padrão normal</t>
  </si>
  <si>
    <t>08.01.27</t>
  </si>
  <si>
    <t>Reparo no dreno do ar condicionado</t>
  </si>
  <si>
    <t>limpeza do filtro</t>
  </si>
  <si>
    <t>Dreno de escoamento necessitando de reparo</t>
  </si>
  <si>
    <t>Execução de reparo no dreno do ar condicionado, limpeza do filtro.
Está incluso: desobstrução ou criação do sistema de drenagem e limpeza do local.
Observação: Por conta das constantes variações de preço dos materiais de ar condicionado, dependendo da data de aprovação, podemos precisar solicitar um valor complementar e que será previamente aprovado para a atualização desse orçamento.</t>
  </si>
  <si>
    <t>desobstrução ou criação do sistema de drenagem e limpeza do local.
Observação: Por conta das constantes variações de preço dos materiais de ar condicionado, dependendo da data de aprovação, podemos precisar solicitar um valor complementar e que será previamente aprovado para a atualização desse orçamento</t>
  </si>
  <si>
    <t>reparo no dreno do ar condicionado, limpeza do filtro</t>
  </si>
  <si>
    <t>YbGaaWigVdSGNzjv7HrHZA</t>
  </si>
  <si>
    <t>Reparo no dreno do ar condicionado, limpeza do filtro</t>
  </si>
  <si>
    <t>08.01.28</t>
  </si>
  <si>
    <t>Troca de cabo de comunicação. parte intera - externa do ar condicionado</t>
  </si>
  <si>
    <t>até 05 metros</t>
  </si>
  <si>
    <t>troca de cabo de comunicação. parte intera - externa do ar condicionado, fácil acesso, até 05 metros</t>
  </si>
  <si>
    <t>92GbtxVx8SAsDRs2cfCBMr</t>
  </si>
  <si>
    <t>Troca de cabo de comunicação. parte intera - externa do ar condicionado, fácil acesso, até 05 metros</t>
  </si>
  <si>
    <t>08.01.29</t>
  </si>
  <si>
    <t>dificil acesso</t>
  </si>
  <si>
    <t>troca de cabo de comunicação. parte intera - externa do ar condicionado, dificil acesso, até 10 metros</t>
  </si>
  <si>
    <t>XjuZKFWhVRm239GDyfCX4E</t>
  </si>
  <si>
    <t>Troca de cabo de comunicação. parte intera - externa do ar condicionado, dificil acesso, até 10 metros</t>
  </si>
  <si>
    <t>08.01.30</t>
  </si>
  <si>
    <t>a partir de 10 metros</t>
  </si>
  <si>
    <t>troca de cabo de comunicação. parte intera - externa do ar condicionado, dificil acesso, a partir de 10 metros</t>
  </si>
  <si>
    <t>HKFGBB2uSeScKrPeRSFyYx</t>
  </si>
  <si>
    <t>Troca de cabo de comunicação. parte intera - externa do ar condicionado, dificil acesso, a partir de 10 metros</t>
  </si>
  <si>
    <t>08.01.31</t>
  </si>
  <si>
    <t>Troca de motor do ventilador do ar condicionado</t>
  </si>
  <si>
    <t>modelo split</t>
  </si>
  <si>
    <t>12000 btus</t>
  </si>
  <si>
    <t>troca de motor do ventilador do ar condicionado, modelo split, 12000 btus</t>
  </si>
  <si>
    <t>BjMs18EXdEu9888aiiwmGN</t>
  </si>
  <si>
    <t>Troca de motor do ventilador do ar condicionado, modelo split, 12000 btus</t>
  </si>
  <si>
    <t>08.01.32</t>
  </si>
  <si>
    <t>troca de motor do ventilador do ar condicionado, modelo split, 18000 btus</t>
  </si>
  <si>
    <t>7864PeweZKkeGKVmzdLFQw</t>
  </si>
  <si>
    <t>Troca de motor do ventilador do ar condicionado, modelo split, 18000 btus</t>
  </si>
  <si>
    <t>08.01.33</t>
  </si>
  <si>
    <t>troca de motor do ventilador do ar condicionado, ar condicionado, inverter</t>
  </si>
  <si>
    <t>5onxrRvjWcC4QVo9hhpQW8</t>
  </si>
  <si>
    <t>Troca de motor do ventilador do ar condicionado, ar condicionado, inverter</t>
  </si>
  <si>
    <t>08.01.34</t>
  </si>
  <si>
    <t>Troca de sensor de degelo do ar condicionado</t>
  </si>
  <si>
    <t>troca de sensor de degelo do ar condicionado</t>
  </si>
  <si>
    <t>Tr1ufbnbmQixYLPh6kD8oc</t>
  </si>
  <si>
    <t>08.01.35</t>
  </si>
  <si>
    <t>Troca de sensor de temperatura do ar condicionado</t>
  </si>
  <si>
    <t>troca de sensor de temperatura do ar condicionado</t>
  </si>
  <si>
    <t>SMwqxd1vw9rnbVNtB7ciqV</t>
  </si>
  <si>
    <t>08.01.36</t>
  </si>
  <si>
    <t>Reparo na tubulação de cobre com solda e recarga de gás R410</t>
  </si>
  <si>
    <t>local</t>
  </si>
  <si>
    <t>reparo na tubulação de cobre com solda e recarga de gás r410, ar condicionado, local, 9000 ou 12000 btus</t>
  </si>
  <si>
    <t>PHicz1EftKruEeaMUBkd1b</t>
  </si>
  <si>
    <t>Reparo na tubulação de cobre com solda e recarga de gás R410, ar condicionado, local, 9000 ou 12000 btus</t>
  </si>
  <si>
    <t>08.01.37</t>
  </si>
  <si>
    <t>18000 btus  ou  30000 btus</t>
  </si>
  <si>
    <t>reparo na tubulação de cobre com solda e recarga de gás r410, ar condicionado, local, 18000 btus  ou  30000 btus</t>
  </si>
  <si>
    <t>EqoGAfMibEf8qoAPziQDAt</t>
  </si>
  <si>
    <t>Reparo na tubulação de cobre com solda e recarga de gás R410, ar condicionado, local, 18000 btus  ou  30000 btus</t>
  </si>
  <si>
    <t>08.01.38</t>
  </si>
  <si>
    <t>acima de 30000 btus</t>
  </si>
  <si>
    <t>reparo na tubulação de cobre com solda e recarga de gás r410, ar condicionado, local, acima de 30000 btus</t>
  </si>
  <si>
    <t>Jsn6kJrb7QuYT4VXDUQLfm</t>
  </si>
  <si>
    <t>Reparo na tubulação de cobre com solda e recarga de gás R410, ar condicionado, local, acima de 30000 btus</t>
  </si>
  <si>
    <t>08.01.39</t>
  </si>
  <si>
    <t>Remoção / reparo do vazamento / recolocação / recarga de gás R410</t>
  </si>
  <si>
    <t>oficina</t>
  </si>
  <si>
    <t>remoção / reparo do vazamento / recolocação / recarga de gás r410, ar condicionado, oficina, 9000 ou 12000 btus</t>
  </si>
  <si>
    <t>CRFzsAZMpr19uzd3vS1ZSs</t>
  </si>
  <si>
    <t>Remoção / reparo do vazamento / recolocação / recarga de gás R410, ar condicionado, oficina, 9000 ou 12000 btus</t>
  </si>
  <si>
    <t>08.01.40</t>
  </si>
  <si>
    <t>remoção / reparo do vazamento / recolocação / recarga de gás r410, ar condicionado, oficina, 18000 btus  ou  30000 btus</t>
  </si>
  <si>
    <t>SXP89WandehkTsewrBYKYq</t>
  </si>
  <si>
    <t>Remoção / reparo do vazamento / recolocação / recarga de gás R410, ar condicionado, oficina, 18000 btus  ou  30000 btus</t>
  </si>
  <si>
    <t>08.01.41</t>
  </si>
  <si>
    <t>remoção / reparo do vazamento / recolocação / recarga de gás r410, ar condicionado, oficina, acima de 30000 btus</t>
  </si>
  <si>
    <t>YWYn2AHEmcN6QvVrMEZmsi</t>
  </si>
  <si>
    <t>Remoção / reparo do vazamento / recolocação / recarga de gás R410, ar condicionado, oficina, acima de 30000 btus</t>
  </si>
  <si>
    <t>08.01.42</t>
  </si>
  <si>
    <t>Troca do compressor / recarga de gás R410</t>
  </si>
  <si>
    <t>7000 a 12000 btus</t>
  </si>
  <si>
    <t>troca do compressor / recarga de gás r410, ar condicionado, modelo split, 7000 a 12000 btus</t>
  </si>
  <si>
    <t>SPpNunRWogEZ8ArTp6qv21</t>
  </si>
  <si>
    <t>Troca do compressor / recarga de gás R410, ar condicionado, modelo split, 7000 a 12000 btus</t>
  </si>
  <si>
    <t>08.01.43</t>
  </si>
  <si>
    <t>18000 a 30000 btus</t>
  </si>
  <si>
    <t>troca do compressor / recarga de gás r410, ar condicionado, modelo split, 18000 a 30000 btus</t>
  </si>
  <si>
    <t>KwpCfkiAGms42VuhrAiDnL</t>
  </si>
  <si>
    <t>Troca do compressor / recarga de gás R410, ar condicionado, modelo split, 18000 a 30000 btus</t>
  </si>
  <si>
    <t>08.01.44</t>
  </si>
  <si>
    <t>troca do compressor / recarga de gás r410, ar condicionado, modelo split, acima de 30000 btus</t>
  </si>
  <si>
    <t>7mjWPD6LhF2obrPqMxzPZ8</t>
  </si>
  <si>
    <t>Troca do compressor / recarga de gás R410, ar condicionado, modelo split, acima de 30000 btus</t>
  </si>
  <si>
    <t>08.01.45</t>
  </si>
  <si>
    <t>Instalação de defletor</t>
  </si>
  <si>
    <t>condensadora (aparelho externo)</t>
  </si>
  <si>
    <t>tipo barril</t>
  </si>
  <si>
    <t>Melhorar o direcionamento do ar quente que sai da evaporadora (aparelho interno), resultante do funcionamento do sistema de ventilação.</t>
  </si>
  <si>
    <t>Execução de instalação de defletor, ar condicionado, condensadora (aparelho externo), tipo barril.
Está incluso: troca de peça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</si>
  <si>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peça e limpeza do local.
Observação: Por conta das constantes variações de preço dos materiais de ar condicionado, dependendo da data de aprovação, podemos precisar solicitar um valor complementar e que será previamente aprovado para a atualização desse orçamento</t>
  </si>
  <si>
    <t>instalação de defletor, ar condicionado, condensadora (aparelho externo), tipo barril</t>
  </si>
  <si>
    <t>U6f1vHLGarRm7XBEtiC7oG</t>
  </si>
  <si>
    <t>Instalação de defletor, ar condicionado, condensadora (aparelho externo), tipo barril</t>
  </si>
  <si>
    <t>08.01.46</t>
  </si>
  <si>
    <t>evaporadora (aparelho interno)</t>
  </si>
  <si>
    <t>tipo split</t>
  </si>
  <si>
    <t>Melhorar o direcionamento do ar frio que sai do ar condicionado.</t>
  </si>
  <si>
    <t>Execução de instalação de defletor, ar condicionado, evaporadora (aparelho interno), tipo split.
Está incluso: troca de peça e limpeza do local.
Observação: Por conta das constantes variações de preço dos materiais de ar condicionado, dependendo da data de aprovação, podemos precisar solicitar um valor complementar e que será previamente aprovado para a atualização desse orçamento.</t>
  </si>
  <si>
    <t>instalação de defletor, ar condicionado, evaporadora (aparelho interno), tipo split</t>
  </si>
  <si>
    <t>WtvuqQugzGDvGvMxXFFv81</t>
  </si>
  <si>
    <t>Instalação de defletor, ar condicionado, evaporadora (aparelho interno), tipo split</t>
  </si>
  <si>
    <t>08.01.47</t>
  </si>
  <si>
    <t>Troca do motor da turbina</t>
  </si>
  <si>
    <t>troca do motor da turbina, ar condicionado, modelo split, 7000 a 12000 btus</t>
  </si>
  <si>
    <t>Q1c1yVJMtq842Pc6xz4ksQ</t>
  </si>
  <si>
    <t>Troca do motor da turbina, ar condicionado, modelo split, 7000 a 12000 btus</t>
  </si>
  <si>
    <t>08.01.48</t>
  </si>
  <si>
    <t>troca do motor da turbina, ar condicionado, modelo split, 18000 a 30000 btus</t>
  </si>
  <si>
    <t>Bz4wX8ci5gP2ifcGpBRTUA</t>
  </si>
  <si>
    <t>Troca do motor da turbina, ar condicionado, modelo split, 18000 a 30000 btus</t>
  </si>
  <si>
    <t>08.01.49</t>
  </si>
  <si>
    <t>troca do motor da turbina, ar condicionado, modelo split, acima de 30000 btus</t>
  </si>
  <si>
    <t>VJbTfuyMucwGo1gZn7q9Lu</t>
  </si>
  <si>
    <t>Troca do motor da turbina, ar condicionado, modelo split, acima de 30000 btus</t>
  </si>
  <si>
    <t>08.01.50</t>
  </si>
  <si>
    <t>Manutenção corretiva em ar condicionado, não gela e não ventila</t>
  </si>
  <si>
    <t>Sistema do ar condicionado não gela e não ventila. Falha no funcionamento do motor de ventilação e do compressor e falta de gás refrigerante</t>
  </si>
  <si>
    <t xml:space="preserve">Execução de manutenção corretiva em ar condicionado, não gela e não ventila, modelo split.
Está incluso: regulagem do motor, troca de capacitores, troca de sensores, reparos de vazamento em flanges, recarga de gás,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motor do ventilador ou o compressor podem não voltar a funcionar e que existam vazamentos de gás no sistema interno ou na tubulação de gás,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</si>
  <si>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regulagem do motor, troca de capacitores, troca de sensores, reparos de vazamento em flanges, recarga de gás,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</si>
  <si>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não gela e não ventila, modelo split</t>
  </si>
  <si>
    <t>o motor do ventilador ou o compressor podem não voltar a funcionar e que existam vazamentos de gás no sistema interno ou na tubulação de gás</t>
  </si>
  <si>
    <t>MuSzBvGUnyHGLEjpfxu4Mz</t>
  </si>
  <si>
    <t>Manutenção corretiva em ar condicionado, não gela e não ventila, modelo split</t>
  </si>
  <si>
    <t>08.01.51</t>
  </si>
  <si>
    <t>Manutenção corretiva em ar condicionado, não gela e ventila</t>
  </si>
  <si>
    <t>Sistema de ar condicionado não gela. Falha no funcionamento do compressor e falta de gás refrigerante</t>
  </si>
  <si>
    <t xml:space="preserve">Execução de manutenção corretiva em ar condicionado, não gela e ventila, modelo split.
Está incluso: troca de capacitores, troca de sensores, reparos em flanges, recarga de gás,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compressor pode não voltar a funcionar e que existam vazamentos de gás no sistema interno ou na tubulação de gás,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</si>
  <si>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troca de capacitores, troca de sensores, reparos em flanges, recarga de gás,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</si>
  <si>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não gela e ventila, modelo split</t>
  </si>
  <si>
    <t>o compressor pode não voltar a funcionar e que existam vazamentos de gás no sistema interno ou na tubulação de gás</t>
  </si>
  <si>
    <t>5QCdmpUtTaj1KqS4dPMiVy</t>
  </si>
  <si>
    <t>Manutenção corretiva em ar condicionado, não gela e ventila, modelo split</t>
  </si>
  <si>
    <t>08.01.52</t>
  </si>
  <si>
    <t>Manutenção corretiva em ar condicionado, gela e não ventila</t>
  </si>
  <si>
    <t>Sistema do ar condicionado não ventila. Falha no funcionamento do motor de ventilação</t>
  </si>
  <si>
    <t xml:space="preserve">Execução de manutenção corretiva em ar condicionado, gela e não ventila, modelo split.
Está incluso: regulagem do motor, troca de capacitores, limpeza do local de filtro,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motor do ventilador não voltou a funcionar,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</si>
  <si>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regulagem do motor, troca de capacitores, limpeza do local de filtro,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</si>
  <si>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gela e não ventila, modelo split</t>
  </si>
  <si>
    <t>o motor do ventilador não voltou a funcionar</t>
  </si>
  <si>
    <t>Manutenção corretiva em ar condicionado, gela e não ventila, modelo split</t>
  </si>
  <si>
    <t>08.01.53</t>
  </si>
  <si>
    <t>Manutenção corretiva em ar condicionado, evaporadora (aparelho interno) liga e condensadora (aparelho externo) não liga</t>
  </si>
  <si>
    <t>Ao ligar o ar condicionado a condensadora (aparelho externo) não liga. Falha no sistema de comunicação dos aparelhos</t>
  </si>
  <si>
    <t xml:space="preserve">Execução de manutenção corretiva em ar condicionado, evaporadora (aparelho interno) liga e condensadora (aparelho externo) não liga, modelo split.
Está incluso: teste de operação da placa da evaporadora (aparelho interno), reaperto das conexões do cabo de comunicação, troca do relé de acionamento,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cabo de comunicação esteja danificado ou a placa da evaporadora (aparelho interno) esteja inoperante,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</si>
  <si>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teste de operação da placa da evaporadora (aparelho interno), reaperto das conexões do cabo de comunicação, troca do relé de acionamento,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</si>
  <si>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evaporadora (aparelho interno) liga e condensadora (aparelho externo) não liga, modelo split</t>
  </si>
  <si>
    <t xml:space="preserve"> o cabo de comunicação esteja danificado ou a placa da evaporadora (aparelho interno) esteja inoperante</t>
  </si>
  <si>
    <t>Manutenção corretiva em ar condicionado, evaporadora (aparelho interno) liga e condensadora (aparelho externo) não liga, modelo split</t>
  </si>
  <si>
    <t>08.01.54</t>
  </si>
  <si>
    <t>Manutenção corretiva em ar condicionado, evaporadora (aparelho interno) desliga e condensadora (aparelho externo) não desliga</t>
  </si>
  <si>
    <t>Ao desligar o ar condicionado a condensadora (aparelho externo) não deliga. Falha no sistema de comunicação dos aparelhos</t>
  </si>
  <si>
    <t xml:space="preserve">Execução de manutenção corretiva em ar condicionado, evaporadora (aparelho interno) desliga e condensadora (aparelho externo) não desliga, modelo split.
Está incluso: teste de operação da placa da evaporadora (aparelho interno), troca do relé de acionamento,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cabo de comunicação esteja danificado ou a placa da evaporadora (aparelho interno) esteja inoperante,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</si>
  <si>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teste de operação da placa da evaporadora (aparelho interno), troca do relé de acionamento,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</si>
  <si>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evaporadora (aparelho interno) desliga e condensadora (aparelho externo) não desliga, modelo split</t>
  </si>
  <si>
    <t>Manutenção corretiva em ar condicionado, evaporadora (aparelho interno) desliga e condensadora (aparelho externo) não desliga, modelo split</t>
  </si>
  <si>
    <t>08.01.55</t>
  </si>
  <si>
    <t>Manutenção corretiva em ar condicionado, evaporadora (aparelho interno) não liga</t>
  </si>
  <si>
    <t>A evaporadora (aparelho interno) não liga. Falha no sistema elétrico</t>
  </si>
  <si>
    <t xml:space="preserve">Execução de manutenção corretiva em ar condicionado, evaporadora (aparelho interno) não liga, modelo split.
Está incluso: testes de operação da placa da evaporadora (aparelho interno), reaperto das conexões elétricas, troca de capacitores,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a placa da evaporadora (aparelho interno) esteja inoperante,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</si>
  <si>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testes de operação da placa da evaporadora (aparelho interno), reaperto das conexões elétricas, troca de capacitores,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</si>
  <si>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evaporadora (aparelho interno) não liga, modelo split</t>
  </si>
  <si>
    <t xml:space="preserve"> a placa da evaporadora (aparelho interno) esteja inoperante</t>
  </si>
  <si>
    <t>Manutenção corretiva em ar condicionado, evaporadora (aparelho interno) não liga, modelo split</t>
  </si>
  <si>
    <t>08.01.56</t>
  </si>
  <si>
    <t>Manutenção corretiva em ar condicionado, não gela e não esquenta</t>
  </si>
  <si>
    <t>O sistema do ar condicionado não gela mas não esquenta. Falha no funcionamento do compressor e no sistema de reversão do aparelho</t>
  </si>
  <si>
    <t xml:space="preserve">Execução de manutenção corretiva em ar condicionado, não gela e não esquenta, modelo split.
Está incluso: troca de capacitores, troca de sensores, reparos em flanges, troca da válvula reversora, recarga de gás refrigerante, teste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sistema de reversão não voltou a funcionar,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</si>
  <si>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troca de capacitores, troca de sensores, reparos em flanges, troca da válvula reversora, recarga de gás refrigerante, teste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</si>
  <si>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não gela e não esquenta, modelo split</t>
  </si>
  <si>
    <t>o sistema de reversão não voltou a funcionar</t>
  </si>
  <si>
    <t>Manutenção corretiva em ar condicionado, não gela e não esquenta, modelo split</t>
  </si>
  <si>
    <t>08.01.57</t>
  </si>
  <si>
    <t>Manutenção corretiva em ar condicionado, gela e não esquenta</t>
  </si>
  <si>
    <t>O sistema do ar condicionado gela mas não esquenta. Falha no sistema de reversão do aparelho</t>
  </si>
  <si>
    <t xml:space="preserve">Execução de manutenção corretiva em ar condicionado, gela e não esquenta, modelo split.
Está incluso: troca de capacitores, troca de sensores, reparos em flanges, troca da válvula reversora, recarga de gás refrigerante, teste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o sistema de reversão não voltou a funcionar,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</si>
  <si>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manutenção corretiva em ar condicionado, gela e não esquenta, modelo split</t>
  </si>
  <si>
    <t>Manutenção corretiva em ar condicionado, gela e não esquenta, modelo split</t>
  </si>
  <si>
    <t>08.01.58</t>
  </si>
  <si>
    <t>Manutenção corretiva em ar condicionado, liga com código de erro</t>
  </si>
  <si>
    <t>O aparelho de ar condicionado não liga e apresenta código de erro</t>
  </si>
  <si>
    <t xml:space="preserve">Execução de manutenção corretiva em ar condicionado, liga com código de erro, modelo janela.
Está incluso: desinstalação e posterior re-instalação do aparelho, troca de capacitores,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a placa eletrônica esteja danificada,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</si>
  <si>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desinstalação e posterior re-instalação do aparelho, troca de capacitores,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</si>
  <si>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liga com código de erro, modelo janela</t>
  </si>
  <si>
    <t>a placa eletrônica esteja danificada</t>
  </si>
  <si>
    <t>Manutenção corretiva em ar condicionado, liga com código de erro, modelo janela</t>
  </si>
  <si>
    <t>08.01.59</t>
  </si>
  <si>
    <t>Manutenção corretiva em ar condicionado, emitindo ruído no funcionamento</t>
  </si>
  <si>
    <t>O aparelho de ar condicionado emitindo ruído no funcionamento</t>
  </si>
  <si>
    <t>Execução de manutenção corretiva em ar condicionado, emitindo ruído no funcionamento, modelo janela.
Está incluso: troca da turbina,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</si>
  <si>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da turbina,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</si>
  <si>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emitindo ruído no funcionamento, modelo janela</t>
  </si>
  <si>
    <t>Manutenção corretiva em ar condicionado, emitindo ruído no funcionamento, modelo janela</t>
  </si>
  <si>
    <t>08.01.60</t>
  </si>
  <si>
    <t>Manutenção corretiva em ar condicionado, emitindo ruído no funcionamento da evaporadora (aparelho interno)</t>
  </si>
  <si>
    <t>Execução de manutenção corretiva em ar condicionado, emitindo ruído no funcionamento da evaporadora (aparelho interno), modelo split.
Está incluso: troca da turbina,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</si>
  <si>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manutenção corretiva em ar condicionado, emitindo ruído no funcionamento da evaporadora (aparelho interno), modelo split</t>
  </si>
  <si>
    <t>Manutenção corretiva em ar condicionado, emitindo ruído no funcionamento da evaporadora (aparelho interno), modelo split</t>
  </si>
  <si>
    <t>08.01.61</t>
  </si>
  <si>
    <t>Retirada e recolocação da evaporadora (aparelho interno)</t>
  </si>
  <si>
    <t>Necessidade eventual de retirada e posterior recolocação da evaporadora (aparelho interno) do ar condicionado</t>
  </si>
  <si>
    <t xml:space="preserve">Execução de retirada e recolocação da evaporadora (aparelho interno).
Está incluso: remoção da evaporadora (aparelho interno) do ar condicionado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falta de gás refrigerante,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</si>
  <si>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remoção da evaporadora (aparelho interno) do ar condicionado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</si>
  <si>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retirada e recolocação da evaporadora (aparelho interno)</t>
  </si>
  <si>
    <t>falta de gás refrigerante</t>
  </si>
  <si>
    <t>NYb9gBxMMqApe187feEnsq</t>
  </si>
  <si>
    <t>08.01.62</t>
  </si>
  <si>
    <t>Retirada e recolocação da condensadora (aparelho externo)</t>
  </si>
  <si>
    <t>Necessidade eventual de retirada e posterior recolocação da condensadora (aparelho externo) do ar condicionado</t>
  </si>
  <si>
    <t xml:space="preserve">Execução de retirada e recolocação da condensadora (aparelho externo).
Está incluso: remoção da condensadora (aparelho externo) do ar condicionado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falta de gás refrigerante,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</si>
  <si>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remoção da condensadora (aparelho externo) do ar condicionado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</si>
  <si>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retirada e recolocação da condensadora (aparelho externo)</t>
  </si>
  <si>
    <t>7sQB84M4JRpR4TasRvqT4z</t>
  </si>
  <si>
    <t>08.01.63</t>
  </si>
  <si>
    <t>utilizando rapel</t>
  </si>
  <si>
    <t>Necessidade eventual de retirada e posterior recolocação da condensadora (aparelho externo) do ar condicionado, em local externo de difícil acesso</t>
  </si>
  <si>
    <t xml:space="preserve">Execução de retirada e recolocação da condensadora (aparelho externo), utilizando rapel.
Está incluso: remoção da condensadora (aparelho externo) do ar condicionado, utilizando equipamento de rapel para trabalho em altura,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falta de gás refrigerante,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</si>
  <si>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remoção da condensadora (aparelho externo) do ar condicionado, utilizando equipamento de rapel para trabalho em altura, com fechamento de conexões, reinstalação do aparelho conforme situação anterior, testes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</si>
  <si>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retirada e recolocação da condensadora (aparelho externo), utilizando rapel</t>
  </si>
  <si>
    <t>P6wLVrrdz9T2LeS1xdZUXn</t>
  </si>
  <si>
    <t>Retirada e recolocação da condensadora (aparelho externo), utilizando rapel</t>
  </si>
  <si>
    <t>08.01.64</t>
  </si>
  <si>
    <t>Revisão preventiva e higienização de ar condicionado</t>
  </si>
  <si>
    <t>7000 a 18000 btus</t>
  </si>
  <si>
    <t>Necessidade de verificar preventivamente o funcionamento do sistema de ar condicionado</t>
  </si>
  <si>
    <t xml:space="preserve">Execução de revisão preventiva e higienização de ar condicionado, 7000 a 18000 btus.
Está incluso: revisão dos componentes externos, nível do gás refrigerante, limpeza do local, higiênização e testes de funcionamento.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necessite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</si>
  <si>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revisão dos componentes externos, nível do gás refrigerante, limpeza do local, higiênização e testes de funcionamento.
Observação: Por conta das constantes variações de preço dos materiais de ar condicionado, dependendo da data de aprovação, podemos precisar solicitar um valor complementar e que será previamente aprovado para a atualização desse orçamento</t>
  </si>
  <si>
    <t>revisão preventiva e higienização de ar condicionado, 7000 a 18000 btus</t>
  </si>
  <si>
    <t>necessite substituir peças</t>
  </si>
  <si>
    <t>CryZ9Mnkcy2mEq1eYmAVDE</t>
  </si>
  <si>
    <t>Revisão preventiva e higienização de ar condicionado, 7000 a 18000 btus</t>
  </si>
  <si>
    <t>08.01.65</t>
  </si>
  <si>
    <t xml:space="preserve">Execução de revisão preventiva e higienização de ar condicionado, 18000 a 30000 btus.
Está incluso: revisão dos componentes externos, nível do gás refrigerante, limpeza do local, higiênização e testes de funcionamento.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necessite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</si>
  <si>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revisão preventiva e higienização de ar condicionado, 18000 a 30000 btus</t>
  </si>
  <si>
    <t>V5QHAA2693CPf1TwXupUhX</t>
  </si>
  <si>
    <t>Revisão preventiva e higienização de ar condicionado, 18000 a 30000 btus</t>
  </si>
  <si>
    <t>08.01.66</t>
  </si>
  <si>
    <t xml:space="preserve">Execução de revisão preventiva e higienização de ar condicionado, acima de 30000 btus.
Está incluso: revisão dos componentes externos, nível do gás refrigerante, limpeza do local, higiênização e testes de funcionamento.
Observação: Por conta das constantes variações de preço dos materiais de ar condicionado, dependendo da data de aprovação, podemos precisar solicitar um valor complementar e que será previamente aprovado para a atualização desse orçamento.
Observação: É importante mencionar que, após concluir essa etapa, poderemos descobrir que necessite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</si>
  <si>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revisão preventiva e higienização de ar condicionado, acima de 30000 btus</t>
  </si>
  <si>
    <t>LEevLC3Pxw2naNheMNUbpP</t>
  </si>
  <si>
    <t>Revisão preventiva e higienização de ar condicionado, acima de 30000 btus</t>
  </si>
  <si>
    <t>08.01.67</t>
  </si>
  <si>
    <t>Dreno de escoamento necessitando de reparo, local externo de difícil acesso</t>
  </si>
  <si>
    <t>Execução de reparo no dreno do ar condicionado, limpeza do filtro, utilizando rapel.
Está incluso: desobstrução ou criação do sistema de drenagem, utilizando equipamento de rapel para trabalho em altura,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</si>
  <si>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desobstrução ou criação do sistema de drenagem, utilizando equipamento de rapel para trabalho em altura,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</si>
  <si>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reparo no dreno do ar condicionado, limpeza do filtro, utilizando rapel</t>
  </si>
  <si>
    <t>AMqnS14Yv41Jk2r5F7L6W1</t>
  </si>
  <si>
    <t>Reparo no dreno do ar condicionado, limpeza do filtro, utilizando rapel</t>
  </si>
  <si>
    <t>08.01.68</t>
  </si>
  <si>
    <t>Troca de display do ar condicionado</t>
  </si>
  <si>
    <t>troca de display do ar condicionado, modelo split</t>
  </si>
  <si>
    <t>Tbb7zVrmhBWqAkQJYmmSrn</t>
  </si>
  <si>
    <t>Troca de display do ar condicionado, modelo split</t>
  </si>
  <si>
    <t>08.01.69</t>
  </si>
  <si>
    <t>Troca de aleta horizontal para ar condicionado</t>
  </si>
  <si>
    <t>Aleta para direcionamento do ar frio danificada</t>
  </si>
  <si>
    <t>Execução de troca de aleta horizontal para ar condicionado, modelo split.
Está incluso: 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</si>
  <si>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</si>
  <si>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aleta horizontal para ar condicionado, modelo split</t>
  </si>
  <si>
    <t>Troca de aleta horizontal para ar condicionado, modelo split</t>
  </si>
  <si>
    <t>08.01.70</t>
  </si>
  <si>
    <t>Troca do conjunto da aleta vertical para ar condicionado</t>
  </si>
  <si>
    <t>Execução de troca do conjunto da aleta vertical para ar condicionado, modelo split.
Está incluso: 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</si>
  <si>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</si>
  <si>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do conjunto da aleta vertical para ar condicionado, modelo split</t>
  </si>
  <si>
    <t>Troca do conjunto da aleta vertical para ar condicionado, modelo split</t>
  </si>
  <si>
    <t>08.01.71</t>
  </si>
  <si>
    <t>Troca da válvula reversora do ar condicionado</t>
  </si>
  <si>
    <t>incluso a recarga de gás</t>
  </si>
  <si>
    <t xml:space="preserve">Execução de troca da válvula reversora do ar condicionado, modelo split, incluso a recarga de gás.
Está incluso: troca da válvula reversora, recarga de gás refrigerante, teste funcionamento e limpeza do local.
Observação: É importante mencionar que, após concluir essa etapa, poderemos descobrir que o sistema de reversão não voltou a funcionar,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ar condicionado confiável e eficaz, e estamos comprometidos em fornecer serviços de alta qualidade a um preço justo.
</t>
  </si>
  <si>
    <t>troca da válvula reversora, recarga de gás refrigerante, teste funcionamento e limpeza do local</t>
  </si>
  <si>
    <t>troca da válvula reversora do ar condicionado, modelo split, incluso a recarga de gás</t>
  </si>
  <si>
    <t>Troca da válvula reversora do ar condicionado, modelo split, incluso a recarga de gás</t>
  </si>
  <si>
    <t>08.01.72</t>
  </si>
  <si>
    <t>Adicional para serviço em altura, que necessite da utilização de rapel</t>
  </si>
  <si>
    <t>Execução de adicional para serviço em altura, que necessite da utilização de rapel.
Está incluso: .</t>
  </si>
  <si>
    <t>adicional para serviço em altura, que necessite da utilização de rapel</t>
  </si>
  <si>
    <t>08.01.73</t>
  </si>
  <si>
    <t>Troca do relé da placa do ar condicionado</t>
  </si>
  <si>
    <t>Execução de troca do relé da placa do ar condicionado, modelo split.
Está incluso: .</t>
  </si>
  <si>
    <t>troca do relé da placa do ar condicionado, modelo split</t>
  </si>
  <si>
    <t>Troca do relé da placa do ar condicionado, modelo split</t>
  </si>
  <si>
    <t>08.01.74</t>
  </si>
  <si>
    <t>Fechamento em vão ou nicho de ar condicionado</t>
  </si>
  <si>
    <t>em alvenaria com pintura da parede interna e aplicação de acabamento similar da parte externa com rapel</t>
  </si>
  <si>
    <t>incluindo retirada do aparelho e suportes</t>
  </si>
  <si>
    <t>Fechamento de vão do ar condicionado</t>
  </si>
  <si>
    <t>Execução de fechamento em vão ou nicho de ar condicionado, em alvenaria com pintura da parede interna e aplicação de acabamento similar da parte externa com rapel, incluindo retirada do aparelho e suportes.
Está incluso: retirada do aparelho com suportes, fechamento em alvenaria, revestimento interno e externo, pintura da parede interna em cor similar e aplicação de acabamento externo similar ao do local.</t>
  </si>
  <si>
    <t>retirada do aparelho com suportes, fechamento em alvenaria, revestimento interno e externo, pintura da parede interna em cor similar e aplicação de acabamento externo similar ao do local</t>
  </si>
  <si>
    <t>fechamento em vão ou nicho de ar condicionado, em alvenaria com pintura da parede interna e aplicação de acabamento similar da parte externa com rapel, incluindo retirada do aparelho e suportes</t>
  </si>
  <si>
    <t>Fechamento em vão ou nicho de ar condicionado, em alvenaria com pintura da parede interna e aplicação de acabamento similar da parte externa com rapel, incluindo retirada do aparelho e suportes</t>
  </si>
  <si>
    <t>08.01.75</t>
  </si>
  <si>
    <t>Troca de caixa protetora de ar condicionado</t>
  </si>
  <si>
    <t>protear</t>
  </si>
  <si>
    <t>até 12.000 btus</t>
  </si>
  <si>
    <t>Substituição da caixa protetora do ar condicionado</t>
  </si>
  <si>
    <t>Execução de troca de caixa protetora de ar condicionado, protear, até 12.000 btus.
Está incluso: 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</si>
  <si>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caixa protetora de ar condicionado, protear, até 12.000 btus</t>
  </si>
  <si>
    <t>https://www.luzitanaar.com.br/protetores-de-ar</t>
  </si>
  <si>
    <t>Troca de caixa protetora de ar condicionado, protear, até 12.000 btus</t>
  </si>
  <si>
    <t>08.01.76</t>
  </si>
  <si>
    <t>até 24.000 btus</t>
  </si>
  <si>
    <t>Execução de troca de caixa protetora de ar condicionado, protear, até 24.000 btus.
Está incluso: troca da peça, teste de funcionamento e limpeza do local.
Observação: Por conta das constantes variações de preço dos materiais de ar condicionado, dependendo da data de aprovação, podemos precisar solicitar um valor complementar e que será previamente aprovado para a atualização desse orçamento.</t>
  </si>
  <si>
    <t>troca de caixa protetora de ar condicionado, protear, até 24.000 btus</t>
  </si>
  <si>
    <t>Troca de caixa protetora de ar condicionado, protear, até 24.000 btus</t>
  </si>
  <si>
    <t>08.01.77</t>
  </si>
  <si>
    <t>Arremate de acabamento do vão para ar condicionado</t>
  </si>
  <si>
    <t>em alvenaria com pintura da parede interna e aplicação de acabamento similar da parte externa</t>
  </si>
  <si>
    <t>Execução de arremate de acabamento do vão para ar condicionado, em alvenaria com pintura da parede interna e aplicação de acabamento similar da parte externa.
Está incluso: reparo necessário com limpeza do local.</t>
  </si>
  <si>
    <t>reparo necessário com limpeza do local</t>
  </si>
  <si>
    <t>arremate de acabamento do vão para ar condicionado, em alvenaria com pintura da parede interna e aplicação de acabamento similar da parte externa</t>
  </si>
  <si>
    <t>Arremate de acabamento do vão para ar condicionado, em alvenaria com pintura da parede interna e aplicação de acabamento similar da parte externa</t>
  </si>
  <si>
    <t>08.01.78</t>
  </si>
  <si>
    <t>até 9.000 btus</t>
  </si>
  <si>
    <t>sem rapel</t>
  </si>
  <si>
    <t>troca de ar condicionado, modelo split, até 9.000 btus, sem rapel</t>
  </si>
  <si>
    <t>Troca de ar condicionado, modelo split, até 9.000 btus, sem rapel</t>
  </si>
  <si>
    <t>08.02</t>
  </si>
  <si>
    <t>Aquecedor A Gás</t>
  </si>
  <si>
    <t>2Z1eKeg32xGSBG12L3hyPv</t>
  </si>
  <si>
    <t>08.02.01</t>
  </si>
  <si>
    <t>Revisão preventiva do aquecedor a gás</t>
  </si>
  <si>
    <t xml:space="preserve">Necessidade de revisão preventiva para manter o funcionamento do sistema de aquecimento a gás.
</t>
  </si>
  <si>
    <t xml:space="preserve">Execução de revisão preventiva do aquecedor a gás.
Está incluso: revisão dos queimadores, limpeza do local da ventoinha, revisão do duto de exaustão, verificação de vazamentos, teste de funcionamento e limpeza do local.
Observação: É importante mencionar que, após concluir essa etapa, poderemos descobrir que seja necessário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</si>
  <si>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revisão dos queimadores, limpeza do local da ventoinha, revisão do duto de exaustão, verificação de vazamentos, teste de funcionamento e limpeza do local</t>
  </si>
  <si>
    <t>revisão preventiva do aquecedor a gás</t>
  </si>
  <si>
    <t>seja necessário substituir peças</t>
  </si>
  <si>
    <t>um sistema de aquecimento a gás</t>
  </si>
  <si>
    <t>Aquecedor a gás</t>
  </si>
  <si>
    <t>99xK2wbBt9o3nmxE9XPc7P</t>
  </si>
  <si>
    <t>08.02.02</t>
  </si>
  <si>
    <t>Manutenção corretiva para aquecedor a gás que não liga. Aparelho analógico a pilha</t>
  </si>
  <si>
    <t xml:space="preserve">Aquecedor a gás não liga. Depois de validar o fornecimento normal de eletricidade, água e gás. Falha no funcionamento do sistema eletrônico.
</t>
  </si>
  <si>
    <t xml:space="preserve">Execução de manutenção corretiva para aquecedor a gás que não liga. aparelho analógico a pilha.
Está incluso: troca do suporte da caixa de pilha, revisão dos queimadores, revisão do duto de exaustão, verificação de vazamentos, teste de funcionamento e limpeza do local.
Observação: É importante mencionar que, após concluir essa etapa, poderemos descobrir que seja necessário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</si>
  <si>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do suporte da caixa de pilha, revisão dos queimadores, revisão do duto de exaustão, verificação de vazamentos, teste de funcionamento e limpeza do local</t>
  </si>
  <si>
    <t>manutenção corretiva para aquecedor a gás que não liga. aparelho analógico a pilha</t>
  </si>
  <si>
    <t>08.02.03</t>
  </si>
  <si>
    <t>Manutenção corretiva para aquecedor a gás que não liga. Aparelho analógico</t>
  </si>
  <si>
    <t xml:space="preserve">Execução de manutenção corretiva para aquecedor a gás que não liga. aparelho analógico.
Está incluso: troca da placa eletrônica,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sistema eletrônico ainda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</si>
  <si>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da placa eletrônica, revisão preventiva dos queimadores, limpeza do local da ventoinha, retirada de fuligem, revisão do duto de exaustão, verificação de vazamentos, teste de funcionamento e limpeza do local</t>
  </si>
  <si>
    <t>manutenção corretiva para aquecedor a gás que não liga. aparelho analógico</t>
  </si>
  <si>
    <t>o sistema eletrônico ainda não esteja funcionando</t>
  </si>
  <si>
    <t>08.02.04</t>
  </si>
  <si>
    <t>Manutenção corretiva para aquecedor a gás que não liga. Aparelho digital</t>
  </si>
  <si>
    <t xml:space="preserve">Execução de manutenção corretiva para aquecedor a gás que não liga. aparelho digital, padrão normal.
Está incluso: troca da placa eletrônica,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sistema eletrônico ainda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</si>
  <si>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manutenção corretiva para aquecedor a gás que não liga. aparelho digital, padrão normal</t>
  </si>
  <si>
    <t>Manutenção corretiva para aquecedor a gás que não liga. Aparelho digital, padrão normal</t>
  </si>
  <si>
    <t>08.02.05</t>
  </si>
  <si>
    <t xml:space="preserve">Execução de manutenção corretiva para aquecedor a gás que não liga. aparelho digital, padrão premium.
Está incluso: troca da placa eletrônica,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sistema eletrônico ainda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</si>
  <si>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manutenção corretiva para aquecedor a gás que não liga. aparelho digital, padrão premium</t>
  </si>
  <si>
    <t>Manutenção corretiva para aquecedor a gás que não liga. Aparelho digital, padrão premium</t>
  </si>
  <si>
    <t>08.02.06</t>
  </si>
  <si>
    <t>Manutenção corretiva para aquecedor a gás que liga, mas não aciona a chama. Aparelho analógico a pilha</t>
  </si>
  <si>
    <t xml:space="preserve">Aquecedor a gás liga, mas não aciona a chama. Depois de validar o fornecimento normal de eletricidade, água e gás. Falha no funcionamento do sistema de ignição.
</t>
  </si>
  <si>
    <t xml:space="preserve">Execução de manutenção corretiva para aquecedor a gás que liga, mas não aciona a chama. aparelho analógico a pilha.
Está incluso: troca do diafragma, revisão preventiva dos queimadores, retirada de fuligem, revisão do duto de exaustão, verificação de vazamentos, teste de funcionamento e limpeza do local.
Observação: É importante mencionar que, após concluir essa etapa, poderemos descobrir que o queimador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</si>
  <si>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do diafragma, revisão preventiva dos queimadores, retirada de fuligem, revisão do duto de exaustão, verificação de vazamentos, teste de funcionamento e limpeza do local</t>
  </si>
  <si>
    <t>manutenção corretiva para aquecedor a gás que liga, mas não aciona a chama. aparelho analógico a pilha</t>
  </si>
  <si>
    <t>o queimador não esteja funcionando</t>
  </si>
  <si>
    <t>08.02.07</t>
  </si>
  <si>
    <t>Manutenção corretiva para aquecedor a gás que liga, mas não aciona a chama. Aparelho analógico</t>
  </si>
  <si>
    <t xml:space="preserve">Execução de manutenção corretiva para aquecedor a gás que liga, mas não aciona a chama. aparelho analógico.
Está incluso: troca do diafragma,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queimador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</si>
  <si>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do diafragma, revisão preventiva dos queimadores, limpeza do local da ventoinha, retirada de fuligem, revisão do duto de exaustão, verificação de vazamentos, teste de funcionamento e limpeza do local</t>
  </si>
  <si>
    <t>manutenção corretiva para aquecedor a gás que liga, mas não aciona a chama. aparelho analógico</t>
  </si>
  <si>
    <t>08.02.08</t>
  </si>
  <si>
    <t>Manutenção corretiva para aquecedor a gás que liga, mas não aciona a chama. Aparelho digital</t>
  </si>
  <si>
    <t xml:space="preserve">Execução de manutenção corretiva para aquecedor a gás que liga, mas não aciona a chama. aparelho digital.
Está incluso: troca do diafragma,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queimador não esteja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</si>
  <si>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manutenção corretiva para aquecedor a gás que liga, mas não aciona a chama. aparelho digital</t>
  </si>
  <si>
    <t>08.02.09</t>
  </si>
  <si>
    <t>Manutenção corretiva para aquecedor a gás que liga, aciona a chama, mas desliga em seguida. Aparelho analógico</t>
  </si>
  <si>
    <t xml:space="preserve">Aquecedor a gás liga, aciona a chama, mas desliga em seguida. Depois de validar o fornecimento normal de eletricidade, água e gás. Constatando falha no funcionamento do sistema de exaustão.
</t>
  </si>
  <si>
    <t xml:space="preserve">Execução de manutenção corretiva para aquecedor a gás que liga, aciona a chama, mas desliga em seguida. aparelho analógico.
Está incluso: troca do sensor da ventoinha, limpeza do local da ventoinha, retirada de fuligem, revisão preventiva dos queimadores, revisão do duto de exaustão, verificação de vazamentos, teste de funcionamento e limpeza do local.
Observação: É importante mencionar que, após concluir essa etapa, poderemos descobrir que o sistema de exaustão não está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</si>
  <si>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do sensor da ventoinha, limpeza do local da ventoinha, retirada de fuligem, revisão preventiva dos queimadores, revisão do duto de exaustão, verificação de vazamentos, teste de funcionamento e limpeza do local</t>
  </si>
  <si>
    <t>manutenção corretiva para aquecedor a gás que liga, aciona a chama, mas desliga em seguida. aparelho analógico</t>
  </si>
  <si>
    <t>o sistema de exaustão não está funcionando</t>
  </si>
  <si>
    <t>08.02.10</t>
  </si>
  <si>
    <t>Manutenção corretiva para aquecedor a gás que liga, aciona a chama, mas desliga em seguida. Aparelho digital</t>
  </si>
  <si>
    <t xml:space="preserve">Execução de manutenção corretiva para aquecedor a gás que liga, aciona a chama, mas desliga em seguida. aparelho digital.
Está incluso: troca do sensor da ventoinha, limpeza do local da ventoinha, retirada de fuligem, revisão preventiva dos queimadores, revisão do duto de exaustão, verificação de vazamentos, teste de funcionamento e limpeza do local.
Observação: É importante mencionar que, após concluir essa etapa, poderemos descobrir que o sistema de exaustão não está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</si>
  <si>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manutenção corretiva para aquecedor a gás que liga, aciona a chama, mas desliga em seguida. aparelho digital</t>
  </si>
  <si>
    <t>08.02.11</t>
  </si>
  <si>
    <t>Manutenção corretiva para aquecedor a gás que liga, aciona a chama, mas desliga após um período. Aparelho analógico</t>
  </si>
  <si>
    <t xml:space="preserve">Aquecedor a gás liga, aciona a chama, mas desliga após um periodo. Depois de validar o fornecimento normal de eletricidade, água e gás. Constatando falha no funcionamento do comando eletrônico.
</t>
  </si>
  <si>
    <t xml:space="preserve">Execução de manutenção corretiva para aquecedor a gás que liga, aciona a chama, mas desliga após um período. aparelho analógico.
Está incluso: troca da válvula UCE, revisão preventiva dos queimadores, limpeza do local da ventoinha, retirada de fuligem, revisão do duto de exaustão, verificação de vazamentos, teste de funcionamento e limpeza do local.
Observação: É importante mencionar que, após concluir essa etapa, poderemos descobrir que o sistema de exaustão não está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</si>
  <si>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da válvula UCE, revisão preventiva dos queimadores, limpeza do local da ventoinha, retirada de fuligem, revisão do duto de exaustão, verificação de vazamentos, teste de funcionamento e limpeza do local</t>
  </si>
  <si>
    <t>manutenção corretiva para aquecedor a gás que liga, aciona a chama, mas desliga após um período. aparelho analógico</t>
  </si>
  <si>
    <t>08.02.12</t>
  </si>
  <si>
    <t>Manutenção corretiva para aquecedor a gás que liga, aciona a chama, mas desliga após um período. Aparelho digital</t>
  </si>
  <si>
    <t xml:space="preserve">Aquecedor a gás liga, aciona a chama, mas desliga após um período. Depois de validar o fornecimento de eletricidade, água e gás, Confirmando falha no funcionamento do sistema de exaustão.
</t>
  </si>
  <si>
    <t xml:space="preserve">Execução de manutenção corretiva para aquecedor a gás que liga, aciona a chama, mas desliga após um período. aparelho digital.
Está incluso: limpeza do local da ventoinha, retirada de fuligem, revisão preventiva dos queimadores, revisão do duto de exaustão, verificação de vazamentos e teste de funcionamento.
Observação: É importante mencionar que, após concluir essa etapa, poderemos descobrir que o sistema de exaustão não está funcionando,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</si>
  <si>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limpeza do local da ventoinha, retirada de fuligem, revisão preventiva dos queimadores, revisão do duto de exaustão, verificação de vazamentos e teste de funcionamento</t>
  </si>
  <si>
    <t>manutenção corretiva para aquecedor a gás que liga, aciona a chama, mas desliga após um período. aparelho digital</t>
  </si>
  <si>
    <t>08.02.13</t>
  </si>
  <si>
    <t>Troca do diafragma ou válvula de gás do aquecedor a gás</t>
  </si>
  <si>
    <t>incluso ajuste e limpeza do sistema de funcionamento</t>
  </si>
  <si>
    <t>troca do diafragma ou válvula de gás do aquecedor a gás, incluso ajuste e limpeza do sistema de funcionamento</t>
  </si>
  <si>
    <t>MECUNv1v1A2a8ZhejBaH5C</t>
  </si>
  <si>
    <t>Troca do diafragma ou válvula de gás do aquecedor a gás, incluso ajuste e limpeza do sistema de funcionamento</t>
  </si>
  <si>
    <t>08.02.14</t>
  </si>
  <si>
    <t>Troca da válvula uce - unidade de controle eletrônico do aquecedor a gás</t>
  </si>
  <si>
    <t>troca da válvula uce - unidade de controle eletrônico do aquecedor a gás, incluso ajuste e limpeza do sistema de funcionamento</t>
  </si>
  <si>
    <t>H55Wm4pWGT2zj2Fc26BMKc</t>
  </si>
  <si>
    <t>Troca da válvula uce - unidade de controle eletrônico do aquecedor a gás, incluso ajuste e limpeza do sistema de funcionamento</t>
  </si>
  <si>
    <t>08.02.15</t>
  </si>
  <si>
    <t>Troca da placa eletrônica do aquecedor a gás analógico</t>
  </si>
  <si>
    <t>troca da placa eletrônica do aquecedor a gás analógico, incluso ajuste e limpeza do sistema de funcionamento</t>
  </si>
  <si>
    <t>4q1bvMiib9hUUhE51EHh8n</t>
  </si>
  <si>
    <t>Troca da placa eletrônica do aquecedor a gás analógico, incluso ajuste e limpeza do sistema de funcionamento</t>
  </si>
  <si>
    <t>08.02.16</t>
  </si>
  <si>
    <t>Troca da placa eletrônica do aquecedor a gás digital</t>
  </si>
  <si>
    <t>troca da placa eletrônica do aquecedor a gás digital, incluso ajuste e limpeza do sistema de funcionamento, padrão normal</t>
  </si>
  <si>
    <t>Ri8uZo5o9PbCGhAXZvj9wb</t>
  </si>
  <si>
    <t>Troca da placa eletrônica do aquecedor a gás digital, incluso ajuste e limpeza do sistema de funcionamento, padrão normal</t>
  </si>
  <si>
    <t>08.02.17</t>
  </si>
  <si>
    <t>troca da placa eletrônica do aquecedor a gás digital, incluso ajuste e limpeza do sistema de funcionamento, padrão premium</t>
  </si>
  <si>
    <t>Ca49LQZXHAFZmpidsJzmA1</t>
  </si>
  <si>
    <t>Troca da placa eletrônica do aquecedor a gás digital, incluso ajuste e limpeza do sistema de funcionamento, padrão premium</t>
  </si>
  <si>
    <t>08.02.18</t>
  </si>
  <si>
    <t>Troca da tubulação de exaustão do aquecedor a gás</t>
  </si>
  <si>
    <t>incluso a chaminé</t>
  </si>
  <si>
    <t>até 5.00m</t>
  </si>
  <si>
    <t xml:space="preserve">Tubulação de exaustão danificada. Necessária a troca da tubulação.
</t>
  </si>
  <si>
    <t xml:space="preserve">Execução de troca da tubulação de exaustão do aquecedor a gás, incluso a chaminé, até 5.00m.
Está incluso: troca da tubulação, troca da chaminé, limpeza do local da ventoinha, retirada de fuligem, revisão preventiva dos queimadores, revisão do duto de exaustão e verificação de vazamentos.
Observação: É importante mencionar que, após concluir essa etapa, poderemos descobrir que seja necessário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</si>
  <si>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da tubulação, troca da chaminé, limpeza do local da ventoinha, retirada de fuligem, revisão preventiva dos queimadores, revisão do duto de exaustão e verificação de vazamentos</t>
  </si>
  <si>
    <t>troca da tubulação de exaustão do aquecedor a gás, incluso a chaminé, até 5.00m</t>
  </si>
  <si>
    <t>R7Y6Scn3qZY8vNv8GQSt3R</t>
  </si>
  <si>
    <t>Troca da tubulação de exaustão do aquecedor a gás, incluso a chaminé, até 5.00m</t>
  </si>
  <si>
    <t>08.02.19</t>
  </si>
  <si>
    <t>entre 5.00m e 10.00m</t>
  </si>
  <si>
    <t xml:space="preserve">Execução de troca da tubulação de exaustão do aquecedor a gás, incluso a chaminé, entre 5.00m e 10.00m.
Está incluso: troca da tubulação, troca da chaminé, limpeza do local da ventoinha, retirada de fuligem, revisão preventiva dos queimadores, revisão do duto de exaustão e verificação de vazamentos.
Observação: É importante mencionar que, após concluir essa etapa, poderemos descobrir que seja necessário substituir peças,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um sistema de aquecimento a gás confiável e eficaz, e estamos comprometidos em fornecer serviços de alta qualidade a um preço justo.
</t>
  </si>
  <si>
    <t>troca da tubulação de exaustão do aquecedor a gás, incluso a chaminé, entre 5.00m e 10.00m</t>
  </si>
  <si>
    <t>934zBBRKVzU7hxaJEobX69</t>
  </si>
  <si>
    <t>Troca da tubulação de exaustão do aquecedor a gás, incluso a chaminé, entre 5.00m e 10.00m</t>
  </si>
  <si>
    <t>08.02.20</t>
  </si>
  <si>
    <t>Troca da pilha do aquecedor a gás</t>
  </si>
  <si>
    <t>troca da pilha do aquecedor a gás</t>
  </si>
  <si>
    <t>ShSj5tARzt8LqQGk4Mt8N5</t>
  </si>
  <si>
    <t>08.02.21</t>
  </si>
  <si>
    <t>Troca de engate flexível do aquecedor a gás</t>
  </si>
  <si>
    <t>alta pressão</t>
  </si>
  <si>
    <t xml:space="preserve">Constatação de vazamento na mangueira de abastecimento do aquecedor a gás. Necessária a troca da peça.
</t>
  </si>
  <si>
    <t>Execução de troca de engate flexível do aquecedor a gás, material metálico, alta pressão.
Está incluso: troca do engate, teste de funcionamento e limpeza do local.</t>
  </si>
  <si>
    <t>troca do engate, teste de funcionamento e limpeza do local</t>
  </si>
  <si>
    <t>troca de engate flexível do aquecedor a gás, material metálico, alta pressão</t>
  </si>
  <si>
    <t>https://www.leroymerlin.com.br/ligacao-flexível -para-gas-blukit-em-aco-inoxidavel_1570562248</t>
  </si>
  <si>
    <t>Troca de engate flexível do aquecedor a gás, material metálico, alta pressão</t>
  </si>
  <si>
    <t>08.02.22</t>
  </si>
  <si>
    <t>Troca do kit de engate flexível, água e gás  do aquecedor a gás</t>
  </si>
  <si>
    <t>com registro</t>
  </si>
  <si>
    <t xml:space="preserve">Constatação de vazamento e má conservação do conjunto de mangueiras de abastecimento do aquecedor a gás. Necessária a troca do conjunto.
</t>
  </si>
  <si>
    <t>Execução de troca do kit de engate flexível, água e gás  do aquecedor a gás, material metálico, alta pressão, com registro.
Está incluso: troca do kit de engate, teste de funcionamento e limpeza do local.</t>
  </si>
  <si>
    <t>troca do kit de engate, teste de funcionamento e limpeza do local</t>
  </si>
  <si>
    <t>troca do kit de engate flexível, água e gás  do aquecedor a gás, material metálico, alta pressão, com registro</t>
  </si>
  <si>
    <t>https://www.leroymerlin.com.br/kit-de-ligacao-flexível -aquecedor-de-passagem-a-gas-30cm-trancado-1-2x1-2-equation_89601470</t>
  </si>
  <si>
    <t>Troca do kit de engate flexível, água e gás  do aquecedor a gás, material metálico, alta pressão, com registro</t>
  </si>
  <si>
    <t>08.02.23</t>
  </si>
  <si>
    <t>Adição ou troca de pressurizador (bomba) do aquecedor a gás</t>
  </si>
  <si>
    <t>120w</t>
  </si>
  <si>
    <t>adição ou troca de pressurizador (bomba) do aquecedor a gás, 120w, padrão simples</t>
  </si>
  <si>
    <t>CFQqj9doZndMWppyvdSZw1</t>
  </si>
  <si>
    <t>Adição ou troca de pressurizador (bomba) do aquecedor a gás, 120w, padrão simples</t>
  </si>
  <si>
    <t>08.02.24</t>
  </si>
  <si>
    <t>adição ou troca de pressurizador (bomba) do aquecedor a gás, 120w, padrão normal</t>
  </si>
  <si>
    <t>KkthVavX5S979KTGBbzsB9</t>
  </si>
  <si>
    <t>Adição ou troca de pressurizador (bomba) do aquecedor a gás, 120w, padrão normal</t>
  </si>
  <si>
    <t>08.02.25</t>
  </si>
  <si>
    <t>adição ou troca de pressurizador (bomba) do aquecedor a gás, 120w, padrão premium</t>
  </si>
  <si>
    <t>Nr3M764Bpy4jHbqbEVMeLq</t>
  </si>
  <si>
    <t>Adição ou troca de pressurizador (bomba) do aquecedor a gás, 120w, padrão premium</t>
  </si>
  <si>
    <t>08.02.26</t>
  </si>
  <si>
    <t>350w</t>
  </si>
  <si>
    <t>adição ou troca de pressurizador (bomba) do aquecedor a gás, 350w, padrão simples</t>
  </si>
  <si>
    <t>GfoM5dZsNCZahr6JKhkzk3</t>
  </si>
  <si>
    <t>Adição ou troca de pressurizador (bomba) do aquecedor a gás, 350w, padrão simples</t>
  </si>
  <si>
    <t>08.02.27</t>
  </si>
  <si>
    <t>adição ou troca de pressurizador (bomba) do aquecedor a gás, 350w, padrão normal</t>
  </si>
  <si>
    <t>GCMH6EWJvxs4cwUEC1YFxG</t>
  </si>
  <si>
    <t>Adição ou troca de pressurizador (bomba) do aquecedor a gás, 350w, padrão normal</t>
  </si>
  <si>
    <t>08.02.28</t>
  </si>
  <si>
    <t>adição ou troca de pressurizador (bomba) do aquecedor a gás, 350w, padrão premium</t>
  </si>
  <si>
    <t>PUugdEMnFd81qh3PmMWTvM</t>
  </si>
  <si>
    <t>Adição ou troca de pressurizador (bomba) do aquecedor a gás, 350w, padrão premium</t>
  </si>
  <si>
    <t>08.02.29</t>
  </si>
  <si>
    <t>Troca do aquecedor a gás digital</t>
  </si>
  <si>
    <t>10L a 12L</t>
  </si>
  <si>
    <t>elétrico com ventilação forçada</t>
  </si>
  <si>
    <t>troca do aquecedor a gás digital, 10l a 12l, padrão normal, elétrico com ventilação forçada</t>
  </si>
  <si>
    <t>https://www.leroymerlin.com.br/aquecedor-de-agua-a-gas-rheem-12l-min-glp-branco-digital_91032025</t>
  </si>
  <si>
    <t>PTLNQraGz4v8uuch2HqQcW</t>
  </si>
  <si>
    <t>Troca do aquecedor a gás digital, 10L a 12L, padrão normal, elétrico com ventilação forçada</t>
  </si>
  <si>
    <t>08.02.30</t>
  </si>
  <si>
    <t>troca do aquecedor a gás digital, 10l a 12l, padrão premium, elétrico com ventilação forçada</t>
  </si>
  <si>
    <t>https://www.leroymerlin.com.br/aquecedor-de-agua-a-gas-12l-min-glp-branco-digital-reu1002-feh-bivolt-rinnai_89839344</t>
  </si>
  <si>
    <t>Troca do aquecedor a gás digital, 10L a 12L, padrão premium, elétrico com ventilação forçada</t>
  </si>
  <si>
    <t>08.02.31</t>
  </si>
  <si>
    <t>15L a 17L</t>
  </si>
  <si>
    <t>troca do aquecedor a gás digital, 15l a 17l, padrão normal, elétrico com ventilação forçada</t>
  </si>
  <si>
    <t>https://www.leroymerlin.com.br/aquecedor-de-agua-a-gas-rheem-15l-min-glp-branco-digital_91032032</t>
  </si>
  <si>
    <t>CivgcoDjPkG3yYswj5p2o9</t>
  </si>
  <si>
    <t>Troca do aquecedor a gás digital, 15L a 17L, padrão normal, elétrico com ventilação forçada</t>
  </si>
  <si>
    <t>08.02.32</t>
  </si>
  <si>
    <t>troca do aquecedor a gás digital, 15l a 17l, padrão premium, elétrico com ventilação forçada</t>
  </si>
  <si>
    <t>https://www.leroymerlin.com.br/aquecedor-de-agua-a-gas-rinnai-15l-min-glp-branco-digital-e15_90555654</t>
  </si>
  <si>
    <t>S7kJijRRsgx1tnRZynybZe</t>
  </si>
  <si>
    <t>Troca do aquecedor a gás digital, 15L a 17L, padrão premium, elétrico com ventilação forçada</t>
  </si>
  <si>
    <t>08.02.33</t>
  </si>
  <si>
    <t>20L a 23L</t>
  </si>
  <si>
    <t>troca do aquecedor a gás digital, 20l a 23l, padrão normal, elétrico com ventilação forçada</t>
  </si>
  <si>
    <t>https://www.leroymerlin.com.br/aquecedor-de-agua-a-gas-rheem-digital-20l-min-glp-branco-rb3ap20pvptik---bivolt_1570461597</t>
  </si>
  <si>
    <t>PFdmyiBjChqSAyufTSJs86</t>
  </si>
  <si>
    <t>Troca do aquecedor a gás digital, 20L a 23L, padrão normal, elétrico com ventilação forçada</t>
  </si>
  <si>
    <t>08.02.34</t>
  </si>
  <si>
    <t>troca do aquecedor a gás digital, 20l a 23l, padrão premium, elétrico com ventilação forçada</t>
  </si>
  <si>
    <t>https://www.leroymerlin.com.br/aquecedor-de-agua-a-gas-rinnai-e21-digital-glp--gas-liquefeito-de-petroleo-_1566800063</t>
  </si>
  <si>
    <t>T98seigbSXUfK6H78qKQSY</t>
  </si>
  <si>
    <t>Troca do aquecedor a gás digital, 20L a 23L, padrão premium, elétrico com ventilação forçada</t>
  </si>
  <si>
    <t>08.02.35</t>
  </si>
  <si>
    <t>26L</t>
  </si>
  <si>
    <t>troca do aquecedor a gás digital, 26l, padrão normal, elétrico com ventilação forçada</t>
  </si>
  <si>
    <t>https://www.leroymerlin.com.br/aquecedor-a-gas-glp-26l-min-branco-ko-26d-komeco_90708443</t>
  </si>
  <si>
    <t>Troca do aquecedor a gás digital, 26L, padrão normal, elétrico com ventilação forçada</t>
  </si>
  <si>
    <t>08.02.36</t>
  </si>
  <si>
    <t>troca do aquecedor a gás digital, 26l, padrão premium, elétrico com ventilação forçada</t>
  </si>
  <si>
    <t>https://www.leroymerlin.com.br/aquecedor-de-agua-a-gas-komeco-ko-26-di-prime-wifi-26-litros-glp-bivolt_1571598454</t>
  </si>
  <si>
    <t>Troca do aquecedor a gás digital, 26L, padrão premium, elétrico com ventilação forçada</t>
  </si>
  <si>
    <t>08.02.37</t>
  </si>
  <si>
    <t>30L a 33L</t>
  </si>
  <si>
    <t>troca do aquecedor a gás digital, 30l a 33l, padrão normal, elétrico com ventilação forçada</t>
  </si>
  <si>
    <t>https://www.leroymerlin.com.br/aquecedor-de-agua-a-gas-rheem-30l-min-glp-branco-digital-rb3ap30pvptic_89423922</t>
  </si>
  <si>
    <t>DnPBGS8fFuNyx85Ra3u4BJ</t>
  </si>
  <si>
    <t>Troca do aquecedor a gás digital, 30L a 33L, padrão normal, elétrico com ventilação forçada</t>
  </si>
  <si>
    <t>08.02.38</t>
  </si>
  <si>
    <t>troca do aquecedor a gás digital, 30l a 33l, padrão premium, elétrico com ventilação forçada</t>
  </si>
  <si>
    <t>https://www.leroymerlin.com.br/aquecedor-de-agua-a-gas-eletronico-33l-e33-rinnai-glp-branco_1567029124</t>
  </si>
  <si>
    <t>Qr1RckPsYTCfLNVPeku2eT</t>
  </si>
  <si>
    <t>Troca do aquecedor a gás digital, 30L a 33L, padrão premium, elétrico com ventilação forçada</t>
  </si>
  <si>
    <t>08.02.39</t>
  </si>
  <si>
    <t>42L a 45L</t>
  </si>
  <si>
    <t>troca do aquecedor a gás digital, 42l a 45l, padrão normal, elétrico com ventilação forçada</t>
  </si>
  <si>
    <t>https://www.leroymerlin.com.br/aquecedor-de-agua-a-gas-rheem-45l-min-glp-branco-digital-rb3ap45pvptin_89957203</t>
  </si>
  <si>
    <t>Troca do aquecedor a gás digital, 42L a 45L, padrão normal, elétrico com ventilação forçada</t>
  </si>
  <si>
    <t>08.02.40</t>
  </si>
  <si>
    <t>troca do aquecedor a gás digital, 42l a 45l, padrão premium, elétrico com ventilação forçada</t>
  </si>
  <si>
    <t>https://www.leroymerlin.com.br/aquecedor-a-gas-rinnai-45l-min-digital-glp-bivolt-branco-reue430ferbl8-rinnai_92186535</t>
  </si>
  <si>
    <t>Troca do aquecedor a gás digital, 42L a 45L, padrão premium, elétrico com ventilação forçada</t>
  </si>
  <si>
    <t>08.03</t>
  </si>
  <si>
    <t>Exaustor</t>
  </si>
  <si>
    <t>XoTfLwbo9zVVwPzzZncycB</t>
  </si>
  <si>
    <t>08.03.01</t>
  </si>
  <si>
    <t>Troca do exaustor para banheiro</t>
  </si>
  <si>
    <t xml:space="preserve">Exaustor não está operando ao ser acionado. Depois de validar o funcionamento do circuito elétrico. Confirmando a necessidade de substituição para reestabelecer a exaustão no ambiente.
</t>
  </si>
  <si>
    <t>Execução de troca do exaustor para banheiro, padrão simples.
Está incluso: substituição do exaustor, teste de funcionamento e limpeza do local.</t>
  </si>
  <si>
    <t>substituição do exaustor, teste de funcionamento e limpeza do local</t>
  </si>
  <si>
    <t>troca do exaustor para banheiro, padrão simples</t>
  </si>
  <si>
    <t>LiL2KbdT4mnTAmDHK35ntH</t>
  </si>
  <si>
    <t>Troca do exaustor para banheiro, padrão simples</t>
  </si>
  <si>
    <t>08.03.02</t>
  </si>
  <si>
    <t>Execução de troca do exaustor para banheiro, padrão normal.
Está incluso: substituição do exaustor, teste de funcionamento e limpeza do local.</t>
  </si>
  <si>
    <t>troca do exaustor para banheiro, padrão normal</t>
  </si>
  <si>
    <r>
      <rPr>
        <u/>
        <sz val="10"/>
        <color rgb="FF1155CC"/>
        <rFont val="Arial"/>
      </rPr>
      <t>https://www.leroymerlin.com.br/exaustor-para-ambientes-10cm-bivolt-new-classic-80-westaflex_91787136?store_code=39&amp;gclid=Cj0KCQjwrfymBhCTARIsADXTabk-1Z1dHcMyFk389gLMhiEdpB0XJMKuyDX7SkvbemQGuNxLuhia_DAaAnuBEALw_wcB</t>
    </r>
    <r>
      <rPr>
        <sz val="10"/>
        <rFont val="Arial"/>
      </rPr>
      <t>B</t>
    </r>
  </si>
  <si>
    <t>8bvAUSKQvXWv9TuqFkbRuJ</t>
  </si>
  <si>
    <t>Troca do exaustor para banheiro, padrão normal</t>
  </si>
  <si>
    <t>08.04</t>
  </si>
  <si>
    <t>Eletrodomésticos</t>
  </si>
  <si>
    <t>TKxQVsiCDuvgheTWokbVzD</t>
  </si>
  <si>
    <t>08.04.01</t>
  </si>
  <si>
    <t>Troca do fogão</t>
  </si>
  <si>
    <t>quatro bocas</t>
  </si>
  <si>
    <t>acendimento automático</t>
  </si>
  <si>
    <t>troca do fogão, quatro bocas, acendimento automático, padrão simples</t>
  </si>
  <si>
    <t>HVGNtQEkaoC49yzWNdu1Cz</t>
  </si>
  <si>
    <t>Troca do fogão, quatro bocas, acendimento automático, padrão simples</t>
  </si>
  <si>
    <t>08.04.02</t>
  </si>
  <si>
    <t>troca do fogão, quatro bocas, acendimento automático, padrão normal</t>
  </si>
  <si>
    <t>7QUQ2ZGiJEXi1N52cwxs5i</t>
  </si>
  <si>
    <t>Troca do fogão, quatro bocas, acendimento automático, padrão normal</t>
  </si>
  <si>
    <t>08.04.03</t>
  </si>
  <si>
    <t>troca do fogão, quatro bocas, acendimento automático, padrão premium</t>
  </si>
  <si>
    <t>2dLGZZH4Z387ARLvuxJayP</t>
  </si>
  <si>
    <t>Troca do fogão, quatro bocas, acendimento automático, padrão premium</t>
  </si>
  <si>
    <t>08.04.04</t>
  </si>
  <si>
    <t>acendimento manual</t>
  </si>
  <si>
    <t>troca do fogão, quatro bocas, acendimento manual</t>
  </si>
  <si>
    <t>XGvcZzQmWJZ7Fz6ZsTQsgN</t>
  </si>
  <si>
    <t>Troca do fogão, quatro bocas, acendimento manual</t>
  </si>
  <si>
    <t>08.04.05</t>
  </si>
  <si>
    <t>Conversão do fogão</t>
  </si>
  <si>
    <t>conversão do fogão</t>
  </si>
  <si>
    <t>https://www.brastemp.com.br/kit-de-conversao-de-gas-para-fogao-w10677060/p?idsku=1636&amp;gclid=CjwKCAiAl9efBhAkEiwA4TorirCt4ddNd8FN64RTz258DvPuZUWGFIMloN2XGLJMoBxdUkX_83gktRoCg0oQAvD_BwE</t>
  </si>
  <si>
    <t>Q8f7pSVaUqfcZt5rBgguwB</t>
  </si>
  <si>
    <t>08.04.06</t>
  </si>
  <si>
    <t>Revisão do fogão</t>
  </si>
  <si>
    <t>sem troca de peça</t>
  </si>
  <si>
    <t>revisão do fogão, sem troca de peça</t>
  </si>
  <si>
    <t>RbbHPnE12M5QDKCSFm1hBY</t>
  </si>
  <si>
    <t>Revisão do fogão, sem troca de peça</t>
  </si>
  <si>
    <t>08.04.07</t>
  </si>
  <si>
    <t xml:space="preserve">Troca da lâmpada </t>
  </si>
  <si>
    <t>fogão</t>
  </si>
  <si>
    <t>troca da lâmpada , fogão</t>
  </si>
  <si>
    <t>2tavYF4Aiuyc16V9V7Ees9</t>
  </si>
  <si>
    <t>Troca da lâmpada , fogão</t>
  </si>
  <si>
    <t>08.04.08</t>
  </si>
  <si>
    <t>Troca do cooktop</t>
  </si>
  <si>
    <t>indução</t>
  </si>
  <si>
    <t>troca do cooktop, quatro bocas, indução, padrão simples</t>
  </si>
  <si>
    <t>3ZZ7zQ4wFcgWdpQxPuwtqT</t>
  </si>
  <si>
    <t>Troca do cooktop, quatro bocas, indução, padrão simples</t>
  </si>
  <si>
    <t>08.04.09</t>
  </si>
  <si>
    <t>troca do cooktop, quatro bocas, indução, padrão normal</t>
  </si>
  <si>
    <t>HmbXNJtpL5ERVdg376FbmE</t>
  </si>
  <si>
    <t>Troca do cooktop, quatro bocas, indução, padrão normal</t>
  </si>
  <si>
    <t>08.04.10</t>
  </si>
  <si>
    <t>troca do cooktop, quatro bocas, indução, padrão premium</t>
  </si>
  <si>
    <t>PW9P1fEu4Ac1tNPqzsTKwL</t>
  </si>
  <si>
    <t>Troca do cooktop, quatro bocas, indução, padrão premium</t>
  </si>
  <si>
    <t>08.04.11</t>
  </si>
  <si>
    <t>gás</t>
  </si>
  <si>
    <t>troca do cooktop, quatro bocas, gás, padrão simples</t>
  </si>
  <si>
    <t>JV3xpXXY9KRZ5k4AFXNQQM</t>
  </si>
  <si>
    <t>Troca do cooktop, quatro bocas, gás, padrão simples</t>
  </si>
  <si>
    <t>08.04.12</t>
  </si>
  <si>
    <t>troca do cooktop, quatro bocas, gás, padrão normal</t>
  </si>
  <si>
    <t>CmqYmtGvyQa6QAAHytL1rL</t>
  </si>
  <si>
    <t>Troca do cooktop, quatro bocas, gás, padrão normal</t>
  </si>
  <si>
    <t>08.04.13</t>
  </si>
  <si>
    <t>cinco bocas</t>
  </si>
  <si>
    <t>troca do cooktop, cinco bocas, gás, padrão simples</t>
  </si>
  <si>
    <t>Anw4beezRJs4kV3vo4vRde</t>
  </si>
  <si>
    <t>Troca do cooktop, cinco bocas, gás, padrão simples</t>
  </si>
  <si>
    <t>08.04.14</t>
  </si>
  <si>
    <t>troca do cooktop, cinco bocas, gás, padrão normal</t>
  </si>
  <si>
    <t>7CFKdoG3nr4St6Aq3n4B4K</t>
  </si>
  <si>
    <t>Troca do cooktop, cinco bocas, gás, padrão normal</t>
  </si>
  <si>
    <t>08.04.15</t>
  </si>
  <si>
    <t>troca do cooktop, cinco bocas, gás, padrão premium</t>
  </si>
  <si>
    <t>UyqyuQW8a1g97E6d5wm5Jo</t>
  </si>
  <si>
    <t>Troca do cooktop, cinco bocas, gás, padrão premium</t>
  </si>
  <si>
    <t>08.04.16</t>
  </si>
  <si>
    <t xml:space="preserve">Troca da boca </t>
  </si>
  <si>
    <t>troca da boca , fogão</t>
  </si>
  <si>
    <t>RqrRjxpmRmyqYNbTgZm5V9</t>
  </si>
  <si>
    <t>Troca da boca , fogão</t>
  </si>
  <si>
    <t>08.04.17</t>
  </si>
  <si>
    <t>cooktop</t>
  </si>
  <si>
    <t>troca da boca , cooktop</t>
  </si>
  <si>
    <t>LYsQku8ELcBgp9YsPUkjAB</t>
  </si>
  <si>
    <t>Troca da boca , cooktop</t>
  </si>
  <si>
    <t>08.04.18</t>
  </si>
  <si>
    <t>Troca da vela</t>
  </si>
  <si>
    <t>troca da vela, fogão</t>
  </si>
  <si>
    <t>2FU89TFJNYPb6eu4oeuruE</t>
  </si>
  <si>
    <t>Troca da vela, fogão</t>
  </si>
  <si>
    <t>08.04.19</t>
  </si>
  <si>
    <t>Troca da grade</t>
  </si>
  <si>
    <t>troca da grade, fogão</t>
  </si>
  <si>
    <t>4JmdoiNQm1dP8LjY9fzbeH</t>
  </si>
  <si>
    <t>Troca da grade, fogão</t>
  </si>
  <si>
    <t>08.04.20</t>
  </si>
  <si>
    <t>troca da grade, cooktop</t>
  </si>
  <si>
    <t>Km9ypqgWxDa2suoHG66wA9</t>
  </si>
  <si>
    <t>Troca da grade, cooktop</t>
  </si>
  <si>
    <t>08.04.21</t>
  </si>
  <si>
    <t>Troca do forno elétrico</t>
  </si>
  <si>
    <t>troca do forno elétrico</t>
  </si>
  <si>
    <t>NRRSQroGfS6ndPzyFPoAPY</t>
  </si>
  <si>
    <t>08.04.22</t>
  </si>
  <si>
    <t>Troca do forno elétrico de embutir</t>
  </si>
  <si>
    <t>Fischer ou similar</t>
  </si>
  <si>
    <t>troca do forno elétrico de embutir, fischer ou similar</t>
  </si>
  <si>
    <t>TQWLRaHiTBVJszz1yH4NmC</t>
  </si>
  <si>
    <t>Troca do forno elétrico de embutir, Fischer ou similar</t>
  </si>
  <si>
    <t>08.04.23</t>
  </si>
  <si>
    <t>Troca do depurador</t>
  </si>
  <si>
    <t>troca do depurador</t>
  </si>
  <si>
    <t>Sb53SjgTNm88tYBWTALy5i</t>
  </si>
  <si>
    <t>08.04.24</t>
  </si>
  <si>
    <t>Revisão depurador</t>
  </si>
  <si>
    <t>revisão depurador</t>
  </si>
  <si>
    <t>8Ru6XBH4btYBbmF7v1tetC</t>
  </si>
  <si>
    <t>08.04.25</t>
  </si>
  <si>
    <t xml:space="preserve">Troca do filtro </t>
  </si>
  <si>
    <t>depurador</t>
  </si>
  <si>
    <t>troca do filtro , depurador</t>
  </si>
  <si>
    <t>7XGvZHamDjkdyXtaB9FKmv</t>
  </si>
  <si>
    <t>Troca do filtro , depurador</t>
  </si>
  <si>
    <t>08.04.26</t>
  </si>
  <si>
    <t>Troca da coifa</t>
  </si>
  <si>
    <t>troca da coifa, padrão simples</t>
  </si>
  <si>
    <t>CP8wLjw7FBNuxsFNZtZDo4</t>
  </si>
  <si>
    <t>Troca da coifa, padrão simples</t>
  </si>
  <si>
    <t>08.04.27</t>
  </si>
  <si>
    <t>troca da coifa, padrão normal</t>
  </si>
  <si>
    <t>E3VQU5vmnmpyBgqqcnYJk1</t>
  </si>
  <si>
    <t>Troca da coifa, padrão normal</t>
  </si>
  <si>
    <t>08.04.28</t>
  </si>
  <si>
    <t>troca da coifa, padrão premium</t>
  </si>
  <si>
    <t>8wgNnFZiR4rMFy4NEJM9fa</t>
  </si>
  <si>
    <t>Troca da coifa, padrão premium</t>
  </si>
  <si>
    <t>08.04.29</t>
  </si>
  <si>
    <t>Troca de filtro</t>
  </si>
  <si>
    <t>coifa</t>
  </si>
  <si>
    <t>troca de filtro, coifa</t>
  </si>
  <si>
    <t>H1t4gkSB53P7Ni6xD1KPaR</t>
  </si>
  <si>
    <t>Troca de filtro, coifa</t>
  </si>
  <si>
    <t>08.04.30</t>
  </si>
  <si>
    <t>troca da lâmpada , coifa</t>
  </si>
  <si>
    <t>GyCCxPniq4UgK5mtiTi5XL</t>
  </si>
  <si>
    <t>Troca da lâmpada , coifa</t>
  </si>
  <si>
    <t>08.04.31</t>
  </si>
  <si>
    <t>Remoção da geladeira do imóvel</t>
  </si>
  <si>
    <t>remoção da geladeira do imóvel</t>
  </si>
  <si>
    <t>CSqLn8HPMHVjAC7yaRVUc8</t>
  </si>
  <si>
    <t>08.04.32</t>
  </si>
  <si>
    <t>Troca da geladeira 1 porta</t>
  </si>
  <si>
    <t>nova</t>
  </si>
  <si>
    <t>troca da geladeira 1 porta, nova</t>
  </si>
  <si>
    <t>Sxtfpiwz3gj617JmEy7i3n</t>
  </si>
  <si>
    <t>Troca da geladeira 1 porta, nova</t>
  </si>
  <si>
    <t>08.04.33</t>
  </si>
  <si>
    <t>Troca da geladeira inóx 2 portas</t>
  </si>
  <si>
    <t>troca da geladeira inóx 2 portas</t>
  </si>
  <si>
    <t>8eWobrGYujotY6k9zRKMz6</t>
  </si>
  <si>
    <t>08.04.34</t>
  </si>
  <si>
    <t>Troca da geladeira branca 2 portas</t>
  </si>
  <si>
    <t>troca da geladeira branca 2 portas</t>
  </si>
  <si>
    <t>Sd4XchhGVwYwzfjZt3YV2F</t>
  </si>
  <si>
    <t>08.04.35</t>
  </si>
  <si>
    <t>Remoção da máquina de lavar</t>
  </si>
  <si>
    <t>remoção da máquina de lavar</t>
  </si>
  <si>
    <t>772uv5kiy6h1V97VmtH24U</t>
  </si>
  <si>
    <t>08.04.36</t>
  </si>
  <si>
    <t>Troca da máquina de lavar</t>
  </si>
  <si>
    <t>troca da máquina de lavar</t>
  </si>
  <si>
    <t>ARXu1tG4bDhsh9vYUEYm7q</t>
  </si>
  <si>
    <t>08.04.37</t>
  </si>
  <si>
    <t>Troca da máquina de lavar e secar</t>
  </si>
  <si>
    <t>troca da máquina de lavar e secar</t>
  </si>
  <si>
    <t>TN7djx33bFoakp3L9L12j8</t>
  </si>
  <si>
    <t>08.04.38</t>
  </si>
  <si>
    <t>Troca de microondas de embutir</t>
  </si>
  <si>
    <t>troca de microondas de embutir, fischer ou similar</t>
  </si>
  <si>
    <t>Troca de microondas de embutir, Fischer ou similar</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</si>
  <si>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</si>
  <si>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</si>
  <si>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</si>
  <si>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</si>
  <si>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06</t>
  </si>
  <si>
    <t>Persiana</t>
  </si>
  <si>
    <t>X3zdcrcHPmkGTYeuhscLry</t>
  </si>
  <si>
    <t>06.01</t>
  </si>
  <si>
    <t>Externa</t>
  </si>
  <si>
    <t>YPXHsmJm3jqu9zPmy4zxXP</t>
  </si>
  <si>
    <t>06.01.01</t>
  </si>
  <si>
    <t>Manutenção corretiva para o funcionamento da caixa de persiana</t>
  </si>
  <si>
    <t>apresentando defeito no mecanismo de abertura e fechamento do painel</t>
  </si>
  <si>
    <t xml:space="preserve">Execução de manutenção corretiva para o funcionamento da caixa de persiana, apresentando defeito no mecanismo de abertura e fechamento do painel.
Está incluso: possiveis defeitos no eixo do sistema, fita desamarrada ou fora da polia e ajuste por deformação térmica. 
Substituição em caso de quebra do rolete de amarra, da polia e da flange do eixo. Também está incluso a regulagem do painel e limpeza do local..
Observação: É importante mencionar que, após concluir essa etapa, poderemos descobrir que o eixo do mecanismo ou o trilho da persiana estejam severamente danificados, o que pode exigir um serviço adicional. Reforçamos que só será possível identificar outros problemas após termos feitos os serviços propostos, pois independente de futuros problemas, esses itens precisariam ser consertados. Queremos garantir que você tenha todas as informações necessárias para tomar a melhor decisão. Se for necessário realizar trabalhos adicionais, nossa equipe irá discutir isso com você e apresentar um orçamento antes de prosseguirmos. Nossa prioridade é garantir que você tenha sua persiana confiável e eficaz, e estamos comprometidos em fornecer serviços de alta qualidade a um preço justo.
</t>
  </si>
  <si>
    <t>possiveis defeitos no eixo do sistema, fita desamarrada ou fora da polia e ajuste por deformação térmica. 
Substituição em caso de quebra do rolete de amarra, da polia e da flange do eixo. Também está incluso a regulagem do painel e limpeza do local.</t>
  </si>
  <si>
    <t>manutenção corretiva para o funcionamento da caixa de persiana, apresentando defeito no mecanismo de abertura e fechamento do painel</t>
  </si>
  <si>
    <t>o eixo do mecanismo ou o trilho da persiana estejam severamente danificados</t>
  </si>
  <si>
    <t>sua persiana</t>
  </si>
  <si>
    <t>YG3jaWyY8yN62UGkvCpk9G</t>
  </si>
  <si>
    <t>Manutenção corretiva para o funcionamento da caixa de persiana, apresentando defeito no mecanismo de abertura e fechamento do painel</t>
  </si>
  <si>
    <t>06.01.02</t>
  </si>
  <si>
    <t xml:space="preserve">Troca pontual de lâminas da persiana </t>
  </si>
  <si>
    <t>troca pontual de lâminas da persiana , material alumínio</t>
  </si>
  <si>
    <t>87rfPdrXHL4q4KPUsSDVgB</t>
  </si>
  <si>
    <t>Troca pontual de lâminas da persiana , material alumínio</t>
  </si>
  <si>
    <t>06.01.03</t>
  </si>
  <si>
    <t>até 05 peças</t>
  </si>
  <si>
    <t>incluso a regulagem</t>
  </si>
  <si>
    <t>troca pontual de lâminas da persiana , material pvc, até 05 peças, incluso a regulagem</t>
  </si>
  <si>
    <t>6ndjEvYgngjdwRPimhk4u4</t>
  </si>
  <si>
    <t>Troca pontual de lâminas da persiana , material pvc, até 05 peças, incluso a regulagem</t>
  </si>
  <si>
    <t>06.01.04</t>
  </si>
  <si>
    <t>até 10 peças</t>
  </si>
  <si>
    <t>troca pontual de lâminas da persiana , material pvc, até 10 peças, incluso a regulagem</t>
  </si>
  <si>
    <t>Troca pontual de lâminas da persiana , material pvc, até 10 peças, incluso a regulagem</t>
  </si>
  <si>
    <t>06.01.05</t>
  </si>
  <si>
    <t>até 15 peças</t>
  </si>
  <si>
    <t>troca pontual de lâminas da persiana , material pvc, até 15 peças, incluso a regulagem</t>
  </si>
  <si>
    <t>Troca pontual de lâminas da persiana , material pvc, até 15 peças, incluso a regulagem</t>
  </si>
  <si>
    <t>06.01.06</t>
  </si>
  <si>
    <t>Troca do conjunto de lâminas da persiana</t>
  </si>
  <si>
    <t>em janela</t>
  </si>
  <si>
    <t>troca do conjunto de lâminas da persiana, material pvc, incluso a regulagem, em janela</t>
  </si>
  <si>
    <t>https://produto.mercadolivre.com.br/MLB-926542967-tala-lmina-de-persiana-externa-pvc-de150x-150m-esteira-_JM?matt_tool=55047108&amp;matt_word=Default_URL_MLB&amp;matt_source=google&amp;matt_campaign_id=10768082097&amp;matt_ad_group_id=109874314007&amp;matt_match_type=&amp;matt_network=g&amp;matt_device=c&amp;matt_creative=454929016291&amp;matt_keyword=&amp;matt_ad_position=&amp;matt_ad_type=&amp;matt_merchant_id=&amp;matt_product_id=&amp;matt_product_partition_id=&amp;matt_target_id=dsa-53727596173&amp;cq_src=google_ads&amp;cq_cmp=10768082097&amp;cq_net=g&amp;cq_plt=gp&amp;gad_source=1&amp;gclid=Cj0KCQiAh8OtBhCQARIsAIkWb69KmDRtkLKcKJNqdaAdi7Tng-3Eri9q1YGbfBi0hdd2zqpkdFRVe7gaAogTEALw_wcB</t>
  </si>
  <si>
    <t>Troca do conjunto de lâminas da persiana, material pvc, incluso a regulagem, em janela</t>
  </si>
  <si>
    <t>06.01.07</t>
  </si>
  <si>
    <t>em porta</t>
  </si>
  <si>
    <t>troca do conjunto de lâminas da persiana, material pvc, incluso a regulagem, em porta</t>
  </si>
  <si>
    <t>6AkuzNKXrw9DdYVPzi8vGx</t>
  </si>
  <si>
    <t>Troca do conjunto de lâminas da persiana, material pvc, incluso a regulagem, em porta</t>
  </si>
  <si>
    <t>06.01.08</t>
  </si>
  <si>
    <t>Troca do recolhedor de ferro embutido na parede</t>
  </si>
  <si>
    <t>inclusa a fita nova</t>
  </si>
  <si>
    <t>troca do recolhedor de ferro embutido na parede, inclusa a fita nova, em janela</t>
  </si>
  <si>
    <t>3ZaZjBkC7c23GUHkQACaoz</t>
  </si>
  <si>
    <t>Troca do recolhedor de ferro embutido na parede, inclusa a fita nova, em janela</t>
  </si>
  <si>
    <t>06.01.09</t>
  </si>
  <si>
    <t>troca do recolhedor de ferro embutido na parede, inclusa a fita nova, em porta</t>
  </si>
  <si>
    <t>G5QPvedX7TEBEM9x8PaB9j</t>
  </si>
  <si>
    <t>Troca do recolhedor de ferro embutido na parede, inclusa a fita nova, em porta</t>
  </si>
  <si>
    <t>06.01.10</t>
  </si>
  <si>
    <t>Troca de recolhedor externo da persiana</t>
  </si>
  <si>
    <t>troca de recolhedor externo da persiana, inclusa a fita nova, em janela</t>
  </si>
  <si>
    <t>4xErQihYkJNMSTpG4UDAdd</t>
  </si>
  <si>
    <t>Troca de recolhedor externo da persiana, inclusa a fita nova, em janela</t>
  </si>
  <si>
    <t>06.01.11</t>
  </si>
  <si>
    <t>troca de recolhedor externo da persiana, inclusa a fita nova, em porta</t>
  </si>
  <si>
    <t>5VHRTdX3u9xRaUSwXDEAYv</t>
  </si>
  <si>
    <t>Troca de recolhedor externo da persiana, inclusa a fita nova, em porta</t>
  </si>
  <si>
    <t>06.01.12</t>
  </si>
  <si>
    <t>Troca de fita ou cadarço da persiana</t>
  </si>
  <si>
    <t>troca de fita ou cadarço da persiana, em janela</t>
  </si>
  <si>
    <t>LhTkBAsr4Z4WnHowWP4Tvy</t>
  </si>
  <si>
    <t>Troca de fita ou cadarço da persiana, em janela</t>
  </si>
  <si>
    <t>06.01.13</t>
  </si>
  <si>
    <t>troca de fita ou cadarço da persiana, em porta</t>
  </si>
  <si>
    <t>2fkaYRfaRyZ1TzVZmyodgD</t>
  </si>
  <si>
    <t>Troca de fita ou cadarço da persiana, em porta</t>
  </si>
  <si>
    <t>06.01.14</t>
  </si>
  <si>
    <t>Troca de partes danificadas da caixa de madeira</t>
  </si>
  <si>
    <t>preço por peça</t>
  </si>
  <si>
    <t>troca de partes danificadas da caixa de madeira, preço por peça</t>
  </si>
  <si>
    <t>RZU2nm97rttt3EWQ7maUmm</t>
  </si>
  <si>
    <t>Troca de partes danificadas da caixa de madeira, preço por peça</t>
  </si>
  <si>
    <t>06.01.15</t>
  </si>
  <si>
    <t>Troca de caixa de madeira</t>
  </si>
  <si>
    <t>persiana externa</t>
  </si>
  <si>
    <t>incluso o mecanismo de funcionamento</t>
  </si>
  <si>
    <t>troca de caixa de madeira, persiana externa, incluso o mecanismo de funcionamento</t>
  </si>
  <si>
    <t>Troca de caixa de madeira, persiana externa, incluso o mecanismo de funcionamento</t>
  </si>
  <si>
    <t>06.01.16</t>
  </si>
  <si>
    <t>reaproveitando o mecanismo de funcionamento</t>
  </si>
  <si>
    <t>troca de caixa de madeira, persiana externa, reaproveitando o mecanismo de funcionamento</t>
  </si>
  <si>
    <t>Troca de caixa de madeira, persiana externa, reaproveitando o mecanismo de funcionamento</t>
  </si>
  <si>
    <t>06.02</t>
  </si>
  <si>
    <t>Interna</t>
  </si>
  <si>
    <t>Ao3jn1r2AE3rAachF6QCgD</t>
  </si>
  <si>
    <t>06.02.01</t>
  </si>
  <si>
    <t>Recolocação de persiana</t>
  </si>
  <si>
    <t>sem fornecimento de material</t>
  </si>
  <si>
    <t>recolocação de persiana, sem fornecimento de material</t>
  </si>
  <si>
    <t>Recolocação de persiana, sem fornecimento de material</t>
  </si>
  <si>
    <t>06.02.02</t>
  </si>
  <si>
    <t>Higienização de persianas</t>
  </si>
  <si>
    <t>higienização de persianas</t>
  </si>
  <si>
    <t>06.02.03</t>
  </si>
  <si>
    <t>Troca completa do trilho para persiana vertical</t>
  </si>
  <si>
    <t>até 1.50m</t>
  </si>
  <si>
    <t>reaproveitando tecido</t>
  </si>
  <si>
    <t>troca completa do trilho para persiana vertical, até 1.50m, reaproveitando tecido</t>
  </si>
  <si>
    <t>Troca completa do trilho para persiana vertical, até 1.50m, reaproveitando tecido</t>
  </si>
  <si>
    <t>06.02.04</t>
  </si>
  <si>
    <t>com higiênização</t>
  </si>
  <si>
    <t>troca completa do trilho para persiana vertical, até 1.50m, reaproveitando tecido, com higiênização</t>
  </si>
  <si>
    <t>Troca completa do trilho para persiana vertical, até 1.50m, reaproveitando tecido, com higiênização</t>
  </si>
  <si>
    <t>06.02.05</t>
  </si>
  <si>
    <t>até 2.00m</t>
  </si>
  <si>
    <t>troca completa do trilho para persiana vertical, até 2.00m, reaproveitando tecido</t>
  </si>
  <si>
    <t>Troca completa do trilho para persiana vertical, até 2.00m, reaproveitando tecido</t>
  </si>
  <si>
    <t>06.02.06</t>
  </si>
  <si>
    <t>troca completa do trilho para persiana vertical, até 2.00m, reaproveitando tecido, com higiênização</t>
  </si>
  <si>
    <t>Troca completa do trilho para persiana vertical, até 2.00m, reaproveitando tecido, com higiênização</t>
  </si>
  <si>
    <t>06.02.07</t>
  </si>
  <si>
    <t>Troca de corda para persiana vertical</t>
  </si>
  <si>
    <t>troca de corda para persiana vertical</t>
  </si>
  <si>
    <t>06.02.08</t>
  </si>
  <si>
    <t>Troca da ponta de comando para persiana rolô</t>
  </si>
  <si>
    <t>troca da ponta de comando para persiana rolô, reaproveitando tecido</t>
  </si>
  <si>
    <t>Troca da ponta de comando para persiana rolô, reaproveitando tecido</t>
  </si>
  <si>
    <t>06.02.09</t>
  </si>
  <si>
    <t>Troca completa da persiana rolo</t>
  </si>
  <si>
    <t>troca completa da persiana rolo</t>
  </si>
  <si>
    <t>06.02.10</t>
  </si>
  <si>
    <t>Troca da ponta de comando para persiana romana</t>
  </si>
  <si>
    <t>troca da ponta de comando para persiana romana, reaproveitando tecido</t>
  </si>
  <si>
    <t>Troca da ponta de comando para persiana romana, reaproveitando tecido</t>
  </si>
  <si>
    <t>06.02.11</t>
  </si>
  <si>
    <t>troca da ponta de comando para persiana romana, reaproveitando tecido, com higiênização</t>
  </si>
  <si>
    <t>Troca da ponta de comando para persiana romana, reaproveitando tecido, com higiênização</t>
  </si>
  <si>
    <t>06.02.12</t>
  </si>
  <si>
    <t>Troca dos clips da vareta para persiana romana</t>
  </si>
  <si>
    <t>troca dos clips da vareta para persiana romana, reaproveitando tecido</t>
  </si>
  <si>
    <t>Troca dos clips da vareta para persiana romana, reaproveitando tecido</t>
  </si>
  <si>
    <t>06.02.13</t>
  </si>
  <si>
    <t>troca dos clips da vareta para persiana romana, reaproveitando tecido, com higiênização</t>
  </si>
  <si>
    <t>Troca dos clips da vareta para persiana romana, reaproveitando tecido, com higiênização</t>
  </si>
  <si>
    <t>06.02.14</t>
  </si>
  <si>
    <t>Troca de corda para persiana horizontal</t>
  </si>
  <si>
    <t>troca de corda para persiana horizontal</t>
  </si>
  <si>
    <t>06.02.15</t>
  </si>
  <si>
    <t>Troca da ponta de comando para persiana plisada</t>
  </si>
  <si>
    <t>troca da ponta de comando para persiana plisada, reaproveitando tecido</t>
  </si>
  <si>
    <t>Troca da ponta de comando para persiana plisada, reaproveitando tecido</t>
  </si>
  <si>
    <t>06.02.16</t>
  </si>
  <si>
    <t>troca da ponta de comando para persiana plisada, reaproveitando tecido, com higiênização</t>
  </si>
  <si>
    <t>Troca da ponta de comando para persiana plisada, reaproveitando tecido, com higiênização</t>
  </si>
  <si>
    <t>06.03</t>
  </si>
  <si>
    <t>Cortina</t>
  </si>
  <si>
    <t>Ho7nYAj91zAAuS5GCH9hTe</t>
  </si>
  <si>
    <t>06.03.01</t>
  </si>
  <si>
    <t>Lavagem de cortina</t>
  </si>
  <si>
    <t>lavagem de cortina</t>
  </si>
  <si>
    <t>NxbteXgzSpwhyYewpTjqZV</t>
  </si>
  <si>
    <t>06.03.02</t>
  </si>
  <si>
    <t>Troca da cortina</t>
  </si>
  <si>
    <t>até 3.00m2</t>
  </si>
  <si>
    <t>troca da cortina, convencional, até 3.00m2, padrão simples</t>
  </si>
  <si>
    <t>KqyuLaHz3Ae6e4ZQGqaHTS</t>
  </si>
  <si>
    <t>Troca da cortina, convencional, até 3.00m2, padrão simples</t>
  </si>
  <si>
    <t>06.03.03</t>
  </si>
  <si>
    <t>até 6.00m2</t>
  </si>
  <si>
    <t>troca da cortina, convencional, até 6.00m2, padrão simples</t>
  </si>
  <si>
    <t>Troca da cortina, convencional, até 6.00m2, padrão simples</t>
  </si>
  <si>
    <t>06.03.04</t>
  </si>
  <si>
    <t>até 9.00m2</t>
  </si>
  <si>
    <t>troca da cortina, convencional, até 9.00m2, padrão simples</t>
  </si>
  <si>
    <t>Troca da cortina, convencional, até 9.00m2, padrão simples</t>
  </si>
  <si>
    <t>06.03.05</t>
  </si>
  <si>
    <t>troca da cortina, convencional, até 3.00m2, padrão normal</t>
  </si>
  <si>
    <t>59hAn2smHJcLW7Bz5uzrDW</t>
  </si>
  <si>
    <t>Troca da cortina, convencional, até 3.00m2, padrão normal</t>
  </si>
  <si>
    <t>06.03.06</t>
  </si>
  <si>
    <t>troca da cortina, convencional, até 6.00m2, padrão normal</t>
  </si>
  <si>
    <t>Troca da cortina, convencional, até 6.00m2, padrão normal</t>
  </si>
  <si>
    <t>06.03.07</t>
  </si>
  <si>
    <t>troca da cortina, convencional, até 9.00m2, padrão normal</t>
  </si>
  <si>
    <t>Troca da cortina, convencional, até 9.00m2, padrão normal</t>
  </si>
  <si>
    <t>06.03.08</t>
  </si>
  <si>
    <t>troca da cortina, convencional, até 3.00m2, padrão premium</t>
  </si>
  <si>
    <t>9aSVsLJUY45cebYgkH84bT</t>
  </si>
  <si>
    <t>Troca da cortina, convencional, até 3.00m2, padrão premium</t>
  </si>
  <si>
    <t>06.03.09</t>
  </si>
  <si>
    <t>troca da cortina, convencional, até 6.00m2, padrão premium</t>
  </si>
  <si>
    <t>Troca da cortina, convencional, até 6.00m2, padrão premium</t>
  </si>
  <si>
    <t>06.03.10</t>
  </si>
  <si>
    <t>troca da cortina, convencional, até 9.00m2, padrão premium</t>
  </si>
  <si>
    <t>Troca da cortina, convencional, até 9.00m2, padrão premium</t>
  </si>
  <si>
    <t>06.03.11</t>
  </si>
  <si>
    <t>blackout</t>
  </si>
  <si>
    <t>troca da cortina, blackout, até 3.00m2, padrão simples</t>
  </si>
  <si>
    <t>4GCWCYJSDY4zME6Mmi4yP5</t>
  </si>
  <si>
    <t>Troca da cortina, blackout, até 3.00m2, padrão simples</t>
  </si>
  <si>
    <t>06.03.12</t>
  </si>
  <si>
    <t>troca da cortina, blackout, até 6.00m2, padrão simples</t>
  </si>
  <si>
    <t>Troca da cortina, blackout, até 6.00m2, padrão simples</t>
  </si>
  <si>
    <t>06.03.13</t>
  </si>
  <si>
    <t>troca da cortina, blackout, até 9.00m2, padrão simples</t>
  </si>
  <si>
    <t>Troca da cortina, blackout, até 9.00m2, padrão simples</t>
  </si>
  <si>
    <t>06.03.14</t>
  </si>
  <si>
    <t>troca da cortina, blackout, até 3.00m2, padrão normal</t>
  </si>
  <si>
    <t>ThpbVoNUmGimiec9V5wPRt</t>
  </si>
  <si>
    <t>Troca da cortina, blackout, até 3.00m2, padrão normal</t>
  </si>
  <si>
    <t>06.03.15</t>
  </si>
  <si>
    <t>troca da cortina, blackout, até 6.00m2, padrão normal</t>
  </si>
  <si>
    <t>Troca da cortina, blackout, até 6.00m2, padrão normal</t>
  </si>
  <si>
    <t>06.03.16</t>
  </si>
  <si>
    <t>troca da cortina, blackout, até 9.00m2, padrão normal</t>
  </si>
  <si>
    <t>Troca da cortina, blackout, até 9.00m2, padrão normal</t>
  </si>
  <si>
    <t>06.03.17</t>
  </si>
  <si>
    <t>troca da cortina, blackout, até 3.00m2, padrão premium</t>
  </si>
  <si>
    <t>HAkHriP4NtxzL7EP92U4z</t>
  </si>
  <si>
    <t>Troca da cortina, blackout, até 3.00m2, padrão premium</t>
  </si>
  <si>
    <t>06.03.18</t>
  </si>
  <si>
    <t>troca da cortina, blackout, até 6.00m2, padrão premium</t>
  </si>
  <si>
    <t>Troca da cortina, blackout, até 6.00m2, padrão premium</t>
  </si>
  <si>
    <t>06.03.19</t>
  </si>
  <si>
    <t>troca da cortina, blackout, até 9.00m2, padrão premium</t>
  </si>
  <si>
    <t>Troca da cortina, blackout, até 9.00m2, padrão premium</t>
  </si>
  <si>
    <t>06.03.20</t>
  </si>
  <si>
    <t>Troca do suporte e do varão</t>
  </si>
  <si>
    <t>com materíal fornecido pelo cliente</t>
  </si>
  <si>
    <t>cortina</t>
  </si>
  <si>
    <t>troca do suporte e do varão, com materíal fornecido pelo cliente, cortina</t>
  </si>
  <si>
    <t>6WVxAm3WifqXJ3RUCM9Lzn</t>
  </si>
  <si>
    <t>Troca do suporte e do varão, com materíal fornecido pelo cliente, cortina</t>
  </si>
  <si>
    <t>06.03.21</t>
  </si>
  <si>
    <t>sem materíal fornecido pelo cliente</t>
  </si>
  <si>
    <t>troca do suporte e do varão, sem materíal fornecido pelo cliente, cortina</t>
  </si>
  <si>
    <t>H6mC4Mgua2fvYAvFFdcNWp</t>
  </si>
  <si>
    <t>Troca do suporte e do varão, sem materíal fornecido pelo cliente, cortina</t>
  </si>
  <si>
    <t>06.03.22</t>
  </si>
  <si>
    <t>Troca do trilho</t>
  </si>
  <si>
    <t>troca do trilho, com materíal fornecido pelo cliente, cortina</t>
  </si>
  <si>
    <t>2tX88JUTBC5UdhyjRGyBhv</t>
  </si>
  <si>
    <t>Troca do trilho, com materíal fornecido pelo cliente, cortina</t>
  </si>
  <si>
    <t>06.03.23</t>
  </si>
  <si>
    <t>troca do trilho, sem materíal fornecido pelo cliente, cortina</t>
  </si>
  <si>
    <t>WcDDUD4JWQPEaSJ1V7KYSt</t>
  </si>
  <si>
    <t>Troca do trilho, sem materíal fornecido pelo cliente, cortina</t>
  </si>
  <si>
    <t>06.04</t>
  </si>
  <si>
    <t>Rede De Proteção</t>
  </si>
  <si>
    <t>B23wsj7LLxxpK8fLeEmsS2</t>
  </si>
  <si>
    <t>06.04.01</t>
  </si>
  <si>
    <t>Troca de rede de proteção</t>
  </si>
  <si>
    <t>utilizando ganchos existentes</t>
  </si>
  <si>
    <t>troca de rede de proteção, utilizando ganchos existentes</t>
  </si>
  <si>
    <t>86Pm5694H6voTC3UewFCii</t>
  </si>
  <si>
    <t>Troca de rede de proteção, utilizando ganchos existentes</t>
  </si>
  <si>
    <t>06.04.02</t>
  </si>
  <si>
    <t>Instalação de rede de proteção</t>
  </si>
  <si>
    <t>incluso ganchos de material inox</t>
  </si>
  <si>
    <t>instalação de rede de proteção, incluso ganchos de material inox</t>
  </si>
  <si>
    <t>PLFXWWNa1UTEd9mJNaD6Zq</t>
  </si>
  <si>
    <t>Instalação de rede de proteção, incluso ganchos de material inox</t>
  </si>
  <si>
    <t>06.05</t>
  </si>
  <si>
    <t>Motorizada</t>
  </si>
  <si>
    <t>06.05.01</t>
  </si>
  <si>
    <t>Troca do controle remoto da persiana</t>
  </si>
  <si>
    <t>modelo universal</t>
  </si>
  <si>
    <t>incluso a configuração</t>
  </si>
  <si>
    <t>troca do controle remoto da persiana, modelo universal, incluso a configuração</t>
  </si>
  <si>
    <t>Troca do controle remoto da persiana, modelo universal, incluso a configuração</t>
  </si>
  <si>
    <t>06.05.02</t>
  </si>
  <si>
    <t>Troca do motor da persiana</t>
  </si>
  <si>
    <t>para janela comum</t>
  </si>
  <si>
    <t>troca do motor da persiana, para janela comum</t>
  </si>
  <si>
    <t>Troca do motor da persiana, para janela comum</t>
  </si>
  <si>
    <t>06.05.03</t>
  </si>
  <si>
    <t>para porta-janela ou porta balcão</t>
  </si>
  <si>
    <t>troca do motor da persiana, para porta-janela ou porta balcão</t>
  </si>
  <si>
    <t>Troca do motor da persiana, para porta-janela ou porta balcão</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</si>
  <si>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</si>
  <si>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</si>
  <si>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</si>
  <si>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</si>
  <si>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07</t>
  </si>
  <si>
    <t>Dedetização</t>
  </si>
  <si>
    <t>AgkiiJUBCEu1sKZvc5zyqG</t>
  </si>
  <si>
    <t>07.01</t>
  </si>
  <si>
    <t>Descupinização - Cupim</t>
  </si>
  <si>
    <t>XJ3jPdprBLFo1nFQZierbt</t>
  </si>
  <si>
    <t>07.01.01</t>
  </si>
  <si>
    <t>Descupinização de móveis, portas e janelas</t>
  </si>
  <si>
    <t>pontual</t>
  </si>
  <si>
    <t>único ponto</t>
  </si>
  <si>
    <t>cupim</t>
  </si>
  <si>
    <t>descupinização de móveis, portas e janelas, pontual, único ponto, cupim</t>
  </si>
  <si>
    <t>SqSMYbTWbpJrWsmvJUcz8R</t>
  </si>
  <si>
    <t>Descupinização de móveis, portas e janelas, pontual, único ponto, cupim</t>
  </si>
  <si>
    <t>07.01.02</t>
  </si>
  <si>
    <t>dois ou mais pontos</t>
  </si>
  <si>
    <t>descupinização de móveis, portas e janelas, pontual, dois ou mais pontos, cupim</t>
  </si>
  <si>
    <t>LhNAcroB4Lbo5CXY8RDtqr</t>
  </si>
  <si>
    <t>Descupinização de móveis, portas e janelas, pontual, dois ou mais pontos, cupim</t>
  </si>
  <si>
    <t>07.01.03</t>
  </si>
  <si>
    <t>Descupinização por cômodo</t>
  </si>
  <si>
    <t>por cômodo</t>
  </si>
  <si>
    <t>descupinização por cômodo, pontual, por cômodo, cupim</t>
  </si>
  <si>
    <t>UoNHPgQppTxkopLfimwK9a</t>
  </si>
  <si>
    <t>Descupinização por cômodo, pontual, por cômodo, cupim</t>
  </si>
  <si>
    <t>07.01.04</t>
  </si>
  <si>
    <t>Descupinização do piso e rodapé</t>
  </si>
  <si>
    <t>único local</t>
  </si>
  <si>
    <t>até 70 m2</t>
  </si>
  <si>
    <t>descupinização do piso e rodapé, único local, até 70 m2, cupim</t>
  </si>
  <si>
    <t>BnjpmpFF9KNj7ZiFyHu8pr</t>
  </si>
  <si>
    <t>Descupinização do piso e rodapé, único local, até 70 m2, cupim</t>
  </si>
  <si>
    <t>07.01.05</t>
  </si>
  <si>
    <t>até 150m2</t>
  </si>
  <si>
    <t>descupinização do piso e rodapé, único local, até 150m2, cupim</t>
  </si>
  <si>
    <t>HxoC34WqbsJFoo2fkfAwsz</t>
  </si>
  <si>
    <t>Descupinização do piso e rodapé, único local, até 150m2, cupim</t>
  </si>
  <si>
    <t>07.01.06</t>
  </si>
  <si>
    <t>Descupinização do forro e rodateto</t>
  </si>
  <si>
    <t>descupinização do forro e rodateto, único local, até 70 m2, cupim</t>
  </si>
  <si>
    <t>QDb92VmVrNA1Fu5KZ5ynYs</t>
  </si>
  <si>
    <t>Descupinização do forro e rodateto, único local, até 70 m2, cupim</t>
  </si>
  <si>
    <t>07.01.07</t>
  </si>
  <si>
    <t>descupinização do forro e rodateto, único local, até 150m2, cupim</t>
  </si>
  <si>
    <t>EmozfKPkoKofNrWNu9M1vS</t>
  </si>
  <si>
    <t>Descupinização do forro e rodateto, único local, até 150m2, cupim</t>
  </si>
  <si>
    <t>07.01.08</t>
  </si>
  <si>
    <t>Descupinização do imóvel</t>
  </si>
  <si>
    <t>geral</t>
  </si>
  <si>
    <t xml:space="preserve"> até 70 m2</t>
  </si>
  <si>
    <t>acesso fácil</t>
  </si>
  <si>
    <t>descupinização do imóvel, geral,  até 70 m2, acesso fácil, cupim</t>
  </si>
  <si>
    <t>4fpbnSNuQ1bhQHtLe7Svxa</t>
  </si>
  <si>
    <t>Descupinização do imóvel, geral,  até 70 m2, acesso fácil, cupim</t>
  </si>
  <si>
    <t>07.01.09</t>
  </si>
  <si>
    <t>descupinização do imóvel, geral, até 150m2, acesso fácil, cupim</t>
  </si>
  <si>
    <t>N11KfoAeJWavqDG2RMTiuh</t>
  </si>
  <si>
    <t>Descupinização do imóvel, geral, até 150m2, acesso fácil, cupim</t>
  </si>
  <si>
    <t>07.01.10</t>
  </si>
  <si>
    <t>acesso difícil</t>
  </si>
  <si>
    <t>descupinização do imóvel, geral,  até 70 m2, acesso difícil, cupim</t>
  </si>
  <si>
    <t>KMSLRzJbSD1XXAY9SgzjoN</t>
  </si>
  <si>
    <t>Descupinização do imóvel, geral,  até 70 m2, acesso difícil, cupim</t>
  </si>
  <si>
    <t>07.01.11</t>
  </si>
  <si>
    <t>descupinização do imóvel, geral, até 150m2, acesso difícil, cupim</t>
  </si>
  <si>
    <t>Q4MNMy9SGqcuTk6U2BKGht</t>
  </si>
  <si>
    <t>Descupinização do imóvel, geral, até 150m2, acesso difícil, cupim</t>
  </si>
  <si>
    <t>07.02</t>
  </si>
  <si>
    <t>Dedetização - Insetos</t>
  </si>
  <si>
    <t>TTV8LZgMPmHFYUtKYhmCXH</t>
  </si>
  <si>
    <t>07.02.01</t>
  </si>
  <si>
    <t>Dedetização de insetos: traça, barata, formiga, marimbondo, aranha, pulga e carrapato</t>
  </si>
  <si>
    <t>dedetização de insetos: traça, barata, formiga, marimbondo, aranha, pulga e carrapato, geral, padrão simples</t>
  </si>
  <si>
    <t>9MhKjgU1kCW6ADxM9Sjekh</t>
  </si>
  <si>
    <t>Dedetização de insetos: traça, barata, formiga, marimbondo, aranha, pulga e carrapato, geral, padrão simples</t>
  </si>
  <si>
    <t>07.02.02</t>
  </si>
  <si>
    <t>moderado</t>
  </si>
  <si>
    <t>dedetização de insetos: traça, barata, formiga, marimbondo, aranha, pulga e carrapato, geral, moderado</t>
  </si>
  <si>
    <t>M6tYJSr6fAG5oUDabAiBLH</t>
  </si>
  <si>
    <t>Dedetização de insetos: traça, barata, formiga, marimbondo, aranha, pulga e carrapato, geral, moderado</t>
  </si>
  <si>
    <t>07.02.03</t>
  </si>
  <si>
    <t>dedetização de insetos: traça, barata, formiga, marimbondo, aranha, pulga e carrapato, geral, complexo</t>
  </si>
  <si>
    <t>Nhfr2tj4mYsk6J6RzzsWhG</t>
  </si>
  <si>
    <t>Dedetização de insetos: traça, barata, formiga, marimbondo, aranha, pulga e carrapato, geral, complexo</t>
  </si>
  <si>
    <t>07.03</t>
  </si>
  <si>
    <t>Desalojamento - Morcego, Pombo, Gambá</t>
  </si>
  <si>
    <t>3ct7397zwDrXAFGW6AGc6u</t>
  </si>
  <si>
    <t>07.03.01</t>
  </si>
  <si>
    <t>Desalojamento - limpeza do forro</t>
  </si>
  <si>
    <t>laje</t>
  </si>
  <si>
    <t>morcego, pombo, gambá</t>
  </si>
  <si>
    <t>desalojamento - limpeza do forro, geral, laje, morcego, pombo, gambá</t>
  </si>
  <si>
    <t>LZrEWWWrMipBAEnYrBWfcB</t>
  </si>
  <si>
    <t>Desalojamento - limpeza do forro, geral, laje, morcego, pombo, gambá</t>
  </si>
  <si>
    <t>07.03.02</t>
  </si>
  <si>
    <t>forro de madeira / pvc</t>
  </si>
  <si>
    <t>desalojamento - limpeza do forro, geral, forro de madeira / pvc, morcego, pombo, gambá</t>
  </si>
  <si>
    <t>VrraKT1v7rYzrDDQjV39Pa</t>
  </si>
  <si>
    <t>Desalojamento - limpeza do forro, geral, forro de madeira / pvc, morcego, pombo, gambá</t>
  </si>
  <si>
    <t>07.03.03</t>
  </si>
  <si>
    <t>Desalojamento - aplicação de repelente e dedetização</t>
  </si>
  <si>
    <t>desalojamento - aplicação de repelente e dedetização, geral, acesso fácil, morcego, pombo, gambá</t>
  </si>
  <si>
    <t>UxdhpSHZnjufhEqREpmrCd</t>
  </si>
  <si>
    <t>Desalojamento - aplicação de repelente e dedetização, geral, acesso fácil, morcego, pombo, gambá</t>
  </si>
  <si>
    <t>07.03.04</t>
  </si>
  <si>
    <t>desalojamento - aplicação de repelente e dedetização, geral, acesso difícil, morcego, pombo, gambá</t>
  </si>
  <si>
    <t>FsyLmcs7AFzah9yVGeFzeD</t>
  </si>
  <si>
    <t>Desalojamento - aplicação de repelente e dedetização, geral, acesso difícil, morcego, pombo, gambá</t>
  </si>
  <si>
    <t>07.03.05</t>
  </si>
  <si>
    <t>Instalação de passarinheira</t>
  </si>
  <si>
    <t>universal</t>
  </si>
  <si>
    <t>até 5m</t>
  </si>
  <si>
    <t>instalação de passarinheira, universal, morcego, pombo, gambá, até 5m</t>
  </si>
  <si>
    <t>https://www.leroymerlin.com.br/passarinheira-plastica--50cm-x-9,5cm-cinza-25-unidades_1569720362</t>
  </si>
  <si>
    <t>U9MpQNv8TEJz2Fre1iXEdf</t>
  </si>
  <si>
    <t>Instalação de passarinheira, universal, morcego, pombo, gambá, até 5m</t>
  </si>
  <si>
    <t>07.03.06</t>
  </si>
  <si>
    <t>Instalação de tela para fechamento</t>
  </si>
  <si>
    <t>até 5m2</t>
  </si>
  <si>
    <t>instalação de tela para fechamento, universal, morcego, pombo, gambá, até 5m2</t>
  </si>
  <si>
    <t>DTujzwQskWkNzbRP8bJoEA</t>
  </si>
  <si>
    <t>Instalação de tela para fechamento, universal, morcego, pombo, gambá, até 5m2</t>
  </si>
  <si>
    <t>07.09</t>
  </si>
  <si>
    <t>Desratização - Rato</t>
  </si>
  <si>
    <t>GbkptQAk4qPqDgsCYrU792</t>
  </si>
  <si>
    <t>07.09.01</t>
  </si>
  <si>
    <t>Desratização - colocação da caixa de desratização</t>
  </si>
  <si>
    <t>caixa única</t>
  </si>
  <si>
    <t>única aparição</t>
  </si>
  <si>
    <t>rato</t>
  </si>
  <si>
    <t>desratização - colocação da caixa de desratização, pontual, caixa única, única aparição, rato</t>
  </si>
  <si>
    <t>2wZbKkqQ5WzJDcmXrY2s4S</t>
  </si>
  <si>
    <t>Desratização - colocação da caixa de desratização, pontual, caixa única, única aparição, rato</t>
  </si>
  <si>
    <t>07.09.02</t>
  </si>
  <si>
    <t>caixas multiplas</t>
  </si>
  <si>
    <t>detecção de colônia</t>
  </si>
  <si>
    <t>desratização - colocação da caixa de desratização, pontual, caixas multiplas, detecção de colônia, rato</t>
  </si>
  <si>
    <t>NE73k4iPaNuxDYSVzZkXps</t>
  </si>
  <si>
    <t>Desratização - colocação da caixa de desratização, pontual, caixas multiplas, detecção de colônia, rato</t>
  </si>
  <si>
    <t>07.10</t>
  </si>
  <si>
    <t>Extermínio - Escorpião</t>
  </si>
  <si>
    <t>Xd4GVskjabbnBVNVFkpb2i</t>
  </si>
  <si>
    <t>07.10.01</t>
  </si>
  <si>
    <t>Extermínio de escorpiões e dedetização do imóvel</t>
  </si>
  <si>
    <t>localização da colônia e dedetização</t>
  </si>
  <si>
    <t>escorpião</t>
  </si>
  <si>
    <t>extermínio de escorpiões e dedetização do imóvel, pontual, até 70 m2, localização da colônia e dedetização, escorpião</t>
  </si>
  <si>
    <t>BhHJqrF1sUtzLoDDewF3na</t>
  </si>
  <si>
    <t>Extermínio de escorpiões e dedetização do imóvel, pontual, até 70 m2, localização da colônia e dedetização, escorpião</t>
  </si>
  <si>
    <t>07.10.02</t>
  </si>
  <si>
    <t>a partir de 70m2</t>
  </si>
  <si>
    <t>extermínio de escorpiões e dedetização do imóvel, pontual, a partir de 70m2, localização da colônia e dedetização, escorpião</t>
  </si>
  <si>
    <t>E8UktuWi1KmbYT7fuoCm55</t>
  </si>
  <si>
    <t>Extermínio de escorpiões e dedetização do imóvel, pontual, a partir de 70m2, localização da colônia e dedetização, escorpião</t>
  </si>
  <si>
    <t>07.10.03</t>
  </si>
  <si>
    <t>Extermínio de caramujos e dedetização do imóvel</t>
  </si>
  <si>
    <t>remoção manual e dedetização</t>
  </si>
  <si>
    <t>extermínio de caramujos e dedetização do imóvel, pontual, remoção manual e dedetização, escorpião</t>
  </si>
  <si>
    <t>5VsiWJmKG8xRMjoeRQumN4</t>
  </si>
  <si>
    <t>Extermínio de caramujos e dedetização do imóvel, pontual, remoção manual e dedetização, escorpião</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</si>
  <si>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</si>
  <si>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</si>
  <si>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</si>
  <si>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</si>
  <si>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10</t>
  </si>
  <si>
    <t>Infiltração</t>
  </si>
  <si>
    <t>NrEsW5Nni73QQqCCTvR2wi</t>
  </si>
  <si>
    <t>10.01</t>
  </si>
  <si>
    <t>Infiltração Entre Andares</t>
  </si>
  <si>
    <t>DVpzt33QFzrG4tRhpZ2Hbq</t>
  </si>
  <si>
    <t>10.01.01</t>
  </si>
  <si>
    <t>Refazer piso, parede área molhada, impermeabilização e  troca da tubulação de ralo</t>
  </si>
  <si>
    <t>cerâmico</t>
  </si>
  <si>
    <t>refazer piso, parede área molhada, impermeabilização e  troca da tubulação de ralo, banheiro, cerâmico</t>
  </si>
  <si>
    <t>MVzkWMeTM8xWQYZWNQMxRb</t>
  </si>
  <si>
    <t>Refazer piso, parede área molhada, impermeabilização e  troca da tubulação de ralo, banheiro, cerâmico</t>
  </si>
  <si>
    <t>10.01.02</t>
  </si>
  <si>
    <t>porcelanato</t>
  </si>
  <si>
    <t>refazer piso, parede área molhada, impermeabilização e  troca da tubulação de ralo, banheiro, porcelanato</t>
  </si>
  <si>
    <t>UQwuPr24EDcepXz2QcAqta</t>
  </si>
  <si>
    <t>Refazer piso, parede área molhada, impermeabilização e  troca da tubulação de ralo, banheiro, porcelanato</t>
  </si>
  <si>
    <t>10.01.03</t>
  </si>
  <si>
    <t>Refazer piso área molhada, impermeabilização e  troca da tubulação de ralo</t>
  </si>
  <si>
    <t>sacada ou lavanderia</t>
  </si>
  <si>
    <t>até 6.00 m2</t>
  </si>
  <si>
    <t>refazer piso área molhada, impermeabilização e  troca da tubulação de ralo, sacada ou lavanderia, cerâmico, até 6.00 m2</t>
  </si>
  <si>
    <t>7QesiNrWCAcB31jSawZxN6</t>
  </si>
  <si>
    <t>Refazer piso área molhada, impermeabilização e  troca da tubulação de ralo, sacada ou lavanderia, cerâmico, até 6.00 m2</t>
  </si>
  <si>
    <t>10.01.04</t>
  </si>
  <si>
    <t>de 6.00 a 12.00 m2</t>
  </si>
  <si>
    <t>refazer piso área molhada, impermeabilização e  troca da tubulação de ralo, sacada ou lavanderia, cerâmico, de 6.00 a 12.00 m2</t>
  </si>
  <si>
    <t>8JnYmyW17GTovqtfustPFA</t>
  </si>
  <si>
    <t>Refazer piso área molhada, impermeabilização e  troca da tubulação de ralo, sacada ou lavanderia, cerâmico, de 6.00 a 12.00 m2</t>
  </si>
  <si>
    <t>10.01.05</t>
  </si>
  <si>
    <t>refazer piso área molhada, impermeabilização e  troca da tubulação de ralo, sacada ou lavanderia, porcelanato, até 6.00 m2</t>
  </si>
  <si>
    <t>NKkMUFE4DKw2F46wMPTnFj</t>
  </si>
  <si>
    <t>Refazer piso área molhada, impermeabilização e  troca da tubulação de ralo, sacada ou lavanderia, porcelanato, até 6.00 m2</t>
  </si>
  <si>
    <t>10.01.06</t>
  </si>
  <si>
    <t>refazer piso área molhada, impermeabilização e  troca da tubulação de ralo, sacada ou lavanderia, porcelanato, de 6.00 a 12.00 m2</t>
  </si>
  <si>
    <t>A6bBfjDKnLzrT1t1vUKTbZ</t>
  </si>
  <si>
    <t>Refazer piso área molhada, impermeabilização e  troca da tubulação de ralo, sacada ou lavanderia, porcelanato, de 6.00 a 12.00 m2</t>
  </si>
  <si>
    <t>10.01.07</t>
  </si>
  <si>
    <t xml:space="preserve">Refazer piso e parede área molhada </t>
  </si>
  <si>
    <t>refazer piso e parede área molhada , banheiro, cerâmico</t>
  </si>
  <si>
    <t>BWiavCMD8iDBcY3NaVyM7d</t>
  </si>
  <si>
    <t>Refazer piso e parede área molhada , banheiro, cerâmico</t>
  </si>
  <si>
    <t>10.01.08</t>
  </si>
  <si>
    <t>refazer piso e parede área molhada , banheiro, porcelanato</t>
  </si>
  <si>
    <t>PEL9pqTLaG1NYjy6FdcM7x</t>
  </si>
  <si>
    <t>Refazer piso e parede área molhada , banheiro, porcelanato</t>
  </si>
  <si>
    <t>10.01.09</t>
  </si>
  <si>
    <t xml:space="preserve">Refazer piso área molhada </t>
  </si>
  <si>
    <t>refazer piso área molhada , sacada ou lavanderia, cerâmico, até 6.00 m2</t>
  </si>
  <si>
    <t>Y9XX79MtK5DQdSb5tyS2E4</t>
  </si>
  <si>
    <t>Refazer piso área molhada , sacada ou lavanderia, cerâmico, até 6.00 m2</t>
  </si>
  <si>
    <t>10.01.10</t>
  </si>
  <si>
    <t>refazer piso área molhada , sacada ou lavanderia, cerâmico, de 6.00 a 12.00 m2</t>
  </si>
  <si>
    <t>HtKkhpsnV7ThPnkQPaazSF</t>
  </si>
  <si>
    <t>Refazer piso área molhada , sacada ou lavanderia, cerâmico, de 6.00 a 12.00 m2</t>
  </si>
  <si>
    <t>10.01.11</t>
  </si>
  <si>
    <t>refazer piso área molhada , sacada ou lavanderia, porcelanato, até 6.00 m2</t>
  </si>
  <si>
    <t>MkSiRPERqnqCf8QjtXok8P</t>
  </si>
  <si>
    <t>Refazer piso área molhada , sacada ou lavanderia, porcelanato, até 6.00 m2</t>
  </si>
  <si>
    <t>10.01.12</t>
  </si>
  <si>
    <t>refazer piso área molhada , sacada ou lavanderia, porcelanato, de 6.00 a 12.00 m2</t>
  </si>
  <si>
    <t>6UH55DWEUmzERLZwwKoGYR</t>
  </si>
  <si>
    <t>Refazer piso área molhada , sacada ou lavanderia, porcelanato, de 6.00 a 12.00 m2</t>
  </si>
  <si>
    <t>10.01.13</t>
  </si>
  <si>
    <t>Refazer piso de área molhada e impermeabilização</t>
  </si>
  <si>
    <t>refazer piso de área molhada e impermeabilização, banheiro, cerâmico</t>
  </si>
  <si>
    <t>BSFTpRWtCdX2B2XcfWcrbe</t>
  </si>
  <si>
    <t>Refazer piso de área molhada e impermeabilização, banheiro, cerâmico</t>
  </si>
  <si>
    <t>10.01.14</t>
  </si>
  <si>
    <t>refazer piso de área molhada e impermeabilização, banheiro, porcelanato</t>
  </si>
  <si>
    <t>Qk161PE8b6nB5s68wAK22s</t>
  </si>
  <si>
    <t>Refazer piso de área molhada e impermeabilização, banheiro, porcelanato</t>
  </si>
  <si>
    <t>10.01.15</t>
  </si>
  <si>
    <t>refazer piso de área molhada e impermeabilização, sacada ou lavanderia, cerâmico, até 6.00 m2</t>
  </si>
  <si>
    <t>QGVMmaGTmSn7WkdUiPzDSf</t>
  </si>
  <si>
    <t>Refazer piso de área molhada e impermeabilização, sacada ou lavanderia, cerâmico, até 6.00 m2</t>
  </si>
  <si>
    <t>10.01.16</t>
  </si>
  <si>
    <t>refazer piso de área molhada e impermeabilização, sacada ou lavanderia, cerâmico, de 6.00 a 12.00 m2</t>
  </si>
  <si>
    <t>KDyf13xYBHe6w2czf9UnKn</t>
  </si>
  <si>
    <t>Refazer piso de área molhada e impermeabilização, sacada ou lavanderia, cerâmico, de 6.00 a 12.00 m2</t>
  </si>
  <si>
    <t>10.01.17</t>
  </si>
  <si>
    <t>refazer piso de área molhada e impermeabilização, sacada ou lavanderia, porcelanato, até 6.00 m2</t>
  </si>
  <si>
    <t>3uxk2uTFvQtTw9od498Mm1</t>
  </si>
  <si>
    <t>Refazer piso de área molhada e impermeabilização, sacada ou lavanderia, porcelanato, até 6.00 m2</t>
  </si>
  <si>
    <t>10.01.18</t>
  </si>
  <si>
    <t>refazer piso de área molhada e impermeabilização, sacada ou lavanderia, porcelanato, de 6.00 a 12.00 m2</t>
  </si>
  <si>
    <t>JkJk9EwLJvtAMngbX9iRqu</t>
  </si>
  <si>
    <t>Refazer piso de área molhada e impermeabilização, sacada ou lavanderia, porcelanato, de 6.00 a 12.00 m2</t>
  </si>
  <si>
    <t>10.01.19</t>
  </si>
  <si>
    <t>Impermeabilizar o ralo</t>
  </si>
  <si>
    <t>impermeabilizar o ralo</t>
  </si>
  <si>
    <t>L9KN4iSEVWPAnapDN84Ser</t>
  </si>
  <si>
    <t>10.01.20</t>
  </si>
  <si>
    <t>Limpeza do ralo</t>
  </si>
  <si>
    <t>limpeza do ralo</t>
  </si>
  <si>
    <t>RWcuVKTMgVz25UCSC7BFUu</t>
  </si>
  <si>
    <t>10.01.21</t>
  </si>
  <si>
    <t xml:space="preserve">Troca da caixa sifonada e prolongador do ralo e restauração do teto inferior </t>
  </si>
  <si>
    <t>gesso</t>
  </si>
  <si>
    <t>troca da caixa sifonada e prolongador do ralo e restauração do teto inferior , gesso, fácil acesso</t>
  </si>
  <si>
    <t>UNxCVzPTnt1xBF2xKNS4qn</t>
  </si>
  <si>
    <t>Troca da caixa sifonada e prolongador do ralo e restauração do teto inferior , gesso, fácil acesso</t>
  </si>
  <si>
    <t>10.01.22</t>
  </si>
  <si>
    <t>troca da caixa sifonada e prolongador do ralo e restauração do teto inferior , gesso, dificil acesso</t>
  </si>
  <si>
    <t>Q2fVSU9nLzcu6avfYYFMru</t>
  </si>
  <si>
    <t>Troca da caixa sifonada e prolongador do ralo e restauração do teto inferior , gesso, dificil acesso</t>
  </si>
  <si>
    <t>10.01.23</t>
  </si>
  <si>
    <t>troca</t>
  </si>
  <si>
    <t>troca da caixa sifonada e prolongador do ralo e restauração do teto inferior , madeira, troca</t>
  </si>
  <si>
    <t>UqnKRwrjmPJj4Z4HvNVUh4</t>
  </si>
  <si>
    <t>Troca da caixa sifonada e prolongador do ralo e restauração do teto inferior , madeira, troca</t>
  </si>
  <si>
    <t>10.01.24</t>
  </si>
  <si>
    <t>sem troca</t>
  </si>
  <si>
    <t>troca da caixa sifonada e prolongador do ralo e restauração do teto inferior , madeira, sem troca</t>
  </si>
  <si>
    <t>58ELe4rpSLZfcueYM7An8C</t>
  </si>
  <si>
    <t>Troca da caixa sifonada e prolongador do ralo e restauração do teto inferior , madeira, sem troca</t>
  </si>
  <si>
    <t>10.01.25</t>
  </si>
  <si>
    <t>Troca da caixa sifonada e prolongador do ralo e restauração do teto inferior</t>
  </si>
  <si>
    <t>troca da caixa sifonada e prolongador do ralo e restauração do teto inferior, pvc, troca</t>
  </si>
  <si>
    <t>8d5NBE9izGYhKqQnCL9Krd</t>
  </si>
  <si>
    <t>Troca da caixa sifonada e prolongador do ralo e restauração do teto inferior, pvc, troca</t>
  </si>
  <si>
    <t>10.01.26</t>
  </si>
  <si>
    <t>troca da caixa sifonada e prolongador do ralo e restauração do teto inferior, pvc, sem troca</t>
  </si>
  <si>
    <t>P5FeXcuPn9VC5W8xVJnafL</t>
  </si>
  <si>
    <t>Troca da caixa sifonada e prolongador do ralo e restauração do teto inferior, pvc, sem troca</t>
  </si>
  <si>
    <t>10.01.27</t>
  </si>
  <si>
    <t>Troca da caixa sifonada e prolongador do ralo</t>
  </si>
  <si>
    <t>troca da caixa sifonada e prolongador do ralo</t>
  </si>
  <si>
    <t>Nr8ZpnRWWYf2FmrfuR4J4g</t>
  </si>
  <si>
    <t>10.01.28</t>
  </si>
  <si>
    <t>Restauração e pintura da parede com infiltração</t>
  </si>
  <si>
    <t>liso</t>
  </si>
  <si>
    <t>restauração e pintura da parede com infiltração, liso</t>
  </si>
  <si>
    <t>Pintura</t>
  </si>
  <si>
    <t>28zCTmAL6GFcZsMpPoiSjp</t>
  </si>
  <si>
    <t>Restauração e pintura da parede com infiltração, liso</t>
  </si>
  <si>
    <t>10.01.29</t>
  </si>
  <si>
    <t>textura</t>
  </si>
  <si>
    <t>restauração e pintura da parede com infiltração, textura</t>
  </si>
  <si>
    <t>HbCBZ9CXBQYBpxPxn8TGif</t>
  </si>
  <si>
    <t>Restauração e pintura da parede com infiltração, textura</t>
  </si>
  <si>
    <t>10.01.30</t>
  </si>
  <si>
    <t>Restauração, impermeabilização e pintura da parede com infiltração</t>
  </si>
  <si>
    <t>restauração, impermeabilização e pintura da parede com infiltração, liso</t>
  </si>
  <si>
    <t>SxLS5njge6HsuxS7KJo9w5</t>
  </si>
  <si>
    <t>Restauração, impermeabilização e pintura da parede com infiltração, liso</t>
  </si>
  <si>
    <t>10.01.31</t>
  </si>
  <si>
    <t>restauração, impermeabilização e pintura da parede com infiltração, textura</t>
  </si>
  <si>
    <t>VpUuxtMq9NR5h7xeGiV4ZB</t>
  </si>
  <si>
    <t>Restauração, impermeabilização e pintura da parede com infiltração, textura</t>
  </si>
  <si>
    <t>10.01.32</t>
  </si>
  <si>
    <t>Restaurar gesso</t>
  </si>
  <si>
    <t>convecional</t>
  </si>
  <si>
    <t>restaurar gesso, teto, convecional</t>
  </si>
  <si>
    <t>Gesso</t>
  </si>
  <si>
    <t>KKNV1GcC1Szj51jDZzNQyw</t>
  </si>
  <si>
    <t>Restaurar gesso, teto, convecional</t>
  </si>
  <si>
    <t>10.01.33</t>
  </si>
  <si>
    <t>parede</t>
  </si>
  <si>
    <t>acartonado</t>
  </si>
  <si>
    <t>restaurar gesso, parede, acartonado</t>
  </si>
  <si>
    <t>N6RaYbHrPKCJmAg7TqG152</t>
  </si>
  <si>
    <t>Restaurar gesso, parede, acartonado</t>
  </si>
  <si>
    <t>10.01.34</t>
  </si>
  <si>
    <t>Reforma em gesso com pintura</t>
  </si>
  <si>
    <t>com placa 60x60 cm</t>
  </si>
  <si>
    <t>até 4.00 m2</t>
  </si>
  <si>
    <t>incluso rodateto</t>
  </si>
  <si>
    <t>reforma em gesso com pintura, teto, convecional, com placa 60x60 cm, até 4.00 m2, incluso rodateto</t>
  </si>
  <si>
    <t>PhGb9ZfoVvJwxtubCw67D1</t>
  </si>
  <si>
    <t>Reforma em gesso com pintura, teto, convecional, com placa 60x60 cm, até 4.00 m2, incluso rodateto</t>
  </si>
  <si>
    <t>10.01.35</t>
  </si>
  <si>
    <t>até 8.00 m2</t>
  </si>
  <si>
    <t>reforma em gesso com pintura, teto, convecional, com placa 60x60 cm, até 8.00 m2, incluso rodateto</t>
  </si>
  <si>
    <t>Reforma em gesso com pintura, teto, convecional, com placa 60x60 cm, até 8.00 m2, incluso rodateto</t>
  </si>
  <si>
    <t>10.01.36</t>
  </si>
  <si>
    <t xml:space="preserve">parede ou teto </t>
  </si>
  <si>
    <t>reforma em gesso com pintura, parede ou teto , acartonado</t>
  </si>
  <si>
    <t>SW39rA3n8XraFHDeGcBmHN</t>
  </si>
  <si>
    <t>Reforma em gesso com pintura, parede ou teto , acartonado</t>
  </si>
  <si>
    <t>10.01.37</t>
  </si>
  <si>
    <t>Reforma em gesso rodateto com pintura</t>
  </si>
  <si>
    <t>peça 8x200 cm</t>
  </si>
  <si>
    <t>até 4.00 m</t>
  </si>
  <si>
    <t>reforma em gesso rodateto com pintura, teto, convecional, peça 8x200 cm, até 4.00 m</t>
  </si>
  <si>
    <t>X6QECZy7U7vtyptwWj12pd</t>
  </si>
  <si>
    <t>Reforma em gesso rodateto com pintura, teto, convecional, peça 8x200 cm, até 4.00 m</t>
  </si>
  <si>
    <t>10.01.38</t>
  </si>
  <si>
    <t>até 8.00 m</t>
  </si>
  <si>
    <t>reforma em gesso rodateto com pintura, teto, convecional, peça 8x200 cm, até 8.00 m</t>
  </si>
  <si>
    <t>Reforma em gesso rodateto com pintura, teto, convecional, peça 8x200 cm, até 8.00 m</t>
  </si>
  <si>
    <t>10.01.39</t>
  </si>
  <si>
    <t>Restaurar forro pvc</t>
  </si>
  <si>
    <t>restaurar forro pvc, teto, liso, até 4.00 m2</t>
  </si>
  <si>
    <t>YJk7NmCsUJt7Nu1cJgynpb</t>
  </si>
  <si>
    <t>Restaurar forro pvc, teto, liso, até 4.00 m2</t>
  </si>
  <si>
    <t>10.01.40</t>
  </si>
  <si>
    <t>entre 4.00 e 12.00 m2</t>
  </si>
  <si>
    <t>restaurar forro pvc, teto, liso, entre 4.00 e 12.00 m2</t>
  </si>
  <si>
    <t>B4UNcGJRFeuaoSRcohvHRo</t>
  </si>
  <si>
    <t>Restaurar forro pvc, teto, liso, entre 4.00 e 12.00 m2</t>
  </si>
  <si>
    <t>10.01.41</t>
  </si>
  <si>
    <t>a partir de12 m2</t>
  </si>
  <si>
    <t>restaurar forro pvc, teto, liso, a partir de12 m2</t>
  </si>
  <si>
    <t>52FzcaW4fW3YghWjGRgXjZ</t>
  </si>
  <si>
    <t>Restaurar forro pvc, teto, liso, a partir de12 m2</t>
  </si>
  <si>
    <t>10.01.42</t>
  </si>
  <si>
    <t>frisado</t>
  </si>
  <si>
    <t>restaurar forro pvc, teto, frisado, até 4.00 m2</t>
  </si>
  <si>
    <t>U96Mg622dpoSsnCn6oc5Ls</t>
  </si>
  <si>
    <t>Restaurar forro pvc, teto, frisado, até 4.00 m2</t>
  </si>
  <si>
    <t>10.01.43</t>
  </si>
  <si>
    <t>restaurar forro pvc, teto, frisado, entre 4.00 e 12.00 m2</t>
  </si>
  <si>
    <t>Bzuj1pL6ZXcUm5rBMYUpuy</t>
  </si>
  <si>
    <t>Restaurar forro pvc, teto, frisado, entre 4.00 e 12.00 m2</t>
  </si>
  <si>
    <t>10.01.44</t>
  </si>
  <si>
    <t>restaurar forro pvc, teto, frisado, a partir de12 m2</t>
  </si>
  <si>
    <t>AaSNj4X3gunprtZk9N8rwA</t>
  </si>
  <si>
    <t>Restaurar forro pvc, teto, frisado, a partir de12 m2</t>
  </si>
  <si>
    <t>10.01.45</t>
  </si>
  <si>
    <t xml:space="preserve">Troca completa do registro interno </t>
  </si>
  <si>
    <t>azulejo</t>
  </si>
  <si>
    <t>sem azulejo fornecido pelo cliente</t>
  </si>
  <si>
    <t>até 04 unidades</t>
  </si>
  <si>
    <t>troca completa do registro interno , azulejo, sem azulejo fornecido pelo cliente, até 04 unidades</t>
  </si>
  <si>
    <t>9cjXpAAGpga4BCcxN7wEgB</t>
  </si>
  <si>
    <t>Troca completa do registro interno , azulejo, sem azulejo fornecido pelo cliente, até 04 unidades</t>
  </si>
  <si>
    <t>10.01.46</t>
  </si>
  <si>
    <t>Troca completa do registro interno</t>
  </si>
  <si>
    <t>com azulejo fornecido pelo cliente</t>
  </si>
  <si>
    <t>troca completa do registro interno, azulejo, com azulejo fornecido pelo cliente, até 04 unidades</t>
  </si>
  <si>
    <t>VdS8HYyqjWYrgTqAz4TZNs</t>
  </si>
  <si>
    <t>Troca completa do registro interno, azulejo, com azulejo fornecido pelo cliente, até 04 unidades</t>
  </si>
  <si>
    <t>10.01.47</t>
  </si>
  <si>
    <t>Troca completa do registro interno com restauração</t>
  </si>
  <si>
    <t>alvenaria</t>
  </si>
  <si>
    <t>troca completa do registro interno com restauração, alvenaria</t>
  </si>
  <si>
    <t>3REXNXn9Hk9ps2bwEMbtDm</t>
  </si>
  <si>
    <t>Troca completa do registro interno com restauração, alvenaria</t>
  </si>
  <si>
    <t>10.01.48</t>
  </si>
  <si>
    <t>Troca de joelho da tubulação</t>
  </si>
  <si>
    <t>até 02 unidades</t>
  </si>
  <si>
    <t>troca de joelho da tubulação, azulejo, sem azulejo fornecido pelo cliente, até 02 unidades</t>
  </si>
  <si>
    <t>Spp6cw5RMNinuT7nMu6RkX</t>
  </si>
  <si>
    <t>Troca de joelho da tubulação, azulejo, sem azulejo fornecido pelo cliente, até 02 unidades</t>
  </si>
  <si>
    <t>10.01.49</t>
  </si>
  <si>
    <t>troca de joelho da tubulação, azulejo, com azulejo fornecido pelo cliente, até 02 unidades</t>
  </si>
  <si>
    <t>BPrVTR6CcedrHLL2mUwucf</t>
  </si>
  <si>
    <t>Troca de joelho da tubulação, azulejo, com azulejo fornecido pelo cliente, até 02 unidades</t>
  </si>
  <si>
    <t>10.01.50</t>
  </si>
  <si>
    <t>Troca de joelho da tubulação com restauração</t>
  </si>
  <si>
    <t>troca de joelho da tubulação com restauração, alvenaria</t>
  </si>
  <si>
    <t>L2zQRJCRa2YF8fwjtuPsbB</t>
  </si>
  <si>
    <t>Troca de joelho da tubulação com restauração, alvenaria</t>
  </si>
  <si>
    <t>10.01.51</t>
  </si>
  <si>
    <t>Troca da válvula completa da descarga hydra</t>
  </si>
  <si>
    <t>troca da válvula completa da descarga hydra, azulejo, sem azulejo fornecido pelo cliente, até 04 unidades</t>
  </si>
  <si>
    <t>H79ZqnDEHN8WevTXXBDfLF</t>
  </si>
  <si>
    <t>Troca da válvula completa da descarga hydra, azulejo, sem azulejo fornecido pelo cliente, até 04 unidades</t>
  </si>
  <si>
    <t>10.01.52</t>
  </si>
  <si>
    <t>troca da válvula completa da descarga hydra, azulejo, com azulejo fornecido pelo cliente, até 04 unidades</t>
  </si>
  <si>
    <t>SdFcWjqSgRoD2k6EH4CL8i</t>
  </si>
  <si>
    <t>Troca da válvula completa da descarga hydra, azulejo, com azulejo fornecido pelo cliente, até 04 unidades</t>
  </si>
  <si>
    <t>10.01.53</t>
  </si>
  <si>
    <t>troca da válvula completa da descarga hydra, alvenaria</t>
  </si>
  <si>
    <t>MypexnmKD7JsK3RTuh7Z3K</t>
  </si>
  <si>
    <t>Troca da válvula completa da descarga hydra, alvenaria</t>
  </si>
  <si>
    <t>10.01.54</t>
  </si>
  <si>
    <t>Troca da tubulação do vaso sanitário - hydra</t>
  </si>
  <si>
    <t>até 08 unidades</t>
  </si>
  <si>
    <t>troca da tubulação do vaso sanitário - hydra, azulejo, sem azulejo fornecido pelo cliente, até 08 unidades</t>
  </si>
  <si>
    <t>AkcKwHi8GmworSk2V82EoY</t>
  </si>
  <si>
    <t>Troca da tubulação do vaso sanitário - hydra, azulejo, sem azulejo fornecido pelo cliente, até 08 unidades</t>
  </si>
  <si>
    <t>10.01.55</t>
  </si>
  <si>
    <t>até 087 unidades</t>
  </si>
  <si>
    <t>troca da tubulação do vaso sanitário - hydra, azulejo, com azulejo fornecido pelo cliente, até 087 unidades</t>
  </si>
  <si>
    <t>HSiY6s3Zzpb1sqmVy5DbjB</t>
  </si>
  <si>
    <t>Troca da tubulação do vaso sanitário - hydra, azulejo, com azulejo fornecido pelo cliente, até 087 unidades</t>
  </si>
  <si>
    <t>10.01.56</t>
  </si>
  <si>
    <t>Aplicação de pu ou silicone na janela</t>
  </si>
  <si>
    <t>aplicação de pu ou silicone na janela</t>
  </si>
  <si>
    <t>8eDqCph26j1AgjCULhUETT</t>
  </si>
  <si>
    <t>10.01.57</t>
  </si>
  <si>
    <t>Aplicação de pu ou silicone no vão do ar condicionado</t>
  </si>
  <si>
    <t>aplicação de pu ou silicone no vão do ar condicionado</t>
  </si>
  <si>
    <t>7puRo9pEkK6KS1XdXNCRQX</t>
  </si>
  <si>
    <t>10.01.58</t>
  </si>
  <si>
    <t>Troca da tampa do vão do ar condicionado</t>
  </si>
  <si>
    <t>madeira ou mdf</t>
  </si>
  <si>
    <t>troca da tampa do vão do ar condicionado, madeira ou mdf</t>
  </si>
  <si>
    <t>PyKTRbRv5wFGczZ6Z5XTBp</t>
  </si>
  <si>
    <t>Troca da tampa do vão do ar condicionado, madeira ou mdf</t>
  </si>
  <si>
    <t>10.01.59</t>
  </si>
  <si>
    <t>drywall</t>
  </si>
  <si>
    <t>com rapel</t>
  </si>
  <si>
    <t>troca da tampa do vão do ar condicionado, drywall, com rapel</t>
  </si>
  <si>
    <t>84bmR5FF16jXB2zvrLpiPg</t>
  </si>
  <si>
    <t>Troca da tampa do vão do ar condicionado, drywall, com rapel</t>
  </si>
  <si>
    <t>10.01.60</t>
  </si>
  <si>
    <t>troca da tampa do vão do ar condicionado, drywall, sem rapel</t>
  </si>
  <si>
    <t>Mb82mUCbhenEK4QmCGSU1h</t>
  </si>
  <si>
    <t>Troca da tampa do vão do ar condicionado, drywall, sem rapel</t>
  </si>
  <si>
    <t>10.01.61</t>
  </si>
  <si>
    <t>Fechamento da alvenaria do vão do ar</t>
  </si>
  <si>
    <t>fechamento da alvenaria do vão do ar, com rapel</t>
  </si>
  <si>
    <t>Y6xrMBDu4yhyXXTaiTpwyv</t>
  </si>
  <si>
    <t>Fechamento da alvenaria do vão do ar, com rapel</t>
  </si>
  <si>
    <t>10.01.62</t>
  </si>
  <si>
    <t>fechamento da alvenaria do vão do ar, sem rapel</t>
  </si>
  <si>
    <t>BoXt3YihSP3AwRpbhJdxSb</t>
  </si>
  <si>
    <t>Fechamento da alvenaria do vão do ar, sem rapel</t>
  </si>
  <si>
    <t>11</t>
  </si>
  <si>
    <t>Revestimentos</t>
  </si>
  <si>
    <t>9UeNBGc7x3xEMQPusyRQ9S</t>
  </si>
  <si>
    <t>11.01</t>
  </si>
  <si>
    <t>Piso E Parede</t>
  </si>
  <si>
    <t>E5ioT7HKx64S7LsVtj3ow4</t>
  </si>
  <si>
    <t>11.01.01</t>
  </si>
  <si>
    <t>Retirada de revestimento cerâmico</t>
  </si>
  <si>
    <t>com descarte e limpeza</t>
  </si>
  <si>
    <t>retirada de revestimento cerâmico, com descarte e limpeza</t>
  </si>
  <si>
    <t>DQwuse9j5rV7v9AEdV9Je3</t>
  </si>
  <si>
    <t>Retirada de revestimento cerâmico, com descarte e limpeza</t>
  </si>
  <si>
    <t>11.01.02</t>
  </si>
  <si>
    <t>Refazer rejunte de piso cerâmico</t>
  </si>
  <si>
    <t xml:space="preserve">tipo flexível </t>
  </si>
  <si>
    <t>até 10.00 m2</t>
  </si>
  <si>
    <t>refazer rejunte de piso cerâmico, tipo flexível , até 10.00 m2</t>
  </si>
  <si>
    <t>https://www.leroymerlin.com.br/rejunte-flexível -votomassa-bege-1kg_1570525881</t>
  </si>
  <si>
    <t>23F4Hz9aqF1U6S12UN8zj1</t>
  </si>
  <si>
    <t>Refazer rejunte de piso cerâmico, tipo flexível , até 10.00 m2</t>
  </si>
  <si>
    <t>11.01.03</t>
  </si>
  <si>
    <t>até 15.00 m2</t>
  </si>
  <si>
    <t>refazer rejunte de piso cerâmico, tipo flexível , até 15.00 m2</t>
  </si>
  <si>
    <t>Refazer rejunte de piso cerâmico, tipo flexível , até 15.00 m2</t>
  </si>
  <si>
    <t>11.01.04</t>
  </si>
  <si>
    <t>até 20.00 m2</t>
  </si>
  <si>
    <t>refazer rejunte de piso cerâmico, tipo flexível , até 20.00 m2</t>
  </si>
  <si>
    <t>Refazer rejunte de piso cerâmico, tipo flexível , até 20.00 m2</t>
  </si>
  <si>
    <t>11.01.05</t>
  </si>
  <si>
    <t>até 25.00 m2</t>
  </si>
  <si>
    <t>refazer rejunte de piso cerâmico, tipo flexível , até 25.00 m2</t>
  </si>
  <si>
    <t>Refazer rejunte de piso cerâmico, tipo flexível , até 25.00 m2</t>
  </si>
  <si>
    <t>11.01.06</t>
  </si>
  <si>
    <t>até 30.00 m2</t>
  </si>
  <si>
    <t>refazer rejunte de piso cerâmico, tipo flexível , até 30.00 m2</t>
  </si>
  <si>
    <t>Refazer rejunte de piso cerâmico, tipo flexível , até 30.00 m2</t>
  </si>
  <si>
    <t>11.01.07</t>
  </si>
  <si>
    <t>até 35.00 m2</t>
  </si>
  <si>
    <t>refazer rejunte de piso cerâmico, tipo flexível , até 35.00 m2</t>
  </si>
  <si>
    <t>Refazer rejunte de piso cerâmico, tipo flexível , até 35.00 m2</t>
  </si>
  <si>
    <t>11.01.08</t>
  </si>
  <si>
    <t xml:space="preserve">refazer rejunte de piso cerâmico, tipo flexível </t>
  </si>
  <si>
    <t xml:space="preserve">Refazer rejunte de piso cerâmico, tipo flexível </t>
  </si>
  <si>
    <t>11.01.09</t>
  </si>
  <si>
    <t>tipo epoxi</t>
  </si>
  <si>
    <t>refazer rejunte de piso cerâmico, tipo epoxi, até 10.00 m2</t>
  </si>
  <si>
    <t>https://www.leroymerlin.com.br/rejunte-epoxi-superfacil-cinza-platina-1kg_1570940606</t>
  </si>
  <si>
    <t>Refazer rejunte de piso cerâmico, tipo epoxi, até 10.00 m2</t>
  </si>
  <si>
    <t>11.01.10</t>
  </si>
  <si>
    <t>refazer rejunte de piso cerâmico, tipo epoxi, até 20.00 m2</t>
  </si>
  <si>
    <t>Refazer rejunte de piso cerâmico, tipo epoxi, até 20.00 m2</t>
  </si>
  <si>
    <t>11.01.11</t>
  </si>
  <si>
    <t>Assentamento de revestimento cerâmico</t>
  </si>
  <si>
    <t>com nivelamento de base, aplicação de rejunte e limpeza</t>
  </si>
  <si>
    <t>assentamento de revestimento cerâmico, modelo convencional, padrão simples, com nivelamento de base, aplicação de rejunte e limpeza</t>
  </si>
  <si>
    <t>https://www.leroymerlin.com.br/piso-ceramico-interno-madeira-esmaltado-borda-arredondada-fuji-lf59019-57x57cm-lef_90022002</t>
  </si>
  <si>
    <t>UKwedMtZFfizVQeto7Wh5A</t>
  </si>
  <si>
    <t>Assentamento de revestimento cerâmico, modelo convencional, padrão simples, com nivelamento de base, aplicação de rejunte e limpeza</t>
  </si>
  <si>
    <t>11.01.12</t>
  </si>
  <si>
    <t>assentamento de revestimento cerâmico, modelo convencional, padrão normal, com nivelamento de base, aplicação de rejunte e limpeza</t>
  </si>
  <si>
    <t>https://www.leroymerlin.com.br/piso-ceramico-cimenticio-acetinado-53x53cm-interno-borda-reta-classic-city-off-white-savane_90723472</t>
  </si>
  <si>
    <t>Assentamento de revestimento cerâmico, modelo convencional, padrão normal, com nivelamento de base, aplicação de rejunte e limpeza</t>
  </si>
  <si>
    <t>11.01.13</t>
  </si>
  <si>
    <t>assentamento de revestimento cerâmico, modelo convencional, padrão premium, com nivelamento de base, aplicação de rejunte e limpeza</t>
  </si>
  <si>
    <t>https://www.leroymerlin.com.br/porcelanato-decorado-acetinado-borda-reta-interno-60x60cm-urban-vintage-biancogres_91844620</t>
  </si>
  <si>
    <t>Assentamento de revestimento cerâmico, modelo convencional, padrão premium, com nivelamento de base, aplicação de rejunte e limpeza</t>
  </si>
  <si>
    <t>11.01.14</t>
  </si>
  <si>
    <t>modelo museu similar</t>
  </si>
  <si>
    <t>assentamento de revestimento cerâmico, modelo museu similar, máximo 15x15 cm, até 02 peças</t>
  </si>
  <si>
    <t>4Geuh3McbmANv5z5BaHcn3</t>
  </si>
  <si>
    <t>Assentamento de revestimento cerâmico, modelo museu similar, máximo 15x15 cm, até 02 peças</t>
  </si>
  <si>
    <t>11.01.15</t>
  </si>
  <si>
    <t>assentamento de revestimento cerâmico, modelo museu similar, máximo 15x15 cm, até 04 peças</t>
  </si>
  <si>
    <t>Assentamento de revestimento cerâmico, modelo museu similar, máximo 15x15 cm, até 04 peças</t>
  </si>
  <si>
    <t>11.01.16</t>
  </si>
  <si>
    <t>assentamento de revestimento cerâmico, modelo museu similar, máximo 15x15 cm, até 06 peças</t>
  </si>
  <si>
    <t>Assentamento de revestimento cerâmico, modelo museu similar, máximo 15x15 cm, até 06 peças</t>
  </si>
  <si>
    <t>11.01.17</t>
  </si>
  <si>
    <t>até 08 peças</t>
  </si>
  <si>
    <t>assentamento de revestimento cerâmico, modelo museu similar, máximo 15x15 cm, até 08 peças</t>
  </si>
  <si>
    <t>Assentamento de revestimento cerâmico, modelo museu similar, máximo 15x15 cm, até 08 peças</t>
  </si>
  <si>
    <t>11.01.18</t>
  </si>
  <si>
    <t>assentamento de revestimento cerâmico, modelo museu similar, máximo 15x15 cm, até 10 peças</t>
  </si>
  <si>
    <t>Assentamento de revestimento cerâmico, modelo museu similar, máximo 15x15 cm, até 10 peças</t>
  </si>
  <si>
    <t>11.01.19</t>
  </si>
  <si>
    <t>assentamento de revestimento cerâmico, modelo museu similar, máximo 30x30 cm, até 02 peças</t>
  </si>
  <si>
    <t>D8Kju54gMXDfnoUVsfVTjU</t>
  </si>
  <si>
    <t>Assentamento de revestimento cerâmico, modelo museu similar, máximo 30x30 cm, até 02 peças</t>
  </si>
  <si>
    <t>11.01.20</t>
  </si>
  <si>
    <t>assentamento de revestimento cerâmico, modelo museu similar, máximo 30x30 cm, até 04 peças</t>
  </si>
  <si>
    <t>Assentamento de revestimento cerâmico, modelo museu similar, máximo 30x30 cm, até 04 peças</t>
  </si>
  <si>
    <t>11.01.21</t>
  </si>
  <si>
    <t>assentamento de revestimento cerâmico, modelo museu similar, máximo 30x30 cm, até 06 peças</t>
  </si>
  <si>
    <t>Assentamento de revestimento cerâmico, modelo museu similar, máximo 30x30 cm, até 06 peças</t>
  </si>
  <si>
    <t>11.01.22</t>
  </si>
  <si>
    <t>assentamento de revestimento cerâmico, modelo museu similar, máximo 30x30 cm, até 08 peças</t>
  </si>
  <si>
    <t>Assentamento de revestimento cerâmico, modelo museu similar, máximo 30x30 cm, até 08 peças</t>
  </si>
  <si>
    <t>11.01.23</t>
  </si>
  <si>
    <t>assentamento de revestimento cerâmico, modelo museu similar, máximo 30x30 cm, até 10 peças</t>
  </si>
  <si>
    <t>Assentamento de revestimento cerâmico, modelo museu similar, máximo 30x30 cm, até 10 peças</t>
  </si>
  <si>
    <t>11.01.24</t>
  </si>
  <si>
    <t>assentamento de revestimento cerâmico, modelo museu similar, máximo 60x60 cm, até 02 peças</t>
  </si>
  <si>
    <t>7zn2WTC1CLc9sh7QAyyQFN</t>
  </si>
  <si>
    <t>Assentamento de revestimento cerâmico, modelo museu similar, máximo 60x60 cm, até 02 peças</t>
  </si>
  <si>
    <t>11.01.25</t>
  </si>
  <si>
    <t>assentamento de revestimento cerâmico, modelo museu similar, máximo 60x60 cm, até 04 peças</t>
  </si>
  <si>
    <t>Assentamento de revestimento cerâmico, modelo museu similar, máximo 60x60 cm, até 04 peças</t>
  </si>
  <si>
    <t>11.01.26</t>
  </si>
  <si>
    <t>assentamento de revestimento cerâmico, modelo museu similar, máximo 60x60 cm, até 06 peças</t>
  </si>
  <si>
    <t>Assentamento de revestimento cerâmico, modelo museu similar, máximo 60x60 cm, até 06 peças</t>
  </si>
  <si>
    <t>11.01.27</t>
  </si>
  <si>
    <t>assentamento de revestimento cerâmico, modelo museu similar, máximo 60x60 cm, até 08 peças</t>
  </si>
  <si>
    <t>Assentamento de revestimento cerâmico, modelo museu similar, máximo 60x60 cm, até 08 peças</t>
  </si>
  <si>
    <t>11.01.28</t>
  </si>
  <si>
    <t>assentamento de revestimento cerâmico, modelo museu similar, máximo 60x60 cm, até 10 peças</t>
  </si>
  <si>
    <t>Assentamento de revestimento cerâmico, modelo museu similar, máximo 60x60 cm, até 10 peças</t>
  </si>
  <si>
    <t>11.01.29</t>
  </si>
  <si>
    <t>máximo 100x100 cm</t>
  </si>
  <si>
    <t>assentamento de revestimento cerâmico, modelo museu similar, máximo 100x100 cm, até 02 peças</t>
  </si>
  <si>
    <t>2r2k5RT4u4bLb1sZhRoMA3</t>
  </si>
  <si>
    <t>Assentamento de revestimento cerâmico, modelo museu similar, máximo 100x100 cm, até 02 peças</t>
  </si>
  <si>
    <t>11.01.30</t>
  </si>
  <si>
    <t>assentamento de revestimento cerâmico, modelo museu similar, máximo 100x100 cm, até 04 peças</t>
  </si>
  <si>
    <t>Assentamento de revestimento cerâmico, modelo museu similar, máximo 100x100 cm, até 04 peças</t>
  </si>
  <si>
    <t>11.01.31</t>
  </si>
  <si>
    <t>assentamento de revestimento cerâmico, modelo museu similar, máximo 100x100 cm, até 06 peças</t>
  </si>
  <si>
    <t>Assentamento de revestimento cerâmico, modelo museu similar, máximo 100x100 cm, até 06 peças</t>
  </si>
  <si>
    <t>11.01.32</t>
  </si>
  <si>
    <t>assentamento de revestimento cerâmico, modelo museu similar, máximo 100x100 cm, até 08 peças</t>
  </si>
  <si>
    <t>Assentamento de revestimento cerâmico, modelo museu similar, máximo 100x100 cm, até 08 peças</t>
  </si>
  <si>
    <t>11.01.33</t>
  </si>
  <si>
    <t>assentamento de revestimento cerâmico, modelo museu similar, máximo 100x100 cm, até 10 peças</t>
  </si>
  <si>
    <t>Assentamento de revestimento cerâmico, modelo museu similar, máximo 100x100 cm, até 10 peças</t>
  </si>
  <si>
    <t>11.01.34</t>
  </si>
  <si>
    <t>disponível no local</t>
  </si>
  <si>
    <t>assentamento de revestimento cerâmico, disponível no local, até 02 peças</t>
  </si>
  <si>
    <t>Assentamento de revestimento cerâmico, disponível no local, até 02 peças</t>
  </si>
  <si>
    <t>11.01.35</t>
  </si>
  <si>
    <t>assentamento de revestimento cerâmico, disponível no local, até 04 peças</t>
  </si>
  <si>
    <t>Assentamento de revestimento cerâmico, disponível no local, até 04 peças</t>
  </si>
  <si>
    <t>11.01.36</t>
  </si>
  <si>
    <t>assentamento de revestimento cerâmico, disponível no local, até 06 peças</t>
  </si>
  <si>
    <t>Assentamento de revestimento cerâmico, disponível no local, até 06 peças</t>
  </si>
  <si>
    <t>11.01.37</t>
  </si>
  <si>
    <t>assentamento de revestimento cerâmico, disponível no local, até 08 peças</t>
  </si>
  <si>
    <t>Assentamento de revestimento cerâmico, disponível no local, até 08 peças</t>
  </si>
  <si>
    <t>11.01.38</t>
  </si>
  <si>
    <t>assentamento de revestimento cerâmico, disponível no local, até 10 peças</t>
  </si>
  <si>
    <t>Assentamento de revestimento cerâmico, disponível no local, até 10 peças</t>
  </si>
  <si>
    <t>11.01.39</t>
  </si>
  <si>
    <t>Assentamento de rodapé cerâmico</t>
  </si>
  <si>
    <t>com aplicação de rejunte e limpeza</t>
  </si>
  <si>
    <t>assentamento de rodapé cerâmico, modelo convencional, padrão simples, com aplicação de rejunte e limpeza</t>
  </si>
  <si>
    <t>Assentamento de rodapé cerâmico, modelo convencional, padrão simples, com aplicação de rejunte e limpeza</t>
  </si>
  <si>
    <t>11.01.40</t>
  </si>
  <si>
    <t>assentamento de rodapé cerâmico, modelo convencional, padrão normal, com aplicação de rejunte e limpeza</t>
  </si>
  <si>
    <t>Assentamento de rodapé cerâmico, modelo convencional, padrão normal, com aplicação de rejunte e limpeza</t>
  </si>
  <si>
    <t>11.01.41</t>
  </si>
  <si>
    <t>assentamento de rodapé cerâmico, modelo convencional, padrão premium, com aplicação de rejunte e limpeza</t>
  </si>
  <si>
    <t>Assentamento de rodapé cerâmico, modelo convencional, padrão premium, com aplicação de rejunte e limpeza</t>
  </si>
  <si>
    <t>11.01.42</t>
  </si>
  <si>
    <t>Retirada e assentamento de revestimento cerâmico</t>
  </si>
  <si>
    <t>modelo convencional similar</t>
  </si>
  <si>
    <t>retirada e assentamento de revestimento cerâmico, modelo convencional similar, padrão normal</t>
  </si>
  <si>
    <t>9n3V5pRCdCGmb9bxcDDQeF</t>
  </si>
  <si>
    <t>Retirada e assentamento de revestimento cerâmico, modelo convencional similar, padrão normal</t>
  </si>
  <si>
    <t>11.01.43</t>
  </si>
  <si>
    <t>retirada e assentamento de revestimento cerâmico, modelo convencional similar, padrão premium</t>
  </si>
  <si>
    <t>RDWNvmqHWst9tzkmN4CfRm</t>
  </si>
  <si>
    <t>Retirada e assentamento de revestimento cerâmico, modelo convencional similar, padrão premium</t>
  </si>
  <si>
    <t>11.01.44</t>
  </si>
  <si>
    <t>até 15x15 cm</t>
  </si>
  <si>
    <t>retirada e assentamento de revestimento cerâmico, modelo museu similar, até 15x15 cm</t>
  </si>
  <si>
    <t>QDPVM2uop1SVx1sJiZrZgV</t>
  </si>
  <si>
    <t>Retirada e assentamento de revestimento cerâmico, modelo museu similar, até 15x15 cm</t>
  </si>
  <si>
    <t>11.01.45</t>
  </si>
  <si>
    <t>até 30x30 cm</t>
  </si>
  <si>
    <t>retirada e assentamento de revestimento cerâmico, modelo museu similar, até 30x30 cm</t>
  </si>
  <si>
    <t>RzuRK47SY715tYiNB42nyb</t>
  </si>
  <si>
    <t>Retirada e assentamento de revestimento cerâmico, modelo museu similar, até 30x30 cm</t>
  </si>
  <si>
    <t>11.01.46</t>
  </si>
  <si>
    <t>até 60x60 cm</t>
  </si>
  <si>
    <t>retirada e assentamento de revestimento cerâmico, modelo museu similar, até 60x60 cm</t>
  </si>
  <si>
    <t>WQMUNJpL1FjSpdHyVX9FuA</t>
  </si>
  <si>
    <t>Retirada e assentamento de revestimento cerâmico, modelo museu similar, até 60x60 cm</t>
  </si>
  <si>
    <t>11.01.47</t>
  </si>
  <si>
    <t>Retirada ou remoção de revestimento cerâmico</t>
  </si>
  <si>
    <t>incluindo limpeza do local</t>
  </si>
  <si>
    <t>retirada ou remoção de revestimento cerâmico, incluindo limpeza do local</t>
  </si>
  <si>
    <t>PU5D25dzb7q5hjpJCN6aKv</t>
  </si>
  <si>
    <t>Retirada ou remoção de revestimento cerâmico, incluindo limpeza do local</t>
  </si>
  <si>
    <t>11.01.48</t>
  </si>
  <si>
    <t>retirada e assentamento de revestimento cerâmico, disponível no local</t>
  </si>
  <si>
    <t>Retirada e assentamento de revestimento cerâmico, disponível no local</t>
  </si>
  <si>
    <t>11.01.49</t>
  </si>
  <si>
    <t>em área impermeabilizada</t>
  </si>
  <si>
    <t>assentamento de revestimento cerâmico, modelo convencional, padrão simples, em área impermeabilizada, com aplicação de rejunte e limpeza</t>
  </si>
  <si>
    <t>Assentamento de revestimento cerâmico, modelo convencional, padrão simples, em área impermeabilizada, com aplicação de rejunte e limpeza</t>
  </si>
  <si>
    <t>11.01.50</t>
  </si>
  <si>
    <t>assentamento de revestimento cerâmico, modelo convencional, padrão normal, em área impermeabilizada, com aplicação de rejunte e limpeza</t>
  </si>
  <si>
    <t>Assentamento de revestimento cerâmico, modelo convencional, padrão normal, em área impermeabilizada, com aplicação de rejunte e limpeza</t>
  </si>
  <si>
    <t>11.01.51</t>
  </si>
  <si>
    <t>assentamento de revestimento cerâmico, modelo convencional, padrão premium, em área impermeabilizada, com aplicação de rejunte e limpeza</t>
  </si>
  <si>
    <t>Assentamento de revestimento cerâmico, modelo convencional, padrão premium, em área impermeabilizada, com aplicação de rejunte e limpeza</t>
  </si>
  <si>
    <t>11.01.52</t>
  </si>
  <si>
    <t>assentamento de revestimento cerâmico, modelo museu similar, em área impermeabilizada, até 15x15 cm</t>
  </si>
  <si>
    <t>Assentamento de revestimento cerâmico, modelo museu similar, em área impermeabilizada, até 15x15 cm</t>
  </si>
  <si>
    <t>11.01.53</t>
  </si>
  <si>
    <t>assentamento de revestimento cerâmico, modelo museu similar, em área impermeabilizada, até 30x30 cm</t>
  </si>
  <si>
    <t>Assentamento de revestimento cerâmico, modelo museu similar, em área impermeabilizada, até 30x30 cm</t>
  </si>
  <si>
    <t>11.01.54</t>
  </si>
  <si>
    <t>assentamento de revestimento cerâmico, modelo museu similar, em área impermeabilizada, até 60x60 cm</t>
  </si>
  <si>
    <t>Assentamento de revestimento cerâmico, modelo museu similar, em área impermeabilizada, até 60x60 cm</t>
  </si>
  <si>
    <t>11.01.55</t>
  </si>
  <si>
    <t>assentamento de revestimento cerâmico, modelo museu similar, em área impermeabilizada, a partir de 60x60 cm</t>
  </si>
  <si>
    <t>Assentamento de revestimento cerâmico, modelo museu similar, em área impermeabilizada, a partir de 60x60 cm</t>
  </si>
  <si>
    <t>11.01.56</t>
  </si>
  <si>
    <t>assentamento de revestimento cerâmico, disponível no local, em área impermeabilizada</t>
  </si>
  <si>
    <t>Assentamento de revestimento cerâmico, disponível no local, em área impermeabilizada</t>
  </si>
  <si>
    <t>11.01.57</t>
  </si>
  <si>
    <t>retirada e assentamento de revestimento cerâmico, modelo convencional similar, em área impermeabilizada, padrão normal</t>
  </si>
  <si>
    <t>Retirada e assentamento de revestimento cerâmico, modelo convencional similar, em área impermeabilizada, padrão normal</t>
  </si>
  <si>
    <t>11.01.58</t>
  </si>
  <si>
    <t>retirada e assentamento de revestimento cerâmico, modelo convencional similar, em área impermeabilizada, padrão premium</t>
  </si>
  <si>
    <t>Retirada e assentamento de revestimento cerâmico, modelo convencional similar, em área impermeabilizada, padrão premium</t>
  </si>
  <si>
    <t>11.01.59</t>
  </si>
  <si>
    <t>retirada e assentamento de revestimento cerâmico, modelo museu similar, em área impermeabilizada, até 15x15 cm</t>
  </si>
  <si>
    <t>Retirada e assentamento de revestimento cerâmico, modelo museu similar, em área impermeabilizada, até 15x15 cm</t>
  </si>
  <si>
    <t>11.01.60</t>
  </si>
  <si>
    <t>retirada e assentamento de revestimento cerâmico, modelo museu similar, em área impermeabilizada, até 30x30 cm</t>
  </si>
  <si>
    <t>Retirada e assentamento de revestimento cerâmico, modelo museu similar, em área impermeabilizada, até 30x30 cm</t>
  </si>
  <si>
    <t>11.01.61</t>
  </si>
  <si>
    <t>retirada e assentamento de revestimento cerâmico, modelo museu similar, em área impermeabilizada, até 60x60 cm</t>
  </si>
  <si>
    <t>Retirada e assentamento de revestimento cerâmico, modelo museu similar, em área impermeabilizada, até 60x60 cm</t>
  </si>
  <si>
    <t>11.01.62</t>
  </si>
  <si>
    <t>retirada e assentamento de revestimento cerâmico, modelo museu similar, em área impermeabilizada, a partir de 60x60 cm</t>
  </si>
  <si>
    <t>Retirada e assentamento de revestimento cerâmico, modelo museu similar, em área impermeabilizada, a partir de 60x60 cm</t>
  </si>
  <si>
    <t>11.01.63</t>
  </si>
  <si>
    <t>retirada e assentamento de revestimento cerâmico, disponível no local, em área impermeabilizada</t>
  </si>
  <si>
    <t>Retirada e assentamento de revestimento cerâmico, disponível no local, em área impermeabilizada</t>
  </si>
  <si>
    <t>11.01.64</t>
  </si>
  <si>
    <t xml:space="preserve">Assentamento de porcelanato </t>
  </si>
  <si>
    <t>até 12.00 m2</t>
  </si>
  <si>
    <t>assentamento de porcelanato , comum, até 12.00 m2</t>
  </si>
  <si>
    <t>Qk1xyZxQozrGHYTi141SAx</t>
  </si>
  <si>
    <t>Assentamento de porcelanato , comum, até 12.00 m2</t>
  </si>
  <si>
    <t>11.01.65</t>
  </si>
  <si>
    <t>Retirada e assentamento de porcelanato</t>
  </si>
  <si>
    <t>retirada e assentamento de porcelanato, comum, até 12.00 m2</t>
  </si>
  <si>
    <t>4SVCw1m7HvBcamxiZ8r56x</t>
  </si>
  <si>
    <t>Retirada e assentamento de porcelanato, comum, até 12.00 m2</t>
  </si>
  <si>
    <t>11.01.66</t>
  </si>
  <si>
    <t>de 12.00 a 25.00 m2</t>
  </si>
  <si>
    <t>retirada e assentamento de porcelanato, comum, de 12.00 a 25.00 m2</t>
  </si>
  <si>
    <t>FK3eLxRNmZ9FNqvETwNgng</t>
  </si>
  <si>
    <t>Retirada e assentamento de porcelanato, comum, de 12.00 a 25.00 m2</t>
  </si>
  <si>
    <t>11.01.67</t>
  </si>
  <si>
    <t>a partir de 25.00 m2</t>
  </si>
  <si>
    <t>retirada e assentamento de porcelanato, comum, a partir de 25.00 m2</t>
  </si>
  <si>
    <t>EhEgd595zsBXUXtoUBws6s</t>
  </si>
  <si>
    <t>Retirada e assentamento de porcelanato, comum, a partir de 25.00 m2</t>
  </si>
  <si>
    <t>11.01.68</t>
  </si>
  <si>
    <t>assentamento de porcelanato , comum, em área impermeabilizada, até 12.00 m2</t>
  </si>
  <si>
    <t>Assentamento de porcelanato , comum, em área impermeabilizada, até 12.00 m2</t>
  </si>
  <si>
    <t>11.01.69</t>
  </si>
  <si>
    <t>retirada e assentamento de porcelanato, comum, em área impermeabilizada, até 12.00 m2</t>
  </si>
  <si>
    <t>Retirada e assentamento de porcelanato, comum, em área impermeabilizada, até 12.00 m2</t>
  </si>
  <si>
    <t>11.01.70</t>
  </si>
  <si>
    <t>retirada e assentamento de porcelanato, comum, em área impermeabilizada, de 12.00 a 25.00 m2</t>
  </si>
  <si>
    <t>Retirada e assentamento de porcelanato, comum, em área impermeabilizada, de 12.00 a 25.00 m2</t>
  </si>
  <si>
    <t>11.01.71</t>
  </si>
  <si>
    <t>retirada e assentamento de porcelanato, comum, em área impermeabilizada, a partir de 25.00 m2</t>
  </si>
  <si>
    <t>Retirada e assentamento de porcelanato, comum, em área impermeabilizada, a partir de 25.00 m2</t>
  </si>
  <si>
    <t>11.01.72</t>
  </si>
  <si>
    <t>Retirada de piso laminado</t>
  </si>
  <si>
    <t>com descarte</t>
  </si>
  <si>
    <t>retirada de piso laminado, com descarte</t>
  </si>
  <si>
    <t>Piso laminado</t>
  </si>
  <si>
    <t>EAQEFJunZfVLUZbXQ1qqvn</t>
  </si>
  <si>
    <t>Retirada de piso laminado, com descarte</t>
  </si>
  <si>
    <t>11.01.73</t>
  </si>
  <si>
    <t>Instalação de piso laminado</t>
  </si>
  <si>
    <t>tipo click</t>
  </si>
  <si>
    <t>com nivelamento de base e manta para absorver impactos</t>
  </si>
  <si>
    <t>instalação de piso laminado, tipo click, padrão simples, com nivelamento de base e manta para absorver impactos</t>
  </si>
  <si>
    <t>https://www.leroymerlin.com.br/piso-laminado-click-evidence-carvalho-rustico-136x21,7cm-m2-eucafloor_89062484</t>
  </si>
  <si>
    <t>GjNdsfZhxxDuZCrGNETM1R</t>
  </si>
  <si>
    <t>Instalação de piso laminado, tipo click, padrão simples, com nivelamento de base e manta para absorver impactos</t>
  </si>
  <si>
    <t>11.01.74</t>
  </si>
  <si>
    <t>instalação de piso laminado, tipo click, padrão normal, com nivelamento de base e manta para absorver impactos</t>
  </si>
  <si>
    <t>https://www.leroymerlin.com.br/piso-laminado-click-link-bariloche-134x24,8cm-m2-durafloor_90847575</t>
  </si>
  <si>
    <t>9ByeW12cdQompbZkaieALV</t>
  </si>
  <si>
    <t>Instalação de piso laminado, tipo click, padrão normal, com nivelamento de base e manta para absorver impactos</t>
  </si>
  <si>
    <t>11.01.75</t>
  </si>
  <si>
    <t>instalação de piso laminado, tipo click, padrão premium, com nivelamento de base e manta para absorver impactos</t>
  </si>
  <si>
    <t>https://www.leroymerlin.com.br/piso-laminado-clicado-eucafloor-evidence-andorra_1570955592</t>
  </si>
  <si>
    <t>SYTCofsjSrFE3DzyU5yH2i</t>
  </si>
  <si>
    <t>Instalação de piso laminado, tipo click, padrão premium, com nivelamento de base e manta para absorver impactos</t>
  </si>
  <si>
    <t>11.01.76</t>
  </si>
  <si>
    <t>Instalação de rodapé para piso laminado</t>
  </si>
  <si>
    <t>tipo cantoneira ou cordão</t>
  </si>
  <si>
    <t>instalação de rodapé para piso laminado, tipo cantoneira ou cordão</t>
  </si>
  <si>
    <t>https://www.leroymerlin.com.br/cantoneira-para-piso-laminado-madeira-carvalho-carvalho-2x2x210cm-durafloor_87333085</t>
  </si>
  <si>
    <t>Instalação de rodapé para piso laminado, tipo cantoneira ou cordão</t>
  </si>
  <si>
    <t>11.01.77</t>
  </si>
  <si>
    <t>Instalação de perfil para piso laminado</t>
  </si>
  <si>
    <t>tipo transição ou encontro</t>
  </si>
  <si>
    <t>instalação de perfil para piso laminado, tipo transição ou encontro</t>
  </si>
  <si>
    <t>https://www.leroymerlin.com.br/perfil-3,7x180cm-tecno-no16-eucafloor_89700303</t>
  </si>
  <si>
    <t>Instalação de perfil para piso laminado, tipo transição ou encontro</t>
  </si>
  <si>
    <t>11.01.78</t>
  </si>
  <si>
    <t>Retirada de piso vinílico</t>
  </si>
  <si>
    <t>com raspagem de residuos e descarte</t>
  </si>
  <si>
    <t>retirada de piso vinílico, com raspagem de residuos e descarte</t>
  </si>
  <si>
    <t>Piso vinilico</t>
  </si>
  <si>
    <t>Retirada de piso vinílico, com raspagem de residuos e descarte</t>
  </si>
  <si>
    <t>11.01.79</t>
  </si>
  <si>
    <t>Instalação de piso vinílico</t>
  </si>
  <si>
    <t>tipo colante</t>
  </si>
  <si>
    <t>com nivelamento de base e aplicação de adesivo recomendado</t>
  </si>
  <si>
    <t>instalação de piso vinílico, tipo colante, padrão simples, com nivelamento de base e aplicação de adesivo recomendado</t>
  </si>
  <si>
    <t>https://www.leroymerlin.com.br/piso-vinilico-cola-marrom-carvalho-madeira-m2-verona_92156883</t>
  </si>
  <si>
    <t>Instalação de piso vinílico, tipo colante, padrão simples, com nivelamento de base e aplicação de adesivo recomendado</t>
  </si>
  <si>
    <t>11.01.80</t>
  </si>
  <si>
    <t>instalação de piso vinílico, tipo colante, padrão normal, com nivelamento de base e aplicação de adesivo recomendado</t>
  </si>
  <si>
    <t>https://www.leroymerlin.com.br/piso-vinilico-cola-working-florida-madeira-marrom-m2-eucafloor_90734490</t>
  </si>
  <si>
    <t>Instalação de piso vinílico, tipo colante, padrão normal, com nivelamento de base e aplicação de adesivo recomendado</t>
  </si>
  <si>
    <t>11.01.81</t>
  </si>
  <si>
    <t>instalação de piso vinílico, tipo colante, padrão premium, com nivelamento de base e aplicação de adesivo recomendado</t>
  </si>
  <si>
    <t>https://www.leroymerlin.com.br/piso-vinilico-cola-city-petra-madeira-marrom-m2-durafloor_89198263</t>
  </si>
  <si>
    <t>Instalação de piso vinílico, tipo colante, padrão premium, com nivelamento de base e aplicação de adesivo recomendado</t>
  </si>
  <si>
    <t>11.01.82</t>
  </si>
  <si>
    <t>Instalação de perfil para piso vinílico</t>
  </si>
  <si>
    <t>instalação de perfil para piso vinílico, tipo transição ou encontro, padrão simples</t>
  </si>
  <si>
    <t>https://www.leroymerlin.com.br/perfil-redutor-carvalho--3x300cm-artens_90717123</t>
  </si>
  <si>
    <t>Instalação de perfil para piso vinílico, tipo transição ou encontro, padrão simples</t>
  </si>
  <si>
    <t>11.01.83</t>
  </si>
  <si>
    <t>instalação de perfil para piso vinílico, tipo transição ou encontro, padrão normal</t>
  </si>
  <si>
    <t>https://www.leroymerlin.com.br/perfil-redutor-champanhe-3,2x300cm-artens_90717011</t>
  </si>
  <si>
    <t>Instalação de perfil para piso vinílico, tipo transição ou encontro, padrão normal</t>
  </si>
  <si>
    <t>11.01.84</t>
  </si>
  <si>
    <t>instalação de perfil para piso vinílico, tipo transição ou encontro, padrão premium</t>
  </si>
  <si>
    <t>https://www.leroymerlin.com.br/perfil-redutor-linheiro-3,2x300cm-artens_90717032</t>
  </si>
  <si>
    <t>Instalação de perfil para piso vinílico, tipo transição ou encontro, padrão premium</t>
  </si>
  <si>
    <t>11.01.85</t>
  </si>
  <si>
    <t>Instalação de rodapé para piso vinílico</t>
  </si>
  <si>
    <t>instalação de rodapé para piso vinílico, tipo cantoneira ou cordão</t>
  </si>
  <si>
    <t>Instalação de rodapé para piso vinílico, tipo cantoneira ou cordão</t>
  </si>
  <si>
    <t>11.01.86</t>
  </si>
  <si>
    <t>Remoção de taco de madeira</t>
  </si>
  <si>
    <t>remoção de taco de madeira, com raspagem de residuos e descarte</t>
  </si>
  <si>
    <t>E7Bo711CoHBU25Zp7uV2DY</t>
  </si>
  <si>
    <t>Remoção de taco de madeira, com raspagem de residuos e descarte</t>
  </si>
  <si>
    <t>11.01.87</t>
  </si>
  <si>
    <t>Reapro em taco de madeira</t>
  </si>
  <si>
    <t>com limpeza, colagem e rejuntamento de peças danificadas</t>
  </si>
  <si>
    <t>reapro em taco de madeira, com limpeza, colagem e rejuntamento de peças danificadas</t>
  </si>
  <si>
    <t>https://www.leroymerlin.com.br/cola-para-taco-polyfort-1kg-pulvitec_85057133</t>
  </si>
  <si>
    <t>VKYmrq2pqFp8MYrwdW6rYe</t>
  </si>
  <si>
    <t>Reapro em taco de madeira, com limpeza, colagem e rejuntamento de peças danificadas</t>
  </si>
  <si>
    <t>11.01.88</t>
  </si>
  <si>
    <t>Instalação de fita antiderrapante</t>
  </si>
  <si>
    <t>instalação de fita antiderrapante</t>
  </si>
  <si>
    <t>https://www.leroymerlin.com.br/fita-antiderrapante-adesiva-escadas-5-metros-piso-antiqueda_1570491748</t>
  </si>
  <si>
    <t>5rimdAPyGTnW5t4pUkWsBY</t>
  </si>
  <si>
    <t>11.01.89</t>
  </si>
  <si>
    <t>Instalação de rodapé de poliestireno</t>
  </si>
  <si>
    <t>instalação de rodapé de poliestireno</t>
  </si>
  <si>
    <t>W16aonz7j2K67YZpmkRSkz</t>
  </si>
  <si>
    <t>11.01.90</t>
  </si>
  <si>
    <t>Assentamento de revestimento cerâmico em parede</t>
  </si>
  <si>
    <t>incluso o nivelamento de base, aplicação de rejunte e limpeza</t>
  </si>
  <si>
    <t>assentamento de revestimento cerâmico em parede, modelo convencional, padrão simples, incluso o nivelamento de base, aplicação de rejunte e limpeza</t>
  </si>
  <si>
    <t>https://www.leroymerlin.com.br/revestimento-interno-monocolor-branco-brilhante-borda-arredondada-32x54cm-6029-viva-ceramica_91094521</t>
  </si>
  <si>
    <t>Assentamento de revestimento cerâmico em parede, modelo convencional, padrão simples, incluso o nivelamento de base, aplicação de rejunte e limpeza</t>
  </si>
  <si>
    <t>11.01.91</t>
  </si>
  <si>
    <t>assentamento de revestimento cerâmico em parede, modelo convencional, padrão normal, incluso o nivelamento de base, aplicação de rejunte e limpeza</t>
  </si>
  <si>
    <t>https://www.leroymerlin.com.br/revestimento-interno-monocolor-branco-acetinado-borda-arredondada-33,5x60cm-aspen-slim-eliane_89803721</t>
  </si>
  <si>
    <t>Assentamento de revestimento cerâmico em parede, modelo convencional, padrão normal, incluso o nivelamento de base, aplicação de rejunte e limpeza</t>
  </si>
  <si>
    <t>11.01.92</t>
  </si>
  <si>
    <t>modelo ladrilho exagonal</t>
  </si>
  <si>
    <t>assentamento de revestimento cerâmico em parede, modelo ladrilho exagonal, incluso o nivelamento de base, aplicação de rejunte e limpeza</t>
  </si>
  <si>
    <t>https://www.leroymerlin.com.br/revestimento-interno-monocolor-branco-acetinado-borda-arredondada-22,8x22,8cm-hexa-white-ceral_90971132</t>
  </si>
  <si>
    <t>Assentamento de revestimento cerâmico em parede, modelo ladrilho exagonal, incluso o nivelamento de base, aplicação de rejunte e limpeza</t>
  </si>
  <si>
    <t>11.01.93</t>
  </si>
  <si>
    <t>modelo ladrilho retangular</t>
  </si>
  <si>
    <t>assentamento de revestimento cerâmico em parede, modelo ladrilho retangular, incluso o nivelamento de base, aplicação de rejunte e limpeza</t>
  </si>
  <si>
    <t>https://www.leroymerlin.com.br/revestimento-interno-brilhante-borda-arredondada-10x20cm-metro-black-eliane_89436291</t>
  </si>
  <si>
    <t>Assentamento de revestimento cerâmico em parede, modelo ladrilho retangular, incluso o nivelamento de base, aplicação de rejunte e limpeza</t>
  </si>
  <si>
    <t>11.02</t>
  </si>
  <si>
    <t>11.02.01</t>
  </si>
  <si>
    <t>Aplicação de gesso liso em parede</t>
  </si>
  <si>
    <t>sem pintura</t>
  </si>
  <si>
    <t>aplicação de gesso liso em parede, sem pintura</t>
  </si>
  <si>
    <t>Aplicação de gesso liso em parede, sem pintura</t>
  </si>
  <si>
    <t>11.02.02</t>
  </si>
  <si>
    <t>com pintura utilizando tinta acrílica branca, acabamento fosco</t>
  </si>
  <si>
    <t>aplicação de gesso liso em parede, com pintura utilizando tinta acrílica branca, acabamento fosco</t>
  </si>
  <si>
    <t>Aplicação de gesso liso em parede, com pintura utilizando tinta acrílica branca, acabamento fosco</t>
  </si>
  <si>
    <t>11.02.03</t>
  </si>
  <si>
    <t>Aplicação de gesso liso em teto</t>
  </si>
  <si>
    <t>aplicação de gesso liso em teto, sem pintura</t>
  </si>
  <si>
    <t>Aplicação de gesso liso em teto, sem pintura</t>
  </si>
  <si>
    <t>11.02.04</t>
  </si>
  <si>
    <t>aplicação de gesso liso em teto, com pintura utilizando tinta acrílica branca, acabamento fosco</t>
  </si>
  <si>
    <t>Aplicação de gesso liso em teto, com pintura utilizando tinta acrílica branca, acabamento fosco</t>
  </si>
  <si>
    <t>11.02.05</t>
  </si>
  <si>
    <t>Forro de gesso em placa de gesso 60x60</t>
  </si>
  <si>
    <t>forro de gesso em placa de gesso 60x60, sem pintura</t>
  </si>
  <si>
    <t>Forro de gesso em placa de gesso 60x60, sem pintura</t>
  </si>
  <si>
    <t>11.02.06</t>
  </si>
  <si>
    <t>forro de gesso em placa de gesso 60x60, com pintura utilizando tinta acrílica branca, acabamento fosco</t>
  </si>
  <si>
    <t>Forro de gesso em placa de gesso 60x60, com pintura utilizando tinta acrílica branca, acabamento fosco</t>
  </si>
  <si>
    <t>11.02.07</t>
  </si>
  <si>
    <t>Forro de gesso acartonado em placa de drywall</t>
  </si>
  <si>
    <t>forro de gesso acartonado em placa de drywall, sem pintura</t>
  </si>
  <si>
    <t>https://www.leroymerlin.com.br/chapa-de-drywall-standard-1,80x1,20m-branca-placo_89750724?region=grande_sao_paulo&amp;gad_source=1&amp;gclid=Cj0KCQiA5fetBhC9ARIsAP1UMgHXAucWOhfeTsnFLvzAQhIxnEx6g0wq8XTc39e9JIr77TNRcMGGNhQaAv3xEALw_wcB</t>
  </si>
  <si>
    <t>Forro de gesso acartonado em placa de drywall, sem pintura</t>
  </si>
  <si>
    <t>11.02.08</t>
  </si>
  <si>
    <t>forro de gesso acartonado em placa de drywall, com pintura utilizando tinta acrílica branca, acabamento fosco</t>
  </si>
  <si>
    <t>Forro de gesso acartonado em placa de drywall, com pintura utilizando tinta acrílica branca, acabamento fosco</t>
  </si>
  <si>
    <t>11.02.09</t>
  </si>
  <si>
    <t>Reparo pontual em forro de gesso</t>
  </si>
  <si>
    <t>fechamento de abertura</t>
  </si>
  <si>
    <t>reparo pontual em forro de gesso, fechamento de abertura, sem pintura</t>
  </si>
  <si>
    <t>Reparo pontual em forro de gesso, fechamento de abertura, sem pintura</t>
  </si>
  <si>
    <t>11.02.10</t>
  </si>
  <si>
    <t>Sanca de gesso</t>
  </si>
  <si>
    <t>instalação lateral aberta</t>
  </si>
  <si>
    <t>sem iluminação</t>
  </si>
  <si>
    <t>sanca de gesso, instalação lateral aberta, sem iluminação, sem pintura</t>
  </si>
  <si>
    <t>Sanca de gesso, instalação lateral aberta, sem iluminação, sem pintura</t>
  </si>
  <si>
    <t>11.02.11</t>
  </si>
  <si>
    <t>sanca de gesso, instalação lateral aberta, sem iluminação, com pintura utilizando tinta acrílica branca, acabamento fosco</t>
  </si>
  <si>
    <t>Sanca de gesso, instalação lateral aberta, sem iluminação, com pintura utilizando tinta acrílica branca, acabamento fosco</t>
  </si>
  <si>
    <t>11.02.12</t>
  </si>
  <si>
    <t>instalação lateral fechada</t>
  </si>
  <si>
    <t>sanca de gesso, instalação lateral fechada, sem iluminação, sem pintura</t>
  </si>
  <si>
    <t>Sanca de gesso, instalação lateral fechada, sem iluminação, sem pintura</t>
  </si>
  <si>
    <t>11.02.13</t>
  </si>
  <si>
    <t>sanca de gesso, instalação lateral fechada, sem iluminação, com pintura utilizando tinta acrílica branca, acabamento fosco</t>
  </si>
  <si>
    <t>Sanca de gesso, instalação lateral fechada, sem iluminação, com pintura utilizando tinta acrílica branca, acabamento fosco</t>
  </si>
  <si>
    <t>11.02.14</t>
  </si>
  <si>
    <t>rebaixo de teto e aberturas</t>
  </si>
  <si>
    <t>sanca de gesso, rebaixo de teto e aberturas, sem iluminação, sem pintura</t>
  </si>
  <si>
    <t>Sanca de gesso, rebaixo de teto e aberturas, sem iluminação, sem pintura</t>
  </si>
  <si>
    <t>11.02.15</t>
  </si>
  <si>
    <t>sanca de gesso, rebaixo de teto e aberturas, sem iluminação, com pintura utilizando tinta acrílica branca, acabamento fosco</t>
  </si>
  <si>
    <t>Sanca de gesso, rebaixo de teto e aberturas, sem iluminação, com pintura utilizando tinta acrílica branca, acabamento fosco</t>
  </si>
  <si>
    <t>11.02.16</t>
  </si>
  <si>
    <t>Moldura de gesso ou rodateto</t>
  </si>
  <si>
    <t>moldura de gesso ou rodateto, sem pintura</t>
  </si>
  <si>
    <t>Moldura de gesso ou rodateto, sem pintura</t>
  </si>
  <si>
    <t>11.02.17</t>
  </si>
  <si>
    <t>moldura de gesso ou rodateto, com pintura utilizando tinta acrílica branca, acabamento fosco</t>
  </si>
  <si>
    <t>Moldura de gesso ou rodateto, com pintura utilizando tinta acrílica branca, acabamento fosco</t>
  </si>
  <si>
    <t>11.03</t>
  </si>
  <si>
    <t>Forro</t>
  </si>
  <si>
    <t>11.03.01</t>
  </si>
  <si>
    <t>Troca do forro de pvc</t>
  </si>
  <si>
    <t>modelo liso</t>
  </si>
  <si>
    <t>troca do forro de pvc, modelo liso, até 5m2</t>
  </si>
  <si>
    <t>Troca do forro de pvc, modelo liso, até 5m2</t>
  </si>
  <si>
    <t>11.03.02</t>
  </si>
  <si>
    <t>entre 5 e 10m2</t>
  </si>
  <si>
    <t>restaurar forro pvc, modelo liso, entre 5 e 10m2</t>
  </si>
  <si>
    <t>Restaurar forro pvc, modelo liso, entre 5 e 10m2</t>
  </si>
  <si>
    <t>11.03.03</t>
  </si>
  <si>
    <t>a partir de10m2</t>
  </si>
  <si>
    <t>restaurar forro pvc, modelo liso, a partir de10m2</t>
  </si>
  <si>
    <t>Restaurar forro pvc, modelo liso, a partir de10m2</t>
  </si>
  <si>
    <t>11.03.04</t>
  </si>
  <si>
    <t>modelo frisado</t>
  </si>
  <si>
    <t>restaurar forro pvc, modelo frisado, até 5m2</t>
  </si>
  <si>
    <t>Restaurar forro pvc, modelo frisado, até 5m2</t>
  </si>
  <si>
    <t>11.03.05</t>
  </si>
  <si>
    <t>restaurar forro pvc, modelo frisado, entre 5 e 10m2</t>
  </si>
  <si>
    <t>Restaurar forro pvc, modelo frisado, entre 5 e 10m2</t>
  </si>
  <si>
    <t>11.03.06</t>
  </si>
  <si>
    <t>restaurar forro pvc, modelo frisado, a partir de10m2</t>
  </si>
  <si>
    <t>Restaurar forro pvc, modelo frisado, a partir de10m2</t>
  </si>
  <si>
    <t>11.03.07</t>
  </si>
  <si>
    <t>Troca do forro de madeira</t>
  </si>
  <si>
    <t>tipo pinus</t>
  </si>
  <si>
    <t>troca do forro de madeira, tipo pinus</t>
  </si>
  <si>
    <t>Troca do forro de madeira, tipo pinus</t>
  </si>
  <si>
    <t>11.03.08</t>
  </si>
  <si>
    <t>tipo cedrinho</t>
  </si>
  <si>
    <t>troca do forro de madeira, tipo cedrinho</t>
  </si>
  <si>
    <t>Troca do forro de madeira, tipo cedrinho</t>
  </si>
  <si>
    <t>11.04</t>
  </si>
  <si>
    <t>Granito</t>
  </si>
  <si>
    <t>11.04.01</t>
  </si>
  <si>
    <t>Troca de rodapia de granito</t>
  </si>
  <si>
    <t>Itaúnas</t>
  </si>
  <si>
    <t>Dallas</t>
  </si>
  <si>
    <t>ou São Gabriel</t>
  </si>
  <si>
    <t>troca de rodapia de granito, itaúnas, dallas, ou são gabriel</t>
  </si>
  <si>
    <t>Troca de rodapia de granito, Itaúnas, Dallas, ou São Gabriel</t>
  </si>
  <si>
    <t>11.05</t>
  </si>
  <si>
    <t>Piso</t>
  </si>
  <si>
    <t>11.05.01</t>
  </si>
  <si>
    <t>Execução de lastro de brita, com transporte e nivelamento</t>
  </si>
  <si>
    <t>execução de lastro de brita, com transporte e nivelamento</t>
  </si>
  <si>
    <t>11.05.02</t>
  </si>
  <si>
    <t>Execução de contra piso cimentado para regularização de base</t>
  </si>
  <si>
    <t>execução de contra piso cimentado para regularização de base</t>
  </si>
  <si>
    <t>11.05.03</t>
  </si>
  <si>
    <t>área de até 20m2</t>
  </si>
  <si>
    <t>unid</t>
  </si>
  <si>
    <t>execução de contra piso cimentado para regularização de base, área de até 20m2</t>
  </si>
  <si>
    <t>Execução de contra piso cimentado para regularização de base, área de até 20m2</t>
  </si>
  <si>
    <t>11.05.04</t>
  </si>
  <si>
    <t>Execução de piso de concreto armado para calçamento</t>
  </si>
  <si>
    <t>com altura de 7cm</t>
  </si>
  <si>
    <t>execução de piso de concreto armado para calçamento, com altura de 7cm</t>
  </si>
  <si>
    <t>Execução de piso de concreto armado para calçamento, com altura de 7cm</t>
  </si>
  <si>
    <t>11.05.05</t>
  </si>
  <si>
    <t>execução de piso de concreto armado para calçamento, com altura de 7cm, área de até 20m2</t>
  </si>
  <si>
    <t>Execução de piso de concreto armado para calçamento, com altura de 7cm, área de até 20m2</t>
  </si>
  <si>
    <t>11.05.06</t>
  </si>
  <si>
    <t>com altura de 15cm</t>
  </si>
  <si>
    <t>execução de piso de concreto armado para calçamento, com altura de 15cm</t>
  </si>
  <si>
    <t>Execução de piso de concreto armado para calçamento, com altura de 15cm</t>
  </si>
  <si>
    <t>11.05.07</t>
  </si>
  <si>
    <t>execução de piso de concreto armado para calçamento, com altura de 15cm, área de até 20m2</t>
  </si>
  <si>
    <t>Execução de piso de concreto armado para calçamento, com altura de 15cm, área de até 20m2</t>
  </si>
  <si>
    <t>12</t>
  </si>
  <si>
    <t>FiC89mwqv3Qd5cyyXJWSgZ</t>
  </si>
  <si>
    <t>12.01</t>
  </si>
  <si>
    <t>Muros</t>
  </si>
  <si>
    <t>4YFQjZg3ELD165mc6xN4cF</t>
  </si>
  <si>
    <t>12.01.01</t>
  </si>
  <si>
    <t>Restauração de muro</t>
  </si>
  <si>
    <t>até 5.00 m2</t>
  </si>
  <si>
    <t>restauração de muro, liso, até 5.00 m2</t>
  </si>
  <si>
    <t>FsFVhbCheoZcGSe15ftcc9</t>
  </si>
  <si>
    <t>Restauração de muro, liso, até 5.00 m2</t>
  </si>
  <si>
    <t>12.01.02</t>
  </si>
  <si>
    <t>de 5.00 a 10.00 m2</t>
  </si>
  <si>
    <t>restauração de muro, liso, de 5.00 a 10.00 m2</t>
  </si>
  <si>
    <t>EsSTiL2nCmJvF46zXPNzFi</t>
  </si>
  <si>
    <t>Restauração de muro, liso, de 5.00 a 10.00 m2</t>
  </si>
  <si>
    <t>12.01.03</t>
  </si>
  <si>
    <t>restauração de muro, textura, até 5.00 m2</t>
  </si>
  <si>
    <t>NNjiRqRq8evRjGF6G4S5NB</t>
  </si>
  <si>
    <t>Restauração de muro, textura, até 5.00 m2</t>
  </si>
  <si>
    <t>12.01.04</t>
  </si>
  <si>
    <t>restauração de muro, textura, de 5.00 a 10.00 m2</t>
  </si>
  <si>
    <t>NAzBYBxqyDHndsrtTu7y3E</t>
  </si>
  <si>
    <t>Restauração de muro, textura, de 5.00 a 10.00 m2</t>
  </si>
  <si>
    <t>12.01.05</t>
  </si>
  <si>
    <t>Troca de pingadeira</t>
  </si>
  <si>
    <t>troca de pingadeira</t>
  </si>
  <si>
    <t>4xbuK4G4Z4TNQCEhJdH3AV</t>
  </si>
  <si>
    <t>12.02</t>
  </si>
  <si>
    <t>Pintura interna</t>
  </si>
  <si>
    <t>918TjLxvVv3tJAHPmmCxgi</t>
  </si>
  <si>
    <t>12.02.01</t>
  </si>
  <si>
    <t>Reparo de superfície interna com emassamento e lixamento de massa corrida</t>
  </si>
  <si>
    <t>proteções necessárias e limpeza do local</t>
  </si>
  <si>
    <t>reparo de superfície interna com emassamento e lixamento de massa corrida</t>
  </si>
  <si>
    <t>https://www.leroymerlin.com.br/massa-corrida-25-kg-coral_89900916</t>
  </si>
  <si>
    <t>12.02.02</t>
  </si>
  <si>
    <t>necessário eliminação de mofo</t>
  </si>
  <si>
    <t>reparo de superfície interna com emassamento e lixamento de massa corrida, necessário eliminação de mofo</t>
  </si>
  <si>
    <t>Reparo de superfície interna com emassamento e lixamento de massa corrida, necessário eliminação de mofo</t>
  </si>
  <si>
    <t>12.02.03</t>
  </si>
  <si>
    <t>necessário tratamento de fissuras</t>
  </si>
  <si>
    <t>reparo de superfície interna com emassamento e lixamento de massa corrida, necessário tratamento de fissuras</t>
  </si>
  <si>
    <t>Reparo de superfície interna com emassamento e lixamento de massa corrida, necessário tratamento de fissuras</t>
  </si>
  <si>
    <t>12.02.04</t>
  </si>
  <si>
    <t>necessário tratamento de fissuras e eliminação de mofo</t>
  </si>
  <si>
    <t>reparo de superfície interna com emassamento e lixamento de massa corrida, necessário tratamento de fissuras e eliminação de mofo</t>
  </si>
  <si>
    <t>Reparo de superfície interna com emassamento e lixamento de massa corrida, necessário tratamento de fissuras e eliminação de mofo</t>
  </si>
  <si>
    <t>12.02.05</t>
  </si>
  <si>
    <t>Aplicação de fundo preparador de superfície interna com aplicação de seladora</t>
  </si>
  <si>
    <t>aplicação de fundo preparador de superfície interna com aplicação de seladora</t>
  </si>
  <si>
    <t>https://www.leroymerlin.com.br/selador-acrilico-coral-branco-18l_85139551</t>
  </si>
  <si>
    <t>12.02.06</t>
  </si>
  <si>
    <t>Aplicação de pintura interna com tinta acrílica</t>
  </si>
  <si>
    <t>categoria standard</t>
  </si>
  <si>
    <t>acabamento fosco</t>
  </si>
  <si>
    <t>cor branca ou padrão</t>
  </si>
  <si>
    <t>aplicado em 2 demãos</t>
  </si>
  <si>
    <t>aplicação de pintura interna com tinta acrílica, categoria standard, acabamento fosco, cor branca ou padrão, aplicado em 2 demãos</t>
  </si>
  <si>
    <t>https://www.leroymerlin.com.br/tinta-acrilica-fosca-rende-muito-standard-interior-e-exterior-branco-neve-18-l-coral_85137346</t>
  </si>
  <si>
    <t>Q1XuxiMittASakipgpvp8V</t>
  </si>
  <si>
    <t>Aplicação de pintura interna com tinta acrílica, categoria standard, acabamento fosco, cor branca ou padrão, aplicado em 2 demãos</t>
  </si>
  <si>
    <t>12.02.07</t>
  </si>
  <si>
    <t>cor personalizada</t>
  </si>
  <si>
    <t>aplicação de pintura interna com tinta acrílica, categoria standard, acabamento fosco, cor personalizada, aplicado em 2 demãos</t>
  </si>
  <si>
    <t>N1CKftCwH1ZNetMKPSr5rP</t>
  </si>
  <si>
    <t>Aplicação de pintura interna com tinta acrílica, categoria standard, acabamento fosco, cor personalizada, aplicado em 2 demãos</t>
  </si>
  <si>
    <t>12.02.08</t>
  </si>
  <si>
    <t>acabamento semi brilho</t>
  </si>
  <si>
    <t>aplicação de pintura interna com tinta acrílica, categoria standard, acabamento semi brilho, cor branca ou padrão, aplicado em 2 demãos</t>
  </si>
  <si>
    <t>https://www.leroymerlin.com.br/tinta-acrilica-semi-brilho-premium-decora-branco-18l-coral_89669636</t>
  </si>
  <si>
    <t>QRBZvKDprLw77afNFjDSEc</t>
  </si>
  <si>
    <t>Aplicação de pintura interna com tinta acrílica, categoria standard, acabamento semi brilho, cor branca ou padrão, aplicado em 2 demãos</t>
  </si>
  <si>
    <t>12.02.09</t>
  </si>
  <si>
    <t>aplicação de pintura interna com tinta acrílica, categoria standard, acabamento semi brilho, cor personalizada, aplicado em 2 demãos</t>
  </si>
  <si>
    <t>7xsFDiTg5VXBnZQ63Yi4fy</t>
  </si>
  <si>
    <t>Aplicação de pintura interna com tinta acrílica, categoria standard, acabamento semi brilho, cor personalizada, aplicado em 2 demãos</t>
  </si>
  <si>
    <t>12.02.10</t>
  </si>
  <si>
    <t>desocupação</t>
  </si>
  <si>
    <t>lt</t>
  </si>
  <si>
    <t>aplicação de pintura interna com tinta acrílica, categoria standard, acabamento fosco, cor branca ou padrão, desocupação</t>
  </si>
  <si>
    <t>Aplicação de pintura interna com tinta acrílica, categoria standard, acabamento fosco, cor branca ou padrão, desocupação</t>
  </si>
  <si>
    <t>12.02.11</t>
  </si>
  <si>
    <t>aplicação de pintura interna com tinta acrílica, categoria standard, acabamento fosco, cor personalizada, desocupação</t>
  </si>
  <si>
    <t>https://www.leroymerlin.com.br/tinta-acrilica-fosca-rende-muito-standard-interior-e-exterior-azul-profundo-16-l-coral_91935102</t>
  </si>
  <si>
    <t>Aplicação de pintura interna com tinta acrílica, categoria standard, acabamento fosco, cor personalizada, desocupação</t>
  </si>
  <si>
    <t>12.02.12</t>
  </si>
  <si>
    <t>aplicação de pintura interna com tinta acrílica, categoria standard, acabamento semi brilho, cor branca ou padrão, desocupação</t>
  </si>
  <si>
    <t>Aplicação de pintura interna com tinta acrílica, categoria standard, acabamento semi brilho, cor branca ou padrão, desocupação</t>
  </si>
  <si>
    <t>12.02.13</t>
  </si>
  <si>
    <t>aplicação de pintura interna com tinta acrílica, categoria standard, acabamento semi brilho, cor personalizada, desocupação</t>
  </si>
  <si>
    <t>Aplicação de pintura interna com tinta acrílica, categoria standard, acabamento semi brilho, cor personalizada, desocupação</t>
  </si>
  <si>
    <t>12.02.14</t>
  </si>
  <si>
    <t>gl</t>
  </si>
  <si>
    <t>12.02.15</t>
  </si>
  <si>
    <t>12.02.16</t>
  </si>
  <si>
    <t>https://www.leroymerlin.com.br/tinta-acrilica-semi-brilho-premium-decora-branco-3,6l-coral_89669622</t>
  </si>
  <si>
    <t>12.02.17</t>
  </si>
  <si>
    <t>12.02.18</t>
  </si>
  <si>
    <t>categoria econômica</t>
  </si>
  <si>
    <t>aplicação de pintura interna com tinta acrílica, categoria econômica, acabamento fosco, cor branca ou padrão, desocupação</t>
  </si>
  <si>
    <t>https://www.leroymerlin.com.br/tinta-latex-eucatex-peg-pinte-acrilico-branco-gelo-18l_1570686744</t>
  </si>
  <si>
    <t>Aplicação de pintura interna com tinta acrílica, categoria econômica, acabamento fosco, cor branca ou padrão, desocupação</t>
  </si>
  <si>
    <t>12.02.19</t>
  </si>
  <si>
    <t>aplicação de pintura interna com tinta acrílica, categoria econômica, acabamento fosco, cor personalizada, desocupação</t>
  </si>
  <si>
    <t>Aplicação de pintura interna com tinta acrílica, categoria econômica, acabamento fosco, cor personalizada, desocupação</t>
  </si>
  <si>
    <t>12.02.20</t>
  </si>
  <si>
    <t>aplicação de pintura interna com tinta acrílica, categoria econômica, acabamento semi brilho, cor branca ou padrão, desocupação</t>
  </si>
  <si>
    <t>Aplicação de pintura interna com tinta acrílica, categoria econômica, acabamento semi brilho, cor branca ou padrão, desocupação</t>
  </si>
  <si>
    <t>12.02.21</t>
  </si>
  <si>
    <t>aplicação de pintura interna com tinta acrílica, categoria econômica, acabamento semi brilho, cor personalizada, desocupação</t>
  </si>
  <si>
    <t>Aplicação de pintura interna com tinta acrílica, categoria econômica, acabamento semi brilho, cor personalizada, desocupação</t>
  </si>
  <si>
    <t>12.02.22</t>
  </si>
  <si>
    <t>https://www.leroymerlin.com.br/tinta-acrilica-peg-e-pinte-para-interior-branco-neve-3,6l_1567603356</t>
  </si>
  <si>
    <t>12.02.23</t>
  </si>
  <si>
    <t>12.02.24</t>
  </si>
  <si>
    <t>12.02.25</t>
  </si>
  <si>
    <t>12.02.26</t>
  </si>
  <si>
    <t>categoria premium</t>
  </si>
  <si>
    <t>aplicação de pintura interna com tinta acrílica, categoria premium, acabamento fosco, cor branca ou padrão, desocupação</t>
  </si>
  <si>
    <t>https://www.leroymerlin.com.br/tinta-acrilica-renova-paredes-coral-gelo-fosco-lata-16-litros_1571488401</t>
  </si>
  <si>
    <t>Aplicação de pintura interna com tinta acrílica, categoria premium, acabamento fosco, cor branca ou padrão, desocupação</t>
  </si>
  <si>
    <t>12.02.27</t>
  </si>
  <si>
    <t>aplicação de pintura interna com tinta acrílica, categoria premium, acabamento fosco, cor personalizada, desocupação</t>
  </si>
  <si>
    <t>Aplicação de pintura interna com tinta acrílica, categoria premium, acabamento fosco, cor personalizada, desocupação</t>
  </si>
  <si>
    <t>12.02.28</t>
  </si>
  <si>
    <t>aplicação de pintura interna com tinta acrílica, categoria premium, acabamento semi brilho, cor branca ou padrão, desocupação</t>
  </si>
  <si>
    <t>https://www.leroymerlin.com.br/tinta-acrilica-acetinada-decora-seda-premium-interior-e-exterior-branco-20-l-coral_90975822</t>
  </si>
  <si>
    <t>Aplicação de pintura interna com tinta acrílica, categoria premium, acabamento semi brilho, cor branca ou padrão, desocupação</t>
  </si>
  <si>
    <t>12.02.29</t>
  </si>
  <si>
    <t>aplicação de pintura interna com tinta acrílica, categoria premium, acabamento semi brilho, cor personalizada, desocupação</t>
  </si>
  <si>
    <t>Aplicação de pintura interna com tinta acrílica, categoria premium, acabamento semi brilho, cor personalizada, desocupação</t>
  </si>
  <si>
    <t>12.02.30</t>
  </si>
  <si>
    <t>https://www.leroymerlin.com.br/tinta-acrilica-renova-paredes-coral-gelo-fosco-galao-3,2-litros_1570493822</t>
  </si>
  <si>
    <t>12.02.31</t>
  </si>
  <si>
    <t>12.02.32</t>
  </si>
  <si>
    <t>12.02.33</t>
  </si>
  <si>
    <t>12.02.34</t>
  </si>
  <si>
    <t>aplicação de pintura interna com tinta acrílica, categoria econômica, acabamento fosco, cor branca ou padrão, aplicado em 2 demãos</t>
  </si>
  <si>
    <t>Aplicação de pintura interna com tinta acrílica, categoria econômica, acabamento fosco, cor branca ou padrão, aplicado em 2 demãos</t>
  </si>
  <si>
    <t>12.02.35</t>
  </si>
  <si>
    <t>aplicação de pintura interna com tinta acrílica, categoria econômica, acabamento fosco, cor personalizada, aplicado em 2 demãos</t>
  </si>
  <si>
    <t>Aplicação de pintura interna com tinta acrílica, categoria econômica, acabamento fosco, cor personalizada, aplicado em 2 demãos</t>
  </si>
  <si>
    <t>12.02.36</t>
  </si>
  <si>
    <t>aplicação de pintura interna com tinta acrílica, categoria econômica, acabamento semi brilho, cor branca ou padrão, aplicado em 2 demãos</t>
  </si>
  <si>
    <t>Aplicação de pintura interna com tinta acrílica, categoria econômica, acabamento semi brilho, cor branca ou padrão, aplicado em 2 demãos</t>
  </si>
  <si>
    <t>12.02.37</t>
  </si>
  <si>
    <t>aplicação de pintura interna com tinta acrílica, categoria econômica, acabamento semi brilho, cor personalizada, aplicado em 2 demãos</t>
  </si>
  <si>
    <t>Aplicação de pintura interna com tinta acrílica, categoria econômica, acabamento semi brilho, cor personalizada, aplicado em 2 demãos</t>
  </si>
  <si>
    <t>12.02.38</t>
  </si>
  <si>
    <t>aplicação de pintura interna com tinta acrílica, categoria premium, acabamento fosco, cor branca ou padrão, aplicado em 2 demãos</t>
  </si>
  <si>
    <t>Aplicação de pintura interna com tinta acrílica, categoria premium, acabamento fosco, cor branca ou padrão, aplicado em 2 demãos</t>
  </si>
  <si>
    <t>12.02.39</t>
  </si>
  <si>
    <t>aplicação de pintura interna com tinta acrílica, categoria premium, acabamento fosco, cor personalizada, aplicado em 2 demãos</t>
  </si>
  <si>
    <t>Aplicação de pintura interna com tinta acrílica, categoria premium, acabamento fosco, cor personalizada, aplicado em 2 demãos</t>
  </si>
  <si>
    <t>12.02.40</t>
  </si>
  <si>
    <t>aplicação de pintura interna com tinta acrílica, categoria premium, acabamento semi brilho, cor branca ou padrão, aplicado em 2 demãos</t>
  </si>
  <si>
    <t>Aplicação de pintura interna com tinta acrílica, categoria premium, acabamento semi brilho, cor branca ou padrão, aplicado em 2 demãos</t>
  </si>
  <si>
    <t>12.02.41</t>
  </si>
  <si>
    <t>aplicação de pintura interna com tinta acrílica, categoria premium, acabamento semi brilho, cor personalizada, aplicado em 2 demãos</t>
  </si>
  <si>
    <t>Aplicação de pintura interna com tinta acrílica, categoria premium, acabamento semi brilho, cor personalizada, aplicado em 2 demãos</t>
  </si>
  <si>
    <t>12.03</t>
  </si>
  <si>
    <t>Pintura externa</t>
  </si>
  <si>
    <t>12.03.01</t>
  </si>
  <si>
    <t>Aplicação de pintura externa com tinta acrílica</t>
  </si>
  <si>
    <t>aplicação de pintura externa com tinta acrílica, acabamento fosco, cor branca ou padrão, aplicado em 2 demãos</t>
  </si>
  <si>
    <t>Aplicação de pintura externa com tinta acrílica, acabamento fosco, cor branca ou padrão, aplicado em 2 demãos</t>
  </si>
  <si>
    <t>12.03.02</t>
  </si>
  <si>
    <t>aplicação de pintura externa com tinta acrílica, acabamento fosco, cor personalizada, aplicado em 2 demãos</t>
  </si>
  <si>
    <t>Aplicação de pintura externa com tinta acrílica, acabamento fosco, cor personalizada, aplicado em 2 demãos</t>
  </si>
  <si>
    <t>12.03.03</t>
  </si>
  <si>
    <t>aplicação de pintura externa com tinta acrílica, acabamento semi brilho, cor branca ou padrão, aplicado em 2 demãos</t>
  </si>
  <si>
    <t>Aplicação de pintura externa com tinta acrílica, acabamento semi brilho, cor branca ou padrão, aplicado em 2 demãos</t>
  </si>
  <si>
    <t>12.03.04</t>
  </si>
  <si>
    <t>aplicação de pintura externa com tinta acrílica, acabamento semi brilho, cor personalizada, aplicado em 2 demãos</t>
  </si>
  <si>
    <t>Aplicação de pintura externa com tinta acrílica, acabamento semi brilho, cor personalizada, aplicado em 2 demãos</t>
  </si>
  <si>
    <t>12.03.05</t>
  </si>
  <si>
    <t>aplicação de pintura externa com tinta acrílica, acabamento fosco, cor branca ou padrão, desocupação</t>
  </si>
  <si>
    <t>https://www.leroymerlin.com.br/tinta-acrilico-premium-exterior-fosca-branco-18-l-coral_91934766</t>
  </si>
  <si>
    <t>Aplicação de pintura externa com tinta acrílica, acabamento fosco, cor branca ou padrão, desocupação</t>
  </si>
  <si>
    <t>12.03.06</t>
  </si>
  <si>
    <t>aplicação de pintura externa com tinta acrílica, acabamento fosco, cor personalizada, desocupação</t>
  </si>
  <si>
    <t>https://www.leroymerlin.com.br/tinta-acrilica-fosco-completo-premium-interior-e-exterior-camurca-18-l-suvinil_85439382</t>
  </si>
  <si>
    <t>Aplicação de pintura externa com tinta acrílica, acabamento fosco, cor personalizada, desocupação</t>
  </si>
  <si>
    <t>12.03.07</t>
  </si>
  <si>
    <t>aplicação de pintura externa com tinta acrílica, acabamento semi brilho, cor branca ou padrão, desocupação</t>
  </si>
  <si>
    <t>Aplicação de pintura externa com tinta acrílica, acabamento semi brilho, cor branca ou padrão, desocupação</t>
  </si>
  <si>
    <t>12.03.08</t>
  </si>
  <si>
    <t>aplicação de pintura externa com tinta acrílica, acabamento semi brilho, cor personalizada, desocupação</t>
  </si>
  <si>
    <t>Aplicação de pintura externa com tinta acrílica, acabamento semi brilho, cor personalizada, desocupação</t>
  </si>
  <si>
    <t>12.03.09</t>
  </si>
  <si>
    <t>12.03.10</t>
  </si>
  <si>
    <t>12.03.11</t>
  </si>
  <si>
    <t>12.03.12</t>
  </si>
  <si>
    <t>12.04</t>
  </si>
  <si>
    <t>Pisos</t>
  </si>
  <si>
    <t>ThjGdRJ4keUQMCg9f5pdn1</t>
  </si>
  <si>
    <t>12.04.01</t>
  </si>
  <si>
    <t>Aplicação de pintura em piso com tinta acrlíca</t>
  </si>
  <si>
    <t>aplicação de pintura em piso com tinta acrlíca, aplicado em 2 demãos, cor branca ou padrão</t>
  </si>
  <si>
    <t>https://www.leroymerlin.com.br/tinta-acrilica-pisos-cinza-18l-suvinil_90707631</t>
  </si>
  <si>
    <t>2m26iiCmjmYx27mivnASV7</t>
  </si>
  <si>
    <t>Aplicação de pintura em piso com tinta acrlíca, aplicado em 2 demãos, cor branca ou padrão</t>
  </si>
  <si>
    <t>12.04.02</t>
  </si>
  <si>
    <t>aplicação de pintura em piso com tinta acrlíca, aplicado em 2 demãos, cor branca ou padrão, desocupação</t>
  </si>
  <si>
    <t>Aplicação de pintura em piso com tinta acrlíca, aplicado em 2 demãos, cor branca ou padrão, desocupação</t>
  </si>
  <si>
    <t>12.05</t>
  </si>
  <si>
    <t>Esquadrías</t>
  </si>
  <si>
    <t>CGt9KLAaAKZPPN8pxJUrC</t>
  </si>
  <si>
    <t>12.05.01</t>
  </si>
  <si>
    <t>Pintura de portas, janela e veneziana</t>
  </si>
  <si>
    <t>verniz marítimo incolor</t>
  </si>
  <si>
    <t>pintura de portas, janela e veneziana, verniz marítimo incolor</t>
  </si>
  <si>
    <t>https://www.leroymerlin.com.br/verniz-base-agua-extra-maritimo-acetinado-incolor-3,6l-sparlack_87968692</t>
  </si>
  <si>
    <t>FvDcLxt8FBK5J6AZTek4i3</t>
  </si>
  <si>
    <t>Pintura de portas, janela e veneziana, verniz marítimo incolor</t>
  </si>
  <si>
    <t>12.05.02</t>
  </si>
  <si>
    <t>esmalte fosco branco</t>
  </si>
  <si>
    <t>pintura de portas, janela e veneziana, esmalte fosco branco</t>
  </si>
  <si>
    <t>https://www.leroymerlin.com.br/esmalte-sintetico-tradicional-fosco-preto-3,6l_85130682</t>
  </si>
  <si>
    <t>6W2ySh7qjBuBVwFfe5iy3e</t>
  </si>
  <si>
    <t>Pintura de portas, janela e veneziana, esmalte fosco branco</t>
  </si>
  <si>
    <t>12.05.03</t>
  </si>
  <si>
    <t>esmalte acetinado ou brilhante branco</t>
  </si>
  <si>
    <t>pintura de portas, janela e veneziana, esmalte acetinado ou brilhante branco</t>
  </si>
  <si>
    <t>https://www.leroymerlin.com.br/coralit-total-base-agua-brilhante-branco-permanente-3,6l_87759000</t>
  </si>
  <si>
    <t>Ftj29BrJXijZRZyjqJvATq</t>
  </si>
  <si>
    <t>Pintura de portas, janela e veneziana, esmalte acetinado ou brilhante branco</t>
  </si>
  <si>
    <t>12.05.04</t>
  </si>
  <si>
    <t>esmalte fosco personalizado</t>
  </si>
  <si>
    <t>pintura de portas, janela e veneziana, esmalte fosco personalizado</t>
  </si>
  <si>
    <t>9n9MoanR7dBHC5kHnKkFco</t>
  </si>
  <si>
    <t>Pintura de portas, janela e veneziana, esmalte fosco personalizado</t>
  </si>
  <si>
    <t>12.05.05</t>
  </si>
  <si>
    <t>esmalte acetinado ou brilhante personnalizado</t>
  </si>
  <si>
    <t>pintura de portas, janela e veneziana, esmalte acetinado ou brilhante personnalizado</t>
  </si>
  <si>
    <t>JyC6VdofNwsHte2NtQuTAQ</t>
  </si>
  <si>
    <t>Pintura de portas, janela e veneziana, esmalte acetinado ou brilhante personnalizado</t>
  </si>
  <si>
    <t>12.05.06</t>
  </si>
  <si>
    <t>osmocollor incolor</t>
  </si>
  <si>
    <t>pintura de portas, janela e veneziana, osmocollor incolor</t>
  </si>
  <si>
    <t>https://www.leroymerlin.com.br/stain-osmocolor-acetinado-natural-3,6l-montana_85715042</t>
  </si>
  <si>
    <t>BxKzUSvNAX4yKkNTuCAqyq</t>
  </si>
  <si>
    <t>Pintura de portas, janela e veneziana, osmocollor incolor</t>
  </si>
  <si>
    <t>12.05.07</t>
  </si>
  <si>
    <t>osmocollor pigmentado</t>
  </si>
  <si>
    <t>pintura de portas, janela e veneziana, osmocollor pigmentado</t>
  </si>
  <si>
    <t>https://www.leroymerlin.com.br/stain-osmocolor-acetinado-castanho-3,6l-montana_87604566</t>
  </si>
  <si>
    <t>QcHjU4QTcinVBjgG5QFRTd</t>
  </si>
  <si>
    <t>Pintura de portas, janela e veneziana, osmocollor pigmentado</t>
  </si>
  <si>
    <t>12.05.08</t>
  </si>
  <si>
    <t>Aplicação de pintura com tinta esmalte</t>
  </si>
  <si>
    <t>aplicação de pintura com tinta esmalte, verniz marítimo incolor, desocupação</t>
  </si>
  <si>
    <t>Aplicação de pintura com tinta esmalte, verniz marítimo incolor, desocupação</t>
  </si>
  <si>
    <t>12.05.09</t>
  </si>
  <si>
    <t>esmalte fosco branco ou padrão</t>
  </si>
  <si>
    <t>aplicação de pintura com tinta esmalte, esmalte fosco branco ou padrão, desocupação</t>
  </si>
  <si>
    <t>https://www.leroymerlin.com.br/tinta-esmalte-base-agua-coralit-acetinado-branco-3,6l-coral_87759924</t>
  </si>
  <si>
    <t>Aplicação de pintura com tinta esmalte, esmalte fosco branco ou padrão, desocupação</t>
  </si>
  <si>
    <t>12.05.10</t>
  </si>
  <si>
    <t>aplicação de pintura com tinta esmalte, esmalte fosco personalizado, desocupação</t>
  </si>
  <si>
    <t>Aplicação de pintura com tinta esmalte, esmalte fosco personalizado, desocupação</t>
  </si>
  <si>
    <t>12.05.11</t>
  </si>
  <si>
    <t>aplicação de pintura com tinta esmalte, esmalte acetinado ou brilhante branco, desocupação</t>
  </si>
  <si>
    <t>Aplicação de pintura com tinta esmalte, esmalte acetinado ou brilhante branco, desocupação</t>
  </si>
  <si>
    <t>12.05.12</t>
  </si>
  <si>
    <t>aplicação de pintura com tinta esmalte, esmalte acetinado ou brilhante personnalizado, desocupação</t>
  </si>
  <si>
    <t>Aplicação de pintura com tinta esmalte, esmalte acetinado ou brilhante personnalizado, desocupação</t>
  </si>
  <si>
    <t>12.05.13</t>
  </si>
  <si>
    <t>aplicação de pintura com tinta esmalte, osmocollor incolor, desocupação</t>
  </si>
  <si>
    <t>Aplicação de pintura com tinta esmalte, osmocollor incolor, desocupação</t>
  </si>
  <si>
    <t>12.05.14</t>
  </si>
  <si>
    <t>aplicação de pintura com tinta esmalte, osmocollor pigmentado, desocupação</t>
  </si>
  <si>
    <t>Aplicação de pintura com tinta esmalte, osmocollor pigmentado, desocupação</t>
  </si>
  <si>
    <t>12.06</t>
  </si>
  <si>
    <t>Papel De Parede</t>
  </si>
  <si>
    <t>7c6UdU8jM8pVrgTCKXLZbV</t>
  </si>
  <si>
    <t>12.06.01</t>
  </si>
  <si>
    <t>Troca de papel de parede</t>
  </si>
  <si>
    <t>troca de papel de parede, com materíal fornecido pelo cliente</t>
  </si>
  <si>
    <t>2eq9N4rBtSrhTktxTQh6e1</t>
  </si>
  <si>
    <t>Troca de papel de parede, com materíal fornecido pelo cliente</t>
  </si>
  <si>
    <t>12.06.02</t>
  </si>
  <si>
    <t>troca de papel de parede, sem materíal fornecido pelo cliente, padrão simples</t>
  </si>
  <si>
    <t>WZTww65FTLdEirDdhsqKm2</t>
  </si>
  <si>
    <t>Troca de papel de parede, sem materíal fornecido pelo cliente, padrão simples</t>
  </si>
  <si>
    <t>12.06.03</t>
  </si>
  <si>
    <t>troca de papel de parede, sem materíal fornecido pelo cliente, padrão normal</t>
  </si>
  <si>
    <t>CxrbHTGzrgqgMwgC1Fo64k</t>
  </si>
  <si>
    <t>Troca de papel de parede, sem materíal fornecido pelo cliente, padrão normal</t>
  </si>
  <si>
    <t>12.06.04</t>
  </si>
  <si>
    <t>troca de papel de parede, sem materíal fornecido pelo cliente, padrão premium</t>
  </si>
  <si>
    <t>9DPjz6aRmcng4XKFbB6D29</t>
  </si>
  <si>
    <t>Troca de papel de parede, sem materíal fornecido pelo cliente, padrão premium</t>
  </si>
  <si>
    <r>
      <rPr>
        <b/>
        <sz val="10"/>
        <color theme="1"/>
        <rFont val="Arial"/>
      </rPr>
      <t xml:space="preserve">Está incluso: </t>
    </r>
    <r>
      <rPr>
        <b/>
        <sz val="10"/>
        <color rgb="FFFF00FF"/>
        <rFont val="Arial"/>
      </rPr>
      <t xml:space="preserve">
{peças que serão trocadas e serviços que serão feitos}</t>
    </r>
  </si>
  <si>
    <r>
      <rPr>
        <b/>
        <sz val="10"/>
        <color theme="1"/>
        <rFont val="Arial"/>
      </rPr>
      <t xml:space="preserve">Execução de 
</t>
    </r>
    <r>
      <rPr>
        <b/>
        <sz val="10"/>
        <color rgb="FFFF00FF"/>
        <rFont val="Arial"/>
      </rPr>
      <t>{descrição}</t>
    </r>
  </si>
  <si>
    <r>
      <rPr>
        <b/>
        <sz val="10"/>
        <color theme="1"/>
        <rFont val="Arial"/>
      </rPr>
      <t xml:space="preserve">poderemos descobrir que </t>
    </r>
    <r>
      <rPr>
        <b/>
        <sz val="10"/>
        <color rgb="FFFF00FF"/>
        <rFont val="Arial"/>
      </rPr>
      <t xml:space="preserve">
{breve descrição do problema que pode ocorrer ou da peça que pode ser necessário trocar}</t>
    </r>
  </si>
  <si>
    <r>
      <rPr>
        <b/>
        <sz val="10"/>
        <color theme="1"/>
        <rFont val="Arial"/>
      </rPr>
      <t xml:space="preserve">garantir que você tenha
</t>
    </r>
    <r>
      <rPr>
        <b/>
        <sz val="10"/>
        <color rgb="FFFF00FF"/>
        <rFont val="Arial"/>
      </rPr>
      <t>{descrição do sistema}</t>
    </r>
  </si>
  <si>
    <t>09</t>
  </si>
  <si>
    <t>Visita Técnica</t>
  </si>
  <si>
    <t>XD2GdcZWukTaTt8SbNapJW</t>
  </si>
  <si>
    <t>09.01</t>
  </si>
  <si>
    <t>Serviços Gerais</t>
  </si>
  <si>
    <t>UQbR9Soh3mGnwn2DP7onuD</t>
  </si>
  <si>
    <t>09.01.01</t>
  </si>
  <si>
    <t>Visita técnica de eletrodomésticos</t>
  </si>
  <si>
    <t>exclusivo para florianópolis</t>
  </si>
  <si>
    <t>visita técnica de eletrodomésticos, exclusivo para florianópolis, geral</t>
  </si>
  <si>
    <t>N7dBomaxsCFz42KWn8ycxg</t>
  </si>
  <si>
    <t>Visita técnica de eletrodomésticos, exclusivo para florianópolis, geral</t>
  </si>
  <si>
    <t>09.01.02</t>
  </si>
  <si>
    <t>Visita técnica de vazamento de gás</t>
  </si>
  <si>
    <t>visita técnica de vazamento de gás, exclusivo para florianópolis, geral</t>
  </si>
  <si>
    <t>A4MfBcpLVEr6atddgpVAoU</t>
  </si>
  <si>
    <t>Visita técnica de vazamento de gás, exclusivo para florianópolis, geral</t>
  </si>
  <si>
    <t>09.01.03</t>
  </si>
  <si>
    <t>Visita técnica de ar condicionado</t>
  </si>
  <si>
    <t>visita técnica de ar condicionado</t>
  </si>
  <si>
    <t>R1qLfZy1Ytrqg2zqrU2kpG</t>
  </si>
  <si>
    <t>09.01.04</t>
  </si>
  <si>
    <t>Visita técnica de aquecedor a gás</t>
  </si>
  <si>
    <t>visita técnica de aquecedor a gás</t>
  </si>
  <si>
    <t>7e7NHzXhwN9wEB7tbocwCA</t>
  </si>
  <si>
    <t>09.02</t>
  </si>
  <si>
    <t>Urgência</t>
  </si>
  <si>
    <t>09.02.01</t>
  </si>
  <si>
    <t>Execução de visita técnica para atendimento de urgência.</t>
  </si>
  <si>
    <t>Necessidade de atendimento técnico especializado com urgência.</t>
  </si>
  <si>
    <t xml:space="preserve">Execução de visita técnica para atendimento de urgência. 
Objetivo: Identificar o problema com intenção de resolvê-lo ou sanar risco iminente.
Observação: É importante mencionar que pode ser necessário um serviço adicional. Nesse caso, iremos emitir outro orçamento, que se aprovado, esse será cancelado. Queremos garantir que você tenha todas as informações necessárias para tomar a melhor decisão. Sendo necessário realizar trabalhos adicionais, nossa equipe irá discutir isso com você e apresentar um orçamento antes de prosseguirmos. Nossa prioridade é garantir que você tenha um bom atendimento, e estamos comprometidos em fornecer serviços de alta qualidade a um preço justo.
</t>
  </si>
  <si>
    <t>execução de visita técnica para atendimento de urgência.</t>
  </si>
  <si>
    <t>13</t>
  </si>
  <si>
    <t>Limpeza</t>
  </si>
  <si>
    <t>M9R5WGW51a3HYZCRX4BURp</t>
  </si>
  <si>
    <t>13.01</t>
  </si>
  <si>
    <t>Retirada De Entulho</t>
  </si>
  <si>
    <t>PeQeEku8oppHm77LB5TQFg</t>
  </si>
  <si>
    <t>13.01.01</t>
  </si>
  <si>
    <t>Descarte do entulho de obra</t>
  </si>
  <si>
    <t>descarte do entulho de obra, gesso</t>
  </si>
  <si>
    <t>UCdaeMLzWZCg1ghRF8Vjxf</t>
  </si>
  <si>
    <t>Descarte do entulho de obra, gesso</t>
  </si>
  <si>
    <t>13.01.02</t>
  </si>
  <si>
    <t>geral - (piso, madeira, móvel)</t>
  </si>
  <si>
    <t>caçamba - papa entulho</t>
  </si>
  <si>
    <t>descarte do entulho de obra, geral - (piso, madeira, móvel), caçamba - papa entulho</t>
  </si>
  <si>
    <t>M9JHPrwQdtQ53zHWZ65sXZ</t>
  </si>
  <si>
    <t>Descarte do entulho de obra, geral - (piso, madeira, móvel), caçamba - papa entulho</t>
  </si>
  <si>
    <t>13.01.03</t>
  </si>
  <si>
    <t>carro ou picape</t>
  </si>
  <si>
    <t>descarte do entulho de obra, geral - (piso, madeira, móvel), carro ou picape</t>
  </si>
  <si>
    <t>AspdRDt5WVxegT7ANeoqtE</t>
  </si>
  <si>
    <t>Descarte do entulho de obra, geral - (piso, madeira, móvel), carro ou picape</t>
  </si>
  <si>
    <t>13.01.04</t>
  </si>
  <si>
    <t>pequeno volume em sacos</t>
  </si>
  <si>
    <t>descarte do entulho de obra, pequeno volume em sacos</t>
  </si>
  <si>
    <t>Descarte do entulho de obra, pequeno volume em sacos</t>
  </si>
  <si>
    <t>13.02</t>
  </si>
  <si>
    <t>Limpeza Interna</t>
  </si>
  <si>
    <t>6oTyaZDp6FpsCfPWRWaK1t</t>
  </si>
  <si>
    <t>13.02.01</t>
  </si>
  <si>
    <t>Limpeza de área interna</t>
  </si>
  <si>
    <t>até 2 quartos</t>
  </si>
  <si>
    <t>limpeza de área interna, interna, até 2 quartos</t>
  </si>
  <si>
    <t>9F57qH4QRrRfys4aSUBLRR</t>
  </si>
  <si>
    <t>Limpeza de área interna, interna, até 2 quartos</t>
  </si>
  <si>
    <t>13.02.02</t>
  </si>
  <si>
    <t>entre 2 e 4 quartos</t>
  </si>
  <si>
    <t>limpeza de área interna, interna, entre 2 e 4 quartos</t>
  </si>
  <si>
    <t>91VgjPkGyvQF6mJAz7cCMb</t>
  </si>
  <si>
    <t>Limpeza de área interna, interna, entre 2 e 4 quartos</t>
  </si>
  <si>
    <t>13.02.03</t>
  </si>
  <si>
    <t>acima de 5 quartos</t>
  </si>
  <si>
    <t>limpeza de área interna, interna, acima de 5 quartos</t>
  </si>
  <si>
    <t>CUMj2B1T46QDGZc9rH7tCY</t>
  </si>
  <si>
    <t>Limpeza de área interna, interna, acima de 5 quartos</t>
  </si>
  <si>
    <t>13.03</t>
  </si>
  <si>
    <t>Limpeza Externa</t>
  </si>
  <si>
    <t>Q5Qtzsz5RbjMMgaSfaqf4t</t>
  </si>
  <si>
    <t>13.03.01</t>
  </si>
  <si>
    <t>Limpeza de área externa</t>
  </si>
  <si>
    <t>quintal</t>
  </si>
  <si>
    <t>lavagem com hidrojateamento - sem utilização de limpa pedra e similares</t>
  </si>
  <si>
    <t>limpeza de área externa, quintal, lavagem com hidrojateamento - sem utilização de limpa pedra e similares</t>
  </si>
  <si>
    <t>WMjJfH1UXevgtAfqKYNUS</t>
  </si>
  <si>
    <t>Limpeza de área externa, quintal, lavagem com hidrojateamento - sem utilização de limpa pedra e similares</t>
  </si>
  <si>
    <t>13.03.02</t>
  </si>
  <si>
    <t>lavagem com hidrojateamento - com utilização de limpa pedra e similares</t>
  </si>
  <si>
    <t>limpeza de área externa, quintal, lavagem com hidrojateamento - com utilização de limpa pedra e similares</t>
  </si>
  <si>
    <t>XVjf2SzYGXLg7vrbn7Es9K</t>
  </si>
  <si>
    <t>Limpeza de área externa, quintal, lavagem com hidrojateamento - com utilização de limpa pedra e similares</t>
  </si>
  <si>
    <t>13.03.03</t>
  </si>
  <si>
    <t>telhado e calhas</t>
  </si>
  <si>
    <t>lavagem com hidrojateamento</t>
  </si>
  <si>
    <t>até 50.00 m2</t>
  </si>
  <si>
    <t>limpeza de área externa, telhado e calhas, lavagem com hidrojateamento, até 50.00 m2</t>
  </si>
  <si>
    <t>5TGD4wGudCuuksmKEYqkxC</t>
  </si>
  <si>
    <t>Limpeza de área externa, telhado e calhas, lavagem com hidrojateamento, até 50.00 m2</t>
  </si>
  <si>
    <t>13.03.04</t>
  </si>
  <si>
    <t>até 100.00 m2</t>
  </si>
  <si>
    <t>limpeza de área externa, telhado e calhas, lavagem com hidrojateamento, até 100.00 m2</t>
  </si>
  <si>
    <t>9qyMw6jj9fbsjnv1MSb1Wt</t>
  </si>
  <si>
    <t>Limpeza de área externa, telhado e calhas, lavagem com hidrojateamento, até 100.00 m2</t>
  </si>
  <si>
    <t>13.03.05</t>
  </si>
  <si>
    <t>até 200.00 m2</t>
  </si>
  <si>
    <t>limpeza de área externa, telhado e calhas, lavagem com hidrojateamento, até 200.00 m2</t>
  </si>
  <si>
    <t>JM5Scw5krr5HLMgs6EqxuG</t>
  </si>
  <si>
    <t>Limpeza de área externa, telhado e calhas, lavagem com hidrojateamento, até 200.00 m2</t>
  </si>
  <si>
    <t>13.03.06</t>
  </si>
  <si>
    <t>até 300.00 m2</t>
  </si>
  <si>
    <t>limpeza de área externa, telhado e calhas, lavagem com hidrojateamento, até 300.00 m2</t>
  </si>
  <si>
    <t>CgHNK9rxjB2jmhTjtXuQR1</t>
  </si>
  <si>
    <t>Limpeza de área externa, telhado e calhas, lavagem com hidrojateamento, até 300.00 m2</t>
  </si>
  <si>
    <t>13.03.07</t>
  </si>
  <si>
    <t>calhas</t>
  </si>
  <si>
    <t>limpeza de área externa, calhas, lavagem com hidrojateamento</t>
  </si>
  <si>
    <t>YVfVbg93J3uBfDLjkU25Bo</t>
  </si>
  <si>
    <t>Limpeza de área externa, calhas, lavagem com hidrojateamento</t>
  </si>
  <si>
    <t>13.04</t>
  </si>
  <si>
    <t>Jardim</t>
  </si>
  <si>
    <t>FbxRxnZD3VkH4r1pVMVAir</t>
  </si>
  <si>
    <t>13.04.01</t>
  </si>
  <si>
    <t>Corte e limpeza de grama</t>
  </si>
  <si>
    <t>corte e limpeza de grama, até 50.00 m2</t>
  </si>
  <si>
    <t>9Q6Dqaky3iW1QDY5bgM5BE</t>
  </si>
  <si>
    <t>Corte e limpeza de grama, até 50.00 m2</t>
  </si>
  <si>
    <t>13.04.02</t>
  </si>
  <si>
    <t>a partir de 50.00 m2</t>
  </si>
  <si>
    <t>corte e limpeza de grama, a partir de 50.00 m2</t>
  </si>
  <si>
    <t>C3JDmZanYDEMKVUjdJDAoq</t>
  </si>
  <si>
    <t>Corte e limpeza de grama, a partir de 50.00 m2</t>
  </si>
  <si>
    <t>13.04.03</t>
  </si>
  <si>
    <t>Poda de árvores</t>
  </si>
  <si>
    <t>pequeno porte</t>
  </si>
  <si>
    <t>poda de árvores, pequeno porte</t>
  </si>
  <si>
    <t>4GPkGcN92YQ1t9LsvMY5mb</t>
  </si>
  <si>
    <t>Poda de árvores, pequeno porte</t>
  </si>
  <si>
    <t>13.04.04</t>
  </si>
  <si>
    <t>Plantio de grama em placas</t>
  </si>
  <si>
    <t>com preparo de base</t>
  </si>
  <si>
    <t>até 50m2</t>
  </si>
  <si>
    <t>plantio de grama em placas, com preparo de base, até 50m2</t>
  </si>
  <si>
    <t>Plantio de grama em placas, com preparo de base, até 50m2</t>
  </si>
  <si>
    <t>13.04.05</t>
  </si>
  <si>
    <t>plantio de grama em placas, com preparo de base, até 150m2</t>
  </si>
  <si>
    <t>Plantio de grama em placas, com preparo de base, até 150m2</t>
  </si>
  <si>
    <t>13.04.06</t>
  </si>
  <si>
    <t>Aplicação de brita 01 para cobertura de solo</t>
  </si>
  <si>
    <t>aplicação de brita 01 para cobertura de solo, com preparo de base, até 50m2</t>
  </si>
  <si>
    <t>Aplicação de brita 01 para cobertura de solo, com preparo de base, até 50m2</t>
  </si>
  <si>
    <t>13.04.07</t>
  </si>
  <si>
    <t>aplicação de brita 01 para cobertura de solo, com preparo de base, até 150m2</t>
  </si>
  <si>
    <t>Aplicação de brita 01 para cobertura de solo, com preparo de base, até 150m2</t>
  </si>
  <si>
    <t>13.05</t>
  </si>
  <si>
    <t>Terreno</t>
  </si>
  <si>
    <t>YZtPztbbNXetpzkLFTkSvK</t>
  </si>
  <si>
    <t>13.05.01</t>
  </si>
  <si>
    <t>Corte e remoção de vegetação</t>
  </si>
  <si>
    <t>corte e remoção de vegetação, até 50.00 m2</t>
  </si>
  <si>
    <t>WtVBrej6MmRfMxmkqLQ9tU</t>
  </si>
  <si>
    <t>Corte e remoção de vegetação, até 50.00 m2</t>
  </si>
  <si>
    <t>13.05.02</t>
  </si>
  <si>
    <t>corte e remoção de vegetação, a partir de 50.00 m2</t>
  </si>
  <si>
    <t>Vsk4oUWcPbWmD1kio4j8od</t>
  </si>
  <si>
    <t>Corte e remoção de vegetação, a partir de 50.00 m2</t>
  </si>
  <si>
    <t>13.05.05</t>
  </si>
  <si>
    <t>aplicação de herbicida</t>
  </si>
  <si>
    <t>corte e remoção de vegetação, aplicação de herbicida, até 50.00 m2</t>
  </si>
  <si>
    <t>X9syHQHqs7E4ddFM3BBWD</t>
  </si>
  <si>
    <t>Corte e remoção de vegetação, aplicação de herbicida, até 50.00 m2</t>
  </si>
  <si>
    <t>13.05.06</t>
  </si>
  <si>
    <t>corte e remoção de vegetação, aplicação de herbicida, a partir de 50.00 m2</t>
  </si>
  <si>
    <t>P7PqddxgXhQcNoWrhXYMup</t>
  </si>
  <si>
    <t>Corte e remoção de vegetação, aplicação de herbicida, a partir de 50.00 m2</t>
  </si>
  <si>
    <t>13.06</t>
  </si>
  <si>
    <t>Móveis</t>
  </si>
  <si>
    <t>4SnSe6B9LKdV6ZD7rzp8jn</t>
  </si>
  <si>
    <t>13.06.01</t>
  </si>
  <si>
    <t>Higienização de colchão</t>
  </si>
  <si>
    <t>casal</t>
  </si>
  <si>
    <t>higienização de colchão, casal</t>
  </si>
  <si>
    <t>PHr21Akx2pC83H5rLHxpZi</t>
  </si>
  <si>
    <t>Higienização de colchão, casal</t>
  </si>
  <si>
    <t>14</t>
  </si>
  <si>
    <t>Limpeza com pintura</t>
  </si>
  <si>
    <t>14.01</t>
  </si>
  <si>
    <t>14.01.01</t>
  </si>
  <si>
    <t>Limpeza com pintura até 50 m²</t>
  </si>
  <si>
    <t>01)  Lavagem de áreas internas com desinfecção do ambiente
02)  Remoção com descarte de móveis, eletrodomésticos e demais residuos.
03)  Manutenção dos circuítos elétricos.
04)  Pintura geral de áreas internas
Limpeza com pintura até 50 m²</t>
  </si>
  <si>
    <t>01)  Lavagem geral de áreas internas (pisos, paredes e tetos) com aplicação de produtos que promovam a desinfecção do ambiente
02)  Remoção com descarte de móveis, eletrodomésticos e demais resíduos, conforme orientações públicas.
03)  Manutenção corretiva dos circuítos elétricos, com objetivo de avaliar as condições da rede elétrica, promover a limpeza, secagem e reestabelecimento do seu funcionamento. Caso seja encontrado algum problema que impeça o funcionamento da rede elétrica, será cobrado um serviço complementar.
04)  Pintura geral de áreas internas (paredes e tetos) com tinta acrílica na cor branca ou padrão. Caso o revestimento da parede esteja danificado, será cobrado um serviço complementar.</t>
  </si>
  <si>
    <t>limpeza com pintura até 50 m²</t>
  </si>
  <si>
    <t>14.01.02</t>
  </si>
  <si>
    <t>Limpeza com pintura até 100 m²</t>
  </si>
  <si>
    <t>01)  Lavagem de áreas internas com desinfecção do ambiente
02)  Remoção com descarte de móveis, eletrodomésticos e demais residuos.
03)  Manutenção dos circuítos elétricos.
04)  Pintura geral de áreas internas
Limpeza com pintura até 100 m²</t>
  </si>
  <si>
    <t>limpeza com pintura até 100 m²</t>
  </si>
  <si>
    <t>14.01.03</t>
  </si>
  <si>
    <t>Limpeza com pintura até 150 m²</t>
  </si>
  <si>
    <t>01)  Lavagem de áreas internas com desinfecção do ambiente
02)  Remoção com descarte de móveis, eletrodomésticos e demais residuos.
03)  Manutenção dos circuítos elétricos.
04)  Pintura geral de áreas internas
Limpeza com pintura até 150 m²</t>
  </si>
  <si>
    <t>limpeza com pintura até 150 m²</t>
  </si>
  <si>
    <t>14.01.04</t>
  </si>
  <si>
    <t>Limpeza com pintura até 200 m²</t>
  </si>
  <si>
    <t>01)  Lavagem de áreas internas com desinfecção do ambiente
02)  Remoção com descarte de móveis, eletrodomésticos e demais residuos.
03)  Manutenção dos circuítos elétricos.
04)  Pintura geral de áreas internas
Limpeza com pintura até 200 m²</t>
  </si>
  <si>
    <t>limpeza com pintura até 200 m²</t>
  </si>
  <si>
    <t>14.01.05</t>
  </si>
  <si>
    <t>Lavagem de caixa d'água</t>
  </si>
  <si>
    <t>Limpeza e desinfecção da caixa d'água e da rede hidráulica.</t>
  </si>
  <si>
    <t>Será executada a limpeza e desinfecção da caixa d'água e da rede hidráulica.
Caso encontre pontos de entupimento, será proposto um serviço complementar.</t>
  </si>
  <si>
    <t>lavagem de caixa d'água</t>
  </si>
  <si>
    <t>15</t>
  </si>
  <si>
    <t>Limpeza sem pintura</t>
  </si>
  <si>
    <t>15.01</t>
  </si>
  <si>
    <t>15.01.01</t>
  </si>
  <si>
    <t>Limpeza até 50 m²</t>
  </si>
  <si>
    <t>limpeza até 50 m²</t>
  </si>
  <si>
    <t>D</t>
  </si>
  <si>
    <t>E</t>
  </si>
  <si>
    <t>F</t>
  </si>
  <si>
    <t>G</t>
  </si>
  <si>
    <t>H</t>
  </si>
  <si>
    <t>I</t>
  </si>
  <si>
    <t>K</t>
  </si>
  <si>
    <t>L</t>
  </si>
  <si>
    <t>M</t>
  </si>
  <si>
    <t>C</t>
  </si>
  <si>
    <t>Troca do reparo de registro de gaveta</t>
  </si>
  <si>
    <t>Cozinha</t>
  </si>
  <si>
    <t>Caixa d'água</t>
  </si>
  <si>
    <t>Registro tipo esfera de plástico está danificado, sendo necessário a troca completa.
Local:Cozinha</t>
  </si>
  <si>
    <t>Registro tipo esfera de metal está danificado, sendo necessário a troca completa.
Local: Caixa d'água</t>
  </si>
  <si>
    <t>Plástico</t>
  </si>
  <si>
    <t>Metal</t>
  </si>
  <si>
    <t>Problema no registro esfera</t>
  </si>
  <si>
    <t>metal</t>
  </si>
  <si>
    <t>material metal</t>
  </si>
  <si>
    <t>plástico</t>
  </si>
  <si>
    <t>Rígido</t>
  </si>
  <si>
    <t>Tipo copo</t>
  </si>
  <si>
    <t>Plastico</t>
  </si>
  <si>
    <t>Vazamento de água devido a problemas no sifão.</t>
  </si>
  <si>
    <t>sanfonado</t>
  </si>
  <si>
    <t>Troca do sifão tipo sanfonado de metal</t>
  </si>
  <si>
    <t>Troca do sifão tipo rigido</t>
  </si>
  <si>
    <t>Troca do sifão tipo copo de plástico</t>
  </si>
  <si>
    <t>Troca do sifão tipo copo de Metal</t>
  </si>
  <si>
    <t>Troca de sif</t>
  </si>
  <si>
    <t>Troca de si</t>
  </si>
  <si>
    <t>Troca de sif e válvula para pia</t>
  </si>
  <si>
    <t>Vazamento no sifão plastico sanfonado, sifão quebrado</t>
  </si>
  <si>
    <t>Vazamento no sifão metal sanfonado, sifão quebrado</t>
  </si>
  <si>
    <t>Vazamento no sifão rigido, sifão quebrado</t>
  </si>
  <si>
    <t>Vazamento no sifão tipo copo plastico, sifão quebrado</t>
  </si>
  <si>
    <t>Vazamento no sifão tipo copo metal, sifão quebrado</t>
  </si>
  <si>
    <t>Vazamento no sifão, Vamento de água</t>
  </si>
  <si>
    <t>Banheiro</t>
  </si>
  <si>
    <t>Lavanderia</t>
  </si>
  <si>
    <t>Troca do sifão tipo sanfonado de plástico da Cozinha</t>
  </si>
  <si>
    <t>Troca do sifão tipo sanfonado de plástico do Banheiro</t>
  </si>
  <si>
    <t>Troca do sifão tipo sanfonado de plástico da Lavanderia</t>
  </si>
  <si>
    <t>Vazamento no sifão plastico sanfonado, sifão quebrado, Vazamento na saída de água da pia</t>
  </si>
  <si>
    <t>Material</t>
  </si>
  <si>
    <t>Situação 1</t>
  </si>
  <si>
    <t>Local</t>
  </si>
  <si>
    <t>Problemas relacionados</t>
  </si>
  <si>
    <t>Vazamento no sifão rigido, sifão quebrado, Vazamento na saída de água da pia</t>
  </si>
  <si>
    <t>sacada</t>
  </si>
  <si>
    <t>Sacada</t>
  </si>
  <si>
    <t>Sifão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</si>
</sst>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R$ -416]#,##0.00"/>
    <numFmt numFmtId="165" formatCode="0.0%"/>
  </numFmts>
  <fonts count="25" x14ac:knownFonts="1">
    <font>
      <sz val="10"/>
      <color rgb="FF000000"/>
      <name val="Arial"/>
      <scheme val="minor"/>
    </font>
    <font>
      <b/>
      <sz val="8"/>
      <color rgb="FFFFFFFF"/>
      <name val="Arial"/>
    </font>
    <font>
      <sz val="10"/>
      <color theme="1"/>
      <name val="Arial"/>
      <scheme val="minor"/>
    </font>
    <font>
      <b/>
      <sz val="10"/>
      <color theme="1"/>
      <name val="Arial"/>
    </font>
    <font>
      <b/>
      <sz val="10"/>
      <color rgb="FF34A853"/>
      <name val="Arial"/>
    </font>
    <font>
      <b/>
      <sz val="10"/>
      <color rgb="FFEA4335"/>
      <name val="Arial"/>
    </font>
    <font>
      <b/>
      <sz val="10"/>
      <color rgb="FFFF00FF"/>
      <name val="Arial"/>
    </font>
    <font>
      <b/>
      <sz val="10"/>
      <color rgb="FF1155CC"/>
      <name val="Arial"/>
    </font>
    <font>
      <sz val="10"/>
      <color theme="1"/>
      <name val="Arial"/>
    </font>
    <font>
      <sz val="10"/>
      <color rgb="FF34A853"/>
      <name val="Arial"/>
    </font>
    <font>
      <sz val="10"/>
      <color rgb="FFEA4335"/>
      <name val="Arial"/>
    </font>
    <font>
      <b/>
      <sz val="10"/>
      <color rgb="FF0000FF"/>
      <name val="Arial"/>
    </font>
    <font>
      <b/>
      <sz val="12"/>
      <color theme="1"/>
      <name val="Arial"/>
    </font>
    <font>
      <sz val="10"/>
      <color rgb="FFFF00FF"/>
      <name val="Arial"/>
    </font>
    <font>
      <sz val="10"/>
      <color rgb="FF1155CC"/>
      <name val="Arial"/>
    </font>
    <font>
      <sz val="10"/>
      <color rgb="FF0000FF"/>
      <name val="Arial"/>
    </font>
    <font>
      <u/>
      <sz val="10"/>
      <color rgb="FF1155CC"/>
      <name val="Arial"/>
    </font>
    <font>
      <b/>
      <sz val="10"/>
      <color rgb="FFFFFF00"/>
      <name val="Arial"/>
    </font>
    <font>
      <u/>
      <sz val="10"/>
      <color rgb="FF0000FF"/>
      <name val="Arial"/>
    </font>
    <font>
      <b/>
      <sz val="10"/>
      <color rgb="FFFF0000"/>
      <name val="Arial"/>
    </font>
    <font>
      <u/>
      <sz val="10"/>
      <color rgb="FF0000FF"/>
      <name val="Arial"/>
    </font>
    <font>
      <b/>
      <sz val="12"/>
      <color rgb="FFFF00FF"/>
      <name val="Arial"/>
    </font>
    <font>
      <sz val="10"/>
      <name val="Arial"/>
    </font>
    <font>
      <sz val="10"/>
      <color theme="1"/>
      <name val="Arial"/>
      <family val="2"/>
    </font>
    <font>
      <sz val="10"/>
      <color rgb="FFFF0000"/>
      <name val="Arial"/>
      <family val="2"/>
    </font>
  </fonts>
  <fills count="16">
    <fill>
      <patternFill patternType="none"/>
    </fill>
    <fill>
      <patternFill patternType="gray125"/>
    </fill>
    <fill>
      <patternFill patternType="solid">
        <fgColor rgb="FF6AA84F"/>
        <bgColor rgb="FF6AA84F"/>
      </patternFill>
    </fill>
    <fill>
      <patternFill patternType="solid">
        <fgColor rgb="FFFF0000"/>
        <bgColor rgb="FFFF0000"/>
      </patternFill>
    </fill>
    <fill>
      <patternFill patternType="solid">
        <fgColor rgb="FFA2C4C9"/>
        <bgColor rgb="FFA2C4C9"/>
      </patternFill>
    </fill>
    <fill>
      <patternFill patternType="solid">
        <fgColor rgb="FFB7B7B7"/>
        <bgColor rgb="FFB7B7B7"/>
      </patternFill>
    </fill>
    <fill>
      <patternFill patternType="solid">
        <fgColor rgb="FFEFEFEF"/>
        <bgColor rgb="FFEFEFEF"/>
      </patternFill>
    </fill>
    <fill>
      <patternFill patternType="solid">
        <fgColor rgb="FFFFF2CC"/>
        <bgColor rgb="FFFFF2CC"/>
      </patternFill>
    </fill>
    <fill>
      <patternFill patternType="solid">
        <fgColor rgb="FFF9CB9C"/>
        <bgColor rgb="FFF9CB9C"/>
      </patternFill>
    </fill>
    <fill>
      <patternFill patternType="solid">
        <fgColor rgb="FF00FF00"/>
        <bgColor rgb="FF00FF00"/>
      </patternFill>
    </fill>
    <fill>
      <patternFill patternType="solid">
        <fgColor rgb="FFEA9999"/>
        <bgColor rgb="FFEA9999"/>
      </patternFill>
    </fill>
    <fill>
      <patternFill patternType="solid">
        <fgColor rgb="FF3B84DB"/>
        <bgColor rgb="FF3B84DB"/>
      </patternFill>
    </fill>
    <fill>
      <patternFill patternType="solid">
        <fgColor rgb="FFE06666"/>
        <bgColor rgb="FFE06666"/>
      </patternFill>
    </fill>
    <fill>
      <patternFill patternType="solid">
        <fgColor rgb="FFC9DAF8"/>
        <bgColor rgb="FFC9DAF8"/>
      </patternFill>
    </fill>
    <fill>
      <patternFill patternType="solid">
        <fgColor rgb="FFF4CCCC"/>
        <bgColor rgb="FFF4CCCC"/>
      </patternFill>
    </fill>
    <fill>
      <patternFill patternType="solid">
        <fgColor rgb="FFD0E0E3"/>
        <bgColor rgb="FFD0E0E3"/>
      </patternFill>
    </fill>
  </fills>
  <borders count="1">
    <border>
      <left/>
      <right/>
      <top/>
      <bottom/>
      <diagonal/>
    </border>
  </borders>
  <cellStyleXfs count="1">
    <xf numFmtId="0" fontId="0" fillId="0" borderId="0"/>
  </cellStyleXfs>
  <cellXfs count="107">
    <xf numFmtId="0" fontId="0" fillId="0" borderId="0" xfId="0" applyFont="1" applyAlignment="1"/>
    <xf numFmtId="0" fontId="1" fillId="2" borderId="0" xfId="0" applyFont="1" applyFill="1" applyAlignment="1">
      <alignment horizontal="center"/>
    </xf>
    <xf numFmtId="14" fontId="1" fillId="2" borderId="0" xfId="0" applyNumberFormat="1" applyFont="1" applyFill="1" applyAlignment="1">
      <alignment horizontal="center"/>
    </xf>
    <xf numFmtId="0" fontId="1" fillId="3" borderId="0" xfId="0" applyFont="1" applyFill="1" applyAlignment="1">
      <alignment horizontal="center"/>
    </xf>
    <xf numFmtId="0" fontId="1" fillId="3" borderId="0" xfId="0" applyFont="1" applyFill="1" applyAlignment="1">
      <alignment horizontal="center" wrapText="1"/>
    </xf>
    <xf numFmtId="0" fontId="1" fillId="3" borderId="0" xfId="0" applyFont="1" applyFill="1" applyAlignment="1">
      <alignment horizontal="center" wrapText="1"/>
    </xf>
    <xf numFmtId="0" fontId="2" fillId="0" borderId="0" xfId="0" applyFont="1"/>
    <xf numFmtId="49" fontId="3" fillId="4" borderId="0" xfId="0" applyNumberFormat="1" applyFont="1" applyFill="1" applyAlignment="1">
      <alignment horizontal="center" vertical="center" wrapText="1"/>
    </xf>
    <xf numFmtId="0" fontId="3" fillId="4" borderId="0" xfId="0" applyFont="1" applyFill="1" applyAlignment="1">
      <alignment horizontal="center" vertical="center" wrapText="1"/>
    </xf>
    <xf numFmtId="0" fontId="3" fillId="4" borderId="0" xfId="0" applyFont="1" applyFill="1" applyAlignment="1">
      <alignment horizontal="center" vertical="center" wrapText="1"/>
    </xf>
    <xf numFmtId="164" fontId="3" fillId="4" borderId="0" xfId="0" applyNumberFormat="1" applyFont="1" applyFill="1" applyAlignment="1">
      <alignment horizontal="center" vertical="center" wrapText="1"/>
    </xf>
    <xf numFmtId="164" fontId="4" fillId="4" borderId="0" xfId="0" applyNumberFormat="1" applyFont="1" applyFill="1" applyAlignment="1">
      <alignment horizontal="center" vertical="center" wrapText="1"/>
    </xf>
    <xf numFmtId="4" fontId="3" fillId="4" borderId="0" xfId="0" applyNumberFormat="1" applyFont="1" applyFill="1" applyAlignment="1">
      <alignment horizontal="center" vertical="center" wrapText="1"/>
    </xf>
    <xf numFmtId="164" fontId="5" fillId="4" borderId="0" xfId="0" applyNumberFormat="1" applyFont="1" applyFill="1" applyAlignment="1">
      <alignment horizontal="center" vertical="center" wrapText="1"/>
    </xf>
    <xf numFmtId="165" fontId="5" fillId="4" borderId="0" xfId="0" applyNumberFormat="1" applyFont="1" applyFill="1" applyAlignment="1">
      <alignment horizontal="center" vertical="center" wrapText="1"/>
    </xf>
    <xf numFmtId="0" fontId="4" fillId="4" borderId="0" xfId="0" applyFont="1" applyFill="1" applyAlignment="1">
      <alignment horizontal="center" vertical="center" wrapText="1"/>
    </xf>
    <xf numFmtId="165" fontId="4" fillId="4" borderId="0" xfId="0" applyNumberFormat="1" applyFont="1" applyFill="1" applyAlignment="1">
      <alignment horizontal="center" vertical="center" wrapText="1"/>
    </xf>
    <xf numFmtId="0" fontId="6" fillId="4" borderId="0" xfId="0" applyFont="1" applyFill="1" applyAlignment="1">
      <alignment horizontal="center" vertical="center" wrapText="1"/>
    </xf>
    <xf numFmtId="164" fontId="6" fillId="4" borderId="0" xfId="0" applyNumberFormat="1" applyFont="1" applyFill="1" applyAlignment="1">
      <alignment horizontal="center" vertical="center" wrapText="1"/>
    </xf>
    <xf numFmtId="0" fontId="5" fillId="4" borderId="0" xfId="0" applyFont="1" applyFill="1" applyAlignment="1">
      <alignment horizontal="center" vertical="center" wrapText="1"/>
    </xf>
    <xf numFmtId="164" fontId="7" fillId="4" borderId="0" xfId="0" applyNumberFormat="1" applyFont="1" applyFill="1" applyAlignment="1">
      <alignment horizontal="center" vertical="center" wrapText="1"/>
    </xf>
    <xf numFmtId="0" fontId="2" fillId="4" borderId="0" xfId="0" applyFont="1" applyFill="1"/>
    <xf numFmtId="2" fontId="3" fillId="4" borderId="0" xfId="0" applyNumberFormat="1" applyFont="1" applyFill="1" applyAlignment="1">
      <alignment horizontal="center" vertical="center" wrapText="1"/>
    </xf>
    <xf numFmtId="49" fontId="3"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164" fontId="8" fillId="5" borderId="0" xfId="0" applyNumberFormat="1" applyFont="1" applyFill="1" applyAlignment="1">
      <alignment horizontal="center" vertical="center" wrapText="1"/>
    </xf>
    <xf numFmtId="14" fontId="8" fillId="5" borderId="0" xfId="0" applyNumberFormat="1" applyFont="1" applyFill="1" applyAlignment="1">
      <alignment horizontal="center" vertical="center" wrapText="1"/>
    </xf>
    <xf numFmtId="0" fontId="3" fillId="5" borderId="0" xfId="0" applyFont="1" applyFill="1" applyAlignment="1">
      <alignment horizontal="center" vertical="center" wrapText="1"/>
    </xf>
    <xf numFmtId="165" fontId="8" fillId="5" borderId="0" xfId="0" applyNumberFormat="1" applyFont="1" applyFill="1" applyAlignment="1">
      <alignment horizontal="center" vertical="center" wrapText="1"/>
    </xf>
    <xf numFmtId="4" fontId="8" fillId="5" borderId="0" xfId="0" applyNumberFormat="1" applyFont="1" applyFill="1" applyAlignment="1">
      <alignment horizontal="center" vertical="center" wrapText="1"/>
    </xf>
    <xf numFmtId="3" fontId="8" fillId="5" borderId="0" xfId="0" applyNumberFormat="1" applyFont="1" applyFill="1" applyAlignment="1">
      <alignment horizontal="center" vertical="center" wrapText="1"/>
    </xf>
    <xf numFmtId="9" fontId="8" fillId="5" borderId="0" xfId="0" applyNumberFormat="1" applyFont="1" applyFill="1" applyAlignment="1">
      <alignment horizontal="center" vertical="center" wrapText="1"/>
    </xf>
    <xf numFmtId="10" fontId="8" fillId="5" borderId="0" xfId="0" applyNumberFormat="1" applyFont="1" applyFill="1" applyAlignment="1">
      <alignment horizontal="center" vertical="center" wrapText="1"/>
    </xf>
    <xf numFmtId="2" fontId="8" fillId="5" borderId="0" xfId="0" applyNumberFormat="1" applyFont="1" applyFill="1" applyAlignment="1">
      <alignment horizontal="center" vertical="center" wrapText="1"/>
    </xf>
    <xf numFmtId="49" fontId="3" fillId="6" borderId="0" xfId="0" applyNumberFormat="1" applyFont="1" applyFill="1" applyAlignment="1">
      <alignment horizontal="center" vertical="center" wrapText="1"/>
    </xf>
    <xf numFmtId="0" fontId="8" fillId="6" borderId="0" xfId="0" applyFont="1" applyFill="1" applyAlignment="1">
      <alignment horizontal="center" vertical="center" wrapText="1"/>
    </xf>
    <xf numFmtId="164" fontId="8" fillId="6" borderId="0" xfId="0" applyNumberFormat="1" applyFont="1" applyFill="1" applyAlignment="1">
      <alignment horizontal="center" vertical="center" wrapText="1"/>
    </xf>
    <xf numFmtId="14" fontId="8" fillId="6" borderId="0" xfId="0" applyNumberFormat="1" applyFont="1" applyFill="1" applyAlignment="1">
      <alignment horizontal="center" vertical="center" wrapText="1"/>
    </xf>
    <xf numFmtId="0" fontId="3" fillId="6" borderId="0" xfId="0" applyFont="1" applyFill="1" applyAlignment="1">
      <alignment horizontal="center" vertical="center" wrapText="1"/>
    </xf>
    <xf numFmtId="165" fontId="8" fillId="6" borderId="0" xfId="0" applyNumberFormat="1" applyFont="1" applyFill="1" applyAlignment="1">
      <alignment horizontal="center" vertical="center" wrapText="1"/>
    </xf>
    <xf numFmtId="4" fontId="8" fillId="6" borderId="0" xfId="0" applyNumberFormat="1" applyFont="1" applyFill="1" applyAlignment="1">
      <alignment horizontal="center" vertical="center" wrapText="1"/>
    </xf>
    <xf numFmtId="3" fontId="8" fillId="6" borderId="0" xfId="0" applyNumberFormat="1" applyFont="1" applyFill="1" applyAlignment="1">
      <alignment horizontal="center" vertical="center" wrapText="1"/>
    </xf>
    <xf numFmtId="9" fontId="8" fillId="6" borderId="0" xfId="0" applyNumberFormat="1" applyFont="1" applyFill="1" applyAlignment="1">
      <alignment horizontal="center" vertical="center" wrapText="1"/>
    </xf>
    <xf numFmtId="10" fontId="8" fillId="6" borderId="0" xfId="0" applyNumberFormat="1" applyFont="1" applyFill="1" applyAlignment="1">
      <alignment horizontal="center" vertical="center" wrapText="1"/>
    </xf>
    <xf numFmtId="2" fontId="8" fillId="6" borderId="0" xfId="0" applyNumberFormat="1" applyFont="1" applyFill="1" applyAlignment="1">
      <alignment horizontal="center" vertical="center" wrapText="1"/>
    </xf>
    <xf numFmtId="49" fontId="8" fillId="7" borderId="0" xfId="0" applyNumberFormat="1" applyFont="1" applyFill="1" applyAlignment="1">
      <alignment horizontal="center" vertical="center" wrapText="1"/>
    </xf>
    <xf numFmtId="0" fontId="8" fillId="7" borderId="0" xfId="0" applyFont="1" applyFill="1" applyAlignment="1">
      <alignment horizontal="center" vertical="center" wrapText="1"/>
    </xf>
    <xf numFmtId="164" fontId="8" fillId="8" borderId="0" xfId="0" applyNumberFormat="1" applyFont="1" applyFill="1" applyAlignment="1">
      <alignment horizontal="center" vertical="center" wrapText="1"/>
    </xf>
    <xf numFmtId="0" fontId="8" fillId="9" borderId="0" xfId="0" applyFont="1" applyFill="1" applyAlignment="1">
      <alignment horizontal="center" vertical="center" wrapText="1"/>
    </xf>
    <xf numFmtId="164" fontId="9" fillId="7" borderId="0" xfId="0" applyNumberFormat="1" applyFont="1" applyFill="1" applyAlignment="1">
      <alignment horizontal="center" vertical="center" wrapText="1"/>
    </xf>
    <xf numFmtId="165" fontId="10" fillId="5" borderId="0" xfId="0" applyNumberFormat="1" applyFont="1" applyFill="1" applyAlignment="1">
      <alignment horizontal="center" vertical="center" wrapText="1"/>
    </xf>
    <xf numFmtId="4" fontId="11" fillId="5" borderId="0" xfId="0" applyNumberFormat="1" applyFont="1" applyFill="1" applyAlignment="1">
      <alignment horizontal="center" vertical="center" wrapText="1"/>
    </xf>
    <xf numFmtId="164" fontId="10" fillId="7" borderId="0" xfId="0" applyNumberFormat="1" applyFont="1" applyFill="1" applyAlignment="1">
      <alignment horizontal="center" vertical="center" wrapText="1"/>
    </xf>
    <xf numFmtId="165" fontId="10" fillId="7" borderId="0" xfId="0" applyNumberFormat="1" applyFont="1" applyFill="1" applyAlignment="1">
      <alignment horizontal="center" vertical="center" wrapText="1"/>
    </xf>
    <xf numFmtId="164" fontId="8" fillId="10" borderId="0" xfId="0" applyNumberFormat="1" applyFont="1" applyFill="1" applyAlignment="1">
      <alignment horizontal="center" vertical="center" wrapText="1"/>
    </xf>
    <xf numFmtId="165" fontId="9" fillId="7" borderId="0" xfId="0" applyNumberFormat="1" applyFont="1" applyFill="1" applyAlignment="1">
      <alignment horizontal="center" vertical="center" wrapText="1"/>
    </xf>
    <xf numFmtId="3" fontId="12" fillId="10" borderId="0" xfId="0" applyNumberFormat="1" applyFont="1" applyFill="1" applyAlignment="1">
      <alignment horizontal="center" vertical="center" wrapText="1"/>
    </xf>
    <xf numFmtId="9" fontId="13" fillId="7" borderId="0" xfId="0" applyNumberFormat="1" applyFont="1" applyFill="1" applyAlignment="1">
      <alignment horizontal="center" vertical="center" wrapText="1"/>
    </xf>
    <xf numFmtId="164" fontId="13" fillId="8" borderId="0" xfId="0" applyNumberFormat="1" applyFont="1" applyFill="1" applyAlignment="1">
      <alignment horizontal="center" vertical="center" wrapText="1"/>
    </xf>
    <xf numFmtId="10" fontId="10" fillId="7" borderId="0" xfId="0" applyNumberFormat="1" applyFont="1" applyFill="1" applyAlignment="1">
      <alignment horizontal="center" vertical="center" wrapText="1"/>
    </xf>
    <xf numFmtId="164" fontId="13" fillId="7" borderId="0" xfId="0" applyNumberFormat="1" applyFont="1" applyFill="1" applyAlignment="1">
      <alignment horizontal="center" vertical="center" wrapText="1"/>
    </xf>
    <xf numFmtId="165" fontId="13" fillId="7" borderId="0" xfId="0" applyNumberFormat="1" applyFont="1" applyFill="1" applyAlignment="1">
      <alignment horizontal="center" vertical="center" wrapText="1"/>
    </xf>
    <xf numFmtId="164" fontId="14" fillId="8" borderId="0" xfId="0" applyNumberFormat="1" applyFont="1" applyFill="1" applyAlignment="1">
      <alignment horizontal="center" vertical="center" wrapText="1"/>
    </xf>
    <xf numFmtId="0" fontId="8" fillId="8" borderId="0" xfId="0" applyFont="1" applyFill="1" applyAlignment="1">
      <alignment horizontal="center" vertical="center" wrapText="1"/>
    </xf>
    <xf numFmtId="14" fontId="8" fillId="7" borderId="0" xfId="0" applyNumberFormat="1" applyFont="1" applyFill="1" applyAlignment="1">
      <alignment horizontal="center" vertical="center" wrapText="1"/>
    </xf>
    <xf numFmtId="2" fontId="8" fillId="7" borderId="0" xfId="0" applyNumberFormat="1" applyFont="1" applyFill="1" applyAlignment="1">
      <alignment horizontal="center" vertical="center" wrapText="1"/>
    </xf>
    <xf numFmtId="0" fontId="8" fillId="11" borderId="0" xfId="0" applyFont="1" applyFill="1" applyAlignment="1">
      <alignment horizontal="center" vertical="center" wrapText="1"/>
    </xf>
    <xf numFmtId="165" fontId="15" fillId="5" borderId="0" xfId="0" applyNumberFormat="1" applyFont="1" applyFill="1" applyAlignment="1">
      <alignment horizontal="center" vertical="center" wrapText="1"/>
    </xf>
    <xf numFmtId="164" fontId="8" fillId="12" borderId="0" xfId="0" applyNumberFormat="1" applyFont="1" applyFill="1" applyAlignment="1">
      <alignment horizontal="center" vertical="center" wrapText="1"/>
    </xf>
    <xf numFmtId="3" fontId="12" fillId="12" borderId="0" xfId="0" applyNumberFormat="1" applyFont="1" applyFill="1" applyAlignment="1">
      <alignment horizontal="center" vertical="center" wrapText="1"/>
    </xf>
    <xf numFmtId="0" fontId="16" fillId="7" borderId="0" xfId="0" applyFont="1" applyFill="1" applyAlignment="1">
      <alignment horizontal="center" vertical="center" wrapText="1"/>
    </xf>
    <xf numFmtId="0" fontId="8" fillId="13" borderId="0" xfId="0" applyFont="1" applyFill="1" applyAlignment="1">
      <alignment horizontal="center" vertical="center" wrapText="1"/>
    </xf>
    <xf numFmtId="164" fontId="8" fillId="14" borderId="0" xfId="0" applyNumberFormat="1" applyFont="1" applyFill="1" applyAlignment="1">
      <alignment horizontal="center" vertical="center" wrapText="1"/>
    </xf>
    <xf numFmtId="3" fontId="12" fillId="14" borderId="0" xfId="0" applyNumberFormat="1" applyFont="1" applyFill="1" applyAlignment="1">
      <alignment horizontal="center" vertical="center" wrapText="1"/>
    </xf>
    <xf numFmtId="4" fontId="17" fillId="5" borderId="0" xfId="0" applyNumberFormat="1" applyFont="1" applyFill="1" applyAlignment="1">
      <alignment horizontal="center" vertical="center" wrapText="1"/>
    </xf>
    <xf numFmtId="164" fontId="8" fillId="3" borderId="0" xfId="0" applyNumberFormat="1" applyFont="1" applyFill="1" applyAlignment="1">
      <alignment horizontal="center" vertical="center" wrapText="1"/>
    </xf>
    <xf numFmtId="14" fontId="18" fillId="7" borderId="0" xfId="0" applyNumberFormat="1" applyFont="1" applyFill="1" applyAlignment="1">
      <alignment horizontal="center" vertical="center" wrapText="1"/>
    </xf>
    <xf numFmtId="4" fontId="19" fillId="5" borderId="0" xfId="0" applyNumberFormat="1" applyFont="1" applyFill="1" applyAlignment="1">
      <alignment horizontal="center" vertical="center" wrapText="1"/>
    </xf>
    <xf numFmtId="165" fontId="8" fillId="3" borderId="0" xfId="0" applyNumberFormat="1" applyFont="1" applyFill="1" applyAlignment="1">
      <alignment horizontal="center" vertical="center" wrapText="1"/>
    </xf>
    <xf numFmtId="164" fontId="13" fillId="3" borderId="0" xfId="0" applyNumberFormat="1" applyFont="1" applyFill="1" applyAlignment="1">
      <alignment horizontal="center" vertical="center" wrapText="1"/>
    </xf>
    <xf numFmtId="165" fontId="13" fillId="3" borderId="0" xfId="0" applyNumberFormat="1" applyFont="1" applyFill="1" applyAlignment="1">
      <alignment horizontal="center" vertical="center" wrapText="1"/>
    </xf>
    <xf numFmtId="0" fontId="8" fillId="15" borderId="0" xfId="0" applyFont="1" applyFill="1" applyAlignment="1">
      <alignment horizontal="center" vertical="center" wrapText="1"/>
    </xf>
    <xf numFmtId="0" fontId="3" fillId="7" borderId="0" xfId="0" applyFont="1" applyFill="1" applyAlignment="1">
      <alignment horizontal="center" vertical="center" wrapText="1"/>
    </xf>
    <xf numFmtId="164" fontId="8" fillId="7" borderId="0" xfId="0" applyNumberFormat="1" applyFont="1" applyFill="1" applyAlignment="1">
      <alignment horizontal="center" vertical="center" wrapText="1"/>
    </xf>
    <xf numFmtId="165" fontId="8" fillId="7" borderId="0" xfId="0" applyNumberFormat="1" applyFont="1" applyFill="1" applyAlignment="1">
      <alignment horizontal="center" vertical="center" wrapText="1"/>
    </xf>
    <xf numFmtId="10" fontId="8" fillId="7" borderId="0" xfId="0" applyNumberFormat="1" applyFont="1" applyFill="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vertical="center" wrapText="1"/>
    </xf>
    <xf numFmtId="0" fontId="2" fillId="4" borderId="0" xfId="0" applyFont="1" applyFill="1" applyAlignment="1">
      <alignment horizontal="center" vertical="center" wrapText="1"/>
    </xf>
    <xf numFmtId="0" fontId="20" fillId="7" borderId="0" xfId="0" applyFont="1" applyFill="1" applyAlignment="1">
      <alignment horizontal="center" vertical="center" wrapText="1"/>
    </xf>
    <xf numFmtId="4" fontId="3" fillId="5" borderId="0" xfId="0" applyNumberFormat="1" applyFont="1" applyFill="1" applyAlignment="1">
      <alignment horizontal="center" vertical="center" wrapText="1"/>
    </xf>
    <xf numFmtId="164" fontId="3" fillId="5" borderId="0" xfId="0" applyNumberFormat="1" applyFont="1" applyFill="1" applyAlignment="1">
      <alignment horizontal="center" vertical="center" wrapText="1"/>
    </xf>
    <xf numFmtId="164" fontId="4" fillId="5" borderId="0" xfId="0" applyNumberFormat="1" applyFont="1" applyFill="1" applyAlignment="1">
      <alignment horizontal="center" vertical="center" wrapText="1"/>
    </xf>
    <xf numFmtId="165" fontId="3" fillId="5" borderId="0" xfId="0" applyNumberFormat="1" applyFont="1" applyFill="1" applyAlignment="1">
      <alignment horizontal="center" vertical="center" wrapText="1"/>
    </xf>
    <xf numFmtId="164" fontId="5" fillId="5" borderId="0" xfId="0" applyNumberFormat="1" applyFont="1" applyFill="1" applyAlignment="1">
      <alignment horizontal="center" vertical="center" wrapText="1"/>
    </xf>
    <xf numFmtId="165" fontId="5" fillId="5" borderId="0" xfId="0" applyNumberFormat="1" applyFont="1" applyFill="1" applyAlignment="1">
      <alignment horizontal="center" vertical="center" wrapText="1"/>
    </xf>
    <xf numFmtId="165" fontId="4" fillId="5" borderId="0" xfId="0" applyNumberFormat="1" applyFont="1" applyFill="1" applyAlignment="1">
      <alignment horizontal="center" vertical="center" wrapText="1"/>
    </xf>
    <xf numFmtId="3" fontId="21" fillId="5" borderId="0" xfId="0" applyNumberFormat="1" applyFont="1" applyFill="1" applyAlignment="1">
      <alignment horizontal="center" vertical="center" wrapText="1"/>
    </xf>
    <xf numFmtId="9" fontId="6" fillId="5" borderId="0" xfId="0" applyNumberFormat="1" applyFont="1" applyFill="1" applyAlignment="1">
      <alignment horizontal="center" vertical="center" wrapText="1"/>
    </xf>
    <xf numFmtId="164" fontId="6" fillId="5" borderId="0" xfId="0" applyNumberFormat="1" applyFont="1" applyFill="1" applyAlignment="1">
      <alignment horizontal="center" vertical="center" wrapText="1"/>
    </xf>
    <xf numFmtId="10" fontId="5" fillId="5" borderId="0" xfId="0" applyNumberFormat="1" applyFont="1" applyFill="1" applyAlignment="1">
      <alignment horizontal="center" vertical="center" wrapText="1"/>
    </xf>
    <xf numFmtId="165" fontId="6" fillId="5" borderId="0" xfId="0" applyNumberFormat="1" applyFont="1" applyFill="1" applyAlignment="1">
      <alignment horizontal="center" vertical="center" wrapText="1"/>
    </xf>
    <xf numFmtId="164" fontId="7" fillId="5" borderId="0" xfId="0" applyNumberFormat="1" applyFont="1" applyFill="1" applyAlignment="1">
      <alignment horizontal="center" vertical="center" wrapText="1"/>
    </xf>
    <xf numFmtId="14" fontId="3" fillId="5" borderId="0" xfId="0" applyNumberFormat="1" applyFont="1" applyFill="1" applyAlignment="1">
      <alignment horizontal="center" vertical="center" wrapText="1"/>
    </xf>
    <xf numFmtId="0" fontId="24" fillId="7" borderId="0" xfId="0" applyFont="1" applyFill="1" applyAlignment="1">
      <alignment horizontal="center" vertical="center" wrapText="1"/>
    </xf>
    <xf numFmtId="0" fontId="23" fillId="7" borderId="0" xfId="0" applyFont="1" applyFill="1" applyAlignment="1">
      <alignment horizontal="center" vertical="center" wrapText="1"/>
    </xf>
    <xf numFmtId="0" fontId="23" fillId="9"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6" Type="http://schemas.openxmlformats.org/officeDocument/2006/relationships/hyperlink" Target="https://www.leroymerlin.com.br/cabo-flexivel-4mm-100metros-preto-750v-atoxsil-sil-fios_89510652" TargetMode="External"/><Relationship Id="rId21" Type="http://schemas.openxmlformats.org/officeDocument/2006/relationships/hyperlink" Target="https://www.leroymerlin.com.br/cabo-flexivel-2,5mm-100metros-preto-750v-atoxsil-sil-fios_89510596" TargetMode="External"/><Relationship Id="rId42" Type="http://schemas.openxmlformats.org/officeDocument/2006/relationships/hyperlink" Target="https://www.leroymerlin.com.br/cabo-flex--750v-10mm-branco-bobina-100m-sil_1570843158" TargetMode="External"/><Relationship Id="rId47" Type="http://schemas.openxmlformats.org/officeDocument/2006/relationships/hyperlink" Target="https://www.leroymerlin.com.br/disjuntor-din-monopolar-easy9-1p-40a-curva-c-3000a-schneider_90262571" TargetMode="External"/><Relationship Id="rId63" Type="http://schemas.openxmlformats.org/officeDocument/2006/relationships/hyperlink" Target="https://www.leroymerlin.com.br/cj-tomada-20a-horizontal-4x2--tramontina-lux2-57145-013_1566862800" TargetMode="External"/><Relationship Id="rId68" Type="http://schemas.openxmlformats.org/officeDocument/2006/relationships/hyperlink" Target="https://www.leroymerlin.com.br/conjunto-4x2-com-3-tomadas-2p-t-20-a-250-v-tramontina-izyflat-branco_1571344789" TargetMode="External"/><Relationship Id="rId16" Type="http://schemas.openxmlformats.org/officeDocument/2006/relationships/hyperlink" Target="https://www.leroymerlin.com.br/cabo-flexivel-sil-750v-10mm-preto_1571224715" TargetMode="External"/><Relationship Id="rId11" Type="http://schemas.openxmlformats.org/officeDocument/2006/relationships/hyperlink" Target="https://www.leroymerlin.com.br/cabo-flexivel-sil-750v-10mm-preto_1571224715" TargetMode="External"/><Relationship Id="rId24" Type="http://schemas.openxmlformats.org/officeDocument/2006/relationships/hyperlink" Target="https://www.leroymerlin.com.br/cabo-flexivel-4mm-100metros-preto-750v-atoxsil-sil-fios_89510652" TargetMode="External"/><Relationship Id="rId32" Type="http://schemas.openxmlformats.org/officeDocument/2006/relationships/hyperlink" Target="https://www.leroymerlin.com.br/disjuntor-din-bipolar-easy9-2p-32a-curva-c-3000a-schneider_90262641" TargetMode="External"/><Relationship Id="rId37" Type="http://schemas.openxmlformats.org/officeDocument/2006/relationships/hyperlink" Target="https://www.leroymerlin.com.br/disjuntor-din-monopolar-easy9-1p-40a-curva-c-3000a-schneider_90262571" TargetMode="External"/><Relationship Id="rId40" Type="http://schemas.openxmlformats.org/officeDocument/2006/relationships/hyperlink" Target="https://www.leroymerlin.com.br/disjuntor-din-bipolar-easy9-2p-32a-curva-c-3000a-schneider_90262641" TargetMode="External"/><Relationship Id="rId45" Type="http://schemas.openxmlformats.org/officeDocument/2006/relationships/hyperlink" Target="https://www.leroymerlin.com.br/disjuntor-din-monopolar-easy9-1p-40a-curva-c-3000a-schneider_90262571" TargetMode="External"/><Relationship Id="rId53" Type="http://schemas.openxmlformats.org/officeDocument/2006/relationships/hyperlink" Target="https://www.leroymerlin.com.br/lampada-led-ar70-4,8w-24o-gu10-taschibra-bivolt-4000k-neutro-suave_1568120602" TargetMode="External"/><Relationship Id="rId58" Type="http://schemas.openxmlformats.org/officeDocument/2006/relationships/hyperlink" Target="https://www.leroymerlin.com.br/luminaria-de-teto-sobrepor-led-18w-luz-branca-blumenau_89699813" TargetMode="External"/><Relationship Id="rId66" Type="http://schemas.openxmlformats.org/officeDocument/2006/relationships/hyperlink" Target="https://www.leroymerlin.com.br/conjunto-2-tomada-energia-dupla-10a-250v-branco-habitat-fame_89430523?_gl=1*1u67gr5*_ga*MTE1MzYxNDkyMS4xNjc1MTYyMzIx*_ga_H3FWJKTQEQ*MTY5MTc2MjgyMS4yNTEuMS4xNjkxNzYyODI4LjUzLjAuMA.." TargetMode="External"/><Relationship Id="rId74" Type="http://schemas.openxmlformats.org/officeDocument/2006/relationships/hyperlink" Target="https://produto.mercadolivre.com.br/MLB-1912908629-video-porteiro-interfone-com-camera-lvr1010-viso-noturna-_JM?variation=87622891764" TargetMode="External"/><Relationship Id="rId5" Type="http://schemas.openxmlformats.org/officeDocument/2006/relationships/hyperlink" Target="https://www.leroymerlin.com.br/disjuntores/tipo-de-disjuntor/Din?order=menor-preco&amp;filter%5Bmarca%5D=Schneider&amp;filter%5Btipos-de-polos%5D=Tripolar" TargetMode="External"/><Relationship Id="rId61" Type="http://schemas.openxmlformats.org/officeDocument/2006/relationships/hyperlink" Target="https://www.leroymerlin.com.br/luminaria-led-tube-2x60-embutir-branco-sevilha-6500k-tualux_1567332235" TargetMode="External"/><Relationship Id="rId19" Type="http://schemas.openxmlformats.org/officeDocument/2006/relationships/hyperlink" Target="https://www.leroymerlin.com.br/cabo-flexivel-1,5mm-100metros-preto-750v-atoxsil-sil-fios_89510533" TargetMode="External"/><Relationship Id="rId14" Type="http://schemas.openxmlformats.org/officeDocument/2006/relationships/hyperlink" Target="https://www.leroymerlin.com.br/cabo-flexivel-sil-750v-10mm-preto_1571224715" TargetMode="External"/><Relationship Id="rId22" Type="http://schemas.openxmlformats.org/officeDocument/2006/relationships/hyperlink" Target="https://www.leroymerlin.com.br/cabo-flexivel-2,5mm-100metros-preto-750v-atoxsil-sil-fios_89510596" TargetMode="External"/><Relationship Id="rId27" Type="http://schemas.openxmlformats.org/officeDocument/2006/relationships/hyperlink" Target="https://www.leroymerlin.com.br/cabo-flexivel-4mm-100metros-preto-750v-atoxsil-sil-fios_89510652" TargetMode="External"/><Relationship Id="rId30" Type="http://schemas.openxmlformats.org/officeDocument/2006/relationships/hyperlink" Target="https://www.leroymerlin.com.br/cabo-flexivel-4mm-100metros-preto-750v-atoxsil-sil-fios_89510652" TargetMode="External"/><Relationship Id="rId35" Type="http://schemas.openxmlformats.org/officeDocument/2006/relationships/hyperlink" Target="https://www.leroymerlin.com.br/cabo-flexivel-6mm-100metros-preto-750v-atoxsil-sil-fios_89510764" TargetMode="External"/><Relationship Id="rId43" Type="http://schemas.openxmlformats.org/officeDocument/2006/relationships/hyperlink" Target="https://www.leroymerlin.com.br/cabo-flex--750v-10mm-branco-bobina-100m-sil_1570843158" TargetMode="External"/><Relationship Id="rId48" Type="http://schemas.openxmlformats.org/officeDocument/2006/relationships/hyperlink" Target="https://www.leroymerlin.com.br/cabo-flexivel-1,5mm-100metros-verde-750v-atoxsil-sil-fios_89510582" TargetMode="External"/><Relationship Id="rId56" Type="http://schemas.openxmlformats.org/officeDocument/2006/relationships/hyperlink" Target="https://www.leroymerlin.com.br/luminaria-led-arandela-tartaruga-fit-oval-7w-6500k-luz-branca-bivolt-jardim-area-interna-externa-ip65-startec_1571059463" TargetMode="External"/><Relationship Id="rId64" Type="http://schemas.openxmlformats.org/officeDocument/2006/relationships/hyperlink" Target="https://www.leroymerlin.com.br/conjunto-1-tomada-10a-fame-modulare-1429_1568293132" TargetMode="External"/><Relationship Id="rId69" Type="http://schemas.openxmlformats.org/officeDocument/2006/relationships/hyperlink" Target="https://www.leroymerlin.com.br/sensor-de-presenca-fotocelula-interno-bivolt-qualitronix_89562123" TargetMode="External"/><Relationship Id="rId77" Type="http://schemas.openxmlformats.org/officeDocument/2006/relationships/comments" Target="../comments1.xml"/><Relationship Id="rId8" Type="http://schemas.openxmlformats.org/officeDocument/2006/relationships/hyperlink" Target="https://www.leroymerlin.com.br/disjuntor-dr-tetrapolar-400v-80a-30ma-steck_89685274" TargetMode="External"/><Relationship Id="rId51" Type="http://schemas.openxmlformats.org/officeDocument/2006/relationships/hyperlink" Target="https://www.leroymerlin.com.br/cabo-flexivel-1,5mm-100metros-verde-750v-atoxsil-sil-fios_89510582" TargetMode="External"/><Relationship Id="rId72" Type="http://schemas.openxmlformats.org/officeDocument/2006/relationships/hyperlink" Target="https://www.leroymerlin.com.br/kit-porteiro-eletronico-residencial-ipr-1010-intelbras_89744536" TargetMode="External"/><Relationship Id="rId3" Type="http://schemas.openxmlformats.org/officeDocument/2006/relationships/hyperlink" Target="https://www.leroymerlin.com.br/disjuntores/tipo-de-disjuntor/Din?filter%5Btipos-de-polos%5D=Bipolar&amp;order=menor-preco&amp;filter%5Bmarca%5D=Schneider" TargetMode="External"/><Relationship Id="rId12" Type="http://schemas.openxmlformats.org/officeDocument/2006/relationships/hyperlink" Target="https://www.leroymerlin.com.br/cabo-flexivel-sil-750v-10mm-preto_1571224715" TargetMode="External"/><Relationship Id="rId17" Type="http://schemas.openxmlformats.org/officeDocument/2006/relationships/hyperlink" Target="https://www.leroymerlin.com.br/cabo-flexivel-sil-750v-10mm-preto_1571224715" TargetMode="External"/><Relationship Id="rId25" Type="http://schemas.openxmlformats.org/officeDocument/2006/relationships/hyperlink" Target="https://www.leroymerlin.com.br/cabo-flexivel-4mm-100metros-preto-750v-atoxsil-sil-fios_89510652" TargetMode="External"/><Relationship Id="rId33" Type="http://schemas.openxmlformats.org/officeDocument/2006/relationships/hyperlink" Target="https://www.leroymerlin.com.br/cabo-flexivel-6mm-100metros-preto-750v-atoxsil-sil-fios_89510764" TargetMode="External"/><Relationship Id="rId38" Type="http://schemas.openxmlformats.org/officeDocument/2006/relationships/hyperlink" Target="https://www.leroymerlin.com.br/disjuntor-din-monopolar-easy9-1p-40a-curva-c-3000a-schneider_90262571" TargetMode="External"/><Relationship Id="rId46" Type="http://schemas.openxmlformats.org/officeDocument/2006/relationships/hyperlink" Target="https://www.leroymerlin.com.br/disjuntor-din-monopolar-easy9-1p-40a-curva-c-3000a-schneider_90262571" TargetMode="External"/><Relationship Id="rId59" Type="http://schemas.openxmlformats.org/officeDocument/2006/relationships/hyperlink" Target="https://www.leroymerlin.com.br/luminaria-de-teto-led-18w-luz-branca-llum-bronzearte_90843431" TargetMode="External"/><Relationship Id="rId67" Type="http://schemas.openxmlformats.org/officeDocument/2006/relationships/hyperlink" Target="https://www.leroymerlin.com.br/cj-tomada-tripla-10a-4x2-tramontina-lux2-tlx57145-076br_1566862796" TargetMode="External"/><Relationship Id="rId20" Type="http://schemas.openxmlformats.org/officeDocument/2006/relationships/hyperlink" Target="https://www.leroymerlin.com.br/cabo-flexivel-1,5mm-100metros-preto-750v-atoxsil-sil-fios_89510533" TargetMode="External"/><Relationship Id="rId41" Type="http://schemas.openxmlformats.org/officeDocument/2006/relationships/hyperlink" Target="https://www.leroymerlin.com.br/disjuntor-din-bipolar-easy9-2p-32a-curva-c-3000a-schneider_90262641" TargetMode="External"/><Relationship Id="rId54" Type="http://schemas.openxmlformats.org/officeDocument/2006/relationships/hyperlink" Target="https://www.leroymerlin.com.br/lampada-de-led-gu10-mr16-6,5w-525lm-luz-amarela-bivolt-black---decker_91915663" TargetMode="External"/><Relationship Id="rId62" Type="http://schemas.openxmlformats.org/officeDocument/2006/relationships/hyperlink" Target="https://www.leroymerlin.com.br/luminaria-taschibra-de-emergencia-30-leds-pratic-tle-06-bivolt--6000k-luz-branca_1570472271" TargetMode="External"/><Relationship Id="rId70" Type="http://schemas.openxmlformats.org/officeDocument/2006/relationships/hyperlink" Target="https://www.leroymerlin.com.br/telefone-de-parede-interfone-cinza-tc20-intelbras_87842706" TargetMode="External"/><Relationship Id="rId75" Type="http://schemas.openxmlformats.org/officeDocument/2006/relationships/hyperlink" Target="https://produto.mercadolivre.com.br/MLB-1112653667-interfone-com-video-hdl-cmera-infra-com-viso-noturna-sense-classic-s-original-com-nota-fiscal-e-garantia-de-1-ano-_JM" TargetMode="External"/><Relationship Id="rId1" Type="http://schemas.openxmlformats.org/officeDocument/2006/relationships/hyperlink" Target="https://www.leroymerlin.com.br/disjuntores/tipo-de-disjuntor/Din?filter%5Btipos-de-polos%5D=Monopolar&amp;order=melhor-preco&amp;filter%5Bmarca%5D=Schneider" TargetMode="External"/><Relationship Id="rId6" Type="http://schemas.openxmlformats.org/officeDocument/2006/relationships/hyperlink" Target="https://www.leroymerlin.com.br/disjuntor-dr-bipolar-63a-300ma-steck_88508035" TargetMode="External"/><Relationship Id="rId15" Type="http://schemas.openxmlformats.org/officeDocument/2006/relationships/hyperlink" Target="https://www.leroymerlin.com.br/cabo-flexivel-sil-750v-10mm-preto_1571224715" TargetMode="External"/><Relationship Id="rId23" Type="http://schemas.openxmlformats.org/officeDocument/2006/relationships/hyperlink" Target="https://www.leroymerlin.com.br/cabo-flexivel-2,5mm-100metros-preto-750v-atoxsil-sil-fios_89510596" TargetMode="External"/><Relationship Id="rId28" Type="http://schemas.openxmlformats.org/officeDocument/2006/relationships/hyperlink" Target="https://www.leroymerlin.com.br/cabo-flexivel-4mm-100metros-preto-750v-atoxsil-sil-fios_89510652" TargetMode="External"/><Relationship Id="rId36" Type="http://schemas.openxmlformats.org/officeDocument/2006/relationships/hyperlink" Target="https://www.leroymerlin.com.br/disjuntor-din-monopolar-easy9-1p-40a-curva-c-3000a-schneider_90262571" TargetMode="External"/><Relationship Id="rId49" Type="http://schemas.openxmlformats.org/officeDocument/2006/relationships/hyperlink" Target="https://www.leroymerlin.com.br/cabo-flexivel-1,5mm-100metros-verde-750v-atoxsil-sil-fios_89510582" TargetMode="External"/><Relationship Id="rId57" Type="http://schemas.openxmlformats.org/officeDocument/2006/relationships/hyperlink" Target="https://www.leroymerlin.com.br/painel-plafon-led-6w-luminaria-sobrepor-redondo-branco-quente-st534_1566733185" TargetMode="External"/><Relationship Id="rId10" Type="http://schemas.openxmlformats.org/officeDocument/2006/relationships/hyperlink" Target="https://www.leroymerlin.com.br/cabo-flexivel-sil-750v-10mm-preto_1571224715" TargetMode="External"/><Relationship Id="rId31" Type="http://schemas.openxmlformats.org/officeDocument/2006/relationships/hyperlink" Target="https://www.leroymerlin.com.br/disjuntor-din-bipolar-easy9-2p-32a-curva-c-3000a-schneider_90262641" TargetMode="External"/><Relationship Id="rId44" Type="http://schemas.openxmlformats.org/officeDocument/2006/relationships/hyperlink" Target="https://www.leroymerlin.com.br/cabo-flex--750v-10mm-branco-bobina-100m-sil_1570843158" TargetMode="External"/><Relationship Id="rId52" Type="http://schemas.openxmlformats.org/officeDocument/2006/relationships/hyperlink" Target="https://www.leroymerlin.com.br/lampada-par20-led-7w-2700k-branco-quente-e27-bivolt_1569620717" TargetMode="External"/><Relationship Id="rId60" Type="http://schemas.openxmlformats.org/officeDocument/2006/relationships/hyperlink" Target="https://www.leroymerlin.com.br/luminaria-tl-slim-10-embutir-autovolt--taschibra-branco_1568543909" TargetMode="External"/><Relationship Id="rId65" Type="http://schemas.openxmlformats.org/officeDocument/2006/relationships/hyperlink" Target="https://www.leroymerlin.com.br/cj-tomada-dupla-10a-4x2-tramontina-lux2-tlx57145-065br_1566862793?_gl=1*j3a6we*_ga*MTE1MzYxNDkyMS4xNjc1MTYyMzIx*_ga_H3FWJKTQEQ*MTY5MTc2MjgyMS4yNTEuMS4xNjkxNzYzMjAwLjE2LjAuMA.." TargetMode="External"/><Relationship Id="rId73" Type="http://schemas.openxmlformats.org/officeDocument/2006/relationships/hyperlink" Target="https://www.leroymerlin.com.br/kit-porteiro-eletronico-residencial-audio-class-branco-hdl_92179591" TargetMode="External"/><Relationship Id="rId4" Type="http://schemas.openxmlformats.org/officeDocument/2006/relationships/hyperlink" Target="https://www.leroymerlin.com.br/disjuntores/tipo-de-disjuntor/Din?order=menor-preco&amp;filter%5Bmarca%5D=Schneider&amp;filter%5Btipos-de-polos%5D=Tripolar" TargetMode="External"/><Relationship Id="rId9" Type="http://schemas.openxmlformats.org/officeDocument/2006/relationships/hyperlink" Target="https://www.leroymerlin.com.br/cabo-flexivel-sil-750v-10mm-preto_1571224715" TargetMode="External"/><Relationship Id="rId13" Type="http://schemas.openxmlformats.org/officeDocument/2006/relationships/hyperlink" Target="https://www.leroymerlin.com.br/cabo-flexivel-sil-750v-10mm-preto_1571224715" TargetMode="External"/><Relationship Id="rId18" Type="http://schemas.openxmlformats.org/officeDocument/2006/relationships/hyperlink" Target="https://www.leroymerlin.com.br/cabo-flexivel-1,5mm-100metros-preto-750v-atoxsil-sil-fios_89510533" TargetMode="External"/><Relationship Id="rId39" Type="http://schemas.openxmlformats.org/officeDocument/2006/relationships/hyperlink" Target="https://www.leroymerlin.com.br/disjuntor-din-bipolar-easy9-2p-32a-curva-c-3000a-schneider_90262641" TargetMode="External"/><Relationship Id="rId34" Type="http://schemas.openxmlformats.org/officeDocument/2006/relationships/hyperlink" Target="https://www.leroymerlin.com.br/cabo-flexivel-6mm-100metros-preto-750v-atoxsil-sil-fios_89510764" TargetMode="External"/><Relationship Id="rId50" Type="http://schemas.openxmlformats.org/officeDocument/2006/relationships/hyperlink" Target="https://www.leroymerlin.com.br/cabo-flexivel-1,5mm-100metros-verde-750v-atoxsil-sil-fios_89510582" TargetMode="External"/><Relationship Id="rId55" Type="http://schemas.openxmlformats.org/officeDocument/2006/relationships/hyperlink" Target="https://www.leroymerlin.com.br/spot-de-embutir-redondo-led-9w-luz-amarela-inspire-bivolt_91037282" TargetMode="External"/><Relationship Id="rId76" Type="http://schemas.openxmlformats.org/officeDocument/2006/relationships/vmlDrawing" Target="../drawings/vmlDrawing1.vml"/><Relationship Id="rId7" Type="http://schemas.openxmlformats.org/officeDocument/2006/relationships/hyperlink" Target="https://www.leroymerlin.com.br/disjuntor-dr-tetrapolar-63a-30ma-steck_88508091" TargetMode="External"/><Relationship Id="rId71" Type="http://schemas.openxmlformats.org/officeDocument/2006/relationships/hyperlink" Target="https://www.leroymerlin.com.br/interfone-eletronico-residencial--az-s02-hdl_89036633" TargetMode="External"/><Relationship Id="rId2" Type="http://schemas.openxmlformats.org/officeDocument/2006/relationships/hyperlink" Target="https://www.leroymerlin.com.br/disjuntores/tipo-de-disjuntor/Din?filter%5Btipos-de-polos%5D=Bipolar&amp;order=menor-preco&amp;filter%5Bmarca%5D=Schneider" TargetMode="External"/><Relationship Id="rId29" Type="http://schemas.openxmlformats.org/officeDocument/2006/relationships/hyperlink" Target="https://www.leroymerlin.com.br/disjuntor-din-monopolar-easy9-1p-25a-curva-c-3000a-schneider_90262550"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leroymerlin.com.br/fechadura-bate-e-fecha-para-janela-de-correr-v-v-preto_1567043700" TargetMode="External"/><Relationship Id="rId1" Type="http://schemas.openxmlformats.org/officeDocument/2006/relationships/hyperlink" Target="https://www.leroymerlin.com.br/puxador-para-box-de-banheiro-abs-branco_1566952087" TargetMode="Externa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leroymerlin.com.br/porta-de-aluminio-basculante-2,10-x-0,90-direita-linha-all-modular-cor-brilhante_1566764337" TargetMode="External"/><Relationship Id="rId13" Type="http://schemas.openxmlformats.org/officeDocument/2006/relationships/hyperlink" Target="https://www.leroymerlin.com.br/porta-de-aluminio-palheta-2,10-x-0,80-esquerda-linha-all-soft-cor-brilhante_1566774980" TargetMode="External"/><Relationship Id="rId18" Type="http://schemas.openxmlformats.org/officeDocument/2006/relationships/hyperlink" Target="https://www.leroymerlin.com.br/porta-veneziana-de-giro-aluminio-branco-com-fechadura-2,10x0,80m-lado-esquerdo-linha-home-3a-aluminio_89302962" TargetMode="External"/><Relationship Id="rId26" Type="http://schemas.openxmlformats.org/officeDocument/2006/relationships/hyperlink" Target="https://www.leroymerlin.com.br/fechadura-de-sobrepor-eletrica-multiponto-preta--52019561--pado_1571488836" TargetMode="External"/><Relationship Id="rId3" Type="http://schemas.openxmlformats.org/officeDocument/2006/relationships/hyperlink" Target="https://www.leroymerlin.com.br/porta-de-aluminio-brilhante-palheta-cmc-modular-lado-direito-2-10--a--x-0-80--l-_1566791752" TargetMode="External"/><Relationship Id="rId21" Type="http://schemas.openxmlformats.org/officeDocument/2006/relationships/hyperlink" Target="https://www.leroymerlin.com.br/fecho-concha-com-chave-para-porta-balcao-branco-fec44_1568939399" TargetMode="External"/><Relationship Id="rId7" Type="http://schemas.openxmlformats.org/officeDocument/2006/relationships/hyperlink" Target="https://www.leroymerlin.com.br/porta-de-aluminio-palheta-2,10-x-0,80-esquerda-linha-all-soft-cor-brilhante_1566774980" TargetMode="External"/><Relationship Id="rId12" Type="http://schemas.openxmlformats.org/officeDocument/2006/relationships/hyperlink" Target="https://www.leroymerlin.com.br/porta-veneziana-de-giro-aluminio-branco-com-fechadura-2,10x0,80m-lado-esquerdo-linha-home-3a-aluminio_89302962" TargetMode="External"/><Relationship Id="rId17" Type="http://schemas.openxmlformats.org/officeDocument/2006/relationships/hyperlink" Target="https://www.leroymerlin.com.br/porta-postigo-de-giro-aluminio-branco-grade-vertical-com-fechadura-2,10x0,80m-lado-esquerdo-linha-home-3a-aluminio_89361013" TargetMode="External"/><Relationship Id="rId25" Type="http://schemas.openxmlformats.org/officeDocument/2006/relationships/hyperlink" Target="https://www.leroymerlin.com.br/fechadura-eletrica-stam-12v-40mm-preto-fosco-de-aco-inox_1567352265" TargetMode="External"/><Relationship Id="rId2" Type="http://schemas.openxmlformats.org/officeDocument/2006/relationships/hyperlink" Target="https://www.leroymerlin.com.br/porta-de-aluminio-basculante-2,10-x-0,90-direita-linha-all-modular-cor-brilhante_1566764337" TargetMode="External"/><Relationship Id="rId16" Type="http://schemas.openxmlformats.org/officeDocument/2006/relationships/hyperlink" Target="https://www.leroymerlin.com.br/porta-de-aluminio-palheta-2,10-x-0,80-esquerda-linha-all-soft-cor-branco_1566787231" TargetMode="External"/><Relationship Id="rId20" Type="http://schemas.openxmlformats.org/officeDocument/2006/relationships/hyperlink" Target="https://www.leroymerlin.com.br/porta-de-correr-sacada-4-folhas-2-10-x-2-00-branca-linha-25-com-fechadura_1566951057" TargetMode="External"/><Relationship Id="rId29" Type="http://schemas.openxmlformats.org/officeDocument/2006/relationships/comments" Target="../comments3.xml"/><Relationship Id="rId1" Type="http://schemas.openxmlformats.org/officeDocument/2006/relationships/hyperlink" Target="https://www.leroymerlin.com.br/porta-de-aluminio-palheta-2,10-x-0,80-esquerda-linha-all-soft-cor-brilhante_1566774980" TargetMode="External"/><Relationship Id="rId6" Type="http://schemas.openxmlformats.org/officeDocument/2006/relationships/hyperlink" Target="https://www.leroymerlin.com.br/porta-veneziana-de-giro-aluminio-branco-com-fechadura-2,10x0,80m-lado-esquerdo-linha-home-3a-aluminio_89302962" TargetMode="External"/><Relationship Id="rId11" Type="http://schemas.openxmlformats.org/officeDocument/2006/relationships/hyperlink" Target="https://www.leroymerlin.com.br/porta-postigo-de-giro-aluminio-branco-grade-vertical-com-fechadura-2,10x0,80m-lado-esquerdo-linha-home-3a-aluminio_89361013" TargetMode="External"/><Relationship Id="rId24" Type="http://schemas.openxmlformats.org/officeDocument/2006/relationships/hyperlink" Target="https://www.leroymerlin.com.br/fechadura-para-portao-100mm-trinco-reversivel-aco-preto-f1510pf-tetra-alianca_88129482" TargetMode="External"/><Relationship Id="rId5" Type="http://schemas.openxmlformats.org/officeDocument/2006/relationships/hyperlink" Target="https://www.leroymerlin.com.br/porta-postigo-de-giro-aluminio-branco-grade-vertical-com-fechadura-2,10x0,80m-lado-esquerdo-linha-home-3a-aluminio_89361013" TargetMode="External"/><Relationship Id="rId15" Type="http://schemas.openxmlformats.org/officeDocument/2006/relationships/hyperlink" Target="https://www.leroymerlin.com.br/porta-de-aluminio-brilhante-palheta-cmc-modular-lado-direito-2-10--a--x-0-80--l-_1566791752" TargetMode="External"/><Relationship Id="rId23" Type="http://schemas.openxmlformats.org/officeDocument/2006/relationships/hyperlink" Target="https://www.leroymerlin.com.br/fechadura-para-portao-100mm-trinco-reversivel-aco-preto-f1500-pf-alianca_86606786" TargetMode="External"/><Relationship Id="rId28" Type="http://schemas.openxmlformats.org/officeDocument/2006/relationships/vmlDrawing" Target="../drawings/vmlDrawing3.vml"/><Relationship Id="rId10" Type="http://schemas.openxmlformats.org/officeDocument/2006/relationships/hyperlink" Target="https://www.leroymerlin.com.br/porta-de-aluminio-palheta-2,10-x-0,80-esquerda-linha-all-soft-cor-branco_1566787231" TargetMode="External"/><Relationship Id="rId19" Type="http://schemas.openxmlformats.org/officeDocument/2006/relationships/hyperlink" Target="https://www.leroymerlin.com.br/porta-de-correr-sacada-2-folhas-2-10-x-1-50-branca-linha-25-com-fechadura_1566950916" TargetMode="External"/><Relationship Id="rId4" Type="http://schemas.openxmlformats.org/officeDocument/2006/relationships/hyperlink" Target="https://www.leroymerlin.com.br/porta-de-aluminio-palheta-2,10-x-0,80-esquerda-linha-all-soft-cor-branco_1566787231" TargetMode="External"/><Relationship Id="rId9" Type="http://schemas.openxmlformats.org/officeDocument/2006/relationships/hyperlink" Target="https://www.leroymerlin.com.br/porta-de-aluminio-brilhante-palheta-cmc-modular-lado-direito-2-10--a--x-0-80--l-_1566791752" TargetMode="External"/><Relationship Id="rId14" Type="http://schemas.openxmlformats.org/officeDocument/2006/relationships/hyperlink" Target="https://www.leroymerlin.com.br/porta-de-aluminio-basculante-2,10-x-0,90-direita-linha-all-modular-cor-brilhante_1566764337" TargetMode="External"/><Relationship Id="rId22" Type="http://schemas.openxmlformats.org/officeDocument/2006/relationships/hyperlink" Target="https://www.leroymerlin.com.br/braco-articulacao-para-maxim-ar-aluminio-400mm-2-pecas_90562633" TargetMode="External"/><Relationship Id="rId27" Type="http://schemas.openxmlformats.org/officeDocument/2006/relationships/hyperlink" Target="https://www.leroymerlin.com.br/fechadura-para-porta-de-enrolar-1201-stam-tetra_1566954177"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leroymerlin.com.br/kit-porta-de-madeira-de-giro-direito-e-esquerdo-branca-210x80cm-com-batente-13x3,5-ate-4cm-delicata-rohden_90887566" TargetMode="External"/><Relationship Id="rId21" Type="http://schemas.openxmlformats.org/officeDocument/2006/relationships/hyperlink" Target="https://www.leroymerlin.com.br/kit-porta-de-madeira-frisada-215,5x86,5cm-batente-14cm-fechadura-manual-rodam-portas-marrom_1571662534" TargetMode="External"/><Relationship Id="rId42" Type="http://schemas.openxmlformats.org/officeDocument/2006/relationships/hyperlink" Target="https://www.leroymerlin.com.br/trinco-para-porta-aco-pega-ladrao_90398546" TargetMode="External"/><Relationship Id="rId47" Type="http://schemas.openxmlformats.org/officeDocument/2006/relationships/hyperlink" Target="https://www.leroymerlin.com.br/dobradica-para-porta-pivotante-em-aco-inox-prata-dovale_90394500" TargetMode="External"/><Relationship Id="rId63" Type="http://schemas.openxmlformats.org/officeDocument/2006/relationships/hyperlink" Target="https://www.leroymerlin.com.br/telha-fibrocimento-2,44mx1,10mx6mm-ondulada-brasilit_89492095" TargetMode="External"/><Relationship Id="rId68" Type="http://schemas.openxmlformats.org/officeDocument/2006/relationships/hyperlink" Target="https://www.leroymerlin.com.br/telha-ceramica-44,50x25,30x6,8-romana-terracota-resinada-top-telha_90775412" TargetMode="External"/><Relationship Id="rId84" Type="http://schemas.openxmlformats.org/officeDocument/2006/relationships/hyperlink" Target="https://www.leroymerlin.com.br/corredica-telescopica-aco-abertura-por-toque-extracao-total-45cm-ate-35kg-1-par-fgvtn_90597962" TargetMode="External"/><Relationship Id="rId89" Type="http://schemas.openxmlformats.org/officeDocument/2006/relationships/hyperlink" Target="https://www.koerich.com.br/p/conjunto-box-casal-scotland-138x72-molas-maxspring-bege-herval/k8129?gad_source=4&amp;gclid=CjwKCAjwooq3BhB3EiwAYqYoEh8AGEL3pCeZPxxmbWSRF0UFDxcfxy_ytUchZMM0hYFEC-aVhYRZORoCvAcQAvD_BwE" TargetMode="External"/><Relationship Id="rId16" Type="http://schemas.openxmlformats.org/officeDocument/2006/relationships/hyperlink" Target="https://www.leroymerlin.com.br/porta-de-correr-lisa-em-madeira-semi-solida-hdf-com-trilho-de-aluminio-mapaf-112cm-x-210cm_1571492315" TargetMode="External"/><Relationship Id="rId11" Type="http://schemas.openxmlformats.org/officeDocument/2006/relationships/hyperlink" Target="https://www.leroymerlin.com.br/porta-sanfonada-lisa-pvc-branco-2,10x0,84m-artens_89335715" TargetMode="External"/><Relationship Id="rId32" Type="http://schemas.openxmlformats.org/officeDocument/2006/relationships/hyperlink" Target="https://www.leroymerlin.com.br/kit-porta-tauari-verniz-lisa-mapaf-batente-16cm-84,5x215-abertura-lado-esquerdo_1571336494" TargetMode="External"/><Relationship Id="rId37" Type="http://schemas.openxmlformats.org/officeDocument/2006/relationships/hyperlink" Target="https://www.leroymerlin.com.br/kit-porta-tauari-italia-mapaf-215x96,5-abertura-lado-direito_1571223204" TargetMode="External"/><Relationship Id="rId53" Type="http://schemas.openxmlformats.org/officeDocument/2006/relationships/hyperlink" Target="https://www.leroymerlin.com.br/fechadura-interna-espelho-aco-40mm-mgm-stilo-cromado_1569942436" TargetMode="External"/><Relationship Id="rId58" Type="http://schemas.openxmlformats.org/officeDocument/2006/relationships/hyperlink" Target="https://www.leroymerlin.com.br/cadeado-45-mm-zamac-latonado-e-coat-com-2-chaves-stam_1566759199" TargetMode="External"/><Relationship Id="rId74" Type="http://schemas.openxmlformats.org/officeDocument/2006/relationships/hyperlink" Target="https://www.leroymerlin.com.br/drymanta-25mx1m_91868273" TargetMode="External"/><Relationship Id="rId79" Type="http://schemas.openxmlformats.org/officeDocument/2006/relationships/hyperlink" Target="https://www.leroymerlin.com.br/corredica-roldana-aco-inox-extracao-parcial-25cm-ate-20kg-1-par_87668875" TargetMode="External"/><Relationship Id="rId5" Type="http://schemas.openxmlformats.org/officeDocument/2006/relationships/hyperlink" Target="https://www.leroymerlin.com.br/porta-de-madeira-macica-02-almofadas-diagonal-casmavi-de-cedro-arana-2-10--a--x-0-92--l-_1570514839?_gl=1*2bxmla*_ga*MTE1MzYxNDkyMS4xNjc1MTYyMzIx*_ga_H3FWJKTQEQ*MTY5MTc3OTk5Ny4yNTMuMS4xNjkxNzg0NDQxLjUwLjAuMA.." TargetMode="External"/><Relationship Id="rId90" Type="http://schemas.openxmlformats.org/officeDocument/2006/relationships/vmlDrawing" Target="../drawings/vmlDrawing4.vml"/><Relationship Id="rId14" Type="http://schemas.openxmlformats.org/officeDocument/2006/relationships/hyperlink" Target="https://www.leroymerlin.com.br/batente-de-madeira-para-porta-caxilho-forra-marco-210x17x3-cm-eucalipto-neonx_1570949161" TargetMode="External"/><Relationship Id="rId22" Type="http://schemas.openxmlformats.org/officeDocument/2006/relationships/hyperlink" Target="https://www.leroymerlin.com.br/kit-porta-de-madeira-210x90cm-frisada-laqueada-esquerda-moldufama-branco_1571486761" TargetMode="External"/><Relationship Id="rId27" Type="http://schemas.openxmlformats.org/officeDocument/2006/relationships/hyperlink" Target="https://www.leroymerlin.com.br/porta-lisa-montada-em-madeira-semi-solida-hdf-mapaf-80cm-x-210cm_1571492069" TargetMode="External"/><Relationship Id="rId30" Type="http://schemas.openxmlformats.org/officeDocument/2006/relationships/hyperlink" Target="https://www.leroymerlin.com.br/kit-porta-tauari-italia-mapaf-215x96,5-abertura-lado-direito_1571223204" TargetMode="External"/><Relationship Id="rId35" Type="http://schemas.openxmlformats.org/officeDocument/2006/relationships/hyperlink" Target="https://www.leroymerlin.com.br/kit-porta-de-madeira-frisada-215,5x86,5cm-batente-14cm-fechadura-manual-rodam-portas-marrom_1571662534" TargetMode="External"/><Relationship Id="rId43" Type="http://schemas.openxmlformats.org/officeDocument/2006/relationships/hyperlink" Target="https://www.leroymerlin.com.br/trinco-pega-ladrao-zamac-cromado-1-peca_89830664" TargetMode="External"/><Relationship Id="rId48" Type="http://schemas.openxmlformats.org/officeDocument/2006/relationships/hyperlink" Target="https://www.amazon.com.br/Porta-Latas-Lateral-Cromado-Jomer/dp/B07Y8VBFYB/ref=asc_df_B07Y8VBFYB/?tag=googleshopp00-20&amp;linkCode=df0&amp;hvadid=379765457684&amp;hvpos=&amp;hvnetw=g&amp;hvrand=8805403397612066305&amp;hvpone=&amp;hvptwo=&amp;hvqmt=&amp;hvdev=c&amp;hvdvcmdl=&amp;hvlocint=&amp;hvlocphy=2076&amp;hvtargid=pla-907003613695&amp;psc=1&amp;mcid=83e69c978431303fa82f243bbe5528fb" TargetMode="External"/><Relationship Id="rId56" Type="http://schemas.openxmlformats.org/officeDocument/2006/relationships/hyperlink" Target="https://www.leroymerlin.com.br/fechadura-para-portao-sobrepor-stam-1701-100-preta-preto-tetra-chave-reforcada_1567446521" TargetMode="External"/><Relationship Id="rId64" Type="http://schemas.openxmlformats.org/officeDocument/2006/relationships/hyperlink" Target="https://www.leroymerlin.com.br/telha-fibrocimento-2,44mx1,10mx6mm-ondulada-brasilit_89492095" TargetMode="External"/><Relationship Id="rId69" Type="http://schemas.openxmlformats.org/officeDocument/2006/relationships/hyperlink" Target="https://www.leroymerlin.com.br/manta-liquida-sikafill-rapido-branco-17kg-sika_90908503" TargetMode="External"/><Relationship Id="rId77" Type="http://schemas.openxmlformats.org/officeDocument/2006/relationships/hyperlink" Target="https://www.leroymerlin.com.br/dobradica-para-moveis-curva-35mm-95o-aco-1-peca_89372465" TargetMode="External"/><Relationship Id="rId8" Type="http://schemas.openxmlformats.org/officeDocument/2006/relationships/hyperlink" Target="https://www.leroymerlin.com.br/folha-de-porta-de-giro-decorada-madeira-macica-natural-2,10x0,90m-cruzeiro_87666712" TargetMode="External"/><Relationship Id="rId51" Type="http://schemas.openxmlformats.org/officeDocument/2006/relationships/hyperlink" Target="https://www.leroymerlin.com.br/fechadura-para-porta-de-banheiro-cromado-40mm-comum-com-roseta-una-z-arouca_87349710" TargetMode="External"/><Relationship Id="rId72" Type="http://schemas.openxmlformats.org/officeDocument/2006/relationships/hyperlink" Target="https://www.leroymerlin.com.br/drymanta-25mx1m_91868273" TargetMode="External"/><Relationship Id="rId80" Type="http://schemas.openxmlformats.org/officeDocument/2006/relationships/hyperlink" Target="https://www.leroymerlin.com.br/corredica-roldana-aco-extracao-parcial-45cm-ate-20kg-1-par_87669120" TargetMode="External"/><Relationship Id="rId85" Type="http://schemas.openxmlformats.org/officeDocument/2006/relationships/hyperlink" Target="https://www.leroymerlin.com.br/corredica-telescopica-aco-amortecedor-extracao-total-50cm-ate-35kg-1-par-fgvtn_90597920" TargetMode="External"/><Relationship Id="rId3" Type="http://schemas.openxmlformats.org/officeDocument/2006/relationships/hyperlink" Target="https://www.leroymerlin.com.br/folha-de-porta-de-giro-decorada-madeira-macica-natural-2,10x0,90m-cruzeiro_87666712" TargetMode="External"/><Relationship Id="rId12" Type="http://schemas.openxmlformats.org/officeDocument/2006/relationships/hyperlink" Target="https://www.leroymerlin.com.br/batente-de-madeira-para-porta-caxilho-forra-marco-210x17x3-cm-eucalipto-neonx_1570949161" TargetMode="External"/><Relationship Id="rId17" Type="http://schemas.openxmlformats.org/officeDocument/2006/relationships/hyperlink" Target="https://www.leroymerlin.com.br/kit-porta-de-madeira-210x80cm-batente-14cm-fechadura-taco-de-golf-interna-mescla-lisa-hale-esquadrias-mescla_1571448356" TargetMode="External"/><Relationship Id="rId25" Type="http://schemas.openxmlformats.org/officeDocument/2006/relationships/hyperlink" Target="https://www.leroymerlin.com.br/kit-porta-tauari-verniz-lisa-mapaf-batente-16cm-84,5x215-abertura-lado-esquerdo_1571336494" TargetMode="External"/><Relationship Id="rId33" Type="http://schemas.openxmlformats.org/officeDocument/2006/relationships/hyperlink" Target="https://www.leroymerlin.com.br/kit-porta-de-madeira-de-giro-direito-e-esquerdo-branca-210x80cm-com-batente-13x3,5-ate-4cm-delicata-rohden_90887566" TargetMode="External"/><Relationship Id="rId38" Type="http://schemas.openxmlformats.org/officeDocument/2006/relationships/hyperlink" Target="https://www.mercadolivre.com.br/roldana-concava-rodizio-4r-porta-correr-madeira-80kg-stanley/p/MLB26263141?from=gshop&amp;matt_tool=14804773&amp;matt_word=&amp;matt_source=google&amp;matt_campaign_id=14302215543&amp;matt_ad_group_id=130580035590&amp;matt_match_type=&amp;matt_network=g&amp;matt_device=c&amp;matt_creative=542969737626&amp;matt_keyword=&amp;matt_ad_position=&amp;matt_ad_type=pla&amp;matt_merchant_id=735128188&amp;matt_product_id=MLB26263141-product&amp;matt_product_partition_id=2268051758390&amp;matt_target_id=pla-2268051758390&amp;cq_src=google_ads&amp;cq_cmp=14302215543&amp;cq_net=g&amp;cq_plt=gp&amp;gad_source=1&amp;gclid=Cj0KCQiAwP6sBhDAARIsAPfK_wY-DYQqqlYd0KPrCSnNqQ-wWnDhr0tewJNLBKVEYHK73L_VWyRmLCwaAk0CEALw_wcB" TargetMode="External"/><Relationship Id="rId46" Type="http://schemas.openxmlformats.org/officeDocument/2006/relationships/hyperlink" Target="https://www.leroymerlin.com.br/dobradica-para-porta-pivotante-inox-cromada-ate-100kg-1-peca_89103763" TargetMode="External"/><Relationship Id="rId59" Type="http://schemas.openxmlformats.org/officeDocument/2006/relationships/hyperlink" Target="https://www.leroymerlin.com.br/telha-fibrocimento-2,44mx1,10mx6mm-ondulada-brasilit_89492095" TargetMode="External"/><Relationship Id="rId67" Type="http://schemas.openxmlformats.org/officeDocument/2006/relationships/hyperlink" Target="https://www.leroymerlin.com.br/telha-ceramica-44,50x25,30x6,8-romana-terracota-resinada-top-telha_90775412" TargetMode="External"/><Relationship Id="rId20" Type="http://schemas.openxmlformats.org/officeDocument/2006/relationships/hyperlink" Target="https://www.leroymerlin.com.br/porta-lisa-montada-em-madeira-semi-solida-hdf-mapaf-80cm-x-210cm_1571492069" TargetMode="External"/><Relationship Id="rId41" Type="http://schemas.openxmlformats.org/officeDocument/2006/relationships/hyperlink" Target="https://www.leroymerlin.com.br/kit-porta-de-correr-roldana-aparente-trilho-aluminio-polido-2-mt_1567321124" TargetMode="External"/><Relationship Id="rId54" Type="http://schemas.openxmlformats.org/officeDocument/2006/relationships/hyperlink" Target="https://www.leroymerlin.com.br/fechadura-arouca-victoria-interna_1570231794" TargetMode="External"/><Relationship Id="rId62" Type="http://schemas.openxmlformats.org/officeDocument/2006/relationships/hyperlink" Target="https://www.leroymerlin.com.br/telha-fibrocimento-2,44mx1,10mx6mm-ondulada-brasilit_89492095" TargetMode="External"/><Relationship Id="rId70" Type="http://schemas.openxmlformats.org/officeDocument/2006/relationships/hyperlink" Target="https://www.leroymerlin.com.br/drymanta-25mx1m_91868273" TargetMode="External"/><Relationship Id="rId75" Type="http://schemas.openxmlformats.org/officeDocument/2006/relationships/hyperlink" Target="https://www.leroymerlin.com.br/manta-liquida-sikafill-rapido-branco-17kg-sika_90908503" TargetMode="External"/><Relationship Id="rId83" Type="http://schemas.openxmlformats.org/officeDocument/2006/relationships/hyperlink" Target="https://www.leroymerlin.com.br/corredica-mini-telescopica-para-gaveta-aco-50cm-ate-30kg-1-par_90597871" TargetMode="External"/><Relationship Id="rId88" Type="http://schemas.openxmlformats.org/officeDocument/2006/relationships/hyperlink" Target="https://www.leroymerlin.com.br/cama-box-colchao-solteiro-espuma-d45-lazio-pillow-top-88x188x67cm-branco---bege-hellen-suporta-ate-120kg-por-pessoa_1571878377?region=outros&amp;srsltid=AfmBOopoA5TT5tJbvt0dtEZmekQs4NqrDfQGSo-kRS_xodRkk68EYkDZxYw" TargetMode="External"/><Relationship Id="rId91" Type="http://schemas.openxmlformats.org/officeDocument/2006/relationships/comments" Target="../comments4.xml"/><Relationship Id="rId1" Type="http://schemas.openxmlformats.org/officeDocument/2006/relationships/hyperlink" Target="https://www.leroymerlin.com.br/folha-de-porta-de-giro-de-madeira-sarrafeada-lisa-lamina-crua-curupixa-2,10x0,80m-pinhal-portas_89823062" TargetMode="External"/><Relationship Id="rId6" Type="http://schemas.openxmlformats.org/officeDocument/2006/relationships/hyperlink" Target="https://www.leroymerlin.com.br/folha-de-porta-de-giro-de-madeira-sarrafeada-lisa-lamina-crua-curupixa-2,10x0,80m-pinhal-portas_89823062" TargetMode="External"/><Relationship Id="rId15" Type="http://schemas.openxmlformats.org/officeDocument/2006/relationships/hyperlink" Target="https://www.leroymerlin.com.br/jogo-de-alizar-guarnicao-cetim-liso-mapaf-5x1-cm_1570833115" TargetMode="External"/><Relationship Id="rId23" Type="http://schemas.openxmlformats.org/officeDocument/2006/relationships/hyperlink" Target="https://www.leroymerlin.com.br/kit-porta-tauari-italia-mapaf-215x96,5-abertura-lado-direito_1571223204" TargetMode="External"/><Relationship Id="rId28" Type="http://schemas.openxmlformats.org/officeDocument/2006/relationships/hyperlink" Target="https://www.leroymerlin.com.br/kit-porta-de-madeira-frisada-215,5x86,5cm-batente-14cm-fechadura-manual-rodam-portas-marrom_1571662534" TargetMode="External"/><Relationship Id="rId36" Type="http://schemas.openxmlformats.org/officeDocument/2006/relationships/hyperlink" Target="https://www.leroymerlin.com.br/kit-porta-de-madeira-210x90cm-frisada-laqueada-esquerda-moldufama-branco_1571486761" TargetMode="External"/><Relationship Id="rId49" Type="http://schemas.openxmlformats.org/officeDocument/2006/relationships/hyperlink" Target="https://www.leroymerlin.com.br/fechadura-para-porta-de-entrada-antique-55mm-comum-com-espelho-mercurio-arouca_85220296" TargetMode="External"/><Relationship Id="rId57" Type="http://schemas.openxmlformats.org/officeDocument/2006/relationships/hyperlink" Target="https://www.leroymerlin.com.br/cadeado-45-mm-zamac-latonado-e-coat-com-2-chaves-stam_1566759199" TargetMode="External"/><Relationship Id="rId10" Type="http://schemas.openxmlformats.org/officeDocument/2006/relationships/hyperlink" Target="https://www.leroymerlin.com.br/porta-de-madeira-macica-02-almofadas-diagonal-casmavi-de-cedro-arana-2-10--a--x-0-92--l-_1570514839?_gl=1*2bxmla*_ga*MTE1MzYxNDkyMS4xNjc1MTYyMzIx*_ga_H3FWJKTQEQ*MTY5MTc3OTk5Ny4yNTMuMS4xNjkxNzg0NDQxLjUwLjAuMA.." TargetMode="External"/><Relationship Id="rId31" Type="http://schemas.openxmlformats.org/officeDocument/2006/relationships/hyperlink" Target="https://www.leroymerlin.com.br/kit-porta-de-madeira-210x80cm-batente-14cm-fechadura-taco-de-golf-interna-mescla-lisa-hale-esquadrias-mescla_1571448356" TargetMode="External"/><Relationship Id="rId44" Type="http://schemas.openxmlformats.org/officeDocument/2006/relationships/hyperlink" Target="https://www.leroymerlin.com.br/fixador-trava-porta-no-piso-starfer-cromado_1566987981" TargetMode="External"/><Relationship Id="rId52" Type="http://schemas.openxmlformats.org/officeDocument/2006/relationships/hyperlink" Target="https://www.leroymerlin.com.br/fechadura-para-porta-de-banheiro-acetinado-55mm-comum-com-roseta-smile-papaiz_88122440" TargetMode="External"/><Relationship Id="rId60" Type="http://schemas.openxmlformats.org/officeDocument/2006/relationships/hyperlink" Target="https://www.leroymerlin.com.br/telha-fibrocimento-2,44mx1,10mx6mm-ondulada-brasilit_89492095" TargetMode="External"/><Relationship Id="rId65" Type="http://schemas.openxmlformats.org/officeDocument/2006/relationships/hyperlink" Target="https://www.leroymerlin.com.br/telha-ceramica-44,50x25,30x6,8-romana-terracota-resinada-top-telha_90775412" TargetMode="External"/><Relationship Id="rId73" Type="http://schemas.openxmlformats.org/officeDocument/2006/relationships/hyperlink" Target="https://www.leroymerlin.com.br/manta-liquida-sikafill-rapido-branco-17kg-sika_90908503" TargetMode="External"/><Relationship Id="rId78" Type="http://schemas.openxmlformats.org/officeDocument/2006/relationships/hyperlink" Target="https://www.leroymerlin.com.br/dobradica-para-moveis-curva-35mm-95o-aco-1-peca_89372465" TargetMode="External"/><Relationship Id="rId81" Type="http://schemas.openxmlformats.org/officeDocument/2006/relationships/hyperlink" Target="https://www.leroymerlin.com.br/corredica-telescopica-para-gaveta-aco-zincado-25cm-ate-25kg-1-par_89083015" TargetMode="External"/><Relationship Id="rId86" Type="http://schemas.openxmlformats.org/officeDocument/2006/relationships/hyperlink" Target="https://www.leroymerlin.com.br/pistao-a-gas-forca-normal-prata-100n-10kg_90598025" TargetMode="External"/><Relationship Id="rId4" Type="http://schemas.openxmlformats.org/officeDocument/2006/relationships/hyperlink" Target="https://www.leroymerlin.com.br/folha-de-porta-de-giro-decorada-madeira-macica-angelim-2,10x0,90m-modelo-irene-galon_91950635" TargetMode="External"/><Relationship Id="rId9" Type="http://schemas.openxmlformats.org/officeDocument/2006/relationships/hyperlink" Target="https://www.leroymerlin.com.br/folha-de-porta-de-giro-decorada-madeira-macica-angelim-2,10x0,90m-modelo-irene-galon_91950635" TargetMode="External"/><Relationship Id="rId13" Type="http://schemas.openxmlformats.org/officeDocument/2006/relationships/hyperlink" Target="https://www.leroymerlin.com.br/batente-de-madeira-para-porta-caxilho-forra-marco-210x17x3-cm-eucalipto-neonx_1570949161" TargetMode="External"/><Relationship Id="rId18" Type="http://schemas.openxmlformats.org/officeDocument/2006/relationships/hyperlink" Target="https://www.leroymerlin.com.br/kit-porta-tauari-verniz-lisa-mapaf-batente-16cm-84,5x215-abertura-lado-esquerdo_1571336494" TargetMode="External"/><Relationship Id="rId39" Type="http://schemas.openxmlformats.org/officeDocument/2006/relationships/hyperlink" Target="https://www.leroymerlin.com.br/porta-de-madeira-de-giro-direito-e-esquerdo-branca-210x90cm-sarrafeada-laca-pu-branca-lisa-ipumirim_90555171" TargetMode="External"/><Relationship Id="rId34" Type="http://schemas.openxmlformats.org/officeDocument/2006/relationships/hyperlink" Target="https://www.leroymerlin.com.br/porta-lisa-montada-em-madeira-semi-solida-hdf-mapaf-80cm-x-210cm_1571492069" TargetMode="External"/><Relationship Id="rId50" Type="http://schemas.openxmlformats.org/officeDocument/2006/relationships/hyperlink" Target="https://www.leroymerlin.com.br/fechadura-para-porta-de-banheiro-polido-40mm-comum-roseta-premium-alianca_90789496" TargetMode="External"/><Relationship Id="rId55" Type="http://schemas.openxmlformats.org/officeDocument/2006/relationships/hyperlink" Target="https://www.leroymerlin.com.br/fechadura-pado-sara-de-porta-interna-55mm-cromada_1568918174" TargetMode="External"/><Relationship Id="rId76" Type="http://schemas.openxmlformats.org/officeDocument/2006/relationships/hyperlink" Target="https://www.leroymerlin.com.br/drymanta-25mx1m_91868273" TargetMode="External"/><Relationship Id="rId7" Type="http://schemas.openxmlformats.org/officeDocument/2006/relationships/hyperlink" Target="https://www.leroymerlin.com.br/folha-de-porta-de-giro-de-madeira-sarrafeada-decorada-lamina-crua-curupixa-2,10x0,80m-pinhal-portas_89823160" TargetMode="External"/><Relationship Id="rId71" Type="http://schemas.openxmlformats.org/officeDocument/2006/relationships/hyperlink" Target="https://www.leroymerlin.com.br/manta-liquida-sikafill-rapido-branco-17kg-sika_90908503" TargetMode="External"/><Relationship Id="rId2" Type="http://schemas.openxmlformats.org/officeDocument/2006/relationships/hyperlink" Target="https://www.leroymerlin.com.br/folha-de-porta-de-giro-de-madeira-sarrafeada-decorada-lamina-crua-curupixa-2,10x0,80m-pinhal-portas_89823160" TargetMode="External"/><Relationship Id="rId29" Type="http://schemas.openxmlformats.org/officeDocument/2006/relationships/hyperlink" Target="https://www.leroymerlin.com.br/kit-porta-de-madeira-210x90cm-frisada-laqueada-esquerda-moldufama-branco_1571486761" TargetMode="External"/><Relationship Id="rId24" Type="http://schemas.openxmlformats.org/officeDocument/2006/relationships/hyperlink" Target="https://www.leroymerlin.com.br/kit-porta-de-madeira-210x80cm-batente-14cm-fechadura-taco-de-golf-interna-mescla-lisa-hale-esquadrias-mescla_1571448356" TargetMode="External"/><Relationship Id="rId40" Type="http://schemas.openxmlformats.org/officeDocument/2006/relationships/hyperlink" Target="https://www.leroymerlin.com.br/roldana-concava-embutir-para-porta-de-correr-40kg-aco-polido-2-pecas_90562780" TargetMode="External"/><Relationship Id="rId45" Type="http://schemas.openxmlformats.org/officeDocument/2006/relationships/hyperlink" Target="https://www.leroymerlin.com.br/pino-guia-para-janela-pivotante-1-peca_87516716" TargetMode="External"/><Relationship Id="rId66" Type="http://schemas.openxmlformats.org/officeDocument/2006/relationships/hyperlink" Target="https://www.leroymerlin.com.br/telha-ceramica-44,50x25,30x6,8-romana-terracota-resinada-top-telha_90775412" TargetMode="External"/><Relationship Id="rId87" Type="http://schemas.openxmlformats.org/officeDocument/2006/relationships/hyperlink" Target="https://www.leroymerlin.com.br/pistao-a-gas-forca-normal-prata-100n-10kg_90924344" TargetMode="External"/><Relationship Id="rId61" Type="http://schemas.openxmlformats.org/officeDocument/2006/relationships/hyperlink" Target="https://www.leroymerlin.com.br/telha-fibrocimento-2,44mx1,10mx6mm-ondulada-brasilit_89492095" TargetMode="External"/><Relationship Id="rId82" Type="http://schemas.openxmlformats.org/officeDocument/2006/relationships/hyperlink" Target="https://www.leroymerlin.com.br/corredica-telescopica-para-gaveta-aco-zincado-55cm-ate-25kg-1-par_89083071" TargetMode="External"/><Relationship Id="rId19" Type="http://schemas.openxmlformats.org/officeDocument/2006/relationships/hyperlink" Target="https://www.leroymerlin.com.br/kit-porta-de-madeira-de-giro-direito-e-esquerdo-branca-210x80cm-com-batente-13x3,5-ate-4cm-delicata-rohden_90887566"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leroymerlin.com.br/aquecedor-de-agua-a-gas-rheem-12l-min-glp-branco-digital_91032025" TargetMode="External"/><Relationship Id="rId13" Type="http://schemas.openxmlformats.org/officeDocument/2006/relationships/hyperlink" Target="https://www.leroymerlin.com.br/aquecedor-de-agua-a-gas-rinnai-e21-digital-glp--gas-liquefeito-de-petroleo-_1566800063" TargetMode="External"/><Relationship Id="rId18" Type="http://schemas.openxmlformats.org/officeDocument/2006/relationships/hyperlink" Target="https://www.leroymerlin.com.br/aquecedor-de-agua-a-gas-rheem-45l-min-glp-branco-digital-rb3ap45pvptin_89957203" TargetMode="External"/><Relationship Id="rId3" Type="http://schemas.openxmlformats.org/officeDocument/2006/relationships/hyperlink" Target="https://www.leroymerlin.com.br/controle-remoto-universal-multifuncoes-para-ar-condicionado-gcr40upp1-br_90152174" TargetMode="External"/><Relationship Id="rId21" Type="http://schemas.openxmlformats.org/officeDocument/2006/relationships/hyperlink" Target="https://www.brastemp.com.br/kit-de-conversao-de-gas-para-fogao-w10677060/p?idsku=1636&amp;gclid=CjwKCAiAl9efBhAkEiwA4TorirCt4ddNd8FN64RTz258DvPuZUWGFIMloN2XGLJMoBxdUkX_83gktRoCg0oQAvD_BwE" TargetMode="External"/><Relationship Id="rId7" Type="http://schemas.openxmlformats.org/officeDocument/2006/relationships/hyperlink" Target="https://www.leroymerlin.com.br/kit-de-ligacao-flexivel-aquecedor-de-passagem-a-gas-30cm-trancado-1-2x1-2-equation_89601470" TargetMode="External"/><Relationship Id="rId12" Type="http://schemas.openxmlformats.org/officeDocument/2006/relationships/hyperlink" Target="https://www.leroymerlin.com.br/aquecedor-de-agua-a-gas-rheem-digital-20l-min-glp-branco-rb3ap20pvptik---bivolt_1570461597" TargetMode="External"/><Relationship Id="rId17" Type="http://schemas.openxmlformats.org/officeDocument/2006/relationships/hyperlink" Target="https://www.leroymerlin.com.br/aquecedor-de-agua-a-gas-eletronico-33l-e33-rinnai-glp-branco_1567029124" TargetMode="External"/><Relationship Id="rId2" Type="http://schemas.openxmlformats.org/officeDocument/2006/relationships/hyperlink" Target="https://www.centralar.com.br/p/ar-condicionado-janela-eletronico-springer-midea-10000-btus-frio-220v-monofasico-qck105rb.html?gad_source=1&amp;gclid=CjwKCAiA1-6sBhAoEiwArqlGPt58DDY_nIfaDjk6wQBuOBvDrJUPkzhSrSTt98WShcKrpbuqOgU60hoCE1UQAvD_BwE" TargetMode="External"/><Relationship Id="rId16" Type="http://schemas.openxmlformats.org/officeDocument/2006/relationships/hyperlink" Target="https://www.leroymerlin.com.br/aquecedor-de-agua-a-gas-rheem-30l-min-glp-branco-digital-rb3ap30pvptic_89423922" TargetMode="External"/><Relationship Id="rId20" Type="http://schemas.openxmlformats.org/officeDocument/2006/relationships/hyperlink" Target="https://www.leroymerlin.com.br/exaustor-para-ambientes-10cm-bivolt-new-classic-80-westaflex_91787136?store_code=39&amp;gclid=Cj0KCQjwrfymBhCTARIsADXTabk-1Z1dHcMyFk389gLMhiEdpB0XJMKuyDX7SkvbemQGuNxLuhia_DAaAnuBEALw_wcB" TargetMode="External"/><Relationship Id="rId1" Type="http://schemas.openxmlformats.org/officeDocument/2006/relationships/hyperlink" Target="https://www.leroymerlin.com.br/ar-condicionado-janela-7500-btus-frio-branco-220v-eletronico-midea_92055936" TargetMode="External"/><Relationship Id="rId6" Type="http://schemas.openxmlformats.org/officeDocument/2006/relationships/hyperlink" Target="https://www.leroymerlin.com.br/ligacao-flexivel-para-gas-blukit-em-aco-inoxidavel_1570562248" TargetMode="External"/><Relationship Id="rId11" Type="http://schemas.openxmlformats.org/officeDocument/2006/relationships/hyperlink" Target="https://www.leroymerlin.com.br/aquecedor-de-agua-a-gas-rinnai-15l-min-glp-branco-digital-e15_90555654" TargetMode="External"/><Relationship Id="rId5" Type="http://schemas.openxmlformats.org/officeDocument/2006/relationships/hyperlink" Target="https://www.luzitanaar.com.br/protetores-de-ar" TargetMode="External"/><Relationship Id="rId15" Type="http://schemas.openxmlformats.org/officeDocument/2006/relationships/hyperlink" Target="https://www.leroymerlin.com.br/aquecedor-de-agua-a-gas-komeco-ko-26-di-prime-wifi-26-litros-glp-bivolt_1571598454" TargetMode="External"/><Relationship Id="rId23" Type="http://schemas.openxmlformats.org/officeDocument/2006/relationships/comments" Target="../comments5.xml"/><Relationship Id="rId10" Type="http://schemas.openxmlformats.org/officeDocument/2006/relationships/hyperlink" Target="https://www.leroymerlin.com.br/aquecedor-de-agua-a-gas-rheem-15l-min-glp-branco-digital_91032032" TargetMode="External"/><Relationship Id="rId19" Type="http://schemas.openxmlformats.org/officeDocument/2006/relationships/hyperlink" Target="https://www.leroymerlin.com.br/aquecedor-a-gas-rinnai-45l-min-digital-glp-bivolt-branco-reue430ferbl8-rinnai_92186535" TargetMode="External"/><Relationship Id="rId4" Type="http://schemas.openxmlformats.org/officeDocument/2006/relationships/hyperlink" Target="https://www.luzitanaar.com.br/protetores-de-ar" TargetMode="External"/><Relationship Id="rId9" Type="http://schemas.openxmlformats.org/officeDocument/2006/relationships/hyperlink" Target="https://www.leroymerlin.com.br/aquecedor-de-agua-a-gas-12l-min-glp-branco-digital-reu1002-feh-bivolt-rinnai_89839344" TargetMode="External"/><Relationship Id="rId14" Type="http://schemas.openxmlformats.org/officeDocument/2006/relationships/hyperlink" Target="https://www.leroymerlin.com.br/aquecedor-a-gas-glp-26l-min-branco-ko-26d-komeco_90708443" TargetMode="External"/><Relationship Id="rId22"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produto.mercadolivre.com.br/MLB-926542967-tala-lmina-de-persiana-externa-pvc-de150x-150m-esteira-_JM?matt_tool=55047108&amp;matt_word=Default_URL_MLB&amp;matt_source=google&amp;matt_campaign_id=10768082097&amp;matt_ad_group_id=109874314007&amp;matt_match_type=&amp;matt_network=g&amp;matt_device=c&amp;matt_creative=454929016291&amp;matt_keyword=&amp;matt_ad_position=&amp;matt_ad_type=&amp;matt_merchant_id=&amp;matt_product_id=&amp;matt_product_partition_id=&amp;matt_target_id=dsa-53727596173&amp;cq_src=google_ads&amp;cq_cmp=10768082097&amp;cq_net=g&amp;cq_plt=gp&amp;gad_source=1&amp;gclid=Cj0KCQiAh8OtBhCQARIsAIkWb69KmDRtkLKcKJNqdaAdi7Tng-3Eri9q1YGbfBi0hdd2zqpkdFRVe7gaAogTEALw_wcB" TargetMode="Externa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hyperlink" Target="https://www.leroymerlin.com.br/passarinheira-plastica--50cm-x-9,5cm-cinza-25-unidades_1569720362" TargetMode="External"/><Relationship Id="rId1" Type="http://schemas.openxmlformats.org/officeDocument/2006/relationships/hyperlink" Target="https://www.leroymerlin.com.br/passarinheira-plastica--50cm-x-9,5cm-cinza-25-unidades_1569720362" TargetMode="Externa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26" Type="http://schemas.openxmlformats.org/officeDocument/2006/relationships/hyperlink" Target="https://www.leroymerlin.com.br/cola-para-taco-polyfort-1kg-pulvitec_85057133" TargetMode="External"/><Relationship Id="rId21" Type="http://schemas.openxmlformats.org/officeDocument/2006/relationships/hyperlink" Target="https://www.leroymerlin.com.br/perfil-redutor-carvalho--3x300cm-artens_90717123" TargetMode="External"/><Relationship Id="rId42" Type="http://schemas.openxmlformats.org/officeDocument/2006/relationships/hyperlink" Target="https://www.leroymerlin.com.br/tinta-acrilica-fosca-rende-muito-standard-interior-e-exterior-branco-neve-18-l-coral_85137346" TargetMode="External"/><Relationship Id="rId47" Type="http://schemas.openxmlformats.org/officeDocument/2006/relationships/hyperlink" Target="https://www.leroymerlin.com.br/tinta-acrilica-peg-e-pinte-para-interior-branco-neve-3,6l_1567603356" TargetMode="External"/><Relationship Id="rId63" Type="http://schemas.openxmlformats.org/officeDocument/2006/relationships/hyperlink" Target="https://www.leroymerlin.com.br/coralit-total-base-agua-brilhante-branco-permanente-3,6l_87759000" TargetMode="External"/><Relationship Id="rId68" Type="http://schemas.openxmlformats.org/officeDocument/2006/relationships/vmlDrawing" Target="../drawings/vmlDrawing8.vml"/><Relationship Id="rId7" Type="http://schemas.openxmlformats.org/officeDocument/2006/relationships/hyperlink" Target="https://www.leroymerlin.com.br/rejunte-flexivel-votomassa-bege-1kg_1570525881" TargetMode="External"/><Relationship Id="rId2" Type="http://schemas.openxmlformats.org/officeDocument/2006/relationships/hyperlink" Target="https://www.leroymerlin.com.br/rejunte-flexivel-votomassa-bege-1kg_1570525881" TargetMode="External"/><Relationship Id="rId16" Type="http://schemas.openxmlformats.org/officeDocument/2006/relationships/hyperlink" Target="https://www.leroymerlin.com.br/cantoneira-para-piso-laminado-madeira-carvalho-carvalho-2x2x210cm-durafloor_87333085" TargetMode="External"/><Relationship Id="rId29" Type="http://schemas.openxmlformats.org/officeDocument/2006/relationships/hyperlink" Target="https://www.leroymerlin.com.br/revestimento-interno-monocolor-branco-brilhante-borda-arredondada-32x54cm-6029-viva-ceramica_91094521" TargetMode="External"/><Relationship Id="rId11" Type="http://schemas.openxmlformats.org/officeDocument/2006/relationships/hyperlink" Target="https://www.leroymerlin.com.br/piso-ceramico-cimenticio-acetinado-53x53cm-interno-borda-reta-classic-city-off-white-savane_90723472" TargetMode="External"/><Relationship Id="rId24" Type="http://schemas.openxmlformats.org/officeDocument/2006/relationships/hyperlink" Target="https://www.leroymerlin.com.br/cantoneira-para-piso-laminado-madeira-carvalho-carvalho-2x2x210cm-durafloor_87333085" TargetMode="External"/><Relationship Id="rId32" Type="http://schemas.openxmlformats.org/officeDocument/2006/relationships/hyperlink" Target="https://www.leroymerlin.com.br/revestimento-interno-brilhante-borda-arredondada-10x20cm-metro-black-eliane_89436291" TargetMode="External"/><Relationship Id="rId37" Type="http://schemas.openxmlformats.org/officeDocument/2006/relationships/hyperlink" Target="https://www.leroymerlin.com.br/massa-corrida-25-kg-coral_89900916" TargetMode="External"/><Relationship Id="rId40" Type="http://schemas.openxmlformats.org/officeDocument/2006/relationships/hyperlink" Target="https://www.leroymerlin.com.br/tinta-acrilica-fosca-rende-muito-standard-interior-e-exterior-branco-neve-18-l-coral_85137346" TargetMode="External"/><Relationship Id="rId45" Type="http://schemas.openxmlformats.org/officeDocument/2006/relationships/hyperlink" Target="https://www.leroymerlin.com.br/tinta-acrilica-semi-brilho-premium-decora-branco-3,6l-coral_89669622" TargetMode="External"/><Relationship Id="rId53" Type="http://schemas.openxmlformats.org/officeDocument/2006/relationships/hyperlink" Target="https://www.leroymerlin.com.br/tinta-acrilica-pisos-cinza-18l-suvinil_90707631" TargetMode="External"/><Relationship Id="rId58" Type="http://schemas.openxmlformats.org/officeDocument/2006/relationships/hyperlink" Target="https://www.leroymerlin.com.br/stain-osmocolor-acetinado-natural-3,6l-montana_85715042" TargetMode="External"/><Relationship Id="rId66" Type="http://schemas.openxmlformats.org/officeDocument/2006/relationships/hyperlink" Target="https://www.leroymerlin.com.br/stain-osmocolor-acetinado-natural-3,6l-montana_85715042" TargetMode="External"/><Relationship Id="rId5" Type="http://schemas.openxmlformats.org/officeDocument/2006/relationships/hyperlink" Target="https://www.leroymerlin.com.br/rejunte-flexivel-votomassa-bege-1kg_1570525881" TargetMode="External"/><Relationship Id="rId61" Type="http://schemas.openxmlformats.org/officeDocument/2006/relationships/hyperlink" Target="https://www.leroymerlin.com.br/tinta-esmalte-base-agua-coralit-acetinado-branco-3,6l-coral_87759924" TargetMode="External"/><Relationship Id="rId19" Type="http://schemas.openxmlformats.org/officeDocument/2006/relationships/hyperlink" Target="https://www.leroymerlin.com.br/piso-vinilico-cola-working-florida-madeira-marrom-m2-eucafloor_90734490" TargetMode="External"/><Relationship Id="rId14" Type="http://schemas.openxmlformats.org/officeDocument/2006/relationships/hyperlink" Target="https://www.leroymerlin.com.br/piso-laminado-click-link-bariloche-134x24,8cm-m2-durafloor_90847575" TargetMode="External"/><Relationship Id="rId22" Type="http://schemas.openxmlformats.org/officeDocument/2006/relationships/hyperlink" Target="https://www.leroymerlin.com.br/perfil-redutor-champanhe-3,2x300cm-artens_90717011" TargetMode="External"/><Relationship Id="rId27" Type="http://schemas.openxmlformats.org/officeDocument/2006/relationships/hyperlink" Target="https://www.leroymerlin.com.br/fita-antiderrapante-adesiva-escadas-5-metros-piso-antiqueda_1570491748" TargetMode="External"/><Relationship Id="rId30" Type="http://schemas.openxmlformats.org/officeDocument/2006/relationships/hyperlink" Target="https://www.leroymerlin.com.br/revestimento-interno-monocolor-branco-acetinado-borda-arredondada-33,5x60cm-aspen-slim-eliane_89803721" TargetMode="External"/><Relationship Id="rId35" Type="http://schemas.openxmlformats.org/officeDocument/2006/relationships/hyperlink" Target="https://www.leroymerlin.com.br/massa-corrida-25-kg-coral_89900916" TargetMode="External"/><Relationship Id="rId43" Type="http://schemas.openxmlformats.org/officeDocument/2006/relationships/hyperlink" Target="https://www.leroymerlin.com.br/tinta-acrilica-fosca-rende-muito-standard-interior-e-exterior-azul-profundo-16-l-coral_91935102" TargetMode="External"/><Relationship Id="rId48" Type="http://schemas.openxmlformats.org/officeDocument/2006/relationships/hyperlink" Target="https://www.leroymerlin.com.br/tinta-acrilica-renova-paredes-coral-gelo-fosco-lata-16-litros_1571488401" TargetMode="External"/><Relationship Id="rId56" Type="http://schemas.openxmlformats.org/officeDocument/2006/relationships/hyperlink" Target="https://www.leroymerlin.com.br/esmalte-sintetico-tradicional-fosco-preto-3,6l_85130682" TargetMode="External"/><Relationship Id="rId64" Type="http://schemas.openxmlformats.org/officeDocument/2006/relationships/hyperlink" Target="https://www.leroymerlin.com.br/stain-osmocolor-acetinado-natural-3,6l-montana_85715042" TargetMode="External"/><Relationship Id="rId69" Type="http://schemas.openxmlformats.org/officeDocument/2006/relationships/comments" Target="../comments8.xml"/><Relationship Id="rId8" Type="http://schemas.openxmlformats.org/officeDocument/2006/relationships/hyperlink" Target="https://www.leroymerlin.com.br/rejunte-epoxi-superfacil-cinza-platina-1kg_1570940606" TargetMode="External"/><Relationship Id="rId51" Type="http://schemas.openxmlformats.org/officeDocument/2006/relationships/hyperlink" Target="https://www.leroymerlin.com.br/tinta-acrilico-premium-exterior-fosca-branco-18-l-coral_91934766" TargetMode="External"/><Relationship Id="rId3" Type="http://schemas.openxmlformats.org/officeDocument/2006/relationships/hyperlink" Target="https://www.leroymerlin.com.br/rejunte-flexivel-votomassa-bege-1kg_1570525881" TargetMode="External"/><Relationship Id="rId12" Type="http://schemas.openxmlformats.org/officeDocument/2006/relationships/hyperlink" Target="https://www.leroymerlin.com.br/porcelanato-decorado-acetinado-borda-reta-interno-60x60cm-urban-vintage-biancogres_91844620" TargetMode="External"/><Relationship Id="rId17" Type="http://schemas.openxmlformats.org/officeDocument/2006/relationships/hyperlink" Target="https://www.leroymerlin.com.br/perfil-3,7x180cm-tecno-no16-eucafloor_89700303" TargetMode="External"/><Relationship Id="rId25" Type="http://schemas.openxmlformats.org/officeDocument/2006/relationships/hyperlink" Target="https://www.leroymerlin.com.br/cola-para-taco-polyfort-1kg-pulvitec_85057133" TargetMode="External"/><Relationship Id="rId33" Type="http://schemas.openxmlformats.org/officeDocument/2006/relationships/hyperlink" Target="https://www.leroymerlin.com.br/chapa-de-drywall-standard-1,80x1,20m-branca-placo_89750724?region=grande_sao_paulo&amp;gad_source=1&amp;gclid=Cj0KCQiA5fetBhC9ARIsAP1UMgHXAucWOhfeTsnFLvzAQhIxnEx6g0wq8XTc39e9JIr77TNRcMGGNhQaAv3xEALw_wcB" TargetMode="External"/><Relationship Id="rId38" Type="http://schemas.openxmlformats.org/officeDocument/2006/relationships/hyperlink" Target="https://www.leroymerlin.com.br/massa-corrida-25-kg-coral_89900916" TargetMode="External"/><Relationship Id="rId46" Type="http://schemas.openxmlformats.org/officeDocument/2006/relationships/hyperlink" Target="https://www.leroymerlin.com.br/tinta-latex-eucatex-peg-pinte-acrilico-branco-gelo-18l_1570686744" TargetMode="External"/><Relationship Id="rId59" Type="http://schemas.openxmlformats.org/officeDocument/2006/relationships/hyperlink" Target="https://www.leroymerlin.com.br/stain-osmocolor-acetinado-castanho-3,6l-montana_87604566" TargetMode="External"/><Relationship Id="rId67" Type="http://schemas.openxmlformats.org/officeDocument/2006/relationships/hyperlink" Target="https://www.leroymerlin.com.br/stain-osmocolor-acetinado-castanho-3,6l-montana_87604566" TargetMode="External"/><Relationship Id="rId20" Type="http://schemas.openxmlformats.org/officeDocument/2006/relationships/hyperlink" Target="https://www.leroymerlin.com.br/piso-vinilico-cola-city-petra-madeira-marrom-m2-durafloor_89198263" TargetMode="External"/><Relationship Id="rId41" Type="http://schemas.openxmlformats.org/officeDocument/2006/relationships/hyperlink" Target="https://www.leroymerlin.com.br/tinta-acrilica-semi-brilho-premium-decora-branco-18l-coral_89669636" TargetMode="External"/><Relationship Id="rId54" Type="http://schemas.openxmlformats.org/officeDocument/2006/relationships/hyperlink" Target="https://www.leroymerlin.com.br/tinta-acrilica-pisos-cinza-18l-suvinil_90707631" TargetMode="External"/><Relationship Id="rId62" Type="http://schemas.openxmlformats.org/officeDocument/2006/relationships/hyperlink" Target="https://www.leroymerlin.com.br/esmalte-sintetico-tradicional-fosco-preto-3,6l_85130682" TargetMode="External"/><Relationship Id="rId1" Type="http://schemas.openxmlformats.org/officeDocument/2006/relationships/hyperlink" Target="https://www.leroymerlin.com.br/rejunte-flexivel-votomassa-bege-1kg_1570525881" TargetMode="External"/><Relationship Id="rId6" Type="http://schemas.openxmlformats.org/officeDocument/2006/relationships/hyperlink" Target="https://www.leroymerlin.com.br/rejunte-flexivel-votomassa-bege-1kg_1570525881" TargetMode="External"/><Relationship Id="rId15" Type="http://schemas.openxmlformats.org/officeDocument/2006/relationships/hyperlink" Target="https://www.leroymerlin.com.br/piso-laminado-clicado-eucafloor-evidence-andorra_1570955592" TargetMode="External"/><Relationship Id="rId23" Type="http://schemas.openxmlformats.org/officeDocument/2006/relationships/hyperlink" Target="https://www.leroymerlin.com.br/perfil-redutor-linheiro-3,2x300cm-artens_90717032" TargetMode="External"/><Relationship Id="rId28" Type="http://schemas.openxmlformats.org/officeDocument/2006/relationships/hyperlink" Target="https://www.leroymerlin.com.br/fita-antiderrapante-adesiva-escadas-5-metros-piso-antiqueda_1570491748" TargetMode="External"/><Relationship Id="rId36" Type="http://schemas.openxmlformats.org/officeDocument/2006/relationships/hyperlink" Target="https://www.leroymerlin.com.br/massa-corrida-25-kg-coral_89900916" TargetMode="External"/><Relationship Id="rId49" Type="http://schemas.openxmlformats.org/officeDocument/2006/relationships/hyperlink" Target="https://www.leroymerlin.com.br/tinta-acrilica-acetinada-decora-seda-premium-interior-e-exterior-branco-20-l-coral_90975822" TargetMode="External"/><Relationship Id="rId57" Type="http://schemas.openxmlformats.org/officeDocument/2006/relationships/hyperlink" Target="https://www.leroymerlin.com.br/coralit-total-base-agua-brilhante-branco-permanente-3,6l_87759000" TargetMode="External"/><Relationship Id="rId10" Type="http://schemas.openxmlformats.org/officeDocument/2006/relationships/hyperlink" Target="https://www.leroymerlin.com.br/piso-ceramico-interno-madeira-esmaltado-borda-arredondada-fuji-lf59019-57x57cm-lef_90022002" TargetMode="External"/><Relationship Id="rId31" Type="http://schemas.openxmlformats.org/officeDocument/2006/relationships/hyperlink" Target="https://www.leroymerlin.com.br/revestimento-interno-monocolor-branco-acetinado-borda-arredondada-22,8x22,8cm-hexa-white-ceral_90971132" TargetMode="External"/><Relationship Id="rId44" Type="http://schemas.openxmlformats.org/officeDocument/2006/relationships/hyperlink" Target="https://www.leroymerlin.com.br/tinta-acrilica-semi-brilho-premium-decora-branco-18l-coral_89669636" TargetMode="External"/><Relationship Id="rId52" Type="http://schemas.openxmlformats.org/officeDocument/2006/relationships/hyperlink" Target="https://www.leroymerlin.com.br/tinta-acrilica-fosco-completo-premium-interior-e-exterior-camurca-18-l-suvinil_85439382" TargetMode="External"/><Relationship Id="rId60" Type="http://schemas.openxmlformats.org/officeDocument/2006/relationships/hyperlink" Target="https://www.leroymerlin.com.br/verniz-base-agua-extra-maritimo-acetinado-incolor-3,6l-sparlack_87968692" TargetMode="External"/><Relationship Id="rId65" Type="http://schemas.openxmlformats.org/officeDocument/2006/relationships/hyperlink" Target="https://www.leroymerlin.com.br/stain-osmocolor-acetinado-castanho-3,6l-montana_87604566" TargetMode="External"/><Relationship Id="rId4" Type="http://schemas.openxmlformats.org/officeDocument/2006/relationships/hyperlink" Target="https://www.leroymerlin.com.br/rejunte-flexivel-votomassa-bege-1kg_1570525881" TargetMode="External"/><Relationship Id="rId9" Type="http://schemas.openxmlformats.org/officeDocument/2006/relationships/hyperlink" Target="https://www.leroymerlin.com.br/rejunte-epoxi-superfacil-cinza-platina-1kg_1570940606" TargetMode="External"/><Relationship Id="rId13" Type="http://schemas.openxmlformats.org/officeDocument/2006/relationships/hyperlink" Target="https://www.leroymerlin.com.br/piso-laminado-click-evidence-carvalho-rustico-136x21,7cm-m2-eucafloor_89062484" TargetMode="External"/><Relationship Id="rId18" Type="http://schemas.openxmlformats.org/officeDocument/2006/relationships/hyperlink" Target="https://www.leroymerlin.com.br/piso-vinilico-cola-marrom-carvalho-madeira-m2-verona_92156883" TargetMode="External"/><Relationship Id="rId39" Type="http://schemas.openxmlformats.org/officeDocument/2006/relationships/hyperlink" Target="https://www.leroymerlin.com.br/selador-acrilico-coral-branco-18l_85139551" TargetMode="External"/><Relationship Id="rId34" Type="http://schemas.openxmlformats.org/officeDocument/2006/relationships/hyperlink" Target="https://www.leroymerlin.com.br/chapa-de-drywall-standard-1,80x1,20m-branca-placo_89750724?region=grande_sao_paulo&amp;gad_source=1&amp;gclid=Cj0KCQiA5fetBhC9ARIsAP1UMgHXAucWOhfeTsnFLvzAQhIxnEx6g0wq8XTc39e9JIr77TNRcMGGNhQaAv3xEALw_wcB" TargetMode="External"/><Relationship Id="rId50" Type="http://schemas.openxmlformats.org/officeDocument/2006/relationships/hyperlink" Target="https://www.leroymerlin.com.br/tinta-acrilica-renova-paredes-coral-gelo-fosco-galao-3,2-litros_1570493822" TargetMode="External"/><Relationship Id="rId55" Type="http://schemas.openxmlformats.org/officeDocument/2006/relationships/hyperlink" Target="https://www.leroymerlin.com.br/verniz-base-agua-extra-maritimo-acetinado-incolor-3,6l-sparlack_87968692"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000"/>
  <sheetViews>
    <sheetView workbookViewId="0"/>
  </sheetViews>
  <sheetFormatPr defaultColWidth="12.5703125" defaultRowHeight="15.75" customHeight="1" x14ac:dyDescent="0.2"/>
  <cols>
    <col min="1" max="1" width="21.140625" customWidth="1"/>
    <col min="2" max="2" width="18.5703125" customWidth="1"/>
    <col min="3" max="3" width="20.42578125" customWidth="1"/>
    <col min="4" max="4" width="33.28515625" customWidth="1"/>
  </cols>
  <sheetData>
    <row r="1" spans="1:12" x14ac:dyDescent="0.2">
      <c r="A1" s="1" t="s">
        <v>0</v>
      </c>
      <c r="B1" s="2" t="s">
        <v>1</v>
      </c>
      <c r="C1" s="1" t="s">
        <v>2</v>
      </c>
      <c r="D1" s="1" t="s">
        <v>3</v>
      </c>
      <c r="E1" s="1" t="s">
        <v>4</v>
      </c>
      <c r="F1" s="1" t="s">
        <v>5</v>
      </c>
      <c r="G1" s="3" t="s">
        <v>6</v>
      </c>
      <c r="H1" s="3" t="s">
        <v>7</v>
      </c>
      <c r="I1" s="4" t="s">
        <v>8</v>
      </c>
      <c r="J1" s="5" t="s">
        <v>9</v>
      </c>
      <c r="K1" s="3" t="s">
        <v>10</v>
      </c>
      <c r="L1" s="3" t="s">
        <v>11</v>
      </c>
    </row>
    <row r="2" spans="1:12" x14ac:dyDescent="0.2">
      <c r="C2" s="6"/>
      <c r="H2" s="6"/>
    </row>
    <row r="3" spans="1:12" x14ac:dyDescent="0.2">
      <c r="C3" s="6"/>
      <c r="H3" s="6"/>
    </row>
    <row r="4" spans="1:12" x14ac:dyDescent="0.2">
      <c r="C4" s="6"/>
      <c r="H4" s="6"/>
    </row>
    <row r="5" spans="1:12" x14ac:dyDescent="0.2">
      <c r="C5" s="6"/>
      <c r="H5" s="6"/>
    </row>
    <row r="6" spans="1:12" x14ac:dyDescent="0.2">
      <c r="C6" s="6"/>
      <c r="H6" s="6"/>
    </row>
    <row r="7" spans="1:12" x14ac:dyDescent="0.2">
      <c r="C7" s="6"/>
      <c r="H7" s="6"/>
    </row>
    <row r="8" spans="1:12" x14ac:dyDescent="0.2">
      <c r="C8" s="6"/>
      <c r="H8" s="6"/>
    </row>
    <row r="9" spans="1:12" x14ac:dyDescent="0.2">
      <c r="C9" s="6"/>
      <c r="H9" s="6"/>
    </row>
    <row r="10" spans="1:12" x14ac:dyDescent="0.2">
      <c r="C10" s="6"/>
      <c r="H10" s="6"/>
    </row>
    <row r="11" spans="1:12" x14ac:dyDescent="0.2">
      <c r="C11" s="6"/>
      <c r="H11" s="6"/>
    </row>
    <row r="12" spans="1:12" x14ac:dyDescent="0.2">
      <c r="C12" s="6"/>
      <c r="H12" s="6"/>
    </row>
    <row r="13" spans="1:12" x14ac:dyDescent="0.2">
      <c r="C13" s="6"/>
      <c r="H13" s="6"/>
    </row>
    <row r="14" spans="1:12" x14ac:dyDescent="0.2">
      <c r="C14" s="6"/>
      <c r="H14" s="6"/>
    </row>
    <row r="15" spans="1:12" x14ac:dyDescent="0.2">
      <c r="C15" s="6"/>
      <c r="H15" s="6"/>
    </row>
    <row r="16" spans="1:12" x14ac:dyDescent="0.2">
      <c r="C16" s="6"/>
      <c r="H16" s="6"/>
    </row>
    <row r="17" spans="3:8" x14ac:dyDescent="0.2">
      <c r="C17" s="6"/>
      <c r="H17" s="6"/>
    </row>
    <row r="18" spans="3:8" x14ac:dyDescent="0.2">
      <c r="C18" s="6"/>
      <c r="H18" s="6"/>
    </row>
    <row r="19" spans="3:8" x14ac:dyDescent="0.2">
      <c r="C19" s="6"/>
      <c r="H19" s="6"/>
    </row>
    <row r="20" spans="3:8" x14ac:dyDescent="0.2">
      <c r="C20" s="6"/>
      <c r="H20" s="6"/>
    </row>
    <row r="21" spans="3:8" x14ac:dyDescent="0.2">
      <c r="C21" s="6"/>
      <c r="H21" s="6"/>
    </row>
    <row r="22" spans="3:8" x14ac:dyDescent="0.2">
      <c r="C22" s="6"/>
      <c r="H22" s="6"/>
    </row>
    <row r="23" spans="3:8" x14ac:dyDescent="0.2">
      <c r="C23" s="6"/>
      <c r="H23" s="6"/>
    </row>
    <row r="24" spans="3:8" x14ac:dyDescent="0.2">
      <c r="C24" s="6"/>
      <c r="H24" s="6"/>
    </row>
    <row r="25" spans="3:8" x14ac:dyDescent="0.2">
      <c r="C25" s="6"/>
      <c r="H25" s="6"/>
    </row>
    <row r="26" spans="3:8" x14ac:dyDescent="0.2">
      <c r="C26" s="6"/>
      <c r="H26" s="6"/>
    </row>
    <row r="27" spans="3:8" x14ac:dyDescent="0.2">
      <c r="C27" s="6"/>
      <c r="H27" s="6"/>
    </row>
    <row r="28" spans="3:8" x14ac:dyDescent="0.2">
      <c r="C28" s="6"/>
      <c r="H28" s="6"/>
    </row>
    <row r="29" spans="3:8" x14ac:dyDescent="0.2">
      <c r="C29" s="6"/>
      <c r="H29" s="6"/>
    </row>
    <row r="30" spans="3:8" x14ac:dyDescent="0.2">
      <c r="C30" s="6"/>
      <c r="H30" s="6"/>
    </row>
    <row r="31" spans="3:8" x14ac:dyDescent="0.2">
      <c r="C31" s="6"/>
      <c r="H31" s="6"/>
    </row>
    <row r="32" spans="3:8" x14ac:dyDescent="0.2">
      <c r="C32" s="6"/>
      <c r="H32" s="6"/>
    </row>
    <row r="33" spans="3:8" x14ac:dyDescent="0.2">
      <c r="C33" s="6"/>
      <c r="H33" s="6"/>
    </row>
    <row r="34" spans="3:8" x14ac:dyDescent="0.2">
      <c r="C34" s="6"/>
      <c r="H34" s="6"/>
    </row>
    <row r="35" spans="3:8" x14ac:dyDescent="0.2">
      <c r="C35" s="6"/>
      <c r="H35" s="6"/>
    </row>
    <row r="36" spans="3:8" x14ac:dyDescent="0.2">
      <c r="C36" s="6"/>
      <c r="H36" s="6"/>
    </row>
    <row r="37" spans="3:8" x14ac:dyDescent="0.2">
      <c r="C37" s="6"/>
      <c r="H37" s="6"/>
    </row>
    <row r="38" spans="3:8" x14ac:dyDescent="0.2">
      <c r="C38" s="6"/>
      <c r="H38" s="6"/>
    </row>
    <row r="39" spans="3:8" x14ac:dyDescent="0.2">
      <c r="C39" s="6"/>
      <c r="H39" s="6"/>
    </row>
    <row r="40" spans="3:8" x14ac:dyDescent="0.2">
      <c r="C40" s="6"/>
      <c r="H40" s="6"/>
    </row>
    <row r="41" spans="3:8" x14ac:dyDescent="0.2">
      <c r="C41" s="6"/>
      <c r="H41" s="6"/>
    </row>
    <row r="42" spans="3:8" x14ac:dyDescent="0.2">
      <c r="C42" s="6"/>
      <c r="H42" s="6"/>
    </row>
    <row r="43" spans="3:8" x14ac:dyDescent="0.2">
      <c r="C43" s="6"/>
      <c r="H43" s="6"/>
    </row>
    <row r="44" spans="3:8" x14ac:dyDescent="0.2">
      <c r="C44" s="6"/>
      <c r="H44" s="6"/>
    </row>
    <row r="45" spans="3:8" x14ac:dyDescent="0.2">
      <c r="C45" s="6"/>
      <c r="H45" s="6"/>
    </row>
    <row r="46" spans="3:8" x14ac:dyDescent="0.2">
      <c r="C46" s="6"/>
      <c r="H46" s="6"/>
    </row>
    <row r="47" spans="3:8" x14ac:dyDescent="0.2">
      <c r="C47" s="6"/>
      <c r="H47" s="6"/>
    </row>
    <row r="48" spans="3:8" x14ac:dyDescent="0.2">
      <c r="C48" s="6"/>
      <c r="H48" s="6"/>
    </row>
    <row r="49" spans="3:8" x14ac:dyDescent="0.2">
      <c r="C49" s="6"/>
      <c r="H49" s="6"/>
    </row>
    <row r="50" spans="3:8" x14ac:dyDescent="0.2">
      <c r="C50" s="6"/>
      <c r="H50" s="6"/>
    </row>
    <row r="51" spans="3:8" x14ac:dyDescent="0.2">
      <c r="C51" s="6"/>
      <c r="H51" s="6"/>
    </row>
    <row r="52" spans="3:8" x14ac:dyDescent="0.2">
      <c r="C52" s="6"/>
      <c r="H52" s="6"/>
    </row>
    <row r="53" spans="3:8" x14ac:dyDescent="0.2">
      <c r="C53" s="6"/>
      <c r="H53" s="6"/>
    </row>
    <row r="54" spans="3:8" x14ac:dyDescent="0.2">
      <c r="C54" s="6"/>
      <c r="H54" s="6"/>
    </row>
    <row r="55" spans="3:8" x14ac:dyDescent="0.2">
      <c r="C55" s="6"/>
      <c r="H55" s="6"/>
    </row>
    <row r="56" spans="3:8" x14ac:dyDescent="0.2">
      <c r="C56" s="6"/>
      <c r="H56" s="6"/>
    </row>
    <row r="57" spans="3:8" x14ac:dyDescent="0.2">
      <c r="C57" s="6"/>
      <c r="H57" s="6"/>
    </row>
    <row r="58" spans="3:8" x14ac:dyDescent="0.2">
      <c r="C58" s="6"/>
      <c r="H58" s="6"/>
    </row>
    <row r="59" spans="3:8" x14ac:dyDescent="0.2">
      <c r="C59" s="6"/>
      <c r="H59" s="6"/>
    </row>
    <row r="60" spans="3:8" x14ac:dyDescent="0.2">
      <c r="C60" s="6"/>
      <c r="H60" s="6"/>
    </row>
    <row r="61" spans="3:8" x14ac:dyDescent="0.2">
      <c r="C61" s="6"/>
      <c r="H61" s="6"/>
    </row>
    <row r="62" spans="3:8" x14ac:dyDescent="0.2">
      <c r="C62" s="6"/>
      <c r="H62" s="6"/>
    </row>
    <row r="63" spans="3:8" x14ac:dyDescent="0.2">
      <c r="C63" s="6"/>
      <c r="H63" s="6"/>
    </row>
    <row r="64" spans="3:8" x14ac:dyDescent="0.2">
      <c r="C64" s="6"/>
      <c r="H64" s="6"/>
    </row>
    <row r="65" spans="3:8" x14ac:dyDescent="0.2">
      <c r="C65" s="6"/>
      <c r="H65" s="6"/>
    </row>
    <row r="66" spans="3:8" x14ac:dyDescent="0.2">
      <c r="C66" s="6"/>
      <c r="H66" s="6"/>
    </row>
    <row r="67" spans="3:8" x14ac:dyDescent="0.2">
      <c r="C67" s="6"/>
      <c r="H67" s="6"/>
    </row>
    <row r="68" spans="3:8" x14ac:dyDescent="0.2">
      <c r="C68" s="6"/>
      <c r="H68" s="6"/>
    </row>
    <row r="69" spans="3:8" x14ac:dyDescent="0.2">
      <c r="C69" s="6"/>
      <c r="H69" s="6"/>
    </row>
    <row r="70" spans="3:8" x14ac:dyDescent="0.2">
      <c r="C70" s="6"/>
      <c r="H70" s="6"/>
    </row>
    <row r="71" spans="3:8" x14ac:dyDescent="0.2">
      <c r="C71" s="6"/>
      <c r="H71" s="6"/>
    </row>
    <row r="72" spans="3:8" x14ac:dyDescent="0.2">
      <c r="C72" s="6"/>
      <c r="H72" s="6"/>
    </row>
    <row r="73" spans="3:8" x14ac:dyDescent="0.2">
      <c r="C73" s="6"/>
      <c r="H73" s="6"/>
    </row>
    <row r="74" spans="3:8" x14ac:dyDescent="0.2">
      <c r="C74" s="6"/>
      <c r="H74" s="6"/>
    </row>
    <row r="75" spans="3:8" x14ac:dyDescent="0.2">
      <c r="C75" s="6"/>
      <c r="H75" s="6"/>
    </row>
    <row r="76" spans="3:8" x14ac:dyDescent="0.2">
      <c r="C76" s="6"/>
      <c r="H76" s="6"/>
    </row>
    <row r="77" spans="3:8" x14ac:dyDescent="0.2">
      <c r="C77" s="6"/>
      <c r="H77" s="6"/>
    </row>
    <row r="78" spans="3:8" x14ac:dyDescent="0.2">
      <c r="C78" s="6"/>
      <c r="H78" s="6"/>
    </row>
    <row r="79" spans="3:8" x14ac:dyDescent="0.2">
      <c r="C79" s="6"/>
      <c r="H79" s="6"/>
    </row>
    <row r="80" spans="3:8" x14ac:dyDescent="0.2">
      <c r="C80" s="6"/>
      <c r="H80" s="6"/>
    </row>
    <row r="81" spans="3:8" x14ac:dyDescent="0.2">
      <c r="C81" s="6"/>
      <c r="H81" s="6"/>
    </row>
    <row r="82" spans="3:8" x14ac:dyDescent="0.2">
      <c r="C82" s="6"/>
      <c r="H82" s="6"/>
    </row>
    <row r="83" spans="3:8" x14ac:dyDescent="0.2">
      <c r="C83" s="6"/>
      <c r="H83" s="6"/>
    </row>
    <row r="84" spans="3:8" x14ac:dyDescent="0.2">
      <c r="C84" s="6"/>
      <c r="H84" s="6"/>
    </row>
    <row r="85" spans="3:8" x14ac:dyDescent="0.2">
      <c r="C85" s="6"/>
      <c r="H85" s="6"/>
    </row>
    <row r="86" spans="3:8" x14ac:dyDescent="0.2">
      <c r="C86" s="6"/>
      <c r="H86" s="6"/>
    </row>
    <row r="87" spans="3:8" x14ac:dyDescent="0.2">
      <c r="C87" s="6"/>
      <c r="H87" s="6"/>
    </row>
    <row r="88" spans="3:8" x14ac:dyDescent="0.2">
      <c r="C88" s="6"/>
      <c r="H88" s="6"/>
    </row>
    <row r="89" spans="3:8" x14ac:dyDescent="0.2">
      <c r="C89" s="6"/>
      <c r="H89" s="6"/>
    </row>
    <row r="90" spans="3:8" x14ac:dyDescent="0.2">
      <c r="C90" s="6"/>
      <c r="H90" s="6"/>
    </row>
    <row r="91" spans="3:8" x14ac:dyDescent="0.2">
      <c r="C91" s="6"/>
      <c r="H91" s="6"/>
    </row>
    <row r="92" spans="3:8" x14ac:dyDescent="0.2">
      <c r="C92" s="6"/>
      <c r="H92" s="6"/>
    </row>
    <row r="93" spans="3:8" x14ac:dyDescent="0.2">
      <c r="C93" s="6"/>
      <c r="H93" s="6"/>
    </row>
    <row r="94" spans="3:8" x14ac:dyDescent="0.2">
      <c r="C94" s="6"/>
      <c r="H94" s="6"/>
    </row>
    <row r="95" spans="3:8" x14ac:dyDescent="0.2">
      <c r="C95" s="6"/>
      <c r="H95" s="6"/>
    </row>
    <row r="96" spans="3:8" x14ac:dyDescent="0.2">
      <c r="C96" s="6"/>
      <c r="H96" s="6"/>
    </row>
    <row r="97" spans="3:8" x14ac:dyDescent="0.2">
      <c r="C97" s="6"/>
      <c r="H97" s="6"/>
    </row>
    <row r="98" spans="3:8" x14ac:dyDescent="0.2">
      <c r="C98" s="6"/>
      <c r="H98" s="6"/>
    </row>
    <row r="99" spans="3:8" x14ac:dyDescent="0.2">
      <c r="C99" s="6"/>
      <c r="H99" s="6"/>
    </row>
    <row r="100" spans="3:8" x14ac:dyDescent="0.2">
      <c r="C100" s="6"/>
      <c r="H100" s="6"/>
    </row>
    <row r="101" spans="3:8" x14ac:dyDescent="0.2">
      <c r="C101" s="6"/>
      <c r="H101" s="6"/>
    </row>
    <row r="102" spans="3:8" x14ac:dyDescent="0.2">
      <c r="C102" s="6"/>
      <c r="H102" s="6"/>
    </row>
    <row r="103" spans="3:8" x14ac:dyDescent="0.2">
      <c r="C103" s="6"/>
      <c r="H103" s="6"/>
    </row>
    <row r="104" spans="3:8" x14ac:dyDescent="0.2">
      <c r="C104" s="6"/>
      <c r="H104" s="6"/>
    </row>
    <row r="105" spans="3:8" x14ac:dyDescent="0.2">
      <c r="C105" s="6"/>
      <c r="H105" s="6"/>
    </row>
    <row r="106" spans="3:8" x14ac:dyDescent="0.2">
      <c r="C106" s="6"/>
      <c r="H106" s="6"/>
    </row>
    <row r="107" spans="3:8" x14ac:dyDescent="0.2">
      <c r="C107" s="6"/>
      <c r="H107" s="6"/>
    </row>
    <row r="108" spans="3:8" x14ac:dyDescent="0.2">
      <c r="C108" s="6"/>
      <c r="H108" s="6"/>
    </row>
    <row r="109" spans="3:8" x14ac:dyDescent="0.2">
      <c r="C109" s="6"/>
      <c r="H109" s="6"/>
    </row>
    <row r="110" spans="3:8" x14ac:dyDescent="0.2">
      <c r="C110" s="6"/>
      <c r="H110" s="6"/>
    </row>
    <row r="111" spans="3:8" x14ac:dyDescent="0.2">
      <c r="C111" s="6"/>
      <c r="H111" s="6"/>
    </row>
    <row r="112" spans="3:8" x14ac:dyDescent="0.2">
      <c r="C112" s="6"/>
      <c r="H112" s="6"/>
    </row>
    <row r="113" spans="3:8" x14ac:dyDescent="0.2">
      <c r="C113" s="6"/>
      <c r="H113" s="6"/>
    </row>
    <row r="114" spans="3:8" x14ac:dyDescent="0.2">
      <c r="C114" s="6"/>
      <c r="H114" s="6"/>
    </row>
    <row r="115" spans="3:8" x14ac:dyDescent="0.2">
      <c r="C115" s="6"/>
      <c r="H115" s="6"/>
    </row>
    <row r="116" spans="3:8" x14ac:dyDescent="0.2">
      <c r="C116" s="6"/>
      <c r="H116" s="6"/>
    </row>
    <row r="117" spans="3:8" x14ac:dyDescent="0.2">
      <c r="C117" s="6"/>
      <c r="H117" s="6"/>
    </row>
    <row r="118" spans="3:8" x14ac:dyDescent="0.2">
      <c r="C118" s="6"/>
      <c r="H118" s="6"/>
    </row>
    <row r="119" spans="3:8" x14ac:dyDescent="0.2">
      <c r="C119" s="6"/>
      <c r="H119" s="6"/>
    </row>
    <row r="120" spans="3:8" x14ac:dyDescent="0.2">
      <c r="C120" s="6"/>
      <c r="H120" s="6"/>
    </row>
    <row r="121" spans="3:8" x14ac:dyDescent="0.2">
      <c r="C121" s="6"/>
      <c r="H121" s="6"/>
    </row>
    <row r="122" spans="3:8" x14ac:dyDescent="0.2">
      <c r="C122" s="6"/>
      <c r="H122" s="6"/>
    </row>
    <row r="123" spans="3:8" x14ac:dyDescent="0.2">
      <c r="C123" s="6"/>
      <c r="H123" s="6"/>
    </row>
    <row r="124" spans="3:8" x14ac:dyDescent="0.2">
      <c r="C124" s="6"/>
      <c r="H124" s="6"/>
    </row>
    <row r="125" spans="3:8" x14ac:dyDescent="0.2">
      <c r="C125" s="6"/>
      <c r="H125" s="6"/>
    </row>
    <row r="126" spans="3:8" x14ac:dyDescent="0.2">
      <c r="C126" s="6"/>
      <c r="H126" s="6"/>
    </row>
    <row r="127" spans="3:8" x14ac:dyDescent="0.2">
      <c r="C127" s="6"/>
      <c r="H127" s="6"/>
    </row>
    <row r="128" spans="3:8" x14ac:dyDescent="0.2">
      <c r="C128" s="6"/>
      <c r="H128" s="6"/>
    </row>
    <row r="129" spans="3:8" x14ac:dyDescent="0.2">
      <c r="C129" s="6"/>
      <c r="H129" s="6"/>
    </row>
    <row r="130" spans="3:8" x14ac:dyDescent="0.2">
      <c r="C130" s="6"/>
      <c r="H130" s="6"/>
    </row>
    <row r="131" spans="3:8" x14ac:dyDescent="0.2">
      <c r="C131" s="6"/>
      <c r="H131" s="6"/>
    </row>
    <row r="132" spans="3:8" x14ac:dyDescent="0.2">
      <c r="C132" s="6"/>
      <c r="H132" s="6"/>
    </row>
    <row r="133" spans="3:8" x14ac:dyDescent="0.2">
      <c r="C133" s="6"/>
      <c r="H133" s="6"/>
    </row>
    <row r="134" spans="3:8" x14ac:dyDescent="0.2">
      <c r="C134" s="6"/>
      <c r="H134" s="6"/>
    </row>
    <row r="135" spans="3:8" x14ac:dyDescent="0.2">
      <c r="C135" s="6"/>
      <c r="H135" s="6"/>
    </row>
    <row r="136" spans="3:8" x14ac:dyDescent="0.2">
      <c r="C136" s="6"/>
      <c r="H136" s="6"/>
    </row>
    <row r="137" spans="3:8" x14ac:dyDescent="0.2">
      <c r="C137" s="6"/>
      <c r="H137" s="6"/>
    </row>
    <row r="138" spans="3:8" x14ac:dyDescent="0.2">
      <c r="C138" s="6"/>
      <c r="H138" s="6"/>
    </row>
    <row r="139" spans="3:8" x14ac:dyDescent="0.2">
      <c r="C139" s="6"/>
      <c r="H139" s="6"/>
    </row>
    <row r="140" spans="3:8" x14ac:dyDescent="0.2">
      <c r="C140" s="6"/>
      <c r="H140" s="6"/>
    </row>
    <row r="141" spans="3:8" x14ac:dyDescent="0.2">
      <c r="C141" s="6"/>
      <c r="H141" s="6"/>
    </row>
    <row r="142" spans="3:8" x14ac:dyDescent="0.2">
      <c r="C142" s="6"/>
      <c r="H142" s="6"/>
    </row>
    <row r="143" spans="3:8" x14ac:dyDescent="0.2">
      <c r="C143" s="6"/>
      <c r="H143" s="6"/>
    </row>
    <row r="144" spans="3:8" x14ac:dyDescent="0.2">
      <c r="C144" s="6"/>
      <c r="H144" s="6"/>
    </row>
    <row r="145" spans="3:8" x14ac:dyDescent="0.2">
      <c r="C145" s="6"/>
      <c r="H145" s="6"/>
    </row>
    <row r="146" spans="3:8" x14ac:dyDescent="0.2">
      <c r="C146" s="6"/>
      <c r="H146" s="6"/>
    </row>
    <row r="147" spans="3:8" x14ac:dyDescent="0.2">
      <c r="C147" s="6"/>
      <c r="H147" s="6"/>
    </row>
    <row r="148" spans="3:8" x14ac:dyDescent="0.2">
      <c r="C148" s="6"/>
      <c r="H148" s="6"/>
    </row>
    <row r="149" spans="3:8" x14ac:dyDescent="0.2">
      <c r="C149" s="6"/>
      <c r="H149" s="6"/>
    </row>
    <row r="150" spans="3:8" x14ac:dyDescent="0.2">
      <c r="C150" s="6"/>
      <c r="H150" s="6"/>
    </row>
    <row r="151" spans="3:8" x14ac:dyDescent="0.2">
      <c r="C151" s="6"/>
      <c r="H151" s="6"/>
    </row>
    <row r="152" spans="3:8" x14ac:dyDescent="0.2">
      <c r="C152" s="6"/>
      <c r="H152" s="6"/>
    </row>
    <row r="153" spans="3:8" x14ac:dyDescent="0.2">
      <c r="C153" s="6"/>
      <c r="H153" s="6"/>
    </row>
    <row r="154" spans="3:8" x14ac:dyDescent="0.2">
      <c r="C154" s="6"/>
      <c r="H154" s="6"/>
    </row>
    <row r="155" spans="3:8" x14ac:dyDescent="0.2">
      <c r="C155" s="6"/>
      <c r="H155" s="6"/>
    </row>
    <row r="156" spans="3:8" x14ac:dyDescent="0.2">
      <c r="C156" s="6"/>
      <c r="H156" s="6"/>
    </row>
    <row r="157" spans="3:8" x14ac:dyDescent="0.2">
      <c r="C157" s="6"/>
      <c r="H157" s="6"/>
    </row>
    <row r="158" spans="3:8" x14ac:dyDescent="0.2">
      <c r="C158" s="6"/>
      <c r="H158" s="6"/>
    </row>
    <row r="159" spans="3:8" x14ac:dyDescent="0.2">
      <c r="C159" s="6"/>
      <c r="H159" s="6"/>
    </row>
    <row r="160" spans="3:8" x14ac:dyDescent="0.2">
      <c r="C160" s="6"/>
      <c r="H160" s="6"/>
    </row>
    <row r="161" spans="3:8" x14ac:dyDescent="0.2">
      <c r="C161" s="6"/>
      <c r="H161" s="6"/>
    </row>
    <row r="162" spans="3:8" x14ac:dyDescent="0.2">
      <c r="C162" s="6"/>
      <c r="H162" s="6"/>
    </row>
    <row r="163" spans="3:8" x14ac:dyDescent="0.2">
      <c r="C163" s="6"/>
      <c r="H163" s="6"/>
    </row>
    <row r="164" spans="3:8" x14ac:dyDescent="0.2">
      <c r="C164" s="6"/>
      <c r="H164" s="6"/>
    </row>
    <row r="165" spans="3:8" x14ac:dyDescent="0.2">
      <c r="C165" s="6"/>
      <c r="H165" s="6"/>
    </row>
    <row r="166" spans="3:8" x14ac:dyDescent="0.2">
      <c r="C166" s="6"/>
      <c r="H166" s="6"/>
    </row>
    <row r="167" spans="3:8" x14ac:dyDescent="0.2">
      <c r="C167" s="6"/>
      <c r="H167" s="6"/>
    </row>
    <row r="168" spans="3:8" x14ac:dyDescent="0.2">
      <c r="C168" s="6"/>
      <c r="H168" s="6"/>
    </row>
    <row r="169" spans="3:8" x14ac:dyDescent="0.2">
      <c r="C169" s="6"/>
      <c r="H169" s="6"/>
    </row>
    <row r="170" spans="3:8" x14ac:dyDescent="0.2">
      <c r="C170" s="6"/>
      <c r="H170" s="6"/>
    </row>
    <row r="171" spans="3:8" x14ac:dyDescent="0.2">
      <c r="C171" s="6"/>
      <c r="H171" s="6"/>
    </row>
    <row r="172" spans="3:8" x14ac:dyDescent="0.2">
      <c r="C172" s="6"/>
      <c r="H172" s="6"/>
    </row>
    <row r="173" spans="3:8" x14ac:dyDescent="0.2">
      <c r="C173" s="6"/>
      <c r="H173" s="6"/>
    </row>
    <row r="174" spans="3:8" x14ac:dyDescent="0.2">
      <c r="C174" s="6"/>
      <c r="H174" s="6"/>
    </row>
    <row r="175" spans="3:8" x14ac:dyDescent="0.2">
      <c r="C175" s="6"/>
      <c r="H175" s="6"/>
    </row>
    <row r="176" spans="3:8" x14ac:dyDescent="0.2">
      <c r="C176" s="6"/>
      <c r="H176" s="6"/>
    </row>
    <row r="177" spans="3:8" x14ac:dyDescent="0.2">
      <c r="C177" s="6"/>
      <c r="H177" s="6"/>
    </row>
    <row r="178" spans="3:8" x14ac:dyDescent="0.2">
      <c r="C178" s="6"/>
      <c r="H178" s="6"/>
    </row>
    <row r="179" spans="3:8" x14ac:dyDescent="0.2">
      <c r="C179" s="6"/>
      <c r="H179" s="6"/>
    </row>
    <row r="180" spans="3:8" x14ac:dyDescent="0.2">
      <c r="C180" s="6"/>
      <c r="H180" s="6"/>
    </row>
    <row r="181" spans="3:8" x14ac:dyDescent="0.2">
      <c r="C181" s="6"/>
      <c r="H181" s="6"/>
    </row>
    <row r="182" spans="3:8" x14ac:dyDescent="0.2">
      <c r="C182" s="6"/>
      <c r="H182" s="6"/>
    </row>
    <row r="183" spans="3:8" x14ac:dyDescent="0.2">
      <c r="C183" s="6"/>
      <c r="H183" s="6"/>
    </row>
    <row r="184" spans="3:8" x14ac:dyDescent="0.2">
      <c r="C184" s="6"/>
      <c r="H184" s="6"/>
    </row>
    <row r="185" spans="3:8" x14ac:dyDescent="0.2">
      <c r="C185" s="6"/>
      <c r="H185" s="6"/>
    </row>
    <row r="186" spans="3:8" x14ac:dyDescent="0.2">
      <c r="C186" s="6"/>
      <c r="H186" s="6"/>
    </row>
    <row r="187" spans="3:8" x14ac:dyDescent="0.2">
      <c r="C187" s="6"/>
      <c r="H187" s="6"/>
    </row>
    <row r="188" spans="3:8" x14ac:dyDescent="0.2">
      <c r="C188" s="6"/>
      <c r="H188" s="6"/>
    </row>
    <row r="189" spans="3:8" x14ac:dyDescent="0.2">
      <c r="C189" s="6"/>
      <c r="H189" s="6"/>
    </row>
    <row r="190" spans="3:8" x14ac:dyDescent="0.2">
      <c r="C190" s="6"/>
      <c r="H190" s="6"/>
    </row>
    <row r="191" spans="3:8" x14ac:dyDescent="0.2">
      <c r="C191" s="6"/>
      <c r="H191" s="6"/>
    </row>
    <row r="192" spans="3:8" x14ac:dyDescent="0.2">
      <c r="C192" s="6"/>
      <c r="H192" s="6"/>
    </row>
    <row r="193" spans="3:8" x14ac:dyDescent="0.2">
      <c r="C193" s="6"/>
      <c r="H193" s="6"/>
    </row>
    <row r="194" spans="3:8" x14ac:dyDescent="0.2">
      <c r="C194" s="6"/>
      <c r="H194" s="6"/>
    </row>
    <row r="195" spans="3:8" x14ac:dyDescent="0.2">
      <c r="C195" s="6"/>
      <c r="H195" s="6"/>
    </row>
    <row r="196" spans="3:8" x14ac:dyDescent="0.2">
      <c r="C196" s="6"/>
      <c r="H196" s="6"/>
    </row>
    <row r="197" spans="3:8" x14ac:dyDescent="0.2">
      <c r="C197" s="6"/>
      <c r="H197" s="6"/>
    </row>
    <row r="198" spans="3:8" x14ac:dyDescent="0.2">
      <c r="C198" s="6"/>
      <c r="H198" s="6"/>
    </row>
    <row r="199" spans="3:8" x14ac:dyDescent="0.2">
      <c r="C199" s="6"/>
      <c r="H199" s="6"/>
    </row>
    <row r="200" spans="3:8" x14ac:dyDescent="0.2">
      <c r="C200" s="6"/>
      <c r="H200" s="6"/>
    </row>
    <row r="201" spans="3:8" x14ac:dyDescent="0.2">
      <c r="C201" s="6"/>
      <c r="H201" s="6"/>
    </row>
    <row r="202" spans="3:8" x14ac:dyDescent="0.2">
      <c r="C202" s="6"/>
      <c r="H202" s="6"/>
    </row>
    <row r="203" spans="3:8" x14ac:dyDescent="0.2">
      <c r="C203" s="6"/>
      <c r="H203" s="6"/>
    </row>
    <row r="204" spans="3:8" x14ac:dyDescent="0.2">
      <c r="C204" s="6"/>
      <c r="H204" s="6"/>
    </row>
    <row r="205" spans="3:8" x14ac:dyDescent="0.2">
      <c r="C205" s="6"/>
      <c r="H205" s="6"/>
    </row>
    <row r="206" spans="3:8" x14ac:dyDescent="0.2">
      <c r="C206" s="6"/>
      <c r="H206" s="6"/>
    </row>
    <row r="207" spans="3:8" x14ac:dyDescent="0.2">
      <c r="C207" s="6"/>
      <c r="H207" s="6"/>
    </row>
    <row r="208" spans="3:8" x14ac:dyDescent="0.2">
      <c r="C208" s="6"/>
      <c r="H208" s="6"/>
    </row>
    <row r="209" spans="3:8" x14ac:dyDescent="0.2">
      <c r="C209" s="6"/>
      <c r="H209" s="6"/>
    </row>
    <row r="210" spans="3:8" x14ac:dyDescent="0.2">
      <c r="C210" s="6"/>
      <c r="H210" s="6"/>
    </row>
    <row r="211" spans="3:8" x14ac:dyDescent="0.2">
      <c r="C211" s="6"/>
      <c r="H211" s="6"/>
    </row>
    <row r="212" spans="3:8" x14ac:dyDescent="0.2">
      <c r="C212" s="6"/>
      <c r="H212" s="6"/>
    </row>
    <row r="213" spans="3:8" x14ac:dyDescent="0.2">
      <c r="C213" s="6"/>
      <c r="H213" s="6"/>
    </row>
    <row r="214" spans="3:8" x14ac:dyDescent="0.2">
      <c r="C214" s="6"/>
      <c r="H214" s="6"/>
    </row>
    <row r="215" spans="3:8" x14ac:dyDescent="0.2">
      <c r="C215" s="6"/>
      <c r="H215" s="6"/>
    </row>
    <row r="216" spans="3:8" x14ac:dyDescent="0.2">
      <c r="C216" s="6"/>
      <c r="H216" s="6"/>
    </row>
    <row r="217" spans="3:8" x14ac:dyDescent="0.2">
      <c r="C217" s="6"/>
      <c r="H217" s="6"/>
    </row>
    <row r="218" spans="3:8" x14ac:dyDescent="0.2">
      <c r="C218" s="6"/>
      <c r="H218" s="6"/>
    </row>
    <row r="219" spans="3:8" x14ac:dyDescent="0.2">
      <c r="C219" s="6"/>
      <c r="H219" s="6"/>
    </row>
    <row r="220" spans="3:8" x14ac:dyDescent="0.2">
      <c r="C220" s="6"/>
      <c r="H220" s="6"/>
    </row>
    <row r="221" spans="3:8" x14ac:dyDescent="0.2">
      <c r="C221" s="6"/>
      <c r="H221" s="6"/>
    </row>
    <row r="222" spans="3:8" x14ac:dyDescent="0.2">
      <c r="C222" s="6"/>
      <c r="H222" s="6"/>
    </row>
    <row r="223" spans="3:8" x14ac:dyDescent="0.2">
      <c r="C223" s="6"/>
      <c r="H223" s="6"/>
    </row>
    <row r="224" spans="3:8" x14ac:dyDescent="0.2">
      <c r="C224" s="6"/>
      <c r="H224" s="6"/>
    </row>
    <row r="225" spans="3:8" x14ac:dyDescent="0.2">
      <c r="C225" s="6"/>
      <c r="H225" s="6"/>
    </row>
    <row r="226" spans="3:8" x14ac:dyDescent="0.2">
      <c r="C226" s="6"/>
      <c r="H226" s="6"/>
    </row>
    <row r="227" spans="3:8" x14ac:dyDescent="0.2">
      <c r="C227" s="6"/>
      <c r="H227" s="6"/>
    </row>
    <row r="228" spans="3:8" x14ac:dyDescent="0.2">
      <c r="C228" s="6"/>
      <c r="H228" s="6"/>
    </row>
    <row r="229" spans="3:8" x14ac:dyDescent="0.2">
      <c r="C229" s="6"/>
      <c r="H229" s="6"/>
    </row>
    <row r="230" spans="3:8" x14ac:dyDescent="0.2">
      <c r="C230" s="6"/>
      <c r="H230" s="6"/>
    </row>
    <row r="231" spans="3:8" x14ac:dyDescent="0.2">
      <c r="C231" s="6"/>
      <c r="H231" s="6"/>
    </row>
    <row r="232" spans="3:8" x14ac:dyDescent="0.2">
      <c r="C232" s="6"/>
      <c r="H232" s="6"/>
    </row>
    <row r="233" spans="3:8" x14ac:dyDescent="0.2">
      <c r="C233" s="6"/>
      <c r="H233" s="6"/>
    </row>
    <row r="234" spans="3:8" x14ac:dyDescent="0.2">
      <c r="C234" s="6"/>
      <c r="H234" s="6"/>
    </row>
    <row r="235" spans="3:8" x14ac:dyDescent="0.2">
      <c r="C235" s="6"/>
      <c r="H235" s="6"/>
    </row>
    <row r="236" spans="3:8" x14ac:dyDescent="0.2">
      <c r="C236" s="6"/>
      <c r="H236" s="6"/>
    </row>
    <row r="237" spans="3:8" x14ac:dyDescent="0.2">
      <c r="C237" s="6"/>
      <c r="H237" s="6"/>
    </row>
    <row r="238" spans="3:8" x14ac:dyDescent="0.2">
      <c r="C238" s="6"/>
      <c r="H238" s="6"/>
    </row>
    <row r="239" spans="3:8" x14ac:dyDescent="0.2">
      <c r="C239" s="6"/>
      <c r="H239" s="6"/>
    </row>
    <row r="240" spans="3:8" x14ac:dyDescent="0.2">
      <c r="C240" s="6"/>
      <c r="H240" s="6"/>
    </row>
    <row r="241" spans="3:8" x14ac:dyDescent="0.2">
      <c r="C241" s="6"/>
      <c r="H241" s="6"/>
    </row>
    <row r="242" spans="3:8" x14ac:dyDescent="0.2">
      <c r="C242" s="6"/>
      <c r="H242" s="6"/>
    </row>
    <row r="243" spans="3:8" x14ac:dyDescent="0.2">
      <c r="C243" s="6"/>
      <c r="H243" s="6"/>
    </row>
    <row r="244" spans="3:8" x14ac:dyDescent="0.2">
      <c r="C244" s="6"/>
      <c r="H244" s="6"/>
    </row>
    <row r="245" spans="3:8" x14ac:dyDescent="0.2">
      <c r="C245" s="6"/>
      <c r="H245" s="6"/>
    </row>
    <row r="246" spans="3:8" x14ac:dyDescent="0.2">
      <c r="C246" s="6"/>
      <c r="H246" s="6"/>
    </row>
    <row r="247" spans="3:8" x14ac:dyDescent="0.2">
      <c r="C247" s="6"/>
      <c r="H247" s="6"/>
    </row>
    <row r="248" spans="3:8" x14ac:dyDescent="0.2">
      <c r="C248" s="6"/>
      <c r="H248" s="6"/>
    </row>
    <row r="249" spans="3:8" x14ac:dyDescent="0.2">
      <c r="C249" s="6"/>
      <c r="H249" s="6"/>
    </row>
    <row r="250" spans="3:8" x14ac:dyDescent="0.2">
      <c r="C250" s="6"/>
      <c r="H250" s="6"/>
    </row>
    <row r="251" spans="3:8" x14ac:dyDescent="0.2">
      <c r="C251" s="6"/>
      <c r="H251" s="6"/>
    </row>
    <row r="252" spans="3:8" x14ac:dyDescent="0.2">
      <c r="C252" s="6"/>
      <c r="H252" s="6"/>
    </row>
    <row r="253" spans="3:8" x14ac:dyDescent="0.2">
      <c r="C253" s="6"/>
      <c r="H253" s="6"/>
    </row>
    <row r="254" spans="3:8" x14ac:dyDescent="0.2">
      <c r="C254" s="6"/>
      <c r="H254" s="6"/>
    </row>
    <row r="255" spans="3:8" x14ac:dyDescent="0.2">
      <c r="C255" s="6"/>
      <c r="H255" s="6"/>
    </row>
    <row r="256" spans="3:8" x14ac:dyDescent="0.2">
      <c r="C256" s="6"/>
      <c r="H256" s="6"/>
    </row>
    <row r="257" spans="3:8" x14ac:dyDescent="0.2">
      <c r="C257" s="6"/>
      <c r="H257" s="6"/>
    </row>
    <row r="258" spans="3:8" x14ac:dyDescent="0.2">
      <c r="C258" s="6"/>
      <c r="H258" s="6"/>
    </row>
    <row r="259" spans="3:8" x14ac:dyDescent="0.2">
      <c r="C259" s="6"/>
      <c r="H259" s="6"/>
    </row>
    <row r="260" spans="3:8" x14ac:dyDescent="0.2">
      <c r="C260" s="6"/>
      <c r="H260" s="6"/>
    </row>
    <row r="261" spans="3:8" x14ac:dyDescent="0.2">
      <c r="C261" s="6"/>
      <c r="H261" s="6"/>
    </row>
    <row r="262" spans="3:8" x14ac:dyDescent="0.2">
      <c r="C262" s="6"/>
      <c r="H262" s="6"/>
    </row>
    <row r="263" spans="3:8" x14ac:dyDescent="0.2">
      <c r="C263" s="6"/>
      <c r="H263" s="6"/>
    </row>
    <row r="264" spans="3:8" x14ac:dyDescent="0.2">
      <c r="C264" s="6"/>
      <c r="H264" s="6"/>
    </row>
    <row r="265" spans="3:8" x14ac:dyDescent="0.2">
      <c r="C265" s="6"/>
      <c r="H265" s="6"/>
    </row>
    <row r="266" spans="3:8" x14ac:dyDescent="0.2">
      <c r="C266" s="6"/>
      <c r="H266" s="6"/>
    </row>
    <row r="267" spans="3:8" x14ac:dyDescent="0.2">
      <c r="C267" s="6"/>
      <c r="H267" s="6"/>
    </row>
    <row r="268" spans="3:8" x14ac:dyDescent="0.2">
      <c r="C268" s="6"/>
      <c r="H268" s="6"/>
    </row>
    <row r="269" spans="3:8" x14ac:dyDescent="0.2">
      <c r="C269" s="6"/>
      <c r="H269" s="6"/>
    </row>
    <row r="270" spans="3:8" x14ac:dyDescent="0.2">
      <c r="C270" s="6"/>
      <c r="H270" s="6"/>
    </row>
    <row r="271" spans="3:8" x14ac:dyDescent="0.2">
      <c r="C271" s="6"/>
      <c r="H271" s="6"/>
    </row>
    <row r="272" spans="3:8" x14ac:dyDescent="0.2">
      <c r="C272" s="6"/>
      <c r="H272" s="6"/>
    </row>
    <row r="273" spans="3:8" x14ac:dyDescent="0.2">
      <c r="C273" s="6"/>
      <c r="H273" s="6"/>
    </row>
    <row r="274" spans="3:8" x14ac:dyDescent="0.2">
      <c r="C274" s="6"/>
      <c r="H274" s="6"/>
    </row>
    <row r="275" spans="3:8" x14ac:dyDescent="0.2">
      <c r="C275" s="6"/>
      <c r="H275" s="6"/>
    </row>
    <row r="276" spans="3:8" x14ac:dyDescent="0.2">
      <c r="C276" s="6"/>
      <c r="H276" s="6"/>
    </row>
    <row r="277" spans="3:8" x14ac:dyDescent="0.2">
      <c r="C277" s="6"/>
      <c r="H277" s="6"/>
    </row>
    <row r="278" spans="3:8" x14ac:dyDescent="0.2">
      <c r="C278" s="6"/>
      <c r="H278" s="6"/>
    </row>
    <row r="279" spans="3:8" x14ac:dyDescent="0.2">
      <c r="C279" s="6"/>
      <c r="H279" s="6"/>
    </row>
    <row r="280" spans="3:8" x14ac:dyDescent="0.2">
      <c r="C280" s="6"/>
      <c r="H280" s="6"/>
    </row>
    <row r="281" spans="3:8" x14ac:dyDescent="0.2">
      <c r="C281" s="6"/>
      <c r="H281" s="6"/>
    </row>
    <row r="282" spans="3:8" x14ac:dyDescent="0.2">
      <c r="C282" s="6"/>
      <c r="H282" s="6"/>
    </row>
    <row r="283" spans="3:8" x14ac:dyDescent="0.2">
      <c r="C283" s="6"/>
      <c r="H283" s="6"/>
    </row>
    <row r="284" spans="3:8" x14ac:dyDescent="0.2">
      <c r="C284" s="6"/>
      <c r="H284" s="6"/>
    </row>
    <row r="285" spans="3:8" x14ac:dyDescent="0.2">
      <c r="C285" s="6"/>
      <c r="H285" s="6"/>
    </row>
    <row r="286" spans="3:8" x14ac:dyDescent="0.2">
      <c r="C286" s="6"/>
      <c r="H286" s="6"/>
    </row>
    <row r="287" spans="3:8" x14ac:dyDescent="0.2">
      <c r="C287" s="6"/>
      <c r="H287" s="6"/>
    </row>
    <row r="288" spans="3:8" x14ac:dyDescent="0.2">
      <c r="C288" s="6"/>
      <c r="H288" s="6"/>
    </row>
    <row r="289" spans="3:8" x14ac:dyDescent="0.2">
      <c r="C289" s="6"/>
      <c r="H289" s="6"/>
    </row>
    <row r="290" spans="3:8" x14ac:dyDescent="0.2">
      <c r="C290" s="6"/>
      <c r="H290" s="6"/>
    </row>
    <row r="291" spans="3:8" x14ac:dyDescent="0.2">
      <c r="C291" s="6"/>
      <c r="H291" s="6"/>
    </row>
    <row r="292" spans="3:8" x14ac:dyDescent="0.2">
      <c r="C292" s="6"/>
      <c r="H292" s="6"/>
    </row>
    <row r="293" spans="3:8" x14ac:dyDescent="0.2">
      <c r="C293" s="6"/>
      <c r="H293" s="6"/>
    </row>
    <row r="294" spans="3:8" x14ac:dyDescent="0.2">
      <c r="C294" s="6"/>
      <c r="H294" s="6"/>
    </row>
    <row r="295" spans="3:8" x14ac:dyDescent="0.2">
      <c r="C295" s="6"/>
      <c r="H295" s="6"/>
    </row>
    <row r="296" spans="3:8" x14ac:dyDescent="0.2">
      <c r="C296" s="6"/>
      <c r="H296" s="6"/>
    </row>
    <row r="297" spans="3:8" x14ac:dyDescent="0.2">
      <c r="C297" s="6"/>
      <c r="H297" s="6"/>
    </row>
    <row r="298" spans="3:8" x14ac:dyDescent="0.2">
      <c r="C298" s="6"/>
      <c r="H298" s="6"/>
    </row>
    <row r="299" spans="3:8" x14ac:dyDescent="0.2">
      <c r="C299" s="6"/>
      <c r="H299" s="6"/>
    </row>
    <row r="300" spans="3:8" x14ac:dyDescent="0.2">
      <c r="C300" s="6"/>
      <c r="H300" s="6"/>
    </row>
    <row r="301" spans="3:8" x14ac:dyDescent="0.2">
      <c r="C301" s="6"/>
      <c r="H301" s="6"/>
    </row>
    <row r="302" spans="3:8" x14ac:dyDescent="0.2">
      <c r="C302" s="6"/>
      <c r="H302" s="6"/>
    </row>
    <row r="303" spans="3:8" x14ac:dyDescent="0.2">
      <c r="C303" s="6"/>
      <c r="H303" s="6"/>
    </row>
    <row r="304" spans="3:8" x14ac:dyDescent="0.2">
      <c r="C304" s="6"/>
      <c r="H304" s="6"/>
    </row>
    <row r="305" spans="3:8" x14ac:dyDescent="0.2">
      <c r="C305" s="6"/>
      <c r="H305" s="6"/>
    </row>
    <row r="306" spans="3:8" x14ac:dyDescent="0.2">
      <c r="C306" s="6"/>
      <c r="H306" s="6"/>
    </row>
    <row r="307" spans="3:8" x14ac:dyDescent="0.2">
      <c r="C307" s="6"/>
      <c r="H307" s="6"/>
    </row>
    <row r="308" spans="3:8" x14ac:dyDescent="0.2">
      <c r="C308" s="6"/>
      <c r="H308" s="6"/>
    </row>
    <row r="309" spans="3:8" x14ac:dyDescent="0.2">
      <c r="C309" s="6"/>
      <c r="H309" s="6"/>
    </row>
    <row r="310" spans="3:8" x14ac:dyDescent="0.2">
      <c r="C310" s="6"/>
      <c r="H310" s="6"/>
    </row>
    <row r="311" spans="3:8" x14ac:dyDescent="0.2">
      <c r="C311" s="6"/>
      <c r="H311" s="6"/>
    </row>
    <row r="312" spans="3:8" x14ac:dyDescent="0.2">
      <c r="C312" s="6"/>
      <c r="H312" s="6"/>
    </row>
    <row r="313" spans="3:8" x14ac:dyDescent="0.2">
      <c r="C313" s="6"/>
      <c r="H313" s="6"/>
    </row>
    <row r="314" spans="3:8" x14ac:dyDescent="0.2">
      <c r="C314" s="6"/>
      <c r="H314" s="6"/>
    </row>
    <row r="315" spans="3:8" x14ac:dyDescent="0.2">
      <c r="C315" s="6"/>
      <c r="H315" s="6"/>
    </row>
    <row r="316" spans="3:8" x14ac:dyDescent="0.2">
      <c r="C316" s="6"/>
      <c r="H316" s="6"/>
    </row>
    <row r="317" spans="3:8" x14ac:dyDescent="0.2">
      <c r="C317" s="6"/>
      <c r="H317" s="6"/>
    </row>
    <row r="318" spans="3:8" x14ac:dyDescent="0.2">
      <c r="C318" s="6"/>
      <c r="H318" s="6"/>
    </row>
    <row r="319" spans="3:8" x14ac:dyDescent="0.2">
      <c r="C319" s="6"/>
      <c r="H319" s="6"/>
    </row>
    <row r="320" spans="3:8" x14ac:dyDescent="0.2">
      <c r="C320" s="6"/>
      <c r="H320" s="6"/>
    </row>
    <row r="321" spans="3:8" x14ac:dyDescent="0.2">
      <c r="C321" s="6"/>
      <c r="H321" s="6"/>
    </row>
    <row r="322" spans="3:8" x14ac:dyDescent="0.2">
      <c r="C322" s="6"/>
      <c r="H322" s="6"/>
    </row>
    <row r="323" spans="3:8" x14ac:dyDescent="0.2">
      <c r="C323" s="6"/>
      <c r="H323" s="6"/>
    </row>
    <row r="324" spans="3:8" x14ac:dyDescent="0.2">
      <c r="C324" s="6"/>
      <c r="H324" s="6"/>
    </row>
    <row r="325" spans="3:8" x14ac:dyDescent="0.2">
      <c r="C325" s="6"/>
      <c r="H325" s="6"/>
    </row>
    <row r="326" spans="3:8" x14ac:dyDescent="0.2">
      <c r="C326" s="6"/>
      <c r="H326" s="6"/>
    </row>
    <row r="327" spans="3:8" x14ac:dyDescent="0.2">
      <c r="C327" s="6"/>
      <c r="H327" s="6"/>
    </row>
    <row r="328" spans="3:8" x14ac:dyDescent="0.2">
      <c r="C328" s="6"/>
      <c r="H328" s="6"/>
    </row>
    <row r="329" spans="3:8" x14ac:dyDescent="0.2">
      <c r="C329" s="6"/>
      <c r="H329" s="6"/>
    </row>
    <row r="330" spans="3:8" x14ac:dyDescent="0.2">
      <c r="C330" s="6"/>
      <c r="H330" s="6"/>
    </row>
    <row r="331" spans="3:8" x14ac:dyDescent="0.2">
      <c r="C331" s="6"/>
      <c r="H331" s="6"/>
    </row>
    <row r="332" spans="3:8" x14ac:dyDescent="0.2">
      <c r="C332" s="6"/>
      <c r="H332" s="6"/>
    </row>
    <row r="333" spans="3:8" x14ac:dyDescent="0.2">
      <c r="C333" s="6"/>
      <c r="H333" s="6"/>
    </row>
    <row r="334" spans="3:8" x14ac:dyDescent="0.2">
      <c r="C334" s="6"/>
      <c r="H334" s="6"/>
    </row>
    <row r="335" spans="3:8" x14ac:dyDescent="0.2">
      <c r="C335" s="6"/>
      <c r="H335" s="6"/>
    </row>
    <row r="336" spans="3:8" x14ac:dyDescent="0.2">
      <c r="C336" s="6"/>
      <c r="H336" s="6"/>
    </row>
    <row r="337" spans="3:8" x14ac:dyDescent="0.2">
      <c r="C337" s="6"/>
      <c r="H337" s="6"/>
    </row>
    <row r="338" spans="3:8" x14ac:dyDescent="0.2">
      <c r="C338" s="6"/>
      <c r="H338" s="6"/>
    </row>
    <row r="339" spans="3:8" x14ac:dyDescent="0.2">
      <c r="C339" s="6"/>
      <c r="H339" s="6"/>
    </row>
    <row r="340" spans="3:8" x14ac:dyDescent="0.2">
      <c r="C340" s="6"/>
      <c r="H340" s="6"/>
    </row>
    <row r="341" spans="3:8" x14ac:dyDescent="0.2">
      <c r="C341" s="6"/>
      <c r="H341" s="6"/>
    </row>
    <row r="342" spans="3:8" x14ac:dyDescent="0.2">
      <c r="C342" s="6"/>
      <c r="H342" s="6"/>
    </row>
    <row r="343" spans="3:8" x14ac:dyDescent="0.2">
      <c r="C343" s="6"/>
      <c r="H343" s="6"/>
    </row>
    <row r="344" spans="3:8" x14ac:dyDescent="0.2">
      <c r="C344" s="6"/>
      <c r="H344" s="6"/>
    </row>
    <row r="345" spans="3:8" x14ac:dyDescent="0.2">
      <c r="C345" s="6"/>
      <c r="H345" s="6"/>
    </row>
    <row r="346" spans="3:8" x14ac:dyDescent="0.2">
      <c r="C346" s="6"/>
      <c r="H346" s="6"/>
    </row>
    <row r="347" spans="3:8" x14ac:dyDescent="0.2">
      <c r="C347" s="6"/>
      <c r="H347" s="6"/>
    </row>
    <row r="348" spans="3:8" x14ac:dyDescent="0.2">
      <c r="C348" s="6"/>
      <c r="H348" s="6"/>
    </row>
    <row r="349" spans="3:8" x14ac:dyDescent="0.2">
      <c r="C349" s="6"/>
      <c r="H349" s="6"/>
    </row>
    <row r="350" spans="3:8" x14ac:dyDescent="0.2">
      <c r="C350" s="6"/>
      <c r="H350" s="6"/>
    </row>
    <row r="351" spans="3:8" x14ac:dyDescent="0.2">
      <c r="C351" s="6"/>
      <c r="H351" s="6"/>
    </row>
    <row r="352" spans="3:8" x14ac:dyDescent="0.2">
      <c r="C352" s="6"/>
      <c r="H352" s="6"/>
    </row>
    <row r="353" spans="3:8" x14ac:dyDescent="0.2">
      <c r="C353" s="6"/>
      <c r="H353" s="6"/>
    </row>
    <row r="354" spans="3:8" x14ac:dyDescent="0.2">
      <c r="C354" s="6"/>
      <c r="H354" s="6"/>
    </row>
    <row r="355" spans="3:8" x14ac:dyDescent="0.2">
      <c r="C355" s="6"/>
      <c r="H355" s="6"/>
    </row>
    <row r="356" spans="3:8" x14ac:dyDescent="0.2">
      <c r="C356" s="6"/>
      <c r="H356" s="6"/>
    </row>
    <row r="357" spans="3:8" x14ac:dyDescent="0.2">
      <c r="C357" s="6"/>
      <c r="H357" s="6"/>
    </row>
    <row r="358" spans="3:8" x14ac:dyDescent="0.2">
      <c r="C358" s="6"/>
      <c r="H358" s="6"/>
    </row>
    <row r="359" spans="3:8" x14ac:dyDescent="0.2">
      <c r="C359" s="6"/>
      <c r="H359" s="6"/>
    </row>
    <row r="360" spans="3:8" x14ac:dyDescent="0.2">
      <c r="C360" s="6"/>
      <c r="H360" s="6"/>
    </row>
    <row r="361" spans="3:8" x14ac:dyDescent="0.2">
      <c r="C361" s="6"/>
      <c r="H361" s="6"/>
    </row>
    <row r="362" spans="3:8" x14ac:dyDescent="0.2">
      <c r="C362" s="6"/>
      <c r="H362" s="6"/>
    </row>
    <row r="363" spans="3:8" x14ac:dyDescent="0.2">
      <c r="C363" s="6"/>
      <c r="H363" s="6"/>
    </row>
    <row r="364" spans="3:8" x14ac:dyDescent="0.2">
      <c r="C364" s="6"/>
      <c r="H364" s="6"/>
    </row>
    <row r="365" spans="3:8" x14ac:dyDescent="0.2">
      <c r="C365" s="6"/>
      <c r="H365" s="6"/>
    </row>
    <row r="366" spans="3:8" x14ac:dyDescent="0.2">
      <c r="C366" s="6"/>
      <c r="H366" s="6"/>
    </row>
    <row r="367" spans="3:8" x14ac:dyDescent="0.2">
      <c r="C367" s="6"/>
      <c r="H367" s="6"/>
    </row>
    <row r="368" spans="3:8" x14ac:dyDescent="0.2">
      <c r="C368" s="6"/>
      <c r="H368" s="6"/>
    </row>
    <row r="369" spans="3:8" x14ac:dyDescent="0.2">
      <c r="C369" s="6"/>
      <c r="H369" s="6"/>
    </row>
    <row r="370" spans="3:8" x14ac:dyDescent="0.2">
      <c r="C370" s="6"/>
      <c r="H370" s="6"/>
    </row>
    <row r="371" spans="3:8" x14ac:dyDescent="0.2">
      <c r="C371" s="6"/>
      <c r="H371" s="6"/>
    </row>
    <row r="372" spans="3:8" x14ac:dyDescent="0.2">
      <c r="C372" s="6"/>
      <c r="H372" s="6"/>
    </row>
    <row r="373" spans="3:8" x14ac:dyDescent="0.2">
      <c r="C373" s="6"/>
      <c r="H373" s="6"/>
    </row>
    <row r="374" spans="3:8" x14ac:dyDescent="0.2">
      <c r="C374" s="6"/>
      <c r="H374" s="6"/>
    </row>
    <row r="375" spans="3:8" x14ac:dyDescent="0.2">
      <c r="C375" s="6"/>
      <c r="H375" s="6"/>
    </row>
    <row r="376" spans="3:8" x14ac:dyDescent="0.2">
      <c r="C376" s="6"/>
      <c r="H376" s="6"/>
    </row>
    <row r="377" spans="3:8" x14ac:dyDescent="0.2">
      <c r="C377" s="6"/>
      <c r="H377" s="6"/>
    </row>
    <row r="378" spans="3:8" x14ac:dyDescent="0.2">
      <c r="C378" s="6"/>
      <c r="H378" s="6"/>
    </row>
    <row r="379" spans="3:8" x14ac:dyDescent="0.2">
      <c r="C379" s="6"/>
      <c r="H379" s="6"/>
    </row>
    <row r="380" spans="3:8" x14ac:dyDescent="0.2">
      <c r="C380" s="6"/>
      <c r="H380" s="6"/>
    </row>
    <row r="381" spans="3:8" x14ac:dyDescent="0.2">
      <c r="C381" s="6"/>
      <c r="H381" s="6"/>
    </row>
    <row r="382" spans="3:8" x14ac:dyDescent="0.2">
      <c r="C382" s="6"/>
      <c r="H382" s="6"/>
    </row>
    <row r="383" spans="3:8" x14ac:dyDescent="0.2">
      <c r="C383" s="6"/>
      <c r="H383" s="6"/>
    </row>
    <row r="384" spans="3:8" x14ac:dyDescent="0.2">
      <c r="C384" s="6"/>
      <c r="H384" s="6"/>
    </row>
    <row r="385" spans="3:8" x14ac:dyDescent="0.2">
      <c r="C385" s="6"/>
      <c r="H385" s="6"/>
    </row>
    <row r="386" spans="3:8" x14ac:dyDescent="0.2">
      <c r="C386" s="6"/>
      <c r="H386" s="6"/>
    </row>
    <row r="387" spans="3:8" x14ac:dyDescent="0.2">
      <c r="C387" s="6"/>
      <c r="H387" s="6"/>
    </row>
    <row r="388" spans="3:8" x14ac:dyDescent="0.2">
      <c r="C388" s="6"/>
      <c r="H388" s="6"/>
    </row>
    <row r="389" spans="3:8" x14ac:dyDescent="0.2">
      <c r="C389" s="6"/>
      <c r="H389" s="6"/>
    </row>
    <row r="390" spans="3:8" x14ac:dyDescent="0.2">
      <c r="C390" s="6"/>
      <c r="H390" s="6"/>
    </row>
    <row r="391" spans="3:8" x14ac:dyDescent="0.2">
      <c r="C391" s="6"/>
      <c r="H391" s="6"/>
    </row>
    <row r="392" spans="3:8" x14ac:dyDescent="0.2">
      <c r="C392" s="6"/>
      <c r="H392" s="6"/>
    </row>
    <row r="393" spans="3:8" x14ac:dyDescent="0.2">
      <c r="C393" s="6"/>
      <c r="H393" s="6"/>
    </row>
    <row r="394" spans="3:8" x14ac:dyDescent="0.2">
      <c r="C394" s="6"/>
      <c r="H394" s="6"/>
    </row>
    <row r="395" spans="3:8" x14ac:dyDescent="0.2">
      <c r="C395" s="6"/>
      <c r="H395" s="6"/>
    </row>
    <row r="396" spans="3:8" x14ac:dyDescent="0.2">
      <c r="C396" s="6"/>
      <c r="H396" s="6"/>
    </row>
    <row r="397" spans="3:8" x14ac:dyDescent="0.2">
      <c r="C397" s="6"/>
      <c r="H397" s="6"/>
    </row>
    <row r="398" spans="3:8" x14ac:dyDescent="0.2">
      <c r="C398" s="6"/>
      <c r="H398" s="6"/>
    </row>
    <row r="399" spans="3:8" x14ac:dyDescent="0.2">
      <c r="C399" s="6"/>
      <c r="H399" s="6"/>
    </row>
    <row r="400" spans="3:8" x14ac:dyDescent="0.2">
      <c r="C400" s="6"/>
      <c r="H400" s="6"/>
    </row>
    <row r="401" spans="3:8" x14ac:dyDescent="0.2">
      <c r="C401" s="6"/>
      <c r="H401" s="6"/>
    </row>
    <row r="402" spans="3:8" x14ac:dyDescent="0.2">
      <c r="C402" s="6"/>
      <c r="H402" s="6"/>
    </row>
    <row r="403" spans="3:8" x14ac:dyDescent="0.2">
      <c r="C403" s="6"/>
      <c r="H403" s="6"/>
    </row>
    <row r="404" spans="3:8" x14ac:dyDescent="0.2">
      <c r="C404" s="6"/>
      <c r="H404" s="6"/>
    </row>
    <row r="405" spans="3:8" x14ac:dyDescent="0.2">
      <c r="C405" s="6"/>
      <c r="H405" s="6"/>
    </row>
    <row r="406" spans="3:8" x14ac:dyDescent="0.2">
      <c r="C406" s="6"/>
      <c r="H406" s="6"/>
    </row>
    <row r="407" spans="3:8" x14ac:dyDescent="0.2">
      <c r="C407" s="6"/>
      <c r="H407" s="6"/>
    </row>
    <row r="408" spans="3:8" x14ac:dyDescent="0.2">
      <c r="C408" s="6"/>
      <c r="H408" s="6"/>
    </row>
    <row r="409" spans="3:8" x14ac:dyDescent="0.2">
      <c r="C409" s="6"/>
      <c r="H409" s="6"/>
    </row>
    <row r="410" spans="3:8" x14ac:dyDescent="0.2">
      <c r="C410" s="6"/>
      <c r="H410" s="6"/>
    </row>
    <row r="411" spans="3:8" x14ac:dyDescent="0.2">
      <c r="C411" s="6"/>
      <c r="H411" s="6"/>
    </row>
    <row r="412" spans="3:8" x14ac:dyDescent="0.2">
      <c r="C412" s="6"/>
      <c r="H412" s="6"/>
    </row>
    <row r="413" spans="3:8" x14ac:dyDescent="0.2">
      <c r="C413" s="6"/>
      <c r="H413" s="6"/>
    </row>
    <row r="414" spans="3:8" x14ac:dyDescent="0.2">
      <c r="C414" s="6"/>
      <c r="H414" s="6"/>
    </row>
    <row r="415" spans="3:8" x14ac:dyDescent="0.2">
      <c r="C415" s="6"/>
      <c r="H415" s="6"/>
    </row>
    <row r="416" spans="3:8" x14ac:dyDescent="0.2">
      <c r="C416" s="6"/>
      <c r="H416" s="6"/>
    </row>
    <row r="417" spans="3:8" x14ac:dyDescent="0.2">
      <c r="C417" s="6"/>
      <c r="H417" s="6"/>
    </row>
    <row r="418" spans="3:8" x14ac:dyDescent="0.2">
      <c r="C418" s="6"/>
      <c r="H418" s="6"/>
    </row>
    <row r="419" spans="3:8" x14ac:dyDescent="0.2">
      <c r="C419" s="6"/>
      <c r="H419" s="6"/>
    </row>
    <row r="420" spans="3:8" x14ac:dyDescent="0.2">
      <c r="C420" s="6"/>
      <c r="H420" s="6"/>
    </row>
    <row r="421" spans="3:8" x14ac:dyDescent="0.2">
      <c r="C421" s="6"/>
      <c r="H421" s="6"/>
    </row>
    <row r="422" spans="3:8" x14ac:dyDescent="0.2">
      <c r="C422" s="6"/>
      <c r="H422" s="6"/>
    </row>
    <row r="423" spans="3:8" x14ac:dyDescent="0.2">
      <c r="C423" s="6"/>
      <c r="H423" s="6"/>
    </row>
    <row r="424" spans="3:8" x14ac:dyDescent="0.2">
      <c r="C424" s="6"/>
      <c r="H424" s="6"/>
    </row>
    <row r="425" spans="3:8" x14ac:dyDescent="0.2">
      <c r="C425" s="6"/>
      <c r="H425" s="6"/>
    </row>
    <row r="426" spans="3:8" x14ac:dyDescent="0.2">
      <c r="C426" s="6"/>
      <c r="H426" s="6"/>
    </row>
    <row r="427" spans="3:8" x14ac:dyDescent="0.2">
      <c r="C427" s="6"/>
      <c r="H427" s="6"/>
    </row>
    <row r="428" spans="3:8" x14ac:dyDescent="0.2">
      <c r="C428" s="6"/>
      <c r="H428" s="6"/>
    </row>
    <row r="429" spans="3:8" x14ac:dyDescent="0.2">
      <c r="C429" s="6"/>
      <c r="H429" s="6"/>
    </row>
    <row r="430" spans="3:8" x14ac:dyDescent="0.2">
      <c r="C430" s="6"/>
      <c r="H430" s="6"/>
    </row>
    <row r="431" spans="3:8" x14ac:dyDescent="0.2">
      <c r="C431" s="6"/>
      <c r="H431" s="6"/>
    </row>
    <row r="432" spans="3:8" x14ac:dyDescent="0.2">
      <c r="C432" s="6"/>
      <c r="H432" s="6"/>
    </row>
    <row r="433" spans="3:8" x14ac:dyDescent="0.2">
      <c r="C433" s="6"/>
      <c r="H433" s="6"/>
    </row>
    <row r="434" spans="3:8" x14ac:dyDescent="0.2">
      <c r="C434" s="6"/>
      <c r="H434" s="6"/>
    </row>
    <row r="435" spans="3:8" x14ac:dyDescent="0.2">
      <c r="C435" s="6"/>
      <c r="H435" s="6"/>
    </row>
    <row r="436" spans="3:8" x14ac:dyDescent="0.2">
      <c r="C436" s="6"/>
      <c r="H436" s="6"/>
    </row>
    <row r="437" spans="3:8" x14ac:dyDescent="0.2">
      <c r="C437" s="6"/>
      <c r="H437" s="6"/>
    </row>
    <row r="438" spans="3:8" x14ac:dyDescent="0.2">
      <c r="C438" s="6"/>
      <c r="H438" s="6"/>
    </row>
    <row r="439" spans="3:8" x14ac:dyDescent="0.2">
      <c r="C439" s="6"/>
      <c r="H439" s="6"/>
    </row>
    <row r="440" spans="3:8" x14ac:dyDescent="0.2">
      <c r="C440" s="6"/>
      <c r="H440" s="6"/>
    </row>
    <row r="441" spans="3:8" x14ac:dyDescent="0.2">
      <c r="C441" s="6"/>
      <c r="H441" s="6"/>
    </row>
    <row r="442" spans="3:8" x14ac:dyDescent="0.2">
      <c r="C442" s="6"/>
      <c r="H442" s="6"/>
    </row>
    <row r="443" spans="3:8" x14ac:dyDescent="0.2">
      <c r="C443" s="6"/>
      <c r="H443" s="6"/>
    </row>
    <row r="444" spans="3:8" x14ac:dyDescent="0.2">
      <c r="C444" s="6"/>
      <c r="H444" s="6"/>
    </row>
    <row r="445" spans="3:8" x14ac:dyDescent="0.2">
      <c r="C445" s="6"/>
      <c r="H445" s="6"/>
    </row>
    <row r="446" spans="3:8" x14ac:dyDescent="0.2">
      <c r="C446" s="6"/>
      <c r="H446" s="6"/>
    </row>
    <row r="447" spans="3:8" x14ac:dyDescent="0.2">
      <c r="C447" s="6"/>
      <c r="H447" s="6"/>
    </row>
    <row r="448" spans="3:8" x14ac:dyDescent="0.2">
      <c r="C448" s="6"/>
      <c r="H448" s="6"/>
    </row>
    <row r="449" spans="3:8" x14ac:dyDescent="0.2">
      <c r="C449" s="6"/>
      <c r="H449" s="6"/>
    </row>
    <row r="450" spans="3:8" x14ac:dyDescent="0.2">
      <c r="C450" s="6"/>
      <c r="H450" s="6"/>
    </row>
    <row r="451" spans="3:8" x14ac:dyDescent="0.2">
      <c r="C451" s="6"/>
      <c r="H451" s="6"/>
    </row>
    <row r="452" spans="3:8" x14ac:dyDescent="0.2">
      <c r="C452" s="6"/>
      <c r="H452" s="6"/>
    </row>
    <row r="453" spans="3:8" x14ac:dyDescent="0.2">
      <c r="C453" s="6"/>
      <c r="H453" s="6"/>
    </row>
    <row r="454" spans="3:8" x14ac:dyDescent="0.2">
      <c r="C454" s="6"/>
      <c r="H454" s="6"/>
    </row>
    <row r="455" spans="3:8" x14ac:dyDescent="0.2">
      <c r="C455" s="6"/>
      <c r="H455" s="6"/>
    </row>
    <row r="456" spans="3:8" x14ac:dyDescent="0.2">
      <c r="C456" s="6"/>
      <c r="H456" s="6"/>
    </row>
    <row r="457" spans="3:8" x14ac:dyDescent="0.2">
      <c r="C457" s="6"/>
      <c r="H457" s="6"/>
    </row>
    <row r="458" spans="3:8" x14ac:dyDescent="0.2">
      <c r="C458" s="6"/>
      <c r="H458" s="6"/>
    </row>
    <row r="459" spans="3:8" x14ac:dyDescent="0.2">
      <c r="C459" s="6"/>
      <c r="H459" s="6"/>
    </row>
    <row r="460" spans="3:8" x14ac:dyDescent="0.2">
      <c r="C460" s="6"/>
      <c r="H460" s="6"/>
    </row>
    <row r="461" spans="3:8" x14ac:dyDescent="0.2">
      <c r="C461" s="6"/>
      <c r="H461" s="6"/>
    </row>
    <row r="462" spans="3:8" x14ac:dyDescent="0.2">
      <c r="C462" s="6"/>
      <c r="H462" s="6"/>
    </row>
    <row r="463" spans="3:8" x14ac:dyDescent="0.2">
      <c r="C463" s="6"/>
      <c r="H463" s="6"/>
    </row>
    <row r="464" spans="3:8" x14ac:dyDescent="0.2">
      <c r="C464" s="6"/>
      <c r="H464" s="6"/>
    </row>
    <row r="465" spans="3:8" x14ac:dyDescent="0.2">
      <c r="C465" s="6"/>
      <c r="H465" s="6"/>
    </row>
    <row r="466" spans="3:8" x14ac:dyDescent="0.2">
      <c r="C466" s="6"/>
      <c r="H466" s="6"/>
    </row>
    <row r="467" spans="3:8" x14ac:dyDescent="0.2">
      <c r="C467" s="6"/>
      <c r="H467" s="6"/>
    </row>
    <row r="468" spans="3:8" x14ac:dyDescent="0.2">
      <c r="C468" s="6"/>
      <c r="H468" s="6"/>
    </row>
    <row r="469" spans="3:8" x14ac:dyDescent="0.2">
      <c r="C469" s="6"/>
      <c r="H469" s="6"/>
    </row>
    <row r="470" spans="3:8" x14ac:dyDescent="0.2">
      <c r="C470" s="6"/>
      <c r="H470" s="6"/>
    </row>
    <row r="471" spans="3:8" x14ac:dyDescent="0.2">
      <c r="C471" s="6"/>
      <c r="H471" s="6"/>
    </row>
    <row r="472" spans="3:8" x14ac:dyDescent="0.2">
      <c r="C472" s="6"/>
      <c r="H472" s="6"/>
    </row>
    <row r="473" spans="3:8" x14ac:dyDescent="0.2">
      <c r="C473" s="6"/>
      <c r="H473" s="6"/>
    </row>
    <row r="474" spans="3:8" x14ac:dyDescent="0.2">
      <c r="C474" s="6"/>
      <c r="H474" s="6"/>
    </row>
    <row r="475" spans="3:8" x14ac:dyDescent="0.2">
      <c r="C475" s="6"/>
      <c r="H475" s="6"/>
    </row>
    <row r="476" spans="3:8" x14ac:dyDescent="0.2">
      <c r="C476" s="6"/>
      <c r="H476" s="6"/>
    </row>
    <row r="477" spans="3:8" x14ac:dyDescent="0.2">
      <c r="C477" s="6"/>
      <c r="H477" s="6"/>
    </row>
    <row r="478" spans="3:8" x14ac:dyDescent="0.2">
      <c r="C478" s="6"/>
      <c r="H478" s="6"/>
    </row>
    <row r="479" spans="3:8" x14ac:dyDescent="0.2">
      <c r="C479" s="6"/>
      <c r="H479" s="6"/>
    </row>
    <row r="480" spans="3:8" x14ac:dyDescent="0.2">
      <c r="C480" s="6"/>
      <c r="H480" s="6"/>
    </row>
    <row r="481" spans="3:8" x14ac:dyDescent="0.2">
      <c r="C481" s="6"/>
      <c r="H481" s="6"/>
    </row>
    <row r="482" spans="3:8" x14ac:dyDescent="0.2">
      <c r="C482" s="6"/>
      <c r="H482" s="6"/>
    </row>
    <row r="483" spans="3:8" x14ac:dyDescent="0.2">
      <c r="C483" s="6"/>
      <c r="H483" s="6"/>
    </row>
    <row r="484" spans="3:8" x14ac:dyDescent="0.2">
      <c r="C484" s="6"/>
      <c r="H484" s="6"/>
    </row>
    <row r="485" spans="3:8" x14ac:dyDescent="0.2">
      <c r="C485" s="6"/>
      <c r="H485" s="6"/>
    </row>
    <row r="486" spans="3:8" x14ac:dyDescent="0.2">
      <c r="C486" s="6"/>
      <c r="H486" s="6"/>
    </row>
    <row r="487" spans="3:8" x14ac:dyDescent="0.2">
      <c r="C487" s="6"/>
      <c r="H487" s="6"/>
    </row>
    <row r="488" spans="3:8" x14ac:dyDescent="0.2">
      <c r="C488" s="6"/>
      <c r="H488" s="6"/>
    </row>
    <row r="489" spans="3:8" x14ac:dyDescent="0.2">
      <c r="C489" s="6"/>
      <c r="H489" s="6"/>
    </row>
    <row r="490" spans="3:8" x14ac:dyDescent="0.2">
      <c r="C490" s="6"/>
      <c r="H490" s="6"/>
    </row>
    <row r="491" spans="3:8" x14ac:dyDescent="0.2">
      <c r="C491" s="6"/>
      <c r="H491" s="6"/>
    </row>
    <row r="492" spans="3:8" x14ac:dyDescent="0.2">
      <c r="C492" s="6"/>
      <c r="H492" s="6"/>
    </row>
    <row r="493" spans="3:8" x14ac:dyDescent="0.2">
      <c r="C493" s="6"/>
      <c r="H493" s="6"/>
    </row>
    <row r="494" spans="3:8" x14ac:dyDescent="0.2">
      <c r="C494" s="6"/>
      <c r="H494" s="6"/>
    </row>
    <row r="495" spans="3:8" x14ac:dyDescent="0.2">
      <c r="C495" s="6"/>
      <c r="H495" s="6"/>
    </row>
    <row r="496" spans="3:8" x14ac:dyDescent="0.2">
      <c r="C496" s="6"/>
      <c r="H496" s="6"/>
    </row>
    <row r="497" spans="3:8" x14ac:dyDescent="0.2">
      <c r="C497" s="6"/>
      <c r="H497" s="6"/>
    </row>
    <row r="498" spans="3:8" x14ac:dyDescent="0.2">
      <c r="C498" s="6"/>
      <c r="H498" s="6"/>
    </row>
    <row r="499" spans="3:8" x14ac:dyDescent="0.2">
      <c r="C499" s="6"/>
      <c r="H499" s="6"/>
    </row>
    <row r="500" spans="3:8" x14ac:dyDescent="0.2">
      <c r="C500" s="6"/>
      <c r="H500" s="6"/>
    </row>
    <row r="501" spans="3:8" x14ac:dyDescent="0.2">
      <c r="C501" s="6"/>
      <c r="H501" s="6"/>
    </row>
    <row r="502" spans="3:8" x14ac:dyDescent="0.2">
      <c r="C502" s="6"/>
      <c r="H502" s="6"/>
    </row>
    <row r="503" spans="3:8" x14ac:dyDescent="0.2">
      <c r="C503" s="6"/>
      <c r="H503" s="6"/>
    </row>
    <row r="504" spans="3:8" x14ac:dyDescent="0.2">
      <c r="C504" s="6"/>
      <c r="H504" s="6"/>
    </row>
    <row r="505" spans="3:8" x14ac:dyDescent="0.2">
      <c r="C505" s="6"/>
      <c r="H505" s="6"/>
    </row>
    <row r="506" spans="3:8" x14ac:dyDescent="0.2">
      <c r="C506" s="6"/>
      <c r="H506" s="6"/>
    </row>
    <row r="507" spans="3:8" x14ac:dyDescent="0.2">
      <c r="C507" s="6"/>
      <c r="H507" s="6"/>
    </row>
    <row r="508" spans="3:8" x14ac:dyDescent="0.2">
      <c r="C508" s="6"/>
      <c r="H508" s="6"/>
    </row>
    <row r="509" spans="3:8" x14ac:dyDescent="0.2">
      <c r="C509" s="6"/>
      <c r="H509" s="6"/>
    </row>
    <row r="510" spans="3:8" x14ac:dyDescent="0.2">
      <c r="C510" s="6"/>
      <c r="H510" s="6"/>
    </row>
    <row r="511" spans="3:8" x14ac:dyDescent="0.2">
      <c r="C511" s="6"/>
      <c r="H511" s="6"/>
    </row>
    <row r="512" spans="3:8" x14ac:dyDescent="0.2">
      <c r="C512" s="6"/>
      <c r="H512" s="6"/>
    </row>
    <row r="513" spans="3:8" x14ac:dyDescent="0.2">
      <c r="C513" s="6"/>
      <c r="H513" s="6"/>
    </row>
    <row r="514" spans="3:8" x14ac:dyDescent="0.2">
      <c r="C514" s="6"/>
      <c r="H514" s="6"/>
    </row>
    <row r="515" spans="3:8" x14ac:dyDescent="0.2">
      <c r="C515" s="6"/>
      <c r="H515" s="6"/>
    </row>
    <row r="516" spans="3:8" x14ac:dyDescent="0.2">
      <c r="C516" s="6"/>
      <c r="H516" s="6"/>
    </row>
    <row r="517" spans="3:8" x14ac:dyDescent="0.2">
      <c r="C517" s="6"/>
      <c r="H517" s="6"/>
    </row>
    <row r="518" spans="3:8" x14ac:dyDescent="0.2">
      <c r="C518" s="6"/>
      <c r="H518" s="6"/>
    </row>
    <row r="519" spans="3:8" x14ac:dyDescent="0.2">
      <c r="C519" s="6"/>
      <c r="H519" s="6"/>
    </row>
    <row r="520" spans="3:8" x14ac:dyDescent="0.2">
      <c r="C520" s="6"/>
      <c r="H520" s="6"/>
    </row>
    <row r="521" spans="3:8" x14ac:dyDescent="0.2">
      <c r="C521" s="6"/>
      <c r="H521" s="6"/>
    </row>
    <row r="522" spans="3:8" x14ac:dyDescent="0.2">
      <c r="C522" s="6"/>
      <c r="H522" s="6"/>
    </row>
    <row r="523" spans="3:8" x14ac:dyDescent="0.2">
      <c r="C523" s="6"/>
      <c r="H523" s="6"/>
    </row>
    <row r="524" spans="3:8" x14ac:dyDescent="0.2">
      <c r="C524" s="6"/>
      <c r="H524" s="6"/>
    </row>
    <row r="525" spans="3:8" x14ac:dyDescent="0.2">
      <c r="C525" s="6"/>
      <c r="H525" s="6"/>
    </row>
    <row r="526" spans="3:8" x14ac:dyDescent="0.2">
      <c r="C526" s="6"/>
      <c r="H526" s="6"/>
    </row>
    <row r="527" spans="3:8" x14ac:dyDescent="0.2">
      <c r="C527" s="6"/>
      <c r="H527" s="6"/>
    </row>
    <row r="528" spans="3:8" x14ac:dyDescent="0.2">
      <c r="C528" s="6"/>
      <c r="H528" s="6"/>
    </row>
    <row r="529" spans="3:8" x14ac:dyDescent="0.2">
      <c r="C529" s="6"/>
      <c r="H529" s="6"/>
    </row>
    <row r="530" spans="3:8" x14ac:dyDescent="0.2">
      <c r="C530" s="6"/>
      <c r="H530" s="6"/>
    </row>
    <row r="531" spans="3:8" x14ac:dyDescent="0.2">
      <c r="C531" s="6"/>
      <c r="H531" s="6"/>
    </row>
    <row r="532" spans="3:8" x14ac:dyDescent="0.2">
      <c r="C532" s="6"/>
      <c r="H532" s="6"/>
    </row>
    <row r="533" spans="3:8" x14ac:dyDescent="0.2">
      <c r="C533" s="6"/>
      <c r="H533" s="6"/>
    </row>
    <row r="534" spans="3:8" x14ac:dyDescent="0.2">
      <c r="C534" s="6"/>
      <c r="H534" s="6"/>
    </row>
    <row r="535" spans="3:8" x14ac:dyDescent="0.2">
      <c r="C535" s="6"/>
      <c r="H535" s="6"/>
    </row>
    <row r="536" spans="3:8" x14ac:dyDescent="0.2">
      <c r="C536" s="6"/>
      <c r="H536" s="6"/>
    </row>
    <row r="537" spans="3:8" x14ac:dyDescent="0.2">
      <c r="C537" s="6"/>
      <c r="H537" s="6"/>
    </row>
    <row r="538" spans="3:8" x14ac:dyDescent="0.2">
      <c r="C538" s="6"/>
      <c r="H538" s="6"/>
    </row>
    <row r="539" spans="3:8" x14ac:dyDescent="0.2">
      <c r="C539" s="6"/>
      <c r="H539" s="6"/>
    </row>
    <row r="540" spans="3:8" x14ac:dyDescent="0.2">
      <c r="C540" s="6"/>
      <c r="H540" s="6"/>
    </row>
    <row r="541" spans="3:8" x14ac:dyDescent="0.2">
      <c r="C541" s="6"/>
      <c r="H541" s="6"/>
    </row>
    <row r="542" spans="3:8" x14ac:dyDescent="0.2">
      <c r="C542" s="6"/>
      <c r="H542" s="6"/>
    </row>
    <row r="543" spans="3:8" x14ac:dyDescent="0.2">
      <c r="C543" s="6"/>
      <c r="H543" s="6"/>
    </row>
    <row r="544" spans="3:8" x14ac:dyDescent="0.2">
      <c r="C544" s="6"/>
      <c r="H544" s="6"/>
    </row>
    <row r="545" spans="3:8" x14ac:dyDescent="0.2">
      <c r="C545" s="6"/>
      <c r="H545" s="6"/>
    </row>
    <row r="546" spans="3:8" x14ac:dyDescent="0.2">
      <c r="C546" s="6"/>
      <c r="H546" s="6"/>
    </row>
    <row r="547" spans="3:8" x14ac:dyDescent="0.2">
      <c r="C547" s="6"/>
      <c r="H547" s="6"/>
    </row>
    <row r="548" spans="3:8" x14ac:dyDescent="0.2">
      <c r="C548" s="6"/>
      <c r="H548" s="6"/>
    </row>
    <row r="549" spans="3:8" x14ac:dyDescent="0.2">
      <c r="C549" s="6"/>
      <c r="H549" s="6"/>
    </row>
    <row r="550" spans="3:8" x14ac:dyDescent="0.2">
      <c r="C550" s="6"/>
      <c r="H550" s="6"/>
    </row>
    <row r="551" spans="3:8" x14ac:dyDescent="0.2">
      <c r="C551" s="6"/>
      <c r="H551" s="6"/>
    </row>
    <row r="552" spans="3:8" x14ac:dyDescent="0.2">
      <c r="C552" s="6"/>
      <c r="H552" s="6"/>
    </row>
    <row r="553" spans="3:8" x14ac:dyDescent="0.2">
      <c r="C553" s="6"/>
      <c r="H553" s="6"/>
    </row>
    <row r="554" spans="3:8" x14ac:dyDescent="0.2">
      <c r="C554" s="6"/>
      <c r="H554" s="6"/>
    </row>
    <row r="555" spans="3:8" x14ac:dyDescent="0.2">
      <c r="C555" s="6"/>
      <c r="H555" s="6"/>
    </row>
    <row r="556" spans="3:8" x14ac:dyDescent="0.2">
      <c r="C556" s="6"/>
      <c r="H556" s="6"/>
    </row>
    <row r="557" spans="3:8" x14ac:dyDescent="0.2">
      <c r="C557" s="6"/>
      <c r="H557" s="6"/>
    </row>
    <row r="558" spans="3:8" x14ac:dyDescent="0.2">
      <c r="C558" s="6"/>
      <c r="H558" s="6"/>
    </row>
    <row r="559" spans="3:8" x14ac:dyDescent="0.2">
      <c r="C559" s="6"/>
      <c r="H559" s="6"/>
    </row>
    <row r="560" spans="3:8" x14ac:dyDescent="0.2">
      <c r="C560" s="6"/>
      <c r="H560" s="6"/>
    </row>
    <row r="561" spans="3:8" x14ac:dyDescent="0.2">
      <c r="C561" s="6"/>
      <c r="H561" s="6"/>
    </row>
    <row r="562" spans="3:8" x14ac:dyDescent="0.2">
      <c r="C562" s="6"/>
      <c r="H562" s="6"/>
    </row>
    <row r="563" spans="3:8" x14ac:dyDescent="0.2">
      <c r="C563" s="6"/>
      <c r="H563" s="6"/>
    </row>
    <row r="564" spans="3:8" x14ac:dyDescent="0.2">
      <c r="C564" s="6"/>
      <c r="H564" s="6"/>
    </row>
    <row r="565" spans="3:8" x14ac:dyDescent="0.2">
      <c r="C565" s="6"/>
      <c r="H565" s="6"/>
    </row>
    <row r="566" spans="3:8" x14ac:dyDescent="0.2">
      <c r="C566" s="6"/>
      <c r="H566" s="6"/>
    </row>
    <row r="567" spans="3:8" x14ac:dyDescent="0.2">
      <c r="C567" s="6"/>
      <c r="H567" s="6"/>
    </row>
    <row r="568" spans="3:8" x14ac:dyDescent="0.2">
      <c r="C568" s="6"/>
      <c r="H568" s="6"/>
    </row>
    <row r="569" spans="3:8" x14ac:dyDescent="0.2">
      <c r="C569" s="6"/>
      <c r="H569" s="6"/>
    </row>
    <row r="570" spans="3:8" x14ac:dyDescent="0.2">
      <c r="C570" s="6"/>
      <c r="H570" s="6"/>
    </row>
    <row r="571" spans="3:8" x14ac:dyDescent="0.2">
      <c r="C571" s="6"/>
      <c r="H571" s="6"/>
    </row>
    <row r="572" spans="3:8" x14ac:dyDescent="0.2">
      <c r="C572" s="6"/>
      <c r="H572" s="6"/>
    </row>
    <row r="573" spans="3:8" x14ac:dyDescent="0.2">
      <c r="C573" s="6"/>
      <c r="H573" s="6"/>
    </row>
    <row r="574" spans="3:8" x14ac:dyDescent="0.2">
      <c r="C574" s="6"/>
      <c r="H574" s="6"/>
    </row>
    <row r="575" spans="3:8" x14ac:dyDescent="0.2">
      <c r="C575" s="6"/>
      <c r="H575" s="6"/>
    </row>
    <row r="576" spans="3:8" x14ac:dyDescent="0.2">
      <c r="C576" s="6"/>
      <c r="H576" s="6"/>
    </row>
    <row r="577" spans="3:8" x14ac:dyDescent="0.2">
      <c r="C577" s="6"/>
      <c r="H577" s="6"/>
    </row>
    <row r="578" spans="3:8" x14ac:dyDescent="0.2">
      <c r="C578" s="6"/>
      <c r="H578" s="6"/>
    </row>
    <row r="579" spans="3:8" x14ac:dyDescent="0.2">
      <c r="C579" s="6"/>
      <c r="H579" s="6"/>
    </row>
    <row r="580" spans="3:8" x14ac:dyDescent="0.2">
      <c r="C580" s="6"/>
      <c r="H580" s="6"/>
    </row>
    <row r="581" spans="3:8" x14ac:dyDescent="0.2">
      <c r="C581" s="6"/>
      <c r="H581" s="6"/>
    </row>
    <row r="582" spans="3:8" x14ac:dyDescent="0.2">
      <c r="C582" s="6"/>
      <c r="H582" s="6"/>
    </row>
    <row r="583" spans="3:8" x14ac:dyDescent="0.2">
      <c r="C583" s="6"/>
      <c r="H583" s="6"/>
    </row>
    <row r="584" spans="3:8" x14ac:dyDescent="0.2">
      <c r="C584" s="6"/>
      <c r="H584" s="6"/>
    </row>
    <row r="585" spans="3:8" x14ac:dyDescent="0.2">
      <c r="C585" s="6"/>
      <c r="H585" s="6"/>
    </row>
    <row r="586" spans="3:8" x14ac:dyDescent="0.2">
      <c r="C586" s="6"/>
      <c r="H586" s="6"/>
    </row>
    <row r="587" spans="3:8" x14ac:dyDescent="0.2">
      <c r="C587" s="6"/>
      <c r="H587" s="6"/>
    </row>
    <row r="588" spans="3:8" x14ac:dyDescent="0.2">
      <c r="C588" s="6"/>
      <c r="H588" s="6"/>
    </row>
    <row r="589" spans="3:8" x14ac:dyDescent="0.2">
      <c r="C589" s="6"/>
      <c r="H589" s="6"/>
    </row>
    <row r="590" spans="3:8" x14ac:dyDescent="0.2">
      <c r="C590" s="6"/>
      <c r="H590" s="6"/>
    </row>
    <row r="591" spans="3:8" x14ac:dyDescent="0.2">
      <c r="C591" s="6"/>
      <c r="H591" s="6"/>
    </row>
    <row r="592" spans="3:8" x14ac:dyDescent="0.2">
      <c r="C592" s="6"/>
      <c r="H592" s="6"/>
    </row>
    <row r="593" spans="3:8" x14ac:dyDescent="0.2">
      <c r="C593" s="6"/>
      <c r="H593" s="6"/>
    </row>
    <row r="594" spans="3:8" x14ac:dyDescent="0.2">
      <c r="C594" s="6"/>
      <c r="H594" s="6"/>
    </row>
    <row r="595" spans="3:8" x14ac:dyDescent="0.2">
      <c r="C595" s="6"/>
      <c r="H595" s="6"/>
    </row>
    <row r="596" spans="3:8" x14ac:dyDescent="0.2">
      <c r="C596" s="6"/>
      <c r="H596" s="6"/>
    </row>
    <row r="597" spans="3:8" x14ac:dyDescent="0.2">
      <c r="C597" s="6"/>
      <c r="H597" s="6"/>
    </row>
    <row r="598" spans="3:8" x14ac:dyDescent="0.2">
      <c r="C598" s="6"/>
      <c r="H598" s="6"/>
    </row>
    <row r="599" spans="3:8" x14ac:dyDescent="0.2">
      <c r="C599" s="6"/>
      <c r="H599" s="6"/>
    </row>
    <row r="600" spans="3:8" x14ac:dyDescent="0.2">
      <c r="C600" s="6"/>
      <c r="H600" s="6"/>
    </row>
    <row r="601" spans="3:8" x14ac:dyDescent="0.2">
      <c r="C601" s="6"/>
      <c r="H601" s="6"/>
    </row>
    <row r="602" spans="3:8" x14ac:dyDescent="0.2">
      <c r="C602" s="6"/>
      <c r="H602" s="6"/>
    </row>
    <row r="603" spans="3:8" x14ac:dyDescent="0.2">
      <c r="C603" s="6"/>
      <c r="H603" s="6"/>
    </row>
    <row r="604" spans="3:8" x14ac:dyDescent="0.2">
      <c r="C604" s="6"/>
      <c r="H604" s="6"/>
    </row>
    <row r="605" spans="3:8" x14ac:dyDescent="0.2">
      <c r="C605" s="6"/>
      <c r="H605" s="6"/>
    </row>
    <row r="606" spans="3:8" x14ac:dyDescent="0.2">
      <c r="C606" s="6"/>
      <c r="H606" s="6"/>
    </row>
    <row r="607" spans="3:8" x14ac:dyDescent="0.2">
      <c r="C607" s="6"/>
      <c r="H607" s="6"/>
    </row>
    <row r="608" spans="3:8" x14ac:dyDescent="0.2">
      <c r="C608" s="6"/>
      <c r="H608" s="6"/>
    </row>
    <row r="609" spans="3:8" x14ac:dyDescent="0.2">
      <c r="C609" s="6"/>
      <c r="H609" s="6"/>
    </row>
    <row r="610" spans="3:8" x14ac:dyDescent="0.2">
      <c r="C610" s="6"/>
      <c r="H610" s="6"/>
    </row>
    <row r="611" spans="3:8" x14ac:dyDescent="0.2">
      <c r="C611" s="6"/>
      <c r="H611" s="6"/>
    </row>
    <row r="612" spans="3:8" x14ac:dyDescent="0.2">
      <c r="C612" s="6"/>
      <c r="H612" s="6"/>
    </row>
    <row r="613" spans="3:8" x14ac:dyDescent="0.2">
      <c r="C613" s="6"/>
      <c r="H613" s="6"/>
    </row>
    <row r="614" spans="3:8" x14ac:dyDescent="0.2">
      <c r="C614" s="6"/>
      <c r="H614" s="6"/>
    </row>
    <row r="615" spans="3:8" x14ac:dyDescent="0.2">
      <c r="C615" s="6"/>
      <c r="H615" s="6"/>
    </row>
    <row r="616" spans="3:8" x14ac:dyDescent="0.2">
      <c r="C616" s="6"/>
      <c r="H616" s="6"/>
    </row>
    <row r="617" spans="3:8" x14ac:dyDescent="0.2">
      <c r="C617" s="6"/>
      <c r="H617" s="6"/>
    </row>
    <row r="618" spans="3:8" x14ac:dyDescent="0.2">
      <c r="C618" s="6"/>
      <c r="H618" s="6"/>
    </row>
    <row r="619" spans="3:8" x14ac:dyDescent="0.2">
      <c r="C619" s="6"/>
      <c r="H619" s="6"/>
    </row>
    <row r="620" spans="3:8" x14ac:dyDescent="0.2">
      <c r="C620" s="6"/>
      <c r="H620" s="6"/>
    </row>
    <row r="621" spans="3:8" x14ac:dyDescent="0.2">
      <c r="C621" s="6"/>
      <c r="H621" s="6"/>
    </row>
    <row r="622" spans="3:8" x14ac:dyDescent="0.2">
      <c r="C622" s="6"/>
      <c r="H622" s="6"/>
    </row>
    <row r="623" spans="3:8" x14ac:dyDescent="0.2">
      <c r="C623" s="6"/>
      <c r="H623" s="6"/>
    </row>
    <row r="624" spans="3:8" x14ac:dyDescent="0.2">
      <c r="C624" s="6"/>
      <c r="H624" s="6"/>
    </row>
    <row r="625" spans="3:8" x14ac:dyDescent="0.2">
      <c r="C625" s="6"/>
      <c r="H625" s="6"/>
    </row>
    <row r="626" spans="3:8" x14ac:dyDescent="0.2">
      <c r="C626" s="6"/>
      <c r="H626" s="6"/>
    </row>
    <row r="627" spans="3:8" x14ac:dyDescent="0.2">
      <c r="C627" s="6"/>
      <c r="H627" s="6"/>
    </row>
    <row r="628" spans="3:8" x14ac:dyDescent="0.2">
      <c r="C628" s="6"/>
      <c r="H628" s="6"/>
    </row>
    <row r="629" spans="3:8" x14ac:dyDescent="0.2">
      <c r="C629" s="6"/>
      <c r="H629" s="6"/>
    </row>
    <row r="630" spans="3:8" x14ac:dyDescent="0.2">
      <c r="C630" s="6"/>
      <c r="H630" s="6"/>
    </row>
    <row r="631" spans="3:8" x14ac:dyDescent="0.2">
      <c r="C631" s="6"/>
      <c r="H631" s="6"/>
    </row>
    <row r="632" spans="3:8" x14ac:dyDescent="0.2">
      <c r="C632" s="6"/>
      <c r="H632" s="6"/>
    </row>
    <row r="633" spans="3:8" x14ac:dyDescent="0.2">
      <c r="C633" s="6"/>
      <c r="H633" s="6"/>
    </row>
    <row r="634" spans="3:8" x14ac:dyDescent="0.2">
      <c r="C634" s="6"/>
      <c r="H634" s="6"/>
    </row>
    <row r="635" spans="3:8" x14ac:dyDescent="0.2">
      <c r="C635" s="6"/>
      <c r="H635" s="6"/>
    </row>
    <row r="636" spans="3:8" x14ac:dyDescent="0.2">
      <c r="C636" s="6"/>
      <c r="H636" s="6"/>
    </row>
    <row r="637" spans="3:8" x14ac:dyDescent="0.2">
      <c r="C637" s="6"/>
      <c r="H637" s="6"/>
    </row>
    <row r="638" spans="3:8" x14ac:dyDescent="0.2">
      <c r="C638" s="6"/>
      <c r="H638" s="6"/>
    </row>
    <row r="639" spans="3:8" x14ac:dyDescent="0.2">
      <c r="C639" s="6"/>
      <c r="H639" s="6"/>
    </row>
    <row r="640" spans="3:8" x14ac:dyDescent="0.2">
      <c r="C640" s="6"/>
      <c r="H640" s="6"/>
    </row>
    <row r="641" spans="3:8" x14ac:dyDescent="0.2">
      <c r="C641" s="6"/>
      <c r="H641" s="6"/>
    </row>
    <row r="642" spans="3:8" x14ac:dyDescent="0.2">
      <c r="C642" s="6"/>
      <c r="H642" s="6"/>
    </row>
    <row r="643" spans="3:8" x14ac:dyDescent="0.2">
      <c r="C643" s="6"/>
      <c r="H643" s="6"/>
    </row>
    <row r="644" spans="3:8" x14ac:dyDescent="0.2">
      <c r="C644" s="6"/>
      <c r="H644" s="6"/>
    </row>
    <row r="645" spans="3:8" x14ac:dyDescent="0.2">
      <c r="C645" s="6"/>
      <c r="H645" s="6"/>
    </row>
    <row r="646" spans="3:8" x14ac:dyDescent="0.2">
      <c r="C646" s="6"/>
      <c r="H646" s="6"/>
    </row>
    <row r="647" spans="3:8" x14ac:dyDescent="0.2">
      <c r="C647" s="6"/>
      <c r="H647" s="6"/>
    </row>
    <row r="648" spans="3:8" x14ac:dyDescent="0.2">
      <c r="C648" s="6"/>
      <c r="H648" s="6"/>
    </row>
    <row r="649" spans="3:8" x14ac:dyDescent="0.2">
      <c r="C649" s="6"/>
      <c r="H649" s="6"/>
    </row>
    <row r="650" spans="3:8" x14ac:dyDescent="0.2">
      <c r="C650" s="6"/>
      <c r="H650" s="6"/>
    </row>
    <row r="651" spans="3:8" x14ac:dyDescent="0.2">
      <c r="C651" s="6"/>
      <c r="H651" s="6"/>
    </row>
    <row r="652" spans="3:8" x14ac:dyDescent="0.2">
      <c r="C652" s="6"/>
      <c r="H652" s="6"/>
    </row>
    <row r="653" spans="3:8" x14ac:dyDescent="0.2">
      <c r="C653" s="6"/>
      <c r="H653" s="6"/>
    </row>
    <row r="654" spans="3:8" x14ac:dyDescent="0.2">
      <c r="C654" s="6"/>
      <c r="H654" s="6"/>
    </row>
    <row r="655" spans="3:8" x14ac:dyDescent="0.2">
      <c r="C655" s="6"/>
      <c r="H655" s="6"/>
    </row>
    <row r="656" spans="3:8" x14ac:dyDescent="0.2">
      <c r="C656" s="6"/>
      <c r="H656" s="6"/>
    </row>
    <row r="657" spans="3:8" x14ac:dyDescent="0.2">
      <c r="C657" s="6"/>
      <c r="H657" s="6"/>
    </row>
    <row r="658" spans="3:8" x14ac:dyDescent="0.2">
      <c r="C658" s="6"/>
      <c r="H658" s="6"/>
    </row>
    <row r="659" spans="3:8" x14ac:dyDescent="0.2">
      <c r="C659" s="6"/>
      <c r="H659" s="6"/>
    </row>
    <row r="660" spans="3:8" x14ac:dyDescent="0.2">
      <c r="C660" s="6"/>
      <c r="H660" s="6"/>
    </row>
    <row r="661" spans="3:8" x14ac:dyDescent="0.2">
      <c r="C661" s="6"/>
      <c r="H661" s="6"/>
    </row>
    <row r="662" spans="3:8" x14ac:dyDescent="0.2">
      <c r="C662" s="6"/>
      <c r="H662" s="6"/>
    </row>
    <row r="663" spans="3:8" x14ac:dyDescent="0.2">
      <c r="C663" s="6"/>
      <c r="H663" s="6"/>
    </row>
    <row r="664" spans="3:8" x14ac:dyDescent="0.2">
      <c r="C664" s="6"/>
      <c r="H664" s="6"/>
    </row>
    <row r="665" spans="3:8" x14ac:dyDescent="0.2">
      <c r="C665" s="6"/>
      <c r="H665" s="6"/>
    </row>
    <row r="666" spans="3:8" x14ac:dyDescent="0.2">
      <c r="C666" s="6"/>
      <c r="H666" s="6"/>
    </row>
    <row r="667" spans="3:8" x14ac:dyDescent="0.2">
      <c r="C667" s="6"/>
      <c r="H667" s="6"/>
    </row>
    <row r="668" spans="3:8" x14ac:dyDescent="0.2">
      <c r="C668" s="6"/>
      <c r="H668" s="6"/>
    </row>
    <row r="669" spans="3:8" x14ac:dyDescent="0.2">
      <c r="C669" s="6"/>
      <c r="H669" s="6"/>
    </row>
    <row r="670" spans="3:8" x14ac:dyDescent="0.2">
      <c r="C670" s="6"/>
      <c r="H670" s="6"/>
    </row>
    <row r="671" spans="3:8" x14ac:dyDescent="0.2">
      <c r="C671" s="6"/>
      <c r="H671" s="6"/>
    </row>
    <row r="672" spans="3:8" x14ac:dyDescent="0.2">
      <c r="C672" s="6"/>
      <c r="H672" s="6"/>
    </row>
    <row r="673" spans="3:8" x14ac:dyDescent="0.2">
      <c r="C673" s="6"/>
      <c r="H673" s="6"/>
    </row>
    <row r="674" spans="3:8" x14ac:dyDescent="0.2">
      <c r="C674" s="6"/>
      <c r="H674" s="6"/>
    </row>
    <row r="675" spans="3:8" x14ac:dyDescent="0.2">
      <c r="C675" s="6"/>
      <c r="H675" s="6"/>
    </row>
    <row r="676" spans="3:8" x14ac:dyDescent="0.2">
      <c r="C676" s="6"/>
      <c r="H676" s="6"/>
    </row>
    <row r="677" spans="3:8" x14ac:dyDescent="0.2">
      <c r="C677" s="6"/>
      <c r="H677" s="6"/>
    </row>
    <row r="678" spans="3:8" x14ac:dyDescent="0.2">
      <c r="C678" s="6"/>
      <c r="H678" s="6"/>
    </row>
    <row r="679" spans="3:8" x14ac:dyDescent="0.2">
      <c r="C679" s="6"/>
      <c r="H679" s="6"/>
    </row>
    <row r="680" spans="3:8" x14ac:dyDescent="0.2">
      <c r="C680" s="6"/>
      <c r="H680" s="6"/>
    </row>
    <row r="681" spans="3:8" x14ac:dyDescent="0.2">
      <c r="C681" s="6"/>
      <c r="H681" s="6"/>
    </row>
    <row r="682" spans="3:8" x14ac:dyDescent="0.2">
      <c r="C682" s="6"/>
      <c r="H682" s="6"/>
    </row>
    <row r="683" spans="3:8" x14ac:dyDescent="0.2">
      <c r="C683" s="6"/>
      <c r="H683" s="6"/>
    </row>
    <row r="684" spans="3:8" x14ac:dyDescent="0.2">
      <c r="C684" s="6"/>
      <c r="H684" s="6"/>
    </row>
    <row r="685" spans="3:8" x14ac:dyDescent="0.2">
      <c r="C685" s="6"/>
      <c r="H685" s="6"/>
    </row>
    <row r="686" spans="3:8" x14ac:dyDescent="0.2">
      <c r="C686" s="6"/>
      <c r="H686" s="6"/>
    </row>
    <row r="687" spans="3:8" x14ac:dyDescent="0.2">
      <c r="C687" s="6"/>
      <c r="H687" s="6"/>
    </row>
    <row r="688" spans="3:8" x14ac:dyDescent="0.2">
      <c r="C688" s="6"/>
      <c r="H688" s="6"/>
    </row>
    <row r="689" spans="3:8" x14ac:dyDescent="0.2">
      <c r="C689" s="6"/>
      <c r="H689" s="6"/>
    </row>
    <row r="690" spans="3:8" x14ac:dyDescent="0.2">
      <c r="C690" s="6"/>
      <c r="H690" s="6"/>
    </row>
    <row r="691" spans="3:8" x14ac:dyDescent="0.2">
      <c r="C691" s="6"/>
      <c r="H691" s="6"/>
    </row>
    <row r="692" spans="3:8" x14ac:dyDescent="0.2">
      <c r="C692" s="6"/>
      <c r="H692" s="6"/>
    </row>
    <row r="693" spans="3:8" x14ac:dyDescent="0.2">
      <c r="C693" s="6"/>
      <c r="H693" s="6"/>
    </row>
    <row r="694" spans="3:8" x14ac:dyDescent="0.2">
      <c r="C694" s="6"/>
      <c r="H694" s="6"/>
    </row>
    <row r="695" spans="3:8" x14ac:dyDescent="0.2">
      <c r="C695" s="6"/>
      <c r="H695" s="6"/>
    </row>
    <row r="696" spans="3:8" x14ac:dyDescent="0.2">
      <c r="C696" s="6"/>
      <c r="H696" s="6"/>
    </row>
    <row r="697" spans="3:8" x14ac:dyDescent="0.2">
      <c r="C697" s="6"/>
      <c r="H697" s="6"/>
    </row>
    <row r="698" spans="3:8" x14ac:dyDescent="0.2">
      <c r="C698" s="6"/>
      <c r="H698" s="6"/>
    </row>
    <row r="699" spans="3:8" x14ac:dyDescent="0.2">
      <c r="C699" s="6"/>
      <c r="H699" s="6"/>
    </row>
    <row r="700" spans="3:8" x14ac:dyDescent="0.2">
      <c r="C700" s="6"/>
      <c r="H700" s="6"/>
    </row>
    <row r="701" spans="3:8" x14ac:dyDescent="0.2">
      <c r="C701" s="6"/>
      <c r="H701" s="6"/>
    </row>
    <row r="702" spans="3:8" x14ac:dyDescent="0.2">
      <c r="C702" s="6"/>
      <c r="H702" s="6"/>
    </row>
    <row r="703" spans="3:8" x14ac:dyDescent="0.2">
      <c r="C703" s="6"/>
      <c r="H703" s="6"/>
    </row>
    <row r="704" spans="3:8" x14ac:dyDescent="0.2">
      <c r="C704" s="6"/>
      <c r="H704" s="6"/>
    </row>
    <row r="705" spans="3:8" x14ac:dyDescent="0.2">
      <c r="C705" s="6"/>
      <c r="H705" s="6"/>
    </row>
    <row r="706" spans="3:8" x14ac:dyDescent="0.2">
      <c r="C706" s="6"/>
      <c r="H706" s="6"/>
    </row>
    <row r="707" spans="3:8" x14ac:dyDescent="0.2">
      <c r="C707" s="6"/>
      <c r="H707" s="6"/>
    </row>
    <row r="708" spans="3:8" x14ac:dyDescent="0.2">
      <c r="C708" s="6"/>
      <c r="H708" s="6"/>
    </row>
    <row r="709" spans="3:8" x14ac:dyDescent="0.2">
      <c r="C709" s="6"/>
      <c r="H709" s="6"/>
    </row>
    <row r="710" spans="3:8" x14ac:dyDescent="0.2">
      <c r="C710" s="6"/>
      <c r="H710" s="6"/>
    </row>
    <row r="711" spans="3:8" x14ac:dyDescent="0.2">
      <c r="C711" s="6"/>
      <c r="H711" s="6"/>
    </row>
    <row r="712" spans="3:8" x14ac:dyDescent="0.2">
      <c r="C712" s="6"/>
      <c r="H712" s="6"/>
    </row>
    <row r="713" spans="3:8" x14ac:dyDescent="0.2">
      <c r="C713" s="6"/>
      <c r="H713" s="6"/>
    </row>
    <row r="714" spans="3:8" x14ac:dyDescent="0.2">
      <c r="C714" s="6"/>
      <c r="H714" s="6"/>
    </row>
    <row r="715" spans="3:8" x14ac:dyDescent="0.2">
      <c r="C715" s="6"/>
      <c r="H715" s="6"/>
    </row>
    <row r="716" spans="3:8" x14ac:dyDescent="0.2">
      <c r="C716" s="6"/>
      <c r="H716" s="6"/>
    </row>
    <row r="717" spans="3:8" x14ac:dyDescent="0.2">
      <c r="C717" s="6"/>
      <c r="H717" s="6"/>
    </row>
    <row r="718" spans="3:8" x14ac:dyDescent="0.2">
      <c r="C718" s="6"/>
      <c r="H718" s="6"/>
    </row>
    <row r="719" spans="3:8" x14ac:dyDescent="0.2">
      <c r="C719" s="6"/>
      <c r="H719" s="6"/>
    </row>
    <row r="720" spans="3:8" x14ac:dyDescent="0.2">
      <c r="C720" s="6"/>
      <c r="H720" s="6"/>
    </row>
    <row r="721" spans="3:8" x14ac:dyDescent="0.2">
      <c r="C721" s="6"/>
      <c r="H721" s="6"/>
    </row>
    <row r="722" spans="3:8" x14ac:dyDescent="0.2">
      <c r="C722" s="6"/>
      <c r="H722" s="6"/>
    </row>
    <row r="723" spans="3:8" x14ac:dyDescent="0.2">
      <c r="C723" s="6"/>
      <c r="H723" s="6"/>
    </row>
    <row r="724" spans="3:8" x14ac:dyDescent="0.2">
      <c r="C724" s="6"/>
      <c r="H724" s="6"/>
    </row>
    <row r="725" spans="3:8" x14ac:dyDescent="0.2">
      <c r="C725" s="6"/>
      <c r="H725" s="6"/>
    </row>
    <row r="726" spans="3:8" x14ac:dyDescent="0.2">
      <c r="C726" s="6"/>
      <c r="H726" s="6"/>
    </row>
    <row r="727" spans="3:8" x14ac:dyDescent="0.2">
      <c r="C727" s="6"/>
      <c r="H727" s="6"/>
    </row>
    <row r="728" spans="3:8" x14ac:dyDescent="0.2">
      <c r="C728" s="6"/>
      <c r="H728" s="6"/>
    </row>
    <row r="729" spans="3:8" x14ac:dyDescent="0.2">
      <c r="C729" s="6"/>
      <c r="H729" s="6"/>
    </row>
    <row r="730" spans="3:8" x14ac:dyDescent="0.2">
      <c r="C730" s="6"/>
      <c r="H730" s="6"/>
    </row>
    <row r="731" spans="3:8" x14ac:dyDescent="0.2">
      <c r="C731" s="6"/>
      <c r="H731" s="6"/>
    </row>
    <row r="732" spans="3:8" x14ac:dyDescent="0.2">
      <c r="C732" s="6"/>
      <c r="H732" s="6"/>
    </row>
    <row r="733" spans="3:8" x14ac:dyDescent="0.2">
      <c r="C733" s="6"/>
      <c r="H733" s="6"/>
    </row>
    <row r="734" spans="3:8" x14ac:dyDescent="0.2">
      <c r="C734" s="6"/>
      <c r="H734" s="6"/>
    </row>
    <row r="735" spans="3:8" x14ac:dyDescent="0.2">
      <c r="C735" s="6"/>
      <c r="H735" s="6"/>
    </row>
    <row r="736" spans="3:8" x14ac:dyDescent="0.2">
      <c r="C736" s="6"/>
      <c r="H736" s="6"/>
    </row>
    <row r="737" spans="3:8" x14ac:dyDescent="0.2">
      <c r="C737" s="6"/>
      <c r="H737" s="6"/>
    </row>
    <row r="738" spans="3:8" x14ac:dyDescent="0.2">
      <c r="C738" s="6"/>
      <c r="H738" s="6"/>
    </row>
    <row r="739" spans="3:8" x14ac:dyDescent="0.2">
      <c r="C739" s="6"/>
      <c r="H739" s="6"/>
    </row>
    <row r="740" spans="3:8" x14ac:dyDescent="0.2">
      <c r="C740" s="6"/>
      <c r="H740" s="6"/>
    </row>
    <row r="741" spans="3:8" x14ac:dyDescent="0.2">
      <c r="C741" s="6"/>
      <c r="H741" s="6"/>
    </row>
    <row r="742" spans="3:8" x14ac:dyDescent="0.2">
      <c r="C742" s="6"/>
      <c r="H742" s="6"/>
    </row>
    <row r="743" spans="3:8" x14ac:dyDescent="0.2">
      <c r="C743" s="6"/>
      <c r="H743" s="6"/>
    </row>
    <row r="744" spans="3:8" x14ac:dyDescent="0.2">
      <c r="C744" s="6"/>
      <c r="H744" s="6"/>
    </row>
    <row r="745" spans="3:8" x14ac:dyDescent="0.2">
      <c r="C745" s="6"/>
      <c r="H745" s="6"/>
    </row>
    <row r="746" spans="3:8" x14ac:dyDescent="0.2">
      <c r="C746" s="6"/>
      <c r="H746" s="6"/>
    </row>
    <row r="747" spans="3:8" x14ac:dyDescent="0.2">
      <c r="C747" s="6"/>
      <c r="H747" s="6"/>
    </row>
    <row r="748" spans="3:8" x14ac:dyDescent="0.2">
      <c r="C748" s="6"/>
      <c r="H748" s="6"/>
    </row>
    <row r="749" spans="3:8" x14ac:dyDescent="0.2">
      <c r="C749" s="6"/>
      <c r="H749" s="6"/>
    </row>
    <row r="750" spans="3:8" x14ac:dyDescent="0.2">
      <c r="C750" s="6"/>
      <c r="H750" s="6"/>
    </row>
    <row r="751" spans="3:8" x14ac:dyDescent="0.2">
      <c r="C751" s="6"/>
      <c r="H751" s="6"/>
    </row>
    <row r="752" spans="3:8" x14ac:dyDescent="0.2">
      <c r="C752" s="6"/>
      <c r="H752" s="6"/>
    </row>
    <row r="753" spans="3:8" x14ac:dyDescent="0.2">
      <c r="C753" s="6"/>
      <c r="H753" s="6"/>
    </row>
    <row r="754" spans="3:8" x14ac:dyDescent="0.2">
      <c r="C754" s="6"/>
      <c r="H754" s="6"/>
    </row>
    <row r="755" spans="3:8" x14ac:dyDescent="0.2">
      <c r="C755" s="6"/>
      <c r="H755" s="6"/>
    </row>
    <row r="756" spans="3:8" x14ac:dyDescent="0.2">
      <c r="C756" s="6"/>
      <c r="H756" s="6"/>
    </row>
    <row r="757" spans="3:8" x14ac:dyDescent="0.2">
      <c r="C757" s="6"/>
      <c r="H757" s="6"/>
    </row>
    <row r="758" spans="3:8" x14ac:dyDescent="0.2">
      <c r="C758" s="6"/>
      <c r="H758" s="6"/>
    </row>
    <row r="759" spans="3:8" x14ac:dyDescent="0.2">
      <c r="C759" s="6"/>
      <c r="H759" s="6"/>
    </row>
    <row r="760" spans="3:8" x14ac:dyDescent="0.2">
      <c r="C760" s="6"/>
      <c r="H760" s="6"/>
    </row>
    <row r="761" spans="3:8" x14ac:dyDescent="0.2">
      <c r="C761" s="6"/>
      <c r="H761" s="6"/>
    </row>
    <row r="762" spans="3:8" x14ac:dyDescent="0.2">
      <c r="C762" s="6"/>
      <c r="H762" s="6"/>
    </row>
    <row r="763" spans="3:8" x14ac:dyDescent="0.2">
      <c r="C763" s="6"/>
      <c r="H763" s="6"/>
    </row>
    <row r="764" spans="3:8" x14ac:dyDescent="0.2">
      <c r="C764" s="6"/>
      <c r="H764" s="6"/>
    </row>
    <row r="765" spans="3:8" x14ac:dyDescent="0.2">
      <c r="C765" s="6"/>
      <c r="H765" s="6"/>
    </row>
    <row r="766" spans="3:8" x14ac:dyDescent="0.2">
      <c r="C766" s="6"/>
      <c r="H766" s="6"/>
    </row>
    <row r="767" spans="3:8" x14ac:dyDescent="0.2">
      <c r="C767" s="6"/>
      <c r="H767" s="6"/>
    </row>
    <row r="768" spans="3:8" x14ac:dyDescent="0.2">
      <c r="C768" s="6"/>
      <c r="H768" s="6"/>
    </row>
    <row r="769" spans="3:8" x14ac:dyDescent="0.2">
      <c r="C769" s="6"/>
      <c r="H769" s="6"/>
    </row>
    <row r="770" spans="3:8" x14ac:dyDescent="0.2">
      <c r="C770" s="6"/>
      <c r="H770" s="6"/>
    </row>
    <row r="771" spans="3:8" x14ac:dyDescent="0.2">
      <c r="C771" s="6"/>
      <c r="H771" s="6"/>
    </row>
    <row r="772" spans="3:8" x14ac:dyDescent="0.2">
      <c r="C772" s="6"/>
      <c r="H772" s="6"/>
    </row>
    <row r="773" spans="3:8" x14ac:dyDescent="0.2">
      <c r="C773" s="6"/>
      <c r="H773" s="6"/>
    </row>
    <row r="774" spans="3:8" x14ac:dyDescent="0.2">
      <c r="C774" s="6"/>
      <c r="H774" s="6"/>
    </row>
    <row r="775" spans="3:8" x14ac:dyDescent="0.2">
      <c r="C775" s="6"/>
      <c r="H775" s="6"/>
    </row>
    <row r="776" spans="3:8" x14ac:dyDescent="0.2">
      <c r="C776" s="6"/>
      <c r="H776" s="6"/>
    </row>
    <row r="777" spans="3:8" x14ac:dyDescent="0.2">
      <c r="C777" s="6"/>
      <c r="H777" s="6"/>
    </row>
    <row r="778" spans="3:8" x14ac:dyDescent="0.2">
      <c r="C778" s="6"/>
      <c r="H778" s="6"/>
    </row>
    <row r="779" spans="3:8" x14ac:dyDescent="0.2">
      <c r="C779" s="6"/>
      <c r="H779" s="6"/>
    </row>
    <row r="780" spans="3:8" x14ac:dyDescent="0.2">
      <c r="C780" s="6"/>
      <c r="H780" s="6"/>
    </row>
    <row r="781" spans="3:8" x14ac:dyDescent="0.2">
      <c r="C781" s="6"/>
      <c r="H781" s="6"/>
    </row>
    <row r="782" spans="3:8" x14ac:dyDescent="0.2">
      <c r="C782" s="6"/>
      <c r="H782" s="6"/>
    </row>
    <row r="783" spans="3:8" x14ac:dyDescent="0.2">
      <c r="C783" s="6"/>
      <c r="H783" s="6"/>
    </row>
    <row r="784" spans="3:8" x14ac:dyDescent="0.2">
      <c r="C784" s="6"/>
      <c r="H784" s="6"/>
    </row>
    <row r="785" spans="3:8" x14ac:dyDescent="0.2">
      <c r="C785" s="6"/>
      <c r="H785" s="6"/>
    </row>
    <row r="786" spans="3:8" x14ac:dyDescent="0.2">
      <c r="C786" s="6"/>
      <c r="H786" s="6"/>
    </row>
    <row r="787" spans="3:8" x14ac:dyDescent="0.2">
      <c r="C787" s="6"/>
      <c r="H787" s="6"/>
    </row>
    <row r="788" spans="3:8" x14ac:dyDescent="0.2">
      <c r="C788" s="6"/>
      <c r="H788" s="6"/>
    </row>
    <row r="789" spans="3:8" x14ac:dyDescent="0.2">
      <c r="C789" s="6"/>
      <c r="H789" s="6"/>
    </row>
    <row r="790" spans="3:8" x14ac:dyDescent="0.2">
      <c r="C790" s="6"/>
      <c r="H790" s="6"/>
    </row>
    <row r="791" spans="3:8" x14ac:dyDescent="0.2">
      <c r="C791" s="6"/>
      <c r="H791" s="6"/>
    </row>
    <row r="792" spans="3:8" x14ac:dyDescent="0.2">
      <c r="C792" s="6"/>
      <c r="H792" s="6"/>
    </row>
    <row r="793" spans="3:8" x14ac:dyDescent="0.2">
      <c r="C793" s="6"/>
      <c r="H793" s="6"/>
    </row>
    <row r="794" spans="3:8" x14ac:dyDescent="0.2">
      <c r="C794" s="6"/>
      <c r="H794" s="6"/>
    </row>
    <row r="795" spans="3:8" x14ac:dyDescent="0.2">
      <c r="C795" s="6"/>
      <c r="H795" s="6"/>
    </row>
    <row r="796" spans="3:8" x14ac:dyDescent="0.2">
      <c r="C796" s="6"/>
      <c r="H796" s="6"/>
    </row>
    <row r="797" spans="3:8" x14ac:dyDescent="0.2">
      <c r="C797" s="6"/>
      <c r="H797" s="6"/>
    </row>
    <row r="798" spans="3:8" x14ac:dyDescent="0.2">
      <c r="C798" s="6"/>
      <c r="H798" s="6"/>
    </row>
    <row r="799" spans="3:8" x14ac:dyDescent="0.2">
      <c r="C799" s="6"/>
      <c r="H799" s="6"/>
    </row>
    <row r="800" spans="3:8" x14ac:dyDescent="0.2">
      <c r="C800" s="6"/>
      <c r="H800" s="6"/>
    </row>
    <row r="801" spans="3:8" x14ac:dyDescent="0.2">
      <c r="C801" s="6"/>
      <c r="H801" s="6"/>
    </row>
    <row r="802" spans="3:8" x14ac:dyDescent="0.2">
      <c r="C802" s="6"/>
      <c r="H802" s="6"/>
    </row>
    <row r="803" spans="3:8" x14ac:dyDescent="0.2">
      <c r="C803" s="6"/>
      <c r="H803" s="6"/>
    </row>
    <row r="804" spans="3:8" x14ac:dyDescent="0.2">
      <c r="C804" s="6"/>
      <c r="H804" s="6"/>
    </row>
    <row r="805" spans="3:8" x14ac:dyDescent="0.2">
      <c r="C805" s="6"/>
      <c r="H805" s="6"/>
    </row>
    <row r="806" spans="3:8" x14ac:dyDescent="0.2">
      <c r="C806" s="6"/>
      <c r="H806" s="6"/>
    </row>
    <row r="807" spans="3:8" x14ac:dyDescent="0.2">
      <c r="C807" s="6"/>
      <c r="H807" s="6"/>
    </row>
    <row r="808" spans="3:8" x14ac:dyDescent="0.2">
      <c r="C808" s="6"/>
      <c r="H808" s="6"/>
    </row>
    <row r="809" spans="3:8" x14ac:dyDescent="0.2">
      <c r="C809" s="6"/>
      <c r="H809" s="6"/>
    </row>
    <row r="810" spans="3:8" x14ac:dyDescent="0.2">
      <c r="C810" s="6"/>
      <c r="H810" s="6"/>
    </row>
    <row r="811" spans="3:8" x14ac:dyDescent="0.2">
      <c r="C811" s="6"/>
      <c r="H811" s="6"/>
    </row>
    <row r="812" spans="3:8" x14ac:dyDescent="0.2">
      <c r="C812" s="6"/>
      <c r="H812" s="6"/>
    </row>
    <row r="813" spans="3:8" x14ac:dyDescent="0.2">
      <c r="C813" s="6"/>
      <c r="H813" s="6"/>
    </row>
    <row r="814" spans="3:8" x14ac:dyDescent="0.2">
      <c r="C814" s="6"/>
      <c r="H814" s="6"/>
    </row>
    <row r="815" spans="3:8" x14ac:dyDescent="0.2">
      <c r="C815" s="6"/>
      <c r="H815" s="6"/>
    </row>
    <row r="816" spans="3:8" x14ac:dyDescent="0.2">
      <c r="C816" s="6"/>
      <c r="H816" s="6"/>
    </row>
    <row r="817" spans="3:8" x14ac:dyDescent="0.2">
      <c r="C817" s="6"/>
      <c r="H817" s="6"/>
    </row>
    <row r="818" spans="3:8" x14ac:dyDescent="0.2">
      <c r="C818" s="6"/>
      <c r="H818" s="6"/>
    </row>
    <row r="819" spans="3:8" x14ac:dyDescent="0.2">
      <c r="C819" s="6"/>
      <c r="H819" s="6"/>
    </row>
    <row r="820" spans="3:8" x14ac:dyDescent="0.2">
      <c r="C820" s="6"/>
      <c r="H820" s="6"/>
    </row>
    <row r="821" spans="3:8" x14ac:dyDescent="0.2">
      <c r="C821" s="6"/>
      <c r="H821" s="6"/>
    </row>
    <row r="822" spans="3:8" x14ac:dyDescent="0.2">
      <c r="C822" s="6"/>
      <c r="H822" s="6"/>
    </row>
    <row r="823" spans="3:8" x14ac:dyDescent="0.2">
      <c r="C823" s="6"/>
      <c r="H823" s="6"/>
    </row>
    <row r="824" spans="3:8" x14ac:dyDescent="0.2">
      <c r="C824" s="6"/>
      <c r="H824" s="6"/>
    </row>
    <row r="825" spans="3:8" x14ac:dyDescent="0.2">
      <c r="C825" s="6"/>
      <c r="H825" s="6"/>
    </row>
    <row r="826" spans="3:8" x14ac:dyDescent="0.2">
      <c r="C826" s="6"/>
      <c r="H826" s="6"/>
    </row>
    <row r="827" spans="3:8" x14ac:dyDescent="0.2">
      <c r="C827" s="6"/>
      <c r="H827" s="6"/>
    </row>
    <row r="828" spans="3:8" x14ac:dyDescent="0.2">
      <c r="C828" s="6"/>
      <c r="H828" s="6"/>
    </row>
    <row r="829" spans="3:8" x14ac:dyDescent="0.2">
      <c r="C829" s="6"/>
      <c r="H829" s="6"/>
    </row>
    <row r="830" spans="3:8" x14ac:dyDescent="0.2">
      <c r="C830" s="6"/>
      <c r="H830" s="6"/>
    </row>
    <row r="831" spans="3:8" x14ac:dyDescent="0.2">
      <c r="C831" s="6"/>
      <c r="H831" s="6"/>
    </row>
    <row r="832" spans="3:8" x14ac:dyDescent="0.2">
      <c r="C832" s="6"/>
      <c r="H832" s="6"/>
    </row>
    <row r="833" spans="3:8" x14ac:dyDescent="0.2">
      <c r="C833" s="6"/>
      <c r="H833" s="6"/>
    </row>
    <row r="834" spans="3:8" x14ac:dyDescent="0.2">
      <c r="C834" s="6"/>
      <c r="H834" s="6"/>
    </row>
    <row r="835" spans="3:8" x14ac:dyDescent="0.2">
      <c r="C835" s="6"/>
      <c r="H835" s="6"/>
    </row>
    <row r="836" spans="3:8" x14ac:dyDescent="0.2">
      <c r="C836" s="6"/>
      <c r="H836" s="6"/>
    </row>
    <row r="837" spans="3:8" x14ac:dyDescent="0.2">
      <c r="C837" s="6"/>
      <c r="H837" s="6"/>
    </row>
    <row r="838" spans="3:8" x14ac:dyDescent="0.2">
      <c r="C838" s="6"/>
      <c r="H838" s="6"/>
    </row>
    <row r="839" spans="3:8" x14ac:dyDescent="0.2">
      <c r="C839" s="6"/>
      <c r="H839" s="6"/>
    </row>
    <row r="840" spans="3:8" x14ac:dyDescent="0.2">
      <c r="C840" s="6"/>
      <c r="H840" s="6"/>
    </row>
    <row r="841" spans="3:8" x14ac:dyDescent="0.2">
      <c r="C841" s="6"/>
      <c r="H841" s="6"/>
    </row>
    <row r="842" spans="3:8" x14ac:dyDescent="0.2">
      <c r="C842" s="6"/>
      <c r="H842" s="6"/>
    </row>
    <row r="843" spans="3:8" x14ac:dyDescent="0.2">
      <c r="C843" s="6"/>
      <c r="H843" s="6"/>
    </row>
    <row r="844" spans="3:8" x14ac:dyDescent="0.2">
      <c r="C844" s="6"/>
      <c r="H844" s="6"/>
    </row>
    <row r="845" spans="3:8" x14ac:dyDescent="0.2">
      <c r="C845" s="6"/>
      <c r="H845" s="6"/>
    </row>
    <row r="846" spans="3:8" x14ac:dyDescent="0.2">
      <c r="C846" s="6"/>
      <c r="H846" s="6"/>
    </row>
    <row r="847" spans="3:8" x14ac:dyDescent="0.2">
      <c r="C847" s="6"/>
      <c r="H847" s="6"/>
    </row>
    <row r="848" spans="3:8" x14ac:dyDescent="0.2">
      <c r="C848" s="6"/>
      <c r="H848" s="6"/>
    </row>
    <row r="849" spans="3:8" x14ac:dyDescent="0.2">
      <c r="C849" s="6"/>
      <c r="H849" s="6"/>
    </row>
    <row r="850" spans="3:8" x14ac:dyDescent="0.2">
      <c r="C850" s="6"/>
      <c r="H850" s="6"/>
    </row>
    <row r="851" spans="3:8" x14ac:dyDescent="0.2">
      <c r="C851" s="6"/>
      <c r="H851" s="6"/>
    </row>
    <row r="852" spans="3:8" x14ac:dyDescent="0.2">
      <c r="C852" s="6"/>
      <c r="H852" s="6"/>
    </row>
    <row r="853" spans="3:8" x14ac:dyDescent="0.2">
      <c r="C853" s="6"/>
      <c r="H853" s="6"/>
    </row>
    <row r="854" spans="3:8" x14ac:dyDescent="0.2">
      <c r="C854" s="6"/>
      <c r="H854" s="6"/>
    </row>
    <row r="855" spans="3:8" x14ac:dyDescent="0.2">
      <c r="C855" s="6"/>
      <c r="H855" s="6"/>
    </row>
    <row r="856" spans="3:8" x14ac:dyDescent="0.2">
      <c r="C856" s="6"/>
      <c r="H856" s="6"/>
    </row>
    <row r="857" spans="3:8" x14ac:dyDescent="0.2">
      <c r="C857" s="6"/>
      <c r="H857" s="6"/>
    </row>
    <row r="858" spans="3:8" x14ac:dyDescent="0.2">
      <c r="C858" s="6"/>
      <c r="H858" s="6"/>
    </row>
    <row r="859" spans="3:8" x14ac:dyDescent="0.2">
      <c r="C859" s="6"/>
      <c r="H859" s="6"/>
    </row>
    <row r="860" spans="3:8" x14ac:dyDescent="0.2">
      <c r="C860" s="6"/>
      <c r="H860" s="6"/>
    </row>
    <row r="861" spans="3:8" x14ac:dyDescent="0.2">
      <c r="C861" s="6"/>
      <c r="H861" s="6"/>
    </row>
    <row r="862" spans="3:8" x14ac:dyDescent="0.2">
      <c r="C862" s="6"/>
      <c r="H862" s="6"/>
    </row>
    <row r="863" spans="3:8" x14ac:dyDescent="0.2">
      <c r="C863" s="6"/>
      <c r="H863" s="6"/>
    </row>
    <row r="864" spans="3:8" x14ac:dyDescent="0.2">
      <c r="C864" s="6"/>
      <c r="H864" s="6"/>
    </row>
    <row r="865" spans="3:8" x14ac:dyDescent="0.2">
      <c r="C865" s="6"/>
      <c r="H865" s="6"/>
    </row>
    <row r="866" spans="3:8" x14ac:dyDescent="0.2">
      <c r="C866" s="6"/>
      <c r="H866" s="6"/>
    </row>
    <row r="867" spans="3:8" x14ac:dyDescent="0.2">
      <c r="C867" s="6"/>
      <c r="H867" s="6"/>
    </row>
    <row r="868" spans="3:8" x14ac:dyDescent="0.2">
      <c r="C868" s="6"/>
      <c r="H868" s="6"/>
    </row>
    <row r="869" spans="3:8" x14ac:dyDescent="0.2">
      <c r="C869" s="6"/>
      <c r="H869" s="6"/>
    </row>
    <row r="870" spans="3:8" x14ac:dyDescent="0.2">
      <c r="C870" s="6"/>
      <c r="H870" s="6"/>
    </row>
    <row r="871" spans="3:8" x14ac:dyDescent="0.2">
      <c r="C871" s="6"/>
      <c r="H871" s="6"/>
    </row>
    <row r="872" spans="3:8" x14ac:dyDescent="0.2">
      <c r="C872" s="6"/>
      <c r="H872" s="6"/>
    </row>
    <row r="873" spans="3:8" x14ac:dyDescent="0.2">
      <c r="C873" s="6"/>
      <c r="H873" s="6"/>
    </row>
    <row r="874" spans="3:8" x14ac:dyDescent="0.2">
      <c r="C874" s="6"/>
      <c r="H874" s="6"/>
    </row>
    <row r="875" spans="3:8" x14ac:dyDescent="0.2">
      <c r="C875" s="6"/>
      <c r="H875" s="6"/>
    </row>
    <row r="876" spans="3:8" x14ac:dyDescent="0.2">
      <c r="C876" s="6"/>
      <c r="H876" s="6"/>
    </row>
    <row r="877" spans="3:8" x14ac:dyDescent="0.2">
      <c r="C877" s="6"/>
      <c r="H877" s="6"/>
    </row>
    <row r="878" spans="3:8" x14ac:dyDescent="0.2">
      <c r="C878" s="6"/>
      <c r="H878" s="6"/>
    </row>
    <row r="879" spans="3:8" x14ac:dyDescent="0.2">
      <c r="C879" s="6"/>
      <c r="H879" s="6"/>
    </row>
    <row r="880" spans="3:8" x14ac:dyDescent="0.2">
      <c r="C880" s="6"/>
      <c r="H880" s="6"/>
    </row>
    <row r="881" spans="3:8" x14ac:dyDescent="0.2">
      <c r="C881" s="6"/>
      <c r="H881" s="6"/>
    </row>
    <row r="882" spans="3:8" x14ac:dyDescent="0.2">
      <c r="C882" s="6"/>
      <c r="H882" s="6"/>
    </row>
    <row r="883" spans="3:8" x14ac:dyDescent="0.2">
      <c r="C883" s="6"/>
      <c r="H883" s="6"/>
    </row>
    <row r="884" spans="3:8" x14ac:dyDescent="0.2">
      <c r="C884" s="6"/>
      <c r="H884" s="6"/>
    </row>
    <row r="885" spans="3:8" x14ac:dyDescent="0.2">
      <c r="C885" s="6"/>
      <c r="H885" s="6"/>
    </row>
    <row r="886" spans="3:8" x14ac:dyDescent="0.2">
      <c r="C886" s="6"/>
      <c r="H886" s="6"/>
    </row>
    <row r="887" spans="3:8" x14ac:dyDescent="0.2">
      <c r="C887" s="6"/>
      <c r="H887" s="6"/>
    </row>
    <row r="888" spans="3:8" x14ac:dyDescent="0.2">
      <c r="C888" s="6"/>
      <c r="H888" s="6"/>
    </row>
    <row r="889" spans="3:8" x14ac:dyDescent="0.2">
      <c r="C889" s="6"/>
      <c r="H889" s="6"/>
    </row>
    <row r="890" spans="3:8" x14ac:dyDescent="0.2">
      <c r="C890" s="6"/>
      <c r="H890" s="6"/>
    </row>
    <row r="891" spans="3:8" x14ac:dyDescent="0.2">
      <c r="C891" s="6"/>
      <c r="H891" s="6"/>
    </row>
    <row r="892" spans="3:8" x14ac:dyDescent="0.2">
      <c r="C892" s="6"/>
      <c r="H892" s="6"/>
    </row>
    <row r="893" spans="3:8" x14ac:dyDescent="0.2">
      <c r="C893" s="6"/>
      <c r="H893" s="6"/>
    </row>
    <row r="894" spans="3:8" x14ac:dyDescent="0.2">
      <c r="C894" s="6"/>
      <c r="H894" s="6"/>
    </row>
    <row r="895" spans="3:8" x14ac:dyDescent="0.2">
      <c r="C895" s="6"/>
      <c r="H895" s="6"/>
    </row>
    <row r="896" spans="3:8" x14ac:dyDescent="0.2">
      <c r="C896" s="6"/>
      <c r="H896" s="6"/>
    </row>
    <row r="897" spans="3:8" x14ac:dyDescent="0.2">
      <c r="C897" s="6"/>
      <c r="H897" s="6"/>
    </row>
    <row r="898" spans="3:8" x14ac:dyDescent="0.2">
      <c r="C898" s="6"/>
      <c r="H898" s="6"/>
    </row>
    <row r="899" spans="3:8" x14ac:dyDescent="0.2">
      <c r="C899" s="6"/>
      <c r="H899" s="6"/>
    </row>
    <row r="900" spans="3:8" x14ac:dyDescent="0.2">
      <c r="C900" s="6"/>
      <c r="H900" s="6"/>
    </row>
    <row r="901" spans="3:8" x14ac:dyDescent="0.2">
      <c r="C901" s="6"/>
      <c r="H901" s="6"/>
    </row>
    <row r="902" spans="3:8" x14ac:dyDescent="0.2">
      <c r="C902" s="6"/>
      <c r="H902" s="6"/>
    </row>
    <row r="903" spans="3:8" x14ac:dyDescent="0.2">
      <c r="C903" s="6"/>
      <c r="H903" s="6"/>
    </row>
    <row r="904" spans="3:8" x14ac:dyDescent="0.2">
      <c r="C904" s="6"/>
      <c r="H904" s="6"/>
    </row>
    <row r="905" spans="3:8" x14ac:dyDescent="0.2">
      <c r="C905" s="6"/>
      <c r="H905" s="6"/>
    </row>
    <row r="906" spans="3:8" x14ac:dyDescent="0.2">
      <c r="C906" s="6"/>
      <c r="H906" s="6"/>
    </row>
    <row r="907" spans="3:8" x14ac:dyDescent="0.2">
      <c r="C907" s="6"/>
      <c r="H907" s="6"/>
    </row>
    <row r="908" spans="3:8" x14ac:dyDescent="0.2">
      <c r="C908" s="6"/>
      <c r="H908" s="6"/>
    </row>
    <row r="909" spans="3:8" x14ac:dyDescent="0.2">
      <c r="C909" s="6"/>
      <c r="H909" s="6"/>
    </row>
    <row r="910" spans="3:8" x14ac:dyDescent="0.2">
      <c r="C910" s="6"/>
      <c r="H910" s="6"/>
    </row>
    <row r="911" spans="3:8" x14ac:dyDescent="0.2">
      <c r="C911" s="6"/>
      <c r="H911" s="6"/>
    </row>
    <row r="912" spans="3:8" x14ac:dyDescent="0.2">
      <c r="C912" s="6"/>
      <c r="H912" s="6"/>
    </row>
    <row r="913" spans="3:8" x14ac:dyDescent="0.2">
      <c r="C913" s="6"/>
      <c r="H913" s="6"/>
    </row>
    <row r="914" spans="3:8" x14ac:dyDescent="0.2">
      <c r="C914" s="6"/>
      <c r="H914" s="6"/>
    </row>
    <row r="915" spans="3:8" x14ac:dyDescent="0.2">
      <c r="C915" s="6"/>
      <c r="H915" s="6"/>
    </row>
    <row r="916" spans="3:8" x14ac:dyDescent="0.2">
      <c r="C916" s="6"/>
      <c r="H916" s="6"/>
    </row>
    <row r="917" spans="3:8" x14ac:dyDescent="0.2">
      <c r="C917" s="6"/>
      <c r="H917" s="6"/>
    </row>
    <row r="918" spans="3:8" x14ac:dyDescent="0.2">
      <c r="C918" s="6"/>
      <c r="H918" s="6"/>
    </row>
    <row r="919" spans="3:8" x14ac:dyDescent="0.2">
      <c r="C919" s="6"/>
      <c r="H919" s="6"/>
    </row>
    <row r="920" spans="3:8" x14ac:dyDescent="0.2">
      <c r="C920" s="6"/>
      <c r="H920" s="6"/>
    </row>
    <row r="921" spans="3:8" x14ac:dyDescent="0.2">
      <c r="C921" s="6"/>
      <c r="H921" s="6"/>
    </row>
    <row r="922" spans="3:8" x14ac:dyDescent="0.2">
      <c r="C922" s="6"/>
      <c r="H922" s="6"/>
    </row>
    <row r="923" spans="3:8" x14ac:dyDescent="0.2">
      <c r="C923" s="6"/>
      <c r="H923" s="6"/>
    </row>
    <row r="924" spans="3:8" x14ac:dyDescent="0.2">
      <c r="C924" s="6"/>
      <c r="H924" s="6"/>
    </row>
    <row r="925" spans="3:8" x14ac:dyDescent="0.2">
      <c r="C925" s="6"/>
      <c r="H925" s="6"/>
    </row>
    <row r="926" spans="3:8" x14ac:dyDescent="0.2">
      <c r="C926" s="6"/>
      <c r="H926" s="6"/>
    </row>
    <row r="927" spans="3:8" x14ac:dyDescent="0.2">
      <c r="C927" s="6"/>
      <c r="H927" s="6"/>
    </row>
    <row r="928" spans="3:8" x14ac:dyDescent="0.2">
      <c r="C928" s="6"/>
      <c r="H928" s="6"/>
    </row>
    <row r="929" spans="3:8" x14ac:dyDescent="0.2">
      <c r="C929" s="6"/>
      <c r="H929" s="6"/>
    </row>
    <row r="930" spans="3:8" x14ac:dyDescent="0.2">
      <c r="C930" s="6"/>
      <c r="H930" s="6"/>
    </row>
    <row r="931" spans="3:8" x14ac:dyDescent="0.2">
      <c r="C931" s="6"/>
      <c r="H931" s="6"/>
    </row>
    <row r="932" spans="3:8" x14ac:dyDescent="0.2">
      <c r="C932" s="6"/>
      <c r="H932" s="6"/>
    </row>
    <row r="933" spans="3:8" x14ac:dyDescent="0.2">
      <c r="C933" s="6"/>
      <c r="H933" s="6"/>
    </row>
    <row r="934" spans="3:8" x14ac:dyDescent="0.2">
      <c r="C934" s="6"/>
      <c r="H934" s="6"/>
    </row>
    <row r="935" spans="3:8" x14ac:dyDescent="0.2">
      <c r="C935" s="6"/>
      <c r="H935" s="6"/>
    </row>
    <row r="936" spans="3:8" x14ac:dyDescent="0.2">
      <c r="C936" s="6"/>
      <c r="H936" s="6"/>
    </row>
    <row r="937" spans="3:8" x14ac:dyDescent="0.2">
      <c r="C937" s="6"/>
      <c r="H937" s="6"/>
    </row>
    <row r="938" spans="3:8" x14ac:dyDescent="0.2">
      <c r="C938" s="6"/>
      <c r="H938" s="6"/>
    </row>
    <row r="939" spans="3:8" x14ac:dyDescent="0.2">
      <c r="C939" s="6"/>
      <c r="H939" s="6"/>
    </row>
    <row r="940" spans="3:8" x14ac:dyDescent="0.2">
      <c r="C940" s="6"/>
      <c r="H940" s="6"/>
    </row>
    <row r="941" spans="3:8" x14ac:dyDescent="0.2">
      <c r="C941" s="6"/>
      <c r="H941" s="6"/>
    </row>
    <row r="942" spans="3:8" x14ac:dyDescent="0.2">
      <c r="C942" s="6"/>
      <c r="H942" s="6"/>
    </row>
    <row r="943" spans="3:8" x14ac:dyDescent="0.2">
      <c r="C943" s="6"/>
      <c r="H943" s="6"/>
    </row>
    <row r="944" spans="3:8" x14ac:dyDescent="0.2">
      <c r="C944" s="6"/>
      <c r="H944" s="6"/>
    </row>
    <row r="945" spans="3:8" x14ac:dyDescent="0.2">
      <c r="C945" s="6"/>
      <c r="H945" s="6"/>
    </row>
    <row r="946" spans="3:8" x14ac:dyDescent="0.2">
      <c r="C946" s="6"/>
      <c r="H946" s="6"/>
    </row>
    <row r="947" spans="3:8" x14ac:dyDescent="0.2">
      <c r="C947" s="6"/>
      <c r="H947" s="6"/>
    </row>
    <row r="948" spans="3:8" x14ac:dyDescent="0.2">
      <c r="C948" s="6"/>
      <c r="H948" s="6"/>
    </row>
    <row r="949" spans="3:8" x14ac:dyDescent="0.2">
      <c r="C949" s="6"/>
      <c r="H949" s="6"/>
    </row>
    <row r="950" spans="3:8" x14ac:dyDescent="0.2">
      <c r="C950" s="6"/>
      <c r="H950" s="6"/>
    </row>
    <row r="951" spans="3:8" x14ac:dyDescent="0.2">
      <c r="C951" s="6"/>
      <c r="H951" s="6"/>
    </row>
    <row r="952" spans="3:8" x14ac:dyDescent="0.2">
      <c r="C952" s="6"/>
      <c r="H952" s="6"/>
    </row>
    <row r="953" spans="3:8" x14ac:dyDescent="0.2">
      <c r="C953" s="6"/>
      <c r="H953" s="6"/>
    </row>
    <row r="954" spans="3:8" x14ac:dyDescent="0.2">
      <c r="C954" s="6"/>
      <c r="H954" s="6"/>
    </row>
    <row r="955" spans="3:8" x14ac:dyDescent="0.2">
      <c r="C955" s="6"/>
      <c r="H955" s="6"/>
    </row>
    <row r="956" spans="3:8" x14ac:dyDescent="0.2">
      <c r="C956" s="6"/>
      <c r="H956" s="6"/>
    </row>
    <row r="957" spans="3:8" x14ac:dyDescent="0.2">
      <c r="C957" s="6"/>
      <c r="H957" s="6"/>
    </row>
    <row r="958" spans="3:8" x14ac:dyDescent="0.2">
      <c r="C958" s="6"/>
      <c r="H958" s="6"/>
    </row>
    <row r="959" spans="3:8" x14ac:dyDescent="0.2">
      <c r="C959" s="6"/>
      <c r="H959" s="6"/>
    </row>
    <row r="960" spans="3:8" x14ac:dyDescent="0.2">
      <c r="C960" s="6"/>
      <c r="H960" s="6"/>
    </row>
    <row r="961" spans="3:8" x14ac:dyDescent="0.2">
      <c r="C961" s="6"/>
      <c r="H961" s="6"/>
    </row>
    <row r="962" spans="3:8" x14ac:dyDescent="0.2">
      <c r="C962" s="6"/>
      <c r="H962" s="6"/>
    </row>
    <row r="963" spans="3:8" x14ac:dyDescent="0.2">
      <c r="C963" s="6"/>
      <c r="H963" s="6"/>
    </row>
    <row r="964" spans="3:8" x14ac:dyDescent="0.2">
      <c r="C964" s="6"/>
      <c r="H964" s="6"/>
    </row>
    <row r="965" spans="3:8" x14ac:dyDescent="0.2">
      <c r="C965" s="6"/>
      <c r="H965" s="6"/>
    </row>
    <row r="966" spans="3:8" x14ac:dyDescent="0.2">
      <c r="C966" s="6"/>
      <c r="H966" s="6"/>
    </row>
    <row r="967" spans="3:8" x14ac:dyDescent="0.2">
      <c r="C967" s="6"/>
      <c r="H967" s="6"/>
    </row>
    <row r="968" spans="3:8" x14ac:dyDescent="0.2">
      <c r="C968" s="6"/>
      <c r="H968" s="6"/>
    </row>
    <row r="969" spans="3:8" x14ac:dyDescent="0.2">
      <c r="C969" s="6"/>
      <c r="H969" s="6"/>
    </row>
    <row r="970" spans="3:8" x14ac:dyDescent="0.2">
      <c r="C970" s="6"/>
      <c r="H970" s="6"/>
    </row>
    <row r="971" spans="3:8" x14ac:dyDescent="0.2">
      <c r="C971" s="6"/>
      <c r="H971" s="6"/>
    </row>
    <row r="972" spans="3:8" x14ac:dyDescent="0.2">
      <c r="C972" s="6"/>
      <c r="H972" s="6"/>
    </row>
    <row r="973" spans="3:8" x14ac:dyDescent="0.2">
      <c r="C973" s="6"/>
      <c r="H973" s="6"/>
    </row>
    <row r="974" spans="3:8" x14ac:dyDescent="0.2">
      <c r="C974" s="6"/>
      <c r="H974" s="6"/>
    </row>
    <row r="975" spans="3:8" x14ac:dyDescent="0.2">
      <c r="C975" s="6"/>
      <c r="H975" s="6"/>
    </row>
    <row r="976" spans="3:8" x14ac:dyDescent="0.2">
      <c r="C976" s="6"/>
      <c r="H976" s="6"/>
    </row>
    <row r="977" spans="3:8" x14ac:dyDescent="0.2">
      <c r="C977" s="6"/>
      <c r="H977" s="6"/>
    </row>
    <row r="978" spans="3:8" x14ac:dyDescent="0.2">
      <c r="C978" s="6"/>
      <c r="H978" s="6"/>
    </row>
    <row r="979" spans="3:8" x14ac:dyDescent="0.2">
      <c r="C979" s="6"/>
      <c r="H979" s="6"/>
    </row>
    <row r="980" spans="3:8" x14ac:dyDescent="0.2">
      <c r="C980" s="6"/>
      <c r="H980" s="6"/>
    </row>
    <row r="981" spans="3:8" x14ac:dyDescent="0.2">
      <c r="C981" s="6"/>
      <c r="H981" s="6"/>
    </row>
    <row r="982" spans="3:8" x14ac:dyDescent="0.2">
      <c r="C982" s="6"/>
      <c r="H982" s="6"/>
    </row>
    <row r="983" spans="3:8" x14ac:dyDescent="0.2">
      <c r="C983" s="6"/>
      <c r="H983" s="6"/>
    </row>
    <row r="984" spans="3:8" x14ac:dyDescent="0.2">
      <c r="C984" s="6"/>
      <c r="H984" s="6"/>
    </row>
    <row r="985" spans="3:8" x14ac:dyDescent="0.2">
      <c r="C985" s="6"/>
      <c r="H985" s="6"/>
    </row>
    <row r="986" spans="3:8" x14ac:dyDescent="0.2">
      <c r="C986" s="6"/>
      <c r="H986" s="6"/>
    </row>
    <row r="987" spans="3:8" x14ac:dyDescent="0.2">
      <c r="C987" s="6"/>
      <c r="H987" s="6"/>
    </row>
    <row r="988" spans="3:8" x14ac:dyDescent="0.2">
      <c r="C988" s="6"/>
      <c r="H988" s="6"/>
    </row>
    <row r="989" spans="3:8" x14ac:dyDescent="0.2">
      <c r="C989" s="6"/>
      <c r="H989" s="6"/>
    </row>
    <row r="990" spans="3:8" x14ac:dyDescent="0.2">
      <c r="C990" s="6"/>
      <c r="H990" s="6"/>
    </row>
    <row r="991" spans="3:8" x14ac:dyDescent="0.2">
      <c r="C991" s="6"/>
      <c r="H991" s="6"/>
    </row>
    <row r="992" spans="3:8" x14ac:dyDescent="0.2">
      <c r="C992" s="6"/>
      <c r="H992" s="6"/>
    </row>
    <row r="993" spans="3:8" x14ac:dyDescent="0.2">
      <c r="C993" s="6"/>
      <c r="H993" s="6"/>
    </row>
    <row r="994" spans="3:8" x14ac:dyDescent="0.2">
      <c r="C994" s="6"/>
      <c r="H994" s="6"/>
    </row>
    <row r="995" spans="3:8" x14ac:dyDescent="0.2">
      <c r="C995" s="6"/>
      <c r="H995" s="6"/>
    </row>
    <row r="996" spans="3:8" x14ac:dyDescent="0.2">
      <c r="C996" s="6"/>
      <c r="H996" s="6"/>
    </row>
    <row r="997" spans="3:8" x14ac:dyDescent="0.2">
      <c r="C997" s="6"/>
      <c r="H997" s="6"/>
    </row>
    <row r="998" spans="3:8" x14ac:dyDescent="0.2">
      <c r="C998" s="6"/>
      <c r="H998" s="6"/>
    </row>
    <row r="999" spans="3:8" x14ac:dyDescent="0.2">
      <c r="C999" s="6"/>
      <c r="H999" s="6"/>
    </row>
    <row r="1000" spans="3:8" x14ac:dyDescent="0.2">
      <c r="C1000" s="6"/>
      <c r="H1000" s="6"/>
    </row>
  </sheetData>
  <dataValidations count="2">
    <dataValidation type="list" allowBlank="1" showErrorMessage="1" sqref="C2:C1000">
      <formula1>"Adicionar na tabela,Melhoria,Ajuste de preço"</formula1>
    </dataValidation>
    <dataValidation type="list" allowBlank="1" showErrorMessage="1" sqref="H2:H1000">
      <formula1>"Incluido/Alterado,Rejeitado"</formula1>
    </dataValidation>
  </dataValidation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457"/>
  <sheetViews>
    <sheetView tabSelected="1" workbookViewId="0">
      <pane xSplit="3" topLeftCell="D1" activePane="topRight" state="frozen"/>
      <selection pane="topRight" activeCell="I13" sqref="I13"/>
    </sheetView>
  </sheetViews>
  <sheetFormatPr defaultColWidth="12.5703125" defaultRowHeight="15.75" customHeight="1" x14ac:dyDescent="0.2"/>
  <cols>
    <col min="1" max="1" width="18.7109375" customWidth="1"/>
    <col min="2" max="2" width="25.7109375" customWidth="1"/>
    <col min="3" max="3" width="38.5703125" customWidth="1"/>
    <col min="11" max="11" width="32.28515625" customWidth="1"/>
    <col min="12" max="13" width="34.140625" customWidth="1"/>
    <col min="14" max="14" width="39.42578125" customWidth="1"/>
    <col min="15" max="15" width="57.28515625" customWidth="1"/>
  </cols>
  <sheetData>
    <row r="1" spans="1:15" ht="25.5" x14ac:dyDescent="0.2">
      <c r="A1" s="7" t="s">
        <v>12</v>
      </c>
      <c r="B1" s="8" t="s">
        <v>13</v>
      </c>
      <c r="C1" s="8" t="s">
        <v>6552</v>
      </c>
      <c r="D1" s="9" t="s">
        <v>6543</v>
      </c>
      <c r="E1" s="9" t="s">
        <v>6544</v>
      </c>
      <c r="F1" s="9" t="s">
        <v>6545</v>
      </c>
      <c r="G1" s="9" t="s">
        <v>6546</v>
      </c>
      <c r="H1" s="9" t="s">
        <v>6547</v>
      </c>
      <c r="I1" s="9" t="s">
        <v>6548</v>
      </c>
      <c r="J1" s="9" t="s">
        <v>21</v>
      </c>
      <c r="K1" s="10" t="s">
        <v>6549</v>
      </c>
      <c r="L1" s="10" t="s">
        <v>6550</v>
      </c>
      <c r="M1" s="10" t="s">
        <v>6551</v>
      </c>
      <c r="N1" s="9" t="s">
        <v>25</v>
      </c>
      <c r="O1" s="9" t="s">
        <v>26</v>
      </c>
    </row>
    <row r="2" spans="1:15" ht="12.75" x14ac:dyDescent="0.2">
      <c r="A2" s="23" t="s">
        <v>67</v>
      </c>
      <c r="B2" s="24"/>
      <c r="C2" s="24" t="s">
        <v>68</v>
      </c>
      <c r="D2" s="24" t="s">
        <v>68</v>
      </c>
      <c r="E2" s="24" t="s">
        <v>68</v>
      </c>
      <c r="F2" s="24" t="s">
        <v>68</v>
      </c>
      <c r="G2" s="24" t="s">
        <v>68</v>
      </c>
      <c r="H2" s="24" t="s">
        <v>68</v>
      </c>
      <c r="I2" s="24" t="s">
        <v>68</v>
      </c>
      <c r="J2" s="24" t="s">
        <v>68</v>
      </c>
      <c r="K2" s="25" t="s">
        <v>68</v>
      </c>
      <c r="L2" s="25" t="s">
        <v>68</v>
      </c>
      <c r="M2" s="25"/>
      <c r="N2" s="24"/>
      <c r="O2" s="24" t="s">
        <v>68</v>
      </c>
    </row>
    <row r="3" spans="1:15" ht="12.75" x14ac:dyDescent="0.2">
      <c r="A3" s="34" t="s">
        <v>69</v>
      </c>
      <c r="B3" s="35"/>
      <c r="C3" s="35" t="s">
        <v>6591</v>
      </c>
      <c r="D3" s="35" t="s">
        <v>6588</v>
      </c>
      <c r="E3" s="35" t="s">
        <v>6589</v>
      </c>
      <c r="F3" s="35" t="s">
        <v>6590</v>
      </c>
      <c r="G3" s="35" t="s">
        <v>68</v>
      </c>
      <c r="H3" s="35" t="s">
        <v>68</v>
      </c>
      <c r="I3" s="35" t="s">
        <v>68</v>
      </c>
      <c r="J3" s="35" t="s">
        <v>68</v>
      </c>
      <c r="K3" s="36" t="s">
        <v>68</v>
      </c>
      <c r="L3" s="36" t="s">
        <v>68</v>
      </c>
      <c r="M3" s="36"/>
      <c r="N3" s="35"/>
      <c r="O3" s="35" t="s">
        <v>68</v>
      </c>
    </row>
    <row r="4" spans="1:15" ht="38.25" x14ac:dyDescent="0.2">
      <c r="A4" s="45" t="s">
        <v>70</v>
      </c>
      <c r="B4" s="105" t="s">
        <v>6595</v>
      </c>
      <c r="C4" s="105" t="s">
        <v>6587</v>
      </c>
      <c r="D4" s="105" t="s">
        <v>6563</v>
      </c>
      <c r="E4" s="105" t="s">
        <v>6568</v>
      </c>
      <c r="F4" s="46" t="s">
        <v>6554</v>
      </c>
      <c r="G4" s="46" t="s">
        <v>68</v>
      </c>
      <c r="H4" s="46" t="s">
        <v>68</v>
      </c>
      <c r="I4" s="46" t="s">
        <v>68</v>
      </c>
      <c r="J4" s="46" t="s">
        <v>71</v>
      </c>
      <c r="K4" s="47">
        <v>130</v>
      </c>
      <c r="L4" s="47">
        <v>10</v>
      </c>
      <c r="M4" s="47">
        <f>SUM(K4:L4)</f>
        <v>140</v>
      </c>
      <c r="N4" s="106" t="s">
        <v>6567</v>
      </c>
      <c r="O4" s="106" t="s">
        <v>6584</v>
      </c>
    </row>
    <row r="5" spans="1:15" ht="38.25" x14ac:dyDescent="0.2">
      <c r="A5" s="45" t="s">
        <v>70</v>
      </c>
      <c r="B5" s="105" t="s">
        <v>6595</v>
      </c>
      <c r="C5" s="105" t="s">
        <v>6587</v>
      </c>
      <c r="D5" s="105" t="s">
        <v>6563</v>
      </c>
      <c r="E5" s="105" t="s">
        <v>6568</v>
      </c>
      <c r="F5" s="46" t="s">
        <v>6582</v>
      </c>
      <c r="G5" s="46" t="s">
        <v>68</v>
      </c>
      <c r="H5" s="46" t="s">
        <v>68</v>
      </c>
      <c r="I5" s="46" t="s">
        <v>68</v>
      </c>
      <c r="J5" s="46" t="s">
        <v>71</v>
      </c>
      <c r="K5" s="47">
        <v>130</v>
      </c>
      <c r="L5" s="47">
        <v>10</v>
      </c>
      <c r="M5" s="47">
        <f>SUM(K5:L5)</f>
        <v>140</v>
      </c>
      <c r="N5" s="106" t="s">
        <v>6567</v>
      </c>
      <c r="O5" s="106" t="s">
        <v>6585</v>
      </c>
    </row>
    <row r="6" spans="1:15" ht="38.25" x14ac:dyDescent="0.2">
      <c r="A6" s="45" t="s">
        <v>70</v>
      </c>
      <c r="B6" s="105" t="s">
        <v>6595</v>
      </c>
      <c r="C6" s="105" t="s">
        <v>6587</v>
      </c>
      <c r="D6" s="105" t="s">
        <v>6563</v>
      </c>
      <c r="E6" s="105" t="s">
        <v>6568</v>
      </c>
      <c r="F6" s="46" t="s">
        <v>6583</v>
      </c>
      <c r="G6" s="46" t="s">
        <v>68</v>
      </c>
      <c r="H6" s="46" t="s">
        <v>68</v>
      </c>
      <c r="I6" s="46" t="s">
        <v>68</v>
      </c>
      <c r="J6" s="46" t="s">
        <v>71</v>
      </c>
      <c r="K6" s="47">
        <v>130</v>
      </c>
      <c r="L6" s="47">
        <v>10</v>
      </c>
      <c r="M6" s="47">
        <f>SUM(K6:L6)</f>
        <v>140</v>
      </c>
      <c r="N6" s="106" t="s">
        <v>6567</v>
      </c>
      <c r="O6" s="106" t="s">
        <v>6586</v>
      </c>
    </row>
    <row r="7" spans="1:15" ht="38.25" x14ac:dyDescent="0.2">
      <c r="A7" s="45" t="s">
        <v>70</v>
      </c>
      <c r="B7" s="105" t="s">
        <v>6595</v>
      </c>
      <c r="C7" s="105" t="s">
        <v>6587</v>
      </c>
      <c r="D7" s="105" t="s">
        <v>6563</v>
      </c>
      <c r="E7" s="105" t="s">
        <v>6568</v>
      </c>
      <c r="F7" s="46" t="s">
        <v>6594</v>
      </c>
      <c r="G7" s="46" t="s">
        <v>68</v>
      </c>
      <c r="H7" s="46" t="s">
        <v>68</v>
      </c>
      <c r="I7" s="46" t="s">
        <v>68</v>
      </c>
      <c r="J7" s="46" t="s">
        <v>71</v>
      </c>
      <c r="K7" s="47">
        <v>130</v>
      </c>
      <c r="L7" s="47">
        <v>10</v>
      </c>
      <c r="M7" s="47">
        <f>SUM(K7:L7)</f>
        <v>140</v>
      </c>
      <c r="N7" s="106" t="s">
        <v>6567</v>
      </c>
      <c r="O7" s="106" t="s">
        <v>6586</v>
      </c>
    </row>
    <row r="8" spans="1:15" ht="38.25" x14ac:dyDescent="0.2">
      <c r="A8" s="45" t="s">
        <v>76</v>
      </c>
      <c r="B8" s="105" t="s">
        <v>6595</v>
      </c>
      <c r="C8" s="105" t="s">
        <v>6587</v>
      </c>
      <c r="D8" s="105" t="s">
        <v>6559</v>
      </c>
      <c r="E8" s="105" t="s">
        <v>6568</v>
      </c>
      <c r="F8" s="46" t="s">
        <v>6554</v>
      </c>
      <c r="G8" s="46" t="s">
        <v>68</v>
      </c>
      <c r="H8" s="46" t="s">
        <v>68</v>
      </c>
      <c r="I8" s="46" t="s">
        <v>68</v>
      </c>
      <c r="J8" s="46" t="s">
        <v>71</v>
      </c>
      <c r="K8" s="47">
        <v>130</v>
      </c>
      <c r="L8" s="47">
        <v>20</v>
      </c>
      <c r="M8" s="47">
        <f t="shared" ref="M8:M12" si="0">SUM(K8:L8)</f>
        <v>150</v>
      </c>
      <c r="N8" s="106" t="s">
        <v>6567</v>
      </c>
      <c r="O8" s="106" t="s">
        <v>6569</v>
      </c>
    </row>
    <row r="9" spans="1:15" ht="38.25" x14ac:dyDescent="0.2">
      <c r="A9" s="45" t="s">
        <v>76</v>
      </c>
      <c r="B9" s="105" t="s">
        <v>6595</v>
      </c>
      <c r="C9" s="105" t="s">
        <v>6587</v>
      </c>
      <c r="D9" s="105" t="s">
        <v>6559</v>
      </c>
      <c r="E9" s="105" t="s">
        <v>6568</v>
      </c>
      <c r="F9" s="46" t="s">
        <v>6582</v>
      </c>
      <c r="G9" s="46" t="s">
        <v>68</v>
      </c>
      <c r="H9" s="46" t="s">
        <v>68</v>
      </c>
      <c r="I9" s="46" t="s">
        <v>68</v>
      </c>
      <c r="J9" s="46" t="s">
        <v>71</v>
      </c>
      <c r="K9" s="47">
        <v>130</v>
      </c>
      <c r="L9" s="47">
        <v>20</v>
      </c>
      <c r="M9" s="47">
        <f t="shared" si="0"/>
        <v>150</v>
      </c>
      <c r="N9" s="106" t="s">
        <v>6567</v>
      </c>
      <c r="O9" s="106" t="s">
        <v>6569</v>
      </c>
    </row>
    <row r="10" spans="1:15" ht="38.25" x14ac:dyDescent="0.2">
      <c r="A10" s="45" t="s">
        <v>76</v>
      </c>
      <c r="B10" s="105" t="s">
        <v>6595</v>
      </c>
      <c r="C10" s="105" t="s">
        <v>6587</v>
      </c>
      <c r="D10" s="105" t="s">
        <v>6559</v>
      </c>
      <c r="E10" s="105" t="s">
        <v>6568</v>
      </c>
      <c r="F10" s="46" t="s">
        <v>6583</v>
      </c>
      <c r="G10" s="46" t="s">
        <v>68</v>
      </c>
      <c r="H10" s="46" t="s">
        <v>68</v>
      </c>
      <c r="I10" s="46" t="s">
        <v>68</v>
      </c>
      <c r="J10" s="46" t="s">
        <v>71</v>
      </c>
      <c r="K10" s="47">
        <v>130</v>
      </c>
      <c r="L10" s="47">
        <v>20</v>
      </c>
      <c r="M10" s="47">
        <f t="shared" si="0"/>
        <v>150</v>
      </c>
      <c r="N10" s="106" t="s">
        <v>6567</v>
      </c>
      <c r="O10" s="106" t="s">
        <v>6569</v>
      </c>
    </row>
    <row r="11" spans="1:15" ht="38.25" x14ac:dyDescent="0.2">
      <c r="A11" s="45" t="s">
        <v>76</v>
      </c>
      <c r="B11" s="105" t="s">
        <v>6595</v>
      </c>
      <c r="C11" s="105" t="s">
        <v>6587</v>
      </c>
      <c r="D11" s="105" t="s">
        <v>6559</v>
      </c>
      <c r="E11" s="105" t="s">
        <v>6568</v>
      </c>
      <c r="F11" s="46" t="s">
        <v>6583</v>
      </c>
      <c r="G11" s="46" t="s">
        <v>68</v>
      </c>
      <c r="H11" s="46" t="s">
        <v>68</v>
      </c>
      <c r="I11" s="46" t="s">
        <v>68</v>
      </c>
      <c r="J11" s="46" t="s">
        <v>71</v>
      </c>
      <c r="K11" s="47">
        <v>130</v>
      </c>
      <c r="L11" s="47">
        <v>20</v>
      </c>
      <c r="M11" s="47">
        <f t="shared" ref="M11" si="1">SUM(K11:L11)</f>
        <v>150</v>
      </c>
      <c r="N11" s="106" t="s">
        <v>6567</v>
      </c>
      <c r="O11" s="106" t="s">
        <v>6569</v>
      </c>
    </row>
    <row r="12" spans="1:15" ht="25.5" x14ac:dyDescent="0.2">
      <c r="A12" s="45" t="s">
        <v>80</v>
      </c>
      <c r="B12" s="105" t="s">
        <v>6595</v>
      </c>
      <c r="C12" s="105" t="s">
        <v>6592</v>
      </c>
      <c r="D12" s="105" t="s">
        <v>6564</v>
      </c>
      <c r="E12" s="46" t="s">
        <v>68</v>
      </c>
      <c r="F12" s="46" t="s">
        <v>6554</v>
      </c>
      <c r="G12" s="46" t="s">
        <v>68</v>
      </c>
      <c r="H12" s="46" t="s">
        <v>68</v>
      </c>
      <c r="I12" s="46" t="s">
        <v>68</v>
      </c>
      <c r="J12" s="46" t="s">
        <v>71</v>
      </c>
      <c r="K12" s="47">
        <v>130</v>
      </c>
      <c r="L12" s="47">
        <v>55</v>
      </c>
      <c r="M12" s="47">
        <f t="shared" si="0"/>
        <v>185</v>
      </c>
      <c r="N12" s="106" t="s">
        <v>6567</v>
      </c>
      <c r="O12" s="106" t="s">
        <v>6570</v>
      </c>
    </row>
    <row r="13" spans="1:15" ht="25.5" x14ac:dyDescent="0.2">
      <c r="A13" s="45" t="s">
        <v>70</v>
      </c>
      <c r="B13" s="105" t="s">
        <v>6595</v>
      </c>
      <c r="C13" s="105" t="s">
        <v>6592</v>
      </c>
      <c r="D13" s="105" t="s">
        <v>6564</v>
      </c>
      <c r="E13" s="105"/>
      <c r="F13" s="46" t="s">
        <v>6582</v>
      </c>
      <c r="G13" s="46" t="s">
        <v>68</v>
      </c>
      <c r="H13" s="46" t="s">
        <v>68</v>
      </c>
      <c r="I13" s="46" t="s">
        <v>68</v>
      </c>
      <c r="J13" s="46" t="s">
        <v>71</v>
      </c>
      <c r="K13" s="47">
        <v>130</v>
      </c>
      <c r="L13" s="47">
        <v>10</v>
      </c>
      <c r="M13" s="47">
        <f>SUM(K13:L13)</f>
        <v>140</v>
      </c>
      <c r="N13" s="106" t="s">
        <v>6567</v>
      </c>
      <c r="O13" s="106" t="s">
        <v>6584</v>
      </c>
    </row>
    <row r="14" spans="1:15" ht="25.5" x14ac:dyDescent="0.2">
      <c r="A14" s="45" t="s">
        <v>70</v>
      </c>
      <c r="B14" s="105" t="s">
        <v>6595</v>
      </c>
      <c r="C14" s="105" t="s">
        <v>6592</v>
      </c>
      <c r="D14" s="105" t="s">
        <v>6564</v>
      </c>
      <c r="E14" s="105"/>
      <c r="F14" s="46" t="s">
        <v>6583</v>
      </c>
      <c r="G14" s="46" t="s">
        <v>68</v>
      </c>
      <c r="H14" s="46" t="s">
        <v>68</v>
      </c>
      <c r="I14" s="46" t="s">
        <v>68</v>
      </c>
      <c r="J14" s="46" t="s">
        <v>71</v>
      </c>
      <c r="K14" s="47">
        <v>130</v>
      </c>
      <c r="L14" s="47">
        <v>10</v>
      </c>
      <c r="M14" s="47">
        <f>SUM(K14:L14)</f>
        <v>140</v>
      </c>
      <c r="N14" s="106" t="s">
        <v>6567</v>
      </c>
      <c r="O14" s="106" t="s">
        <v>6585</v>
      </c>
    </row>
    <row r="15" spans="1:15" ht="25.5" x14ac:dyDescent="0.2">
      <c r="A15" s="45" t="s">
        <v>70</v>
      </c>
      <c r="B15" s="105" t="s">
        <v>6595</v>
      </c>
      <c r="C15" s="105" t="s">
        <v>6592</v>
      </c>
      <c r="D15" s="105" t="s">
        <v>6564</v>
      </c>
      <c r="E15" s="105"/>
      <c r="F15" s="46" t="s">
        <v>6593</v>
      </c>
      <c r="G15" s="46" t="s">
        <v>68</v>
      </c>
      <c r="H15" s="46" t="s">
        <v>68</v>
      </c>
      <c r="I15" s="46" t="s">
        <v>68</v>
      </c>
      <c r="J15" s="46" t="s">
        <v>71</v>
      </c>
      <c r="K15" s="47">
        <v>130</v>
      </c>
      <c r="L15" s="47">
        <v>10</v>
      </c>
      <c r="M15" s="47">
        <f>SUM(K15:L15)</f>
        <v>140</v>
      </c>
      <c r="N15" s="106" t="s">
        <v>6567</v>
      </c>
      <c r="O15" s="106" t="s">
        <v>6586</v>
      </c>
    </row>
    <row r="16" spans="1:15" ht="38.25" x14ac:dyDescent="0.2">
      <c r="A16" s="45" t="s">
        <v>76</v>
      </c>
      <c r="B16" s="105" t="s">
        <v>6595</v>
      </c>
      <c r="C16" s="105" t="s">
        <v>6587</v>
      </c>
      <c r="D16" s="105" t="s">
        <v>6559</v>
      </c>
      <c r="E16" s="105" t="s">
        <v>6568</v>
      </c>
      <c r="F16" s="46" t="s">
        <v>6554</v>
      </c>
      <c r="G16" s="46" t="s">
        <v>68</v>
      </c>
      <c r="H16" s="46" t="s">
        <v>68</v>
      </c>
      <c r="I16" s="46" t="s">
        <v>68</v>
      </c>
      <c r="J16" s="46" t="s">
        <v>71</v>
      </c>
      <c r="K16" s="47">
        <v>130</v>
      </c>
      <c r="L16" s="47">
        <v>20</v>
      </c>
      <c r="M16" s="47">
        <f t="shared" ref="M16:M17" si="2">SUM(K16:L16)</f>
        <v>150</v>
      </c>
      <c r="N16" s="106" t="s">
        <v>6567</v>
      </c>
      <c r="O16" s="106" t="s">
        <v>6569</v>
      </c>
    </row>
    <row r="17" spans="1:15" ht="38.25" x14ac:dyDescent="0.2">
      <c r="A17" s="45" t="s">
        <v>76</v>
      </c>
      <c r="B17" s="105" t="s">
        <v>6595</v>
      </c>
      <c r="C17" s="105" t="s">
        <v>6587</v>
      </c>
      <c r="D17" s="105" t="s">
        <v>6559</v>
      </c>
      <c r="E17" s="105" t="s">
        <v>6568</v>
      </c>
      <c r="F17" s="46" t="s">
        <v>6582</v>
      </c>
      <c r="G17" s="46" t="s">
        <v>68</v>
      </c>
      <c r="H17" s="46" t="s">
        <v>68</v>
      </c>
      <c r="I17" s="46" t="s">
        <v>68</v>
      </c>
      <c r="J17" s="46" t="s">
        <v>71</v>
      </c>
      <c r="K17" s="47">
        <v>130</v>
      </c>
      <c r="L17" s="47">
        <v>20</v>
      </c>
      <c r="M17" s="47">
        <f t="shared" si="2"/>
        <v>150</v>
      </c>
      <c r="N17" s="106" t="s">
        <v>6567</v>
      </c>
      <c r="O17" s="106" t="s">
        <v>6569</v>
      </c>
    </row>
    <row r="18" spans="1:15" ht="38.25" x14ac:dyDescent="0.2">
      <c r="A18" s="45" t="s">
        <v>76</v>
      </c>
      <c r="B18" s="105" t="s">
        <v>6595</v>
      </c>
      <c r="C18" s="105" t="s">
        <v>6587</v>
      </c>
      <c r="D18" s="105" t="s">
        <v>6559</v>
      </c>
      <c r="E18" s="105" t="s">
        <v>6568</v>
      </c>
      <c r="F18" s="46" t="s">
        <v>6583</v>
      </c>
      <c r="G18" s="46" t="s">
        <v>68</v>
      </c>
      <c r="H18" s="46" t="s">
        <v>68</v>
      </c>
      <c r="I18" s="46" t="s">
        <v>68</v>
      </c>
      <c r="J18" s="46" t="s">
        <v>71</v>
      </c>
      <c r="K18" s="47">
        <v>130</v>
      </c>
      <c r="L18" s="47">
        <v>20</v>
      </c>
      <c r="M18" s="47">
        <f t="shared" ref="M18:M81" si="3">SUM(K18:L18)</f>
        <v>150</v>
      </c>
      <c r="N18" s="106" t="s">
        <v>6567</v>
      </c>
      <c r="O18" s="106" t="s">
        <v>6569</v>
      </c>
    </row>
    <row r="19" spans="1:15" ht="38.25" x14ac:dyDescent="0.2">
      <c r="A19" s="45" t="s">
        <v>80</v>
      </c>
      <c r="B19" s="105" t="s">
        <v>6595</v>
      </c>
      <c r="C19" s="105" t="s">
        <v>6587</v>
      </c>
      <c r="D19" s="105" t="s">
        <v>6564</v>
      </c>
      <c r="E19" s="46" t="s">
        <v>68</v>
      </c>
      <c r="F19" s="46" t="s">
        <v>68</v>
      </c>
      <c r="G19" s="46" t="s">
        <v>68</v>
      </c>
      <c r="H19" s="46" t="s">
        <v>68</v>
      </c>
      <c r="I19" s="46" t="s">
        <v>68</v>
      </c>
      <c r="J19" s="46" t="s">
        <v>71</v>
      </c>
      <c r="K19" s="47">
        <v>130</v>
      </c>
      <c r="L19" s="47">
        <v>55</v>
      </c>
      <c r="M19" s="47">
        <f t="shared" si="3"/>
        <v>185</v>
      </c>
      <c r="N19" s="106" t="s">
        <v>6567</v>
      </c>
      <c r="O19" s="106" t="s">
        <v>6570</v>
      </c>
    </row>
    <row r="20" spans="1:15" ht="12.75" x14ac:dyDescent="0.2">
      <c r="A20" s="34" t="s">
        <v>81</v>
      </c>
      <c r="B20" s="35" t="s">
        <v>68</v>
      </c>
      <c r="C20" s="35" t="s">
        <v>68</v>
      </c>
      <c r="D20" s="35" t="s">
        <v>68</v>
      </c>
      <c r="E20" s="35" t="s">
        <v>68</v>
      </c>
      <c r="F20" s="35" t="s">
        <v>68</v>
      </c>
      <c r="G20" s="35" t="s">
        <v>68</v>
      </c>
      <c r="H20" s="35" t="s">
        <v>68</v>
      </c>
      <c r="I20" s="35" t="s">
        <v>68</v>
      </c>
      <c r="J20" s="35" t="s">
        <v>68</v>
      </c>
      <c r="K20" s="36" t="s">
        <v>68</v>
      </c>
      <c r="L20" s="36" t="s">
        <v>68</v>
      </c>
      <c r="M20" s="47">
        <f t="shared" si="3"/>
        <v>0</v>
      </c>
      <c r="N20" s="35"/>
      <c r="O20" s="35" t="s">
        <v>68</v>
      </c>
    </row>
    <row r="21" spans="1:15" ht="38.25" x14ac:dyDescent="0.2">
      <c r="A21" s="45" t="s">
        <v>82</v>
      </c>
      <c r="B21" s="105" t="s">
        <v>6581</v>
      </c>
      <c r="C21" s="105" t="s">
        <v>6587</v>
      </c>
      <c r="D21" s="105" t="s">
        <v>6565</v>
      </c>
      <c r="E21" s="105" t="s">
        <v>6566</v>
      </c>
      <c r="F21" s="46"/>
      <c r="G21" s="46"/>
      <c r="H21" s="46"/>
      <c r="I21" s="46" t="s">
        <v>68</v>
      </c>
      <c r="J21" s="46" t="s">
        <v>71</v>
      </c>
      <c r="K21" s="47">
        <v>130</v>
      </c>
      <c r="L21" s="47">
        <v>18</v>
      </c>
      <c r="M21" s="47">
        <f t="shared" si="3"/>
        <v>148</v>
      </c>
      <c r="N21" s="106" t="s">
        <v>6567</v>
      </c>
      <c r="O21" s="106" t="s">
        <v>6571</v>
      </c>
    </row>
    <row r="22" spans="1:15" ht="38.25" x14ac:dyDescent="0.2">
      <c r="A22" s="45" t="s">
        <v>89</v>
      </c>
      <c r="B22" s="105" t="s">
        <v>6581</v>
      </c>
      <c r="C22" s="105" t="s">
        <v>6587</v>
      </c>
      <c r="D22" s="105" t="s">
        <v>6565</v>
      </c>
      <c r="E22" s="105" t="s">
        <v>6559</v>
      </c>
      <c r="F22" s="46"/>
      <c r="G22" s="46"/>
      <c r="H22" s="46"/>
      <c r="I22" s="46"/>
      <c r="J22" s="46" t="s">
        <v>71</v>
      </c>
      <c r="K22" s="47">
        <v>130</v>
      </c>
      <c r="L22" s="47">
        <v>190</v>
      </c>
      <c r="M22" s="47">
        <f t="shared" si="3"/>
        <v>320</v>
      </c>
      <c r="N22" s="106" t="s">
        <v>6567</v>
      </c>
      <c r="O22" s="106" t="s">
        <v>6572</v>
      </c>
    </row>
    <row r="23" spans="1:15" ht="63.75" x14ac:dyDescent="0.2">
      <c r="A23" s="45" t="s">
        <v>92</v>
      </c>
      <c r="B23" s="46" t="s">
        <v>90</v>
      </c>
      <c r="C23" s="46" t="s">
        <v>90</v>
      </c>
      <c r="D23" s="46" t="s">
        <v>84</v>
      </c>
      <c r="E23" s="46" t="s">
        <v>85</v>
      </c>
      <c r="F23" s="46" t="s">
        <v>86</v>
      </c>
      <c r="G23" s="46" t="s">
        <v>93</v>
      </c>
      <c r="H23" s="46" t="s">
        <v>91</v>
      </c>
      <c r="I23" s="46"/>
      <c r="J23" s="46" t="s">
        <v>71</v>
      </c>
      <c r="K23" s="47">
        <f>K21*1.5</f>
        <v>195</v>
      </c>
      <c r="L23" s="47">
        <f>30+(L21*2)</f>
        <v>66</v>
      </c>
      <c r="M23" s="47">
        <f t="shared" si="3"/>
        <v>261</v>
      </c>
      <c r="N23" s="48" t="s">
        <v>88</v>
      </c>
      <c r="O23" s="71" t="s">
        <v>94</v>
      </c>
    </row>
    <row r="24" spans="1:15" ht="63.75" x14ac:dyDescent="0.2">
      <c r="A24" s="45" t="s">
        <v>96</v>
      </c>
      <c r="B24" s="46" t="s">
        <v>83</v>
      </c>
      <c r="C24" s="46" t="s">
        <v>83</v>
      </c>
      <c r="D24" s="46" t="s">
        <v>84</v>
      </c>
      <c r="E24" s="46" t="s">
        <v>85</v>
      </c>
      <c r="F24" s="46" t="s">
        <v>97</v>
      </c>
      <c r="G24" s="46" t="s">
        <v>87</v>
      </c>
      <c r="H24" s="46"/>
      <c r="I24" s="46"/>
      <c r="J24" s="46" t="s">
        <v>71</v>
      </c>
      <c r="K24" s="47">
        <v>150</v>
      </c>
      <c r="L24" s="47">
        <f>2*40</f>
        <v>80</v>
      </c>
      <c r="M24" s="47">
        <f t="shared" si="3"/>
        <v>230</v>
      </c>
      <c r="N24" s="48" t="s">
        <v>88</v>
      </c>
      <c r="O24" s="71" t="s">
        <v>98</v>
      </c>
    </row>
    <row r="25" spans="1:15" ht="63.75" x14ac:dyDescent="0.2">
      <c r="A25" s="45" t="s">
        <v>99</v>
      </c>
      <c r="B25" s="46" t="s">
        <v>90</v>
      </c>
      <c r="C25" s="46" t="s">
        <v>90</v>
      </c>
      <c r="D25" s="46" t="s">
        <v>84</v>
      </c>
      <c r="E25" s="46" t="s">
        <v>85</v>
      </c>
      <c r="F25" s="46" t="s">
        <v>97</v>
      </c>
      <c r="G25" s="46" t="s">
        <v>87</v>
      </c>
      <c r="H25" s="46" t="s">
        <v>91</v>
      </c>
      <c r="I25" s="46"/>
      <c r="J25" s="46" t="s">
        <v>71</v>
      </c>
      <c r="K25" s="47">
        <f>K24*1.25</f>
        <v>187.5</v>
      </c>
      <c r="L25" s="47">
        <f>110+L24</f>
        <v>190</v>
      </c>
      <c r="M25" s="47">
        <f t="shared" si="3"/>
        <v>377.5</v>
      </c>
      <c r="N25" s="48" t="s">
        <v>88</v>
      </c>
      <c r="O25" s="71" t="s">
        <v>100</v>
      </c>
    </row>
    <row r="26" spans="1:15" ht="63.75" x14ac:dyDescent="0.2">
      <c r="A26" s="45" t="s">
        <v>101</v>
      </c>
      <c r="B26" s="46" t="s">
        <v>90</v>
      </c>
      <c r="C26" s="46" t="s">
        <v>90</v>
      </c>
      <c r="D26" s="46" t="s">
        <v>84</v>
      </c>
      <c r="E26" s="46" t="s">
        <v>85</v>
      </c>
      <c r="F26" s="46" t="s">
        <v>97</v>
      </c>
      <c r="G26" s="46" t="s">
        <v>93</v>
      </c>
      <c r="H26" s="46" t="s">
        <v>91</v>
      </c>
      <c r="I26" s="46"/>
      <c r="J26" s="46" t="s">
        <v>71</v>
      </c>
      <c r="K26" s="47">
        <f>K24*1.5</f>
        <v>225</v>
      </c>
      <c r="L26" s="47">
        <f>110+(L24*2)</f>
        <v>270</v>
      </c>
      <c r="M26" s="47">
        <f t="shared" si="3"/>
        <v>495</v>
      </c>
      <c r="N26" s="48" t="s">
        <v>88</v>
      </c>
      <c r="O26" s="71" t="s">
        <v>102</v>
      </c>
    </row>
    <row r="27" spans="1:15" ht="63.75" x14ac:dyDescent="0.2">
      <c r="A27" s="45" t="s">
        <v>103</v>
      </c>
      <c r="B27" s="46" t="s">
        <v>83</v>
      </c>
      <c r="C27" s="46" t="s">
        <v>83</v>
      </c>
      <c r="D27" s="46" t="s">
        <v>84</v>
      </c>
      <c r="E27" s="46" t="s">
        <v>104</v>
      </c>
      <c r="F27" s="46" t="s">
        <v>105</v>
      </c>
      <c r="G27" s="46" t="s">
        <v>87</v>
      </c>
      <c r="H27" s="46"/>
      <c r="I27" s="46"/>
      <c r="J27" s="46" t="s">
        <v>71</v>
      </c>
      <c r="K27" s="47">
        <v>300</v>
      </c>
      <c r="L27" s="47">
        <f>50+(3*25)</f>
        <v>125</v>
      </c>
      <c r="M27" s="47">
        <f t="shared" si="3"/>
        <v>425</v>
      </c>
      <c r="N27" s="48" t="s">
        <v>88</v>
      </c>
      <c r="O27" s="71" t="s">
        <v>106</v>
      </c>
    </row>
    <row r="28" spans="1:15" ht="38.25" x14ac:dyDescent="0.2">
      <c r="A28" s="45" t="s">
        <v>108</v>
      </c>
      <c r="B28" s="46" t="s">
        <v>109</v>
      </c>
      <c r="C28" s="46" t="s">
        <v>109</v>
      </c>
      <c r="D28" s="46" t="s">
        <v>84</v>
      </c>
      <c r="E28" s="46" t="s">
        <v>104</v>
      </c>
      <c r="F28" s="46" t="s">
        <v>105</v>
      </c>
      <c r="G28" s="46" t="s">
        <v>87</v>
      </c>
      <c r="H28" s="46" t="s">
        <v>110</v>
      </c>
      <c r="I28" s="46"/>
      <c r="J28" s="46" t="s">
        <v>71</v>
      </c>
      <c r="K28" s="47">
        <v>350</v>
      </c>
      <c r="L28" s="47">
        <f>200+L27</f>
        <v>325</v>
      </c>
      <c r="M28" s="47">
        <f t="shared" si="3"/>
        <v>675</v>
      </c>
      <c r="N28" s="46"/>
      <c r="O28" s="71" t="s">
        <v>68</v>
      </c>
    </row>
    <row r="29" spans="1:15" ht="63.75" x14ac:dyDescent="0.2">
      <c r="A29" s="45" t="s">
        <v>111</v>
      </c>
      <c r="B29" s="46" t="s">
        <v>109</v>
      </c>
      <c r="C29" s="46" t="s">
        <v>109</v>
      </c>
      <c r="D29" s="46" t="s">
        <v>84</v>
      </c>
      <c r="E29" s="46" t="s">
        <v>104</v>
      </c>
      <c r="F29" s="46" t="s">
        <v>105</v>
      </c>
      <c r="G29" s="46" t="s">
        <v>93</v>
      </c>
      <c r="H29" s="46" t="s">
        <v>110</v>
      </c>
      <c r="I29" s="46"/>
      <c r="J29" s="46" t="s">
        <v>71</v>
      </c>
      <c r="K29" s="47">
        <v>450</v>
      </c>
      <c r="L29" s="47">
        <f>200+(L27*2)</f>
        <v>450</v>
      </c>
      <c r="M29" s="47">
        <f t="shared" si="3"/>
        <v>900</v>
      </c>
      <c r="N29" s="48" t="s">
        <v>88</v>
      </c>
      <c r="O29" s="71" t="s">
        <v>112</v>
      </c>
    </row>
    <row r="30" spans="1:15" ht="63.75" x14ac:dyDescent="0.2">
      <c r="A30" s="45" t="s">
        <v>113</v>
      </c>
      <c r="B30" s="46" t="s">
        <v>83</v>
      </c>
      <c r="C30" s="46" t="s">
        <v>83</v>
      </c>
      <c r="D30" s="46" t="s">
        <v>84</v>
      </c>
      <c r="E30" s="46" t="s">
        <v>104</v>
      </c>
      <c r="F30" s="46" t="s">
        <v>114</v>
      </c>
      <c r="G30" s="46" t="s">
        <v>87</v>
      </c>
      <c r="H30" s="46"/>
      <c r="I30" s="46"/>
      <c r="J30" s="46" t="s">
        <v>71</v>
      </c>
      <c r="K30" s="47">
        <v>300</v>
      </c>
      <c r="L30" s="47">
        <f>50+(3*50)</f>
        <v>200</v>
      </c>
      <c r="M30" s="47">
        <f t="shared" si="3"/>
        <v>500</v>
      </c>
      <c r="N30" s="48" t="s">
        <v>88</v>
      </c>
      <c r="O30" s="71" t="s">
        <v>115</v>
      </c>
    </row>
    <row r="31" spans="1:15" ht="63.75" x14ac:dyDescent="0.2">
      <c r="A31" s="45" t="s">
        <v>116</v>
      </c>
      <c r="B31" s="46" t="s">
        <v>109</v>
      </c>
      <c r="C31" s="46" t="s">
        <v>109</v>
      </c>
      <c r="D31" s="46" t="s">
        <v>84</v>
      </c>
      <c r="E31" s="46" t="s">
        <v>104</v>
      </c>
      <c r="F31" s="46" t="s">
        <v>114</v>
      </c>
      <c r="G31" s="46" t="s">
        <v>93</v>
      </c>
      <c r="H31" s="46" t="s">
        <v>110</v>
      </c>
      <c r="I31" s="46"/>
      <c r="J31" s="46" t="s">
        <v>71</v>
      </c>
      <c r="K31" s="47">
        <v>450</v>
      </c>
      <c r="L31" s="47">
        <f>300+50+(6*50)</f>
        <v>650</v>
      </c>
      <c r="M31" s="47">
        <f t="shared" si="3"/>
        <v>1100</v>
      </c>
      <c r="N31" s="48" t="s">
        <v>88</v>
      </c>
      <c r="O31" s="71" t="s">
        <v>117</v>
      </c>
    </row>
    <row r="32" spans="1:15" ht="51" x14ac:dyDescent="0.2">
      <c r="A32" s="45" t="s">
        <v>118</v>
      </c>
      <c r="B32" s="46" t="s">
        <v>119</v>
      </c>
      <c r="C32" s="46" t="s">
        <v>119</v>
      </c>
      <c r="D32" s="46" t="s">
        <v>120</v>
      </c>
      <c r="E32" s="46" t="s">
        <v>85</v>
      </c>
      <c r="F32" s="46" t="s">
        <v>84</v>
      </c>
      <c r="G32" s="46" t="s">
        <v>68</v>
      </c>
      <c r="H32" s="46" t="s">
        <v>68</v>
      </c>
      <c r="I32" s="46" t="s">
        <v>68</v>
      </c>
      <c r="J32" s="46" t="s">
        <v>71</v>
      </c>
      <c r="K32" s="47">
        <v>130</v>
      </c>
      <c r="L32" s="47">
        <v>60</v>
      </c>
      <c r="M32" s="47">
        <f t="shared" si="3"/>
        <v>190</v>
      </c>
      <c r="N32" s="48" t="s">
        <v>88</v>
      </c>
      <c r="O32" s="71" t="s">
        <v>121</v>
      </c>
    </row>
    <row r="33" spans="1:15" ht="76.5" x14ac:dyDescent="0.2">
      <c r="A33" s="45" t="s">
        <v>122</v>
      </c>
      <c r="B33" s="46" t="s">
        <v>119</v>
      </c>
      <c r="C33" s="46" t="s">
        <v>119</v>
      </c>
      <c r="D33" s="46" t="s">
        <v>120</v>
      </c>
      <c r="E33" s="46" t="s">
        <v>85</v>
      </c>
      <c r="F33" s="46" t="s">
        <v>123</v>
      </c>
      <c r="G33" s="46" t="s">
        <v>124</v>
      </c>
      <c r="H33" s="46" t="s">
        <v>68</v>
      </c>
      <c r="I33" s="46" t="s">
        <v>68</v>
      </c>
      <c r="J33" s="46" t="s">
        <v>71</v>
      </c>
      <c r="K33" s="47">
        <f>ROUND($K$32*2,0)</f>
        <v>260</v>
      </c>
      <c r="L33" s="47">
        <f>L32+60</f>
        <v>120</v>
      </c>
      <c r="M33" s="47">
        <f t="shared" si="3"/>
        <v>380</v>
      </c>
      <c r="N33" s="48" t="s">
        <v>125</v>
      </c>
      <c r="O33" s="71" t="s">
        <v>126</v>
      </c>
    </row>
    <row r="34" spans="1:15" ht="76.5" x14ac:dyDescent="0.2">
      <c r="A34" s="45" t="s">
        <v>127</v>
      </c>
      <c r="B34" s="46" t="s">
        <v>119</v>
      </c>
      <c r="C34" s="46" t="s">
        <v>119</v>
      </c>
      <c r="D34" s="46" t="s">
        <v>120</v>
      </c>
      <c r="E34" s="46" t="s">
        <v>85</v>
      </c>
      <c r="F34" s="46" t="s">
        <v>123</v>
      </c>
      <c r="G34" s="46" t="s">
        <v>128</v>
      </c>
      <c r="H34" s="46" t="s">
        <v>129</v>
      </c>
      <c r="I34" s="46" t="s">
        <v>68</v>
      </c>
      <c r="J34" s="46" t="s">
        <v>71</v>
      </c>
      <c r="K34" s="47">
        <f>ROUND($K$32*2.5,0)</f>
        <v>325</v>
      </c>
      <c r="L34" s="47">
        <f>L32+60+(5*2)</f>
        <v>130</v>
      </c>
      <c r="M34" s="47">
        <f t="shared" si="3"/>
        <v>455</v>
      </c>
      <c r="N34" s="48" t="s">
        <v>125</v>
      </c>
      <c r="O34" s="71" t="s">
        <v>130</v>
      </c>
    </row>
    <row r="35" spans="1:15" ht="76.5" x14ac:dyDescent="0.2">
      <c r="A35" s="45" t="s">
        <v>131</v>
      </c>
      <c r="B35" s="46" t="s">
        <v>119</v>
      </c>
      <c r="C35" s="46" t="s">
        <v>119</v>
      </c>
      <c r="D35" s="46" t="s">
        <v>120</v>
      </c>
      <c r="E35" s="46" t="s">
        <v>85</v>
      </c>
      <c r="F35" s="46" t="s">
        <v>123</v>
      </c>
      <c r="G35" s="46" t="s">
        <v>128</v>
      </c>
      <c r="H35" s="46" t="s">
        <v>132</v>
      </c>
      <c r="I35" s="46" t="s">
        <v>68</v>
      </c>
      <c r="J35" s="46" t="s">
        <v>71</v>
      </c>
      <c r="K35" s="47">
        <f>ROUND($K$32*3,0)</f>
        <v>390</v>
      </c>
      <c r="L35" s="47">
        <f>L32+60+(5*4)</f>
        <v>140</v>
      </c>
      <c r="M35" s="47">
        <f t="shared" si="3"/>
        <v>530</v>
      </c>
      <c r="N35" s="48" t="s">
        <v>125</v>
      </c>
      <c r="O35" s="71" t="s">
        <v>133</v>
      </c>
    </row>
    <row r="36" spans="1:15" ht="89.25" x14ac:dyDescent="0.2">
      <c r="A36" s="45" t="s">
        <v>134</v>
      </c>
      <c r="B36" s="46" t="s">
        <v>119</v>
      </c>
      <c r="C36" s="46" t="s">
        <v>119</v>
      </c>
      <c r="D36" s="46" t="s">
        <v>120</v>
      </c>
      <c r="E36" s="46" t="s">
        <v>85</v>
      </c>
      <c r="F36" s="46" t="s">
        <v>123</v>
      </c>
      <c r="G36" s="46" t="s">
        <v>135</v>
      </c>
      <c r="H36" s="46" t="s">
        <v>136</v>
      </c>
      <c r="I36" s="46" t="s">
        <v>129</v>
      </c>
      <c r="J36" s="46" t="s">
        <v>71</v>
      </c>
      <c r="K36" s="47">
        <f>ROUND($K$32*2.5,0)</f>
        <v>325</v>
      </c>
      <c r="L36" s="47">
        <f>L32+60+(25*2)</f>
        <v>170</v>
      </c>
      <c r="M36" s="47">
        <f t="shared" si="3"/>
        <v>495</v>
      </c>
      <c r="N36" s="48" t="s">
        <v>125</v>
      </c>
      <c r="O36" s="71" t="s">
        <v>137</v>
      </c>
    </row>
    <row r="37" spans="1:15" ht="89.25" x14ac:dyDescent="0.2">
      <c r="A37" s="45" t="s">
        <v>138</v>
      </c>
      <c r="B37" s="46" t="s">
        <v>119</v>
      </c>
      <c r="C37" s="46" t="s">
        <v>119</v>
      </c>
      <c r="D37" s="46" t="s">
        <v>120</v>
      </c>
      <c r="E37" s="46" t="s">
        <v>85</v>
      </c>
      <c r="F37" s="46" t="s">
        <v>123</v>
      </c>
      <c r="G37" s="46" t="s">
        <v>135</v>
      </c>
      <c r="H37" s="46" t="s">
        <v>136</v>
      </c>
      <c r="I37" s="46" t="s">
        <v>132</v>
      </c>
      <c r="J37" s="46" t="s">
        <v>71</v>
      </c>
      <c r="K37" s="47">
        <f>ROUND($K$32*3,0)</f>
        <v>390</v>
      </c>
      <c r="L37" s="47">
        <f>L32+80+(25*4)</f>
        <v>240</v>
      </c>
      <c r="M37" s="47">
        <f t="shared" si="3"/>
        <v>630</v>
      </c>
      <c r="N37" s="48" t="s">
        <v>125</v>
      </c>
      <c r="O37" s="71" t="s">
        <v>139</v>
      </c>
    </row>
    <row r="38" spans="1:15" ht="89.25" x14ac:dyDescent="0.2">
      <c r="A38" s="45" t="s">
        <v>140</v>
      </c>
      <c r="B38" s="46" t="s">
        <v>119</v>
      </c>
      <c r="C38" s="46" t="s">
        <v>119</v>
      </c>
      <c r="D38" s="46" t="s">
        <v>120</v>
      </c>
      <c r="E38" s="46" t="s">
        <v>85</v>
      </c>
      <c r="F38" s="46" t="s">
        <v>123</v>
      </c>
      <c r="G38" s="46" t="s">
        <v>135</v>
      </c>
      <c r="H38" s="46" t="s">
        <v>136</v>
      </c>
      <c r="I38" s="46" t="s">
        <v>141</v>
      </c>
      <c r="J38" s="46" t="s">
        <v>71</v>
      </c>
      <c r="K38" s="47">
        <f>ROUND($K$32*3.5,0)</f>
        <v>455</v>
      </c>
      <c r="L38" s="47">
        <f>L32+100+(25*6)</f>
        <v>310</v>
      </c>
      <c r="M38" s="47">
        <f t="shared" si="3"/>
        <v>765</v>
      </c>
      <c r="N38" s="48" t="s">
        <v>125</v>
      </c>
      <c r="O38" s="71" t="s">
        <v>142</v>
      </c>
    </row>
    <row r="39" spans="1:15" ht="89.25" x14ac:dyDescent="0.2">
      <c r="A39" s="45" t="s">
        <v>143</v>
      </c>
      <c r="B39" s="46" t="s">
        <v>119</v>
      </c>
      <c r="C39" s="46" t="s">
        <v>119</v>
      </c>
      <c r="D39" s="46" t="s">
        <v>120</v>
      </c>
      <c r="E39" s="46" t="s">
        <v>85</v>
      </c>
      <c r="F39" s="46" t="s">
        <v>123</v>
      </c>
      <c r="G39" s="46" t="s">
        <v>135</v>
      </c>
      <c r="H39" s="46" t="s">
        <v>144</v>
      </c>
      <c r="I39" s="46" t="s">
        <v>129</v>
      </c>
      <c r="J39" s="46" t="s">
        <v>71</v>
      </c>
      <c r="K39" s="47">
        <f>ROUND($K$32*3,0)</f>
        <v>390</v>
      </c>
      <c r="L39" s="47">
        <f>L32+60+(50*2)</f>
        <v>220</v>
      </c>
      <c r="M39" s="47">
        <f t="shared" si="3"/>
        <v>610</v>
      </c>
      <c r="N39" s="48" t="s">
        <v>125</v>
      </c>
      <c r="O39" s="71" t="s">
        <v>145</v>
      </c>
    </row>
    <row r="40" spans="1:15" ht="89.25" x14ac:dyDescent="0.2">
      <c r="A40" s="45" t="s">
        <v>146</v>
      </c>
      <c r="B40" s="46" t="s">
        <v>119</v>
      </c>
      <c r="C40" s="46" t="s">
        <v>119</v>
      </c>
      <c r="D40" s="46" t="s">
        <v>120</v>
      </c>
      <c r="E40" s="46" t="s">
        <v>85</v>
      </c>
      <c r="F40" s="46" t="s">
        <v>123</v>
      </c>
      <c r="G40" s="46" t="s">
        <v>135</v>
      </c>
      <c r="H40" s="46" t="s">
        <v>144</v>
      </c>
      <c r="I40" s="46" t="s">
        <v>132</v>
      </c>
      <c r="J40" s="46" t="s">
        <v>71</v>
      </c>
      <c r="K40" s="47">
        <f>ROUND($K$32*3.5,0)</f>
        <v>455</v>
      </c>
      <c r="L40" s="47">
        <f>L32+80+(50*4)</f>
        <v>340</v>
      </c>
      <c r="M40" s="47">
        <f t="shared" si="3"/>
        <v>795</v>
      </c>
      <c r="N40" s="48" t="s">
        <v>125</v>
      </c>
      <c r="O40" s="71" t="s">
        <v>147</v>
      </c>
    </row>
    <row r="41" spans="1:15" ht="89.25" x14ac:dyDescent="0.2">
      <c r="A41" s="45" t="s">
        <v>148</v>
      </c>
      <c r="B41" s="46" t="s">
        <v>119</v>
      </c>
      <c r="C41" s="46" t="s">
        <v>119</v>
      </c>
      <c r="D41" s="46" t="s">
        <v>120</v>
      </c>
      <c r="E41" s="46" t="s">
        <v>85</v>
      </c>
      <c r="F41" s="46" t="s">
        <v>123</v>
      </c>
      <c r="G41" s="46" t="s">
        <v>135</v>
      </c>
      <c r="H41" s="46" t="s">
        <v>149</v>
      </c>
      <c r="I41" s="46" t="s">
        <v>129</v>
      </c>
      <c r="J41" s="46" t="s">
        <v>71</v>
      </c>
      <c r="K41" s="47">
        <f>ROUND($K$32*3,0)</f>
        <v>390</v>
      </c>
      <c r="L41" s="47">
        <f>L32+80+(75*2)</f>
        <v>290</v>
      </c>
      <c r="M41" s="47">
        <f t="shared" si="3"/>
        <v>680</v>
      </c>
      <c r="N41" s="48" t="s">
        <v>125</v>
      </c>
      <c r="O41" s="71" t="s">
        <v>150</v>
      </c>
    </row>
    <row r="42" spans="1:15" ht="89.25" x14ac:dyDescent="0.2">
      <c r="A42" s="45" t="s">
        <v>151</v>
      </c>
      <c r="B42" s="46" t="s">
        <v>119</v>
      </c>
      <c r="C42" s="46" t="s">
        <v>119</v>
      </c>
      <c r="D42" s="46" t="s">
        <v>120</v>
      </c>
      <c r="E42" s="46" t="s">
        <v>85</v>
      </c>
      <c r="F42" s="46" t="s">
        <v>123</v>
      </c>
      <c r="G42" s="46" t="s">
        <v>135</v>
      </c>
      <c r="H42" s="46" t="s">
        <v>149</v>
      </c>
      <c r="I42" s="46" t="s">
        <v>132</v>
      </c>
      <c r="J42" s="46" t="s">
        <v>71</v>
      </c>
      <c r="K42" s="47">
        <f>ROUND($K$32*3.5,0)</f>
        <v>455</v>
      </c>
      <c r="L42" s="47">
        <f>L32+100+(75*4)</f>
        <v>460</v>
      </c>
      <c r="M42" s="47">
        <f t="shared" si="3"/>
        <v>915</v>
      </c>
      <c r="N42" s="48" t="s">
        <v>125</v>
      </c>
      <c r="O42" s="71" t="s">
        <v>152</v>
      </c>
    </row>
    <row r="43" spans="1:15" ht="89.25" x14ac:dyDescent="0.2">
      <c r="A43" s="45" t="s">
        <v>153</v>
      </c>
      <c r="B43" s="46" t="s">
        <v>119</v>
      </c>
      <c r="C43" s="46" t="s">
        <v>119</v>
      </c>
      <c r="D43" s="46" t="s">
        <v>120</v>
      </c>
      <c r="E43" s="46" t="s">
        <v>85</v>
      </c>
      <c r="F43" s="46" t="s">
        <v>123</v>
      </c>
      <c r="G43" s="46" t="s">
        <v>135</v>
      </c>
      <c r="H43" s="46" t="s">
        <v>154</v>
      </c>
      <c r="I43" s="46" t="s">
        <v>129</v>
      </c>
      <c r="J43" s="46" t="s">
        <v>71</v>
      </c>
      <c r="K43" s="47">
        <f>ROUND($K$32*3,0)</f>
        <v>390</v>
      </c>
      <c r="L43" s="47">
        <f>L32+100+(100*2)</f>
        <v>360</v>
      </c>
      <c r="M43" s="47">
        <f t="shared" si="3"/>
        <v>750</v>
      </c>
      <c r="N43" s="48" t="s">
        <v>125</v>
      </c>
      <c r="O43" s="71" t="s">
        <v>155</v>
      </c>
    </row>
    <row r="44" spans="1:15" ht="89.25" x14ac:dyDescent="0.2">
      <c r="A44" s="45" t="s">
        <v>156</v>
      </c>
      <c r="B44" s="46" t="s">
        <v>119</v>
      </c>
      <c r="C44" s="46" t="s">
        <v>119</v>
      </c>
      <c r="D44" s="46" t="s">
        <v>120</v>
      </c>
      <c r="E44" s="46" t="s">
        <v>85</v>
      </c>
      <c r="F44" s="46" t="s">
        <v>123</v>
      </c>
      <c r="G44" s="46" t="s">
        <v>135</v>
      </c>
      <c r="H44" s="46" t="s">
        <v>154</v>
      </c>
      <c r="I44" s="46" t="s">
        <v>132</v>
      </c>
      <c r="J44" s="46" t="s">
        <v>71</v>
      </c>
      <c r="K44" s="47">
        <f>ROUND($K$32*3.5,0)</f>
        <v>455</v>
      </c>
      <c r="L44" s="47">
        <f>L32+120+(100*4)</f>
        <v>580</v>
      </c>
      <c r="M44" s="47">
        <f t="shared" si="3"/>
        <v>1035</v>
      </c>
      <c r="N44" s="48" t="s">
        <v>125</v>
      </c>
      <c r="O44" s="71" t="s">
        <v>157</v>
      </c>
    </row>
    <row r="45" spans="1:15" ht="89.25" x14ac:dyDescent="0.2">
      <c r="A45" s="45" t="s">
        <v>158</v>
      </c>
      <c r="B45" s="46" t="s">
        <v>119</v>
      </c>
      <c r="C45" s="46" t="s">
        <v>119</v>
      </c>
      <c r="D45" s="46" t="s">
        <v>120</v>
      </c>
      <c r="E45" s="46" t="s">
        <v>85</v>
      </c>
      <c r="F45" s="46" t="s">
        <v>123</v>
      </c>
      <c r="G45" s="46" t="s">
        <v>159</v>
      </c>
      <c r="H45" s="46" t="s">
        <v>132</v>
      </c>
      <c r="I45" s="46" t="s">
        <v>68</v>
      </c>
      <c r="J45" s="46" t="s">
        <v>71</v>
      </c>
      <c r="K45" s="47">
        <v>260</v>
      </c>
      <c r="L45" s="47">
        <f>L32+60</f>
        <v>120</v>
      </c>
      <c r="M45" s="47">
        <f t="shared" si="3"/>
        <v>380</v>
      </c>
      <c r="N45" s="48" t="s">
        <v>125</v>
      </c>
      <c r="O45" s="71" t="s">
        <v>160</v>
      </c>
    </row>
    <row r="46" spans="1:15" ht="51" x14ac:dyDescent="0.2">
      <c r="A46" s="45" t="s">
        <v>161</v>
      </c>
      <c r="B46" s="46" t="s">
        <v>162</v>
      </c>
      <c r="C46" s="46" t="s">
        <v>162</v>
      </c>
      <c r="D46" s="46" t="s">
        <v>163</v>
      </c>
      <c r="E46" s="46" t="s">
        <v>85</v>
      </c>
      <c r="F46" s="46" t="s">
        <v>68</v>
      </c>
      <c r="G46" s="46" t="s">
        <v>68</v>
      </c>
      <c r="H46" s="46" t="s">
        <v>68</v>
      </c>
      <c r="I46" s="46" t="s">
        <v>68</v>
      </c>
      <c r="J46" s="46" t="s">
        <v>71</v>
      </c>
      <c r="K46" s="47">
        <v>130</v>
      </c>
      <c r="L46" s="47">
        <v>60</v>
      </c>
      <c r="M46" s="47">
        <f t="shared" si="3"/>
        <v>190</v>
      </c>
      <c r="N46" s="48" t="s">
        <v>125</v>
      </c>
      <c r="O46" s="71" t="s">
        <v>164</v>
      </c>
    </row>
    <row r="47" spans="1:15" ht="76.5" x14ac:dyDescent="0.2">
      <c r="A47" s="45" t="s">
        <v>165</v>
      </c>
      <c r="B47" s="46" t="s">
        <v>162</v>
      </c>
      <c r="C47" s="46" t="s">
        <v>162</v>
      </c>
      <c r="D47" s="46" t="s">
        <v>163</v>
      </c>
      <c r="E47" s="46" t="s">
        <v>85</v>
      </c>
      <c r="F47" s="46" t="s">
        <v>123</v>
      </c>
      <c r="G47" s="46" t="s">
        <v>124</v>
      </c>
      <c r="H47" s="46" t="s">
        <v>68</v>
      </c>
      <c r="I47" s="46" t="s">
        <v>68</v>
      </c>
      <c r="J47" s="46" t="s">
        <v>71</v>
      </c>
      <c r="K47" s="47">
        <f>ROUND($K$46*2,0)</f>
        <v>260</v>
      </c>
      <c r="L47" s="47">
        <f>L46+60</f>
        <v>120</v>
      </c>
      <c r="M47" s="47">
        <f t="shared" si="3"/>
        <v>380</v>
      </c>
      <c r="N47" s="48" t="s">
        <v>125</v>
      </c>
      <c r="O47" s="71" t="s">
        <v>166</v>
      </c>
    </row>
    <row r="48" spans="1:15" ht="89.25" x14ac:dyDescent="0.2">
      <c r="A48" s="45" t="s">
        <v>167</v>
      </c>
      <c r="B48" s="46" t="s">
        <v>162</v>
      </c>
      <c r="C48" s="46" t="s">
        <v>162</v>
      </c>
      <c r="D48" s="46" t="s">
        <v>163</v>
      </c>
      <c r="E48" s="46" t="s">
        <v>85</v>
      </c>
      <c r="F48" s="46" t="s">
        <v>123</v>
      </c>
      <c r="G48" s="46" t="s">
        <v>128</v>
      </c>
      <c r="H48" s="46" t="s">
        <v>129</v>
      </c>
      <c r="I48" s="46" t="s">
        <v>68</v>
      </c>
      <c r="J48" s="46" t="s">
        <v>71</v>
      </c>
      <c r="K48" s="47">
        <f>ROUND($K$46*2.5,0)</f>
        <v>325</v>
      </c>
      <c r="L48" s="47">
        <f>L46+60+(5*2)</f>
        <v>130</v>
      </c>
      <c r="M48" s="47">
        <f t="shared" si="3"/>
        <v>455</v>
      </c>
      <c r="N48" s="48" t="s">
        <v>125</v>
      </c>
      <c r="O48" s="71" t="s">
        <v>168</v>
      </c>
    </row>
    <row r="49" spans="1:15" ht="89.25" x14ac:dyDescent="0.2">
      <c r="A49" s="45" t="s">
        <v>169</v>
      </c>
      <c r="B49" s="46" t="s">
        <v>162</v>
      </c>
      <c r="C49" s="46" t="s">
        <v>162</v>
      </c>
      <c r="D49" s="46" t="s">
        <v>163</v>
      </c>
      <c r="E49" s="46" t="s">
        <v>85</v>
      </c>
      <c r="F49" s="46" t="s">
        <v>123</v>
      </c>
      <c r="G49" s="46" t="s">
        <v>128</v>
      </c>
      <c r="H49" s="46" t="s">
        <v>132</v>
      </c>
      <c r="I49" s="46" t="s">
        <v>68</v>
      </c>
      <c r="J49" s="46" t="s">
        <v>71</v>
      </c>
      <c r="K49" s="47">
        <f>ROUND($K$46*3,0)</f>
        <v>390</v>
      </c>
      <c r="L49" s="47">
        <f>L46+60+(5*4)</f>
        <v>140</v>
      </c>
      <c r="M49" s="47">
        <f t="shared" si="3"/>
        <v>530</v>
      </c>
      <c r="N49" s="48" t="s">
        <v>125</v>
      </c>
      <c r="O49" s="71" t="s">
        <v>170</v>
      </c>
    </row>
    <row r="50" spans="1:15" ht="89.25" x14ac:dyDescent="0.2">
      <c r="A50" s="45" t="s">
        <v>171</v>
      </c>
      <c r="B50" s="46" t="s">
        <v>162</v>
      </c>
      <c r="C50" s="46" t="s">
        <v>162</v>
      </c>
      <c r="D50" s="46" t="s">
        <v>163</v>
      </c>
      <c r="E50" s="46" t="s">
        <v>85</v>
      </c>
      <c r="F50" s="46" t="s">
        <v>123</v>
      </c>
      <c r="G50" s="46" t="s">
        <v>135</v>
      </c>
      <c r="H50" s="46" t="s">
        <v>136</v>
      </c>
      <c r="I50" s="46" t="s">
        <v>129</v>
      </c>
      <c r="J50" s="46" t="s">
        <v>71</v>
      </c>
      <c r="K50" s="47">
        <f>ROUND($K$46*2.5,0)</f>
        <v>325</v>
      </c>
      <c r="L50" s="47">
        <f>L46+60+(25*2)</f>
        <v>170</v>
      </c>
      <c r="M50" s="47">
        <f t="shared" si="3"/>
        <v>495</v>
      </c>
      <c r="N50" s="48" t="s">
        <v>125</v>
      </c>
      <c r="O50" s="71" t="s">
        <v>172</v>
      </c>
    </row>
    <row r="51" spans="1:15" ht="89.25" x14ac:dyDescent="0.2">
      <c r="A51" s="45" t="s">
        <v>173</v>
      </c>
      <c r="B51" s="46" t="s">
        <v>162</v>
      </c>
      <c r="C51" s="46" t="s">
        <v>162</v>
      </c>
      <c r="D51" s="46" t="s">
        <v>163</v>
      </c>
      <c r="E51" s="46" t="s">
        <v>85</v>
      </c>
      <c r="F51" s="46" t="s">
        <v>123</v>
      </c>
      <c r="G51" s="46" t="s">
        <v>135</v>
      </c>
      <c r="H51" s="46" t="s">
        <v>136</v>
      </c>
      <c r="I51" s="46" t="s">
        <v>132</v>
      </c>
      <c r="J51" s="46" t="s">
        <v>71</v>
      </c>
      <c r="K51" s="47">
        <f>ROUND($K$46*3,0)</f>
        <v>390</v>
      </c>
      <c r="L51" s="47">
        <f>L46+80+(25*4)</f>
        <v>240</v>
      </c>
      <c r="M51" s="47">
        <f t="shared" si="3"/>
        <v>630</v>
      </c>
      <c r="N51" s="48" t="s">
        <v>125</v>
      </c>
      <c r="O51" s="71" t="s">
        <v>174</v>
      </c>
    </row>
    <row r="52" spans="1:15" ht="89.25" x14ac:dyDescent="0.2">
      <c r="A52" s="45" t="s">
        <v>175</v>
      </c>
      <c r="B52" s="46" t="s">
        <v>162</v>
      </c>
      <c r="C52" s="46" t="s">
        <v>162</v>
      </c>
      <c r="D52" s="46" t="s">
        <v>163</v>
      </c>
      <c r="E52" s="46" t="s">
        <v>85</v>
      </c>
      <c r="F52" s="46" t="s">
        <v>123</v>
      </c>
      <c r="G52" s="46" t="s">
        <v>135</v>
      </c>
      <c r="H52" s="46" t="s">
        <v>136</v>
      </c>
      <c r="I52" s="46" t="s">
        <v>141</v>
      </c>
      <c r="J52" s="46" t="s">
        <v>71</v>
      </c>
      <c r="K52" s="47">
        <f>ROUND($K$46*3.5,0)</f>
        <v>455</v>
      </c>
      <c r="L52" s="47">
        <f>L46+100+(25*6)</f>
        <v>310</v>
      </c>
      <c r="M52" s="47">
        <f t="shared" si="3"/>
        <v>765</v>
      </c>
      <c r="N52" s="48" t="s">
        <v>125</v>
      </c>
      <c r="O52" s="71" t="s">
        <v>176</v>
      </c>
    </row>
    <row r="53" spans="1:15" ht="89.25" x14ac:dyDescent="0.2">
      <c r="A53" s="45" t="s">
        <v>177</v>
      </c>
      <c r="B53" s="46" t="s">
        <v>162</v>
      </c>
      <c r="C53" s="46" t="s">
        <v>162</v>
      </c>
      <c r="D53" s="46" t="s">
        <v>163</v>
      </c>
      <c r="E53" s="46" t="s">
        <v>85</v>
      </c>
      <c r="F53" s="46" t="s">
        <v>123</v>
      </c>
      <c r="G53" s="46" t="s">
        <v>135</v>
      </c>
      <c r="H53" s="46" t="s">
        <v>144</v>
      </c>
      <c r="I53" s="46" t="s">
        <v>129</v>
      </c>
      <c r="J53" s="46" t="s">
        <v>71</v>
      </c>
      <c r="K53" s="47">
        <f>ROUND($K$46*3,0)</f>
        <v>390</v>
      </c>
      <c r="L53" s="47">
        <f>L46+60+(50*2)</f>
        <v>220</v>
      </c>
      <c r="M53" s="47">
        <f t="shared" si="3"/>
        <v>610</v>
      </c>
      <c r="N53" s="48" t="s">
        <v>125</v>
      </c>
      <c r="O53" s="71" t="s">
        <v>178</v>
      </c>
    </row>
    <row r="54" spans="1:15" ht="89.25" x14ac:dyDescent="0.2">
      <c r="A54" s="45" t="s">
        <v>179</v>
      </c>
      <c r="B54" s="46" t="s">
        <v>162</v>
      </c>
      <c r="C54" s="46" t="s">
        <v>162</v>
      </c>
      <c r="D54" s="46" t="s">
        <v>163</v>
      </c>
      <c r="E54" s="46" t="s">
        <v>85</v>
      </c>
      <c r="F54" s="46" t="s">
        <v>123</v>
      </c>
      <c r="G54" s="46" t="s">
        <v>135</v>
      </c>
      <c r="H54" s="46" t="s">
        <v>144</v>
      </c>
      <c r="I54" s="46" t="s">
        <v>132</v>
      </c>
      <c r="J54" s="46" t="s">
        <v>71</v>
      </c>
      <c r="K54" s="47">
        <f>ROUND($K$46*3.5,0)</f>
        <v>455</v>
      </c>
      <c r="L54" s="47">
        <f>L46+80+(50*4)</f>
        <v>340</v>
      </c>
      <c r="M54" s="47">
        <f t="shared" si="3"/>
        <v>795</v>
      </c>
      <c r="N54" s="48" t="s">
        <v>125</v>
      </c>
      <c r="O54" s="71" t="s">
        <v>180</v>
      </c>
    </row>
    <row r="55" spans="1:15" ht="89.25" x14ac:dyDescent="0.2">
      <c r="A55" s="45" t="s">
        <v>181</v>
      </c>
      <c r="B55" s="46" t="s">
        <v>162</v>
      </c>
      <c r="C55" s="46" t="s">
        <v>162</v>
      </c>
      <c r="D55" s="46" t="s">
        <v>163</v>
      </c>
      <c r="E55" s="46" t="s">
        <v>85</v>
      </c>
      <c r="F55" s="46" t="s">
        <v>123</v>
      </c>
      <c r="G55" s="46" t="s">
        <v>135</v>
      </c>
      <c r="H55" s="46" t="s">
        <v>149</v>
      </c>
      <c r="I55" s="46" t="s">
        <v>129</v>
      </c>
      <c r="J55" s="46" t="s">
        <v>71</v>
      </c>
      <c r="K55" s="47">
        <f>ROUND($K$46*3,0)</f>
        <v>390</v>
      </c>
      <c r="L55" s="47">
        <f>L46+80+(75*2)</f>
        <v>290</v>
      </c>
      <c r="M55" s="47">
        <f t="shared" si="3"/>
        <v>680</v>
      </c>
      <c r="N55" s="48" t="s">
        <v>125</v>
      </c>
      <c r="O55" s="71" t="s">
        <v>182</v>
      </c>
    </row>
    <row r="56" spans="1:15" ht="89.25" x14ac:dyDescent="0.2">
      <c r="A56" s="45" t="s">
        <v>183</v>
      </c>
      <c r="B56" s="46" t="s">
        <v>162</v>
      </c>
      <c r="C56" s="46" t="s">
        <v>162</v>
      </c>
      <c r="D56" s="46" t="s">
        <v>163</v>
      </c>
      <c r="E56" s="46" t="s">
        <v>85</v>
      </c>
      <c r="F56" s="46" t="s">
        <v>123</v>
      </c>
      <c r="G56" s="46" t="s">
        <v>135</v>
      </c>
      <c r="H56" s="46" t="s">
        <v>149</v>
      </c>
      <c r="I56" s="46" t="s">
        <v>132</v>
      </c>
      <c r="J56" s="46" t="s">
        <v>71</v>
      </c>
      <c r="K56" s="47">
        <f>ROUND($K$46*3.5,0)</f>
        <v>455</v>
      </c>
      <c r="L56" s="47">
        <f>L46+100+(75*4)</f>
        <v>460</v>
      </c>
      <c r="M56" s="47">
        <f t="shared" si="3"/>
        <v>915</v>
      </c>
      <c r="N56" s="48" t="s">
        <v>125</v>
      </c>
      <c r="O56" s="71" t="s">
        <v>184</v>
      </c>
    </row>
    <row r="57" spans="1:15" ht="89.25" x14ac:dyDescent="0.2">
      <c r="A57" s="45" t="s">
        <v>185</v>
      </c>
      <c r="B57" s="46" t="s">
        <v>162</v>
      </c>
      <c r="C57" s="46" t="s">
        <v>162</v>
      </c>
      <c r="D57" s="46" t="s">
        <v>163</v>
      </c>
      <c r="E57" s="46" t="s">
        <v>85</v>
      </c>
      <c r="F57" s="46" t="s">
        <v>123</v>
      </c>
      <c r="G57" s="46" t="s">
        <v>135</v>
      </c>
      <c r="H57" s="46" t="s">
        <v>154</v>
      </c>
      <c r="I57" s="46" t="s">
        <v>129</v>
      </c>
      <c r="J57" s="46" t="s">
        <v>71</v>
      </c>
      <c r="K57" s="47">
        <f>ROUND($K$46*3,0)</f>
        <v>390</v>
      </c>
      <c r="L57" s="47">
        <f>L46+100+(100*2)</f>
        <v>360</v>
      </c>
      <c r="M57" s="47">
        <f t="shared" si="3"/>
        <v>750</v>
      </c>
      <c r="N57" s="48" t="s">
        <v>125</v>
      </c>
      <c r="O57" s="71" t="s">
        <v>186</v>
      </c>
    </row>
    <row r="58" spans="1:15" ht="89.25" x14ac:dyDescent="0.2">
      <c r="A58" s="45" t="s">
        <v>187</v>
      </c>
      <c r="B58" s="46" t="s">
        <v>162</v>
      </c>
      <c r="C58" s="46" t="s">
        <v>162</v>
      </c>
      <c r="D58" s="46" t="s">
        <v>163</v>
      </c>
      <c r="E58" s="46" t="s">
        <v>85</v>
      </c>
      <c r="F58" s="46" t="s">
        <v>123</v>
      </c>
      <c r="G58" s="46" t="s">
        <v>135</v>
      </c>
      <c r="H58" s="46" t="s">
        <v>154</v>
      </c>
      <c r="I58" s="46" t="s">
        <v>132</v>
      </c>
      <c r="J58" s="46" t="s">
        <v>71</v>
      </c>
      <c r="K58" s="47">
        <f>ROUND($K$46*3.5,0)</f>
        <v>455</v>
      </c>
      <c r="L58" s="47">
        <f>L46+120+(100*4)</f>
        <v>580</v>
      </c>
      <c r="M58" s="47">
        <f t="shared" si="3"/>
        <v>1035</v>
      </c>
      <c r="N58" s="48" t="s">
        <v>125</v>
      </c>
      <c r="O58" s="71" t="s">
        <v>188</v>
      </c>
    </row>
    <row r="59" spans="1:15" ht="89.25" x14ac:dyDescent="0.2">
      <c r="A59" s="45" t="s">
        <v>189</v>
      </c>
      <c r="B59" s="46" t="s">
        <v>162</v>
      </c>
      <c r="C59" s="46" t="s">
        <v>162</v>
      </c>
      <c r="D59" s="46" t="s">
        <v>163</v>
      </c>
      <c r="E59" s="46" t="s">
        <v>85</v>
      </c>
      <c r="F59" s="46" t="s">
        <v>123</v>
      </c>
      <c r="G59" s="46" t="s">
        <v>159</v>
      </c>
      <c r="H59" s="46" t="s">
        <v>132</v>
      </c>
      <c r="I59" s="46" t="s">
        <v>68</v>
      </c>
      <c r="J59" s="46" t="s">
        <v>71</v>
      </c>
      <c r="K59" s="47">
        <v>260</v>
      </c>
      <c r="L59" s="47">
        <f>L46+60</f>
        <v>120</v>
      </c>
      <c r="M59" s="47">
        <f t="shared" si="3"/>
        <v>380</v>
      </c>
      <c r="N59" s="48" t="s">
        <v>125</v>
      </c>
      <c r="O59" s="71" t="s">
        <v>190</v>
      </c>
    </row>
    <row r="60" spans="1:15" ht="38.25" x14ac:dyDescent="0.2">
      <c r="A60" s="45" t="s">
        <v>191</v>
      </c>
      <c r="B60" s="46" t="s">
        <v>192</v>
      </c>
      <c r="C60" s="46" t="s">
        <v>192</v>
      </c>
      <c r="D60" s="46" t="s">
        <v>193</v>
      </c>
      <c r="E60" s="46"/>
      <c r="F60" s="46"/>
      <c r="G60" s="46"/>
      <c r="H60" s="46"/>
      <c r="I60" s="46"/>
      <c r="J60" s="46" t="s">
        <v>71</v>
      </c>
      <c r="K60" s="47">
        <v>140</v>
      </c>
      <c r="L60" s="47">
        <v>10</v>
      </c>
      <c r="M60" s="47">
        <f t="shared" si="3"/>
        <v>150</v>
      </c>
      <c r="N60" s="46" t="s">
        <v>194</v>
      </c>
      <c r="O60" s="71" t="s">
        <v>195</v>
      </c>
    </row>
    <row r="61" spans="1:15" ht="12.75" x14ac:dyDescent="0.2">
      <c r="A61" s="34" t="s">
        <v>196</v>
      </c>
      <c r="B61" s="35" t="s">
        <v>68</v>
      </c>
      <c r="C61" s="35" t="s">
        <v>68</v>
      </c>
      <c r="D61" s="35" t="s">
        <v>68</v>
      </c>
      <c r="E61" s="35" t="s">
        <v>68</v>
      </c>
      <c r="F61" s="35" t="s">
        <v>68</v>
      </c>
      <c r="G61" s="35" t="s">
        <v>68</v>
      </c>
      <c r="H61" s="35" t="s">
        <v>68</v>
      </c>
      <c r="I61" s="35" t="s">
        <v>68</v>
      </c>
      <c r="J61" s="35" t="s">
        <v>68</v>
      </c>
      <c r="K61" s="36" t="s">
        <v>68</v>
      </c>
      <c r="L61" s="36" t="s">
        <v>68</v>
      </c>
      <c r="M61" s="47">
        <f t="shared" si="3"/>
        <v>0</v>
      </c>
      <c r="N61" s="35"/>
      <c r="O61" s="35" t="s">
        <v>68</v>
      </c>
    </row>
    <row r="62" spans="1:15" ht="38.25" x14ac:dyDescent="0.2">
      <c r="A62" s="45" t="s">
        <v>197</v>
      </c>
      <c r="B62" s="46" t="s">
        <v>198</v>
      </c>
      <c r="C62" s="46" t="s">
        <v>198</v>
      </c>
      <c r="D62" s="46" t="s">
        <v>199</v>
      </c>
      <c r="E62" s="46" t="s">
        <v>68</v>
      </c>
      <c r="F62" s="46" t="s">
        <v>68</v>
      </c>
      <c r="G62" s="46" t="s">
        <v>68</v>
      </c>
      <c r="H62" s="46" t="s">
        <v>68</v>
      </c>
      <c r="I62" s="46" t="s">
        <v>68</v>
      </c>
      <c r="J62" s="46" t="s">
        <v>71</v>
      </c>
      <c r="K62" s="47">
        <v>140</v>
      </c>
      <c r="L62" s="47">
        <v>30</v>
      </c>
      <c r="M62" s="47">
        <f t="shared" si="3"/>
        <v>170</v>
      </c>
      <c r="N62" s="46" t="s">
        <v>200</v>
      </c>
      <c r="O62" s="71" t="s">
        <v>201</v>
      </c>
    </row>
    <row r="63" spans="1:15" ht="38.25" x14ac:dyDescent="0.2">
      <c r="A63" s="45" t="s">
        <v>202</v>
      </c>
      <c r="B63" s="46" t="s">
        <v>203</v>
      </c>
      <c r="C63" s="46" t="s">
        <v>203</v>
      </c>
      <c r="D63" s="46" t="s">
        <v>199</v>
      </c>
      <c r="E63" s="46" t="s">
        <v>68</v>
      </c>
      <c r="F63" s="46" t="s">
        <v>68</v>
      </c>
      <c r="G63" s="46" t="s">
        <v>68</v>
      </c>
      <c r="H63" s="46" t="s">
        <v>68</v>
      </c>
      <c r="I63" s="46" t="s">
        <v>68</v>
      </c>
      <c r="J63" s="46" t="s">
        <v>71</v>
      </c>
      <c r="K63" s="47">
        <v>140</v>
      </c>
      <c r="L63" s="47">
        <v>30</v>
      </c>
      <c r="M63" s="47">
        <f t="shared" si="3"/>
        <v>170</v>
      </c>
      <c r="N63" s="46" t="s">
        <v>204</v>
      </c>
      <c r="O63" s="71" t="s">
        <v>205</v>
      </c>
    </row>
    <row r="64" spans="1:15" ht="89.25" x14ac:dyDescent="0.2">
      <c r="A64" s="45" t="s">
        <v>206</v>
      </c>
      <c r="B64" s="46" t="s">
        <v>207</v>
      </c>
      <c r="C64" s="46" t="s">
        <v>207</v>
      </c>
      <c r="D64" s="46" t="s">
        <v>199</v>
      </c>
      <c r="E64" s="46" t="s">
        <v>208</v>
      </c>
      <c r="F64" s="46" t="s">
        <v>68</v>
      </c>
      <c r="G64" s="46" t="s">
        <v>68</v>
      </c>
      <c r="H64" s="46" t="s">
        <v>68</v>
      </c>
      <c r="I64" s="46" t="s">
        <v>68</v>
      </c>
      <c r="J64" s="46" t="s">
        <v>71</v>
      </c>
      <c r="K64" s="47">
        <v>170</v>
      </c>
      <c r="L64" s="47">
        <v>140</v>
      </c>
      <c r="M64" s="47">
        <f t="shared" si="3"/>
        <v>310</v>
      </c>
      <c r="N64" s="46" t="s">
        <v>209</v>
      </c>
      <c r="O64" s="71" t="s">
        <v>210</v>
      </c>
    </row>
    <row r="65" spans="1:15" ht="38.25" x14ac:dyDescent="0.2">
      <c r="A65" s="45" t="s">
        <v>211</v>
      </c>
      <c r="B65" s="46" t="s">
        <v>212</v>
      </c>
      <c r="C65" s="46" t="s">
        <v>212</v>
      </c>
      <c r="D65" s="46" t="s">
        <v>213</v>
      </c>
      <c r="E65" s="46" t="s">
        <v>68</v>
      </c>
      <c r="F65" s="46" t="s">
        <v>68</v>
      </c>
      <c r="G65" s="46" t="s">
        <v>68</v>
      </c>
      <c r="H65" s="46" t="s">
        <v>68</v>
      </c>
      <c r="I65" s="46" t="s">
        <v>68</v>
      </c>
      <c r="J65" s="46" t="s">
        <v>71</v>
      </c>
      <c r="K65" s="47">
        <v>180</v>
      </c>
      <c r="L65" s="47">
        <v>70</v>
      </c>
      <c r="M65" s="47">
        <f t="shared" si="3"/>
        <v>250</v>
      </c>
      <c r="N65" s="46" t="s">
        <v>214</v>
      </c>
      <c r="O65" s="71" t="s">
        <v>215</v>
      </c>
    </row>
    <row r="66" spans="1:15" ht="25.5" x14ac:dyDescent="0.2">
      <c r="A66" s="45" t="s">
        <v>216</v>
      </c>
      <c r="B66" s="46" t="s">
        <v>192</v>
      </c>
      <c r="C66" s="46" t="s">
        <v>192</v>
      </c>
      <c r="D66" s="46" t="s">
        <v>199</v>
      </c>
      <c r="E66" s="46" t="s">
        <v>68</v>
      </c>
      <c r="F66" s="46" t="s">
        <v>68</v>
      </c>
      <c r="G66" s="46" t="s">
        <v>68</v>
      </c>
      <c r="H66" s="46" t="s">
        <v>68</v>
      </c>
      <c r="I66" s="46" t="s">
        <v>68</v>
      </c>
      <c r="J66" s="46" t="s">
        <v>71</v>
      </c>
      <c r="K66" s="47">
        <v>250</v>
      </c>
      <c r="L66" s="47">
        <v>50</v>
      </c>
      <c r="M66" s="47">
        <f t="shared" si="3"/>
        <v>300</v>
      </c>
      <c r="N66" s="46" t="s">
        <v>217</v>
      </c>
      <c r="O66" s="71" t="s">
        <v>218</v>
      </c>
    </row>
    <row r="67" spans="1:15" ht="63.75" x14ac:dyDescent="0.2">
      <c r="A67" s="45" t="s">
        <v>219</v>
      </c>
      <c r="B67" s="46" t="s">
        <v>220</v>
      </c>
      <c r="C67" s="46" t="s">
        <v>220</v>
      </c>
      <c r="D67" s="46" t="s">
        <v>221</v>
      </c>
      <c r="E67" s="46" t="s">
        <v>222</v>
      </c>
      <c r="F67" s="46" t="s">
        <v>68</v>
      </c>
      <c r="G67" s="46" t="s">
        <v>68</v>
      </c>
      <c r="H67" s="46" t="s">
        <v>68</v>
      </c>
      <c r="I67" s="46" t="s">
        <v>68</v>
      </c>
      <c r="J67" s="46" t="s">
        <v>71</v>
      </c>
      <c r="K67" s="47">
        <v>400</v>
      </c>
      <c r="L67" s="47">
        <f>220+L64</f>
        <v>360</v>
      </c>
      <c r="M67" s="47">
        <f t="shared" si="3"/>
        <v>760</v>
      </c>
      <c r="N67" s="46" t="s">
        <v>223</v>
      </c>
      <c r="O67" s="71" t="s">
        <v>224</v>
      </c>
    </row>
    <row r="68" spans="1:15" ht="63.75" x14ac:dyDescent="0.2">
      <c r="A68" s="45" t="s">
        <v>225</v>
      </c>
      <c r="B68" s="46" t="s">
        <v>220</v>
      </c>
      <c r="C68" s="46" t="s">
        <v>220</v>
      </c>
      <c r="D68" s="46" t="s">
        <v>221</v>
      </c>
      <c r="E68" s="46" t="s">
        <v>226</v>
      </c>
      <c r="F68" s="46" t="s">
        <v>68</v>
      </c>
      <c r="G68" s="46" t="s">
        <v>68</v>
      </c>
      <c r="H68" s="46" t="s">
        <v>68</v>
      </c>
      <c r="I68" s="46" t="s">
        <v>68</v>
      </c>
      <c r="J68" s="46" t="s">
        <v>71</v>
      </c>
      <c r="K68" s="47">
        <v>600</v>
      </c>
      <c r="L68" s="47">
        <f>400+L64</f>
        <v>540</v>
      </c>
      <c r="M68" s="47">
        <f t="shared" si="3"/>
        <v>1140</v>
      </c>
      <c r="N68" s="46" t="s">
        <v>223</v>
      </c>
      <c r="O68" s="71" t="s">
        <v>227</v>
      </c>
    </row>
    <row r="69" spans="1:15" ht="63.75" x14ac:dyDescent="0.2">
      <c r="A69" s="45" t="s">
        <v>228</v>
      </c>
      <c r="B69" s="46" t="s">
        <v>220</v>
      </c>
      <c r="C69" s="46" t="s">
        <v>220</v>
      </c>
      <c r="D69" s="46" t="s">
        <v>221</v>
      </c>
      <c r="E69" s="46" t="s">
        <v>229</v>
      </c>
      <c r="F69" s="46" t="s">
        <v>68</v>
      </c>
      <c r="G69" s="46" t="s">
        <v>68</v>
      </c>
      <c r="H69" s="46" t="s">
        <v>68</v>
      </c>
      <c r="I69" s="46" t="s">
        <v>68</v>
      </c>
      <c r="J69" s="46" t="s">
        <v>71</v>
      </c>
      <c r="K69" s="47">
        <v>790</v>
      </c>
      <c r="L69" s="47">
        <f>580+L64</f>
        <v>720</v>
      </c>
      <c r="M69" s="47">
        <f t="shared" si="3"/>
        <v>1510</v>
      </c>
      <c r="N69" s="46" t="s">
        <v>223</v>
      </c>
      <c r="O69" s="71" t="s">
        <v>230</v>
      </c>
    </row>
    <row r="70" spans="1:15" ht="76.5" x14ac:dyDescent="0.2">
      <c r="A70" s="45" t="s">
        <v>231</v>
      </c>
      <c r="B70" s="46" t="s">
        <v>220</v>
      </c>
      <c r="C70" s="46" t="s">
        <v>220</v>
      </c>
      <c r="D70" s="46" t="s">
        <v>232</v>
      </c>
      <c r="E70" s="46" t="s">
        <v>222</v>
      </c>
      <c r="F70" s="46" t="s">
        <v>68</v>
      </c>
      <c r="G70" s="46" t="s">
        <v>68</v>
      </c>
      <c r="H70" s="46" t="s">
        <v>68</v>
      </c>
      <c r="I70" s="46" t="s">
        <v>68</v>
      </c>
      <c r="J70" s="46" t="s">
        <v>71</v>
      </c>
      <c r="K70" s="47">
        <v>600</v>
      </c>
      <c r="L70" s="47">
        <f>L67+300</f>
        <v>660</v>
      </c>
      <c r="M70" s="47">
        <f t="shared" si="3"/>
        <v>1260</v>
      </c>
      <c r="N70" s="46" t="s">
        <v>223</v>
      </c>
      <c r="O70" s="71" t="s">
        <v>233</v>
      </c>
    </row>
    <row r="71" spans="1:15" ht="76.5" x14ac:dyDescent="0.2">
      <c r="A71" s="45" t="s">
        <v>234</v>
      </c>
      <c r="B71" s="46" t="s">
        <v>220</v>
      </c>
      <c r="C71" s="46" t="s">
        <v>220</v>
      </c>
      <c r="D71" s="46" t="s">
        <v>232</v>
      </c>
      <c r="E71" s="46" t="s">
        <v>226</v>
      </c>
      <c r="F71" s="46" t="s">
        <v>68</v>
      </c>
      <c r="G71" s="46" t="s">
        <v>68</v>
      </c>
      <c r="H71" s="46" t="s">
        <v>68</v>
      </c>
      <c r="I71" s="46" t="s">
        <v>68</v>
      </c>
      <c r="J71" s="46" t="s">
        <v>71</v>
      </c>
      <c r="K71" s="47">
        <v>790</v>
      </c>
      <c r="L71" s="47">
        <f>L69+400</f>
        <v>1120</v>
      </c>
      <c r="M71" s="47">
        <f t="shared" si="3"/>
        <v>1910</v>
      </c>
      <c r="N71" s="46" t="s">
        <v>223</v>
      </c>
      <c r="O71" s="71" t="s">
        <v>235</v>
      </c>
    </row>
    <row r="72" spans="1:15" ht="76.5" x14ac:dyDescent="0.2">
      <c r="A72" s="45" t="s">
        <v>236</v>
      </c>
      <c r="B72" s="46" t="s">
        <v>220</v>
      </c>
      <c r="C72" s="46" t="s">
        <v>220</v>
      </c>
      <c r="D72" s="46" t="s">
        <v>232</v>
      </c>
      <c r="E72" s="46" t="s">
        <v>229</v>
      </c>
      <c r="F72" s="46" t="s">
        <v>68</v>
      </c>
      <c r="G72" s="46" t="s">
        <v>68</v>
      </c>
      <c r="H72" s="46" t="s">
        <v>68</v>
      </c>
      <c r="I72" s="46" t="s">
        <v>68</v>
      </c>
      <c r="J72" s="46" t="s">
        <v>71</v>
      </c>
      <c r="K72" s="47">
        <v>1000</v>
      </c>
      <c r="L72" s="47">
        <f>L69+500</f>
        <v>1220</v>
      </c>
      <c r="M72" s="47">
        <f t="shared" si="3"/>
        <v>2220</v>
      </c>
      <c r="N72" s="46" t="s">
        <v>223</v>
      </c>
      <c r="O72" s="71" t="s">
        <v>237</v>
      </c>
    </row>
    <row r="73" spans="1:15" ht="51" x14ac:dyDescent="0.2">
      <c r="A73" s="45" t="s">
        <v>238</v>
      </c>
      <c r="B73" s="46" t="s">
        <v>239</v>
      </c>
      <c r="C73" s="46" t="s">
        <v>239</v>
      </c>
      <c r="D73" s="46" t="s">
        <v>199</v>
      </c>
      <c r="E73" s="46" t="s">
        <v>222</v>
      </c>
      <c r="F73" s="46" t="s">
        <v>68</v>
      </c>
      <c r="G73" s="46" t="s">
        <v>68</v>
      </c>
      <c r="H73" s="46" t="s">
        <v>68</v>
      </c>
      <c r="I73" s="46" t="s">
        <v>68</v>
      </c>
      <c r="J73" s="46" t="s">
        <v>71</v>
      </c>
      <c r="K73" s="47">
        <v>150</v>
      </c>
      <c r="L73" s="47">
        <v>100</v>
      </c>
      <c r="M73" s="47">
        <f t="shared" si="3"/>
        <v>250</v>
      </c>
      <c r="N73" s="46" t="s">
        <v>240</v>
      </c>
      <c r="O73" s="71" t="s">
        <v>241</v>
      </c>
    </row>
    <row r="74" spans="1:15" ht="51" x14ac:dyDescent="0.2">
      <c r="A74" s="45" t="s">
        <v>242</v>
      </c>
      <c r="B74" s="46" t="s">
        <v>239</v>
      </c>
      <c r="C74" s="46" t="s">
        <v>239</v>
      </c>
      <c r="D74" s="46" t="s">
        <v>199</v>
      </c>
      <c r="E74" s="46" t="s">
        <v>226</v>
      </c>
      <c r="F74" s="46" t="s">
        <v>68</v>
      </c>
      <c r="G74" s="46" t="s">
        <v>68</v>
      </c>
      <c r="H74" s="46" t="s">
        <v>68</v>
      </c>
      <c r="I74" s="46" t="s">
        <v>68</v>
      </c>
      <c r="J74" s="46" t="s">
        <v>71</v>
      </c>
      <c r="K74" s="47">
        <v>170</v>
      </c>
      <c r="L74" s="47">
        <v>150</v>
      </c>
      <c r="M74" s="47">
        <f t="shared" si="3"/>
        <v>320</v>
      </c>
      <c r="N74" s="46" t="s">
        <v>240</v>
      </c>
      <c r="O74" s="71" t="s">
        <v>243</v>
      </c>
    </row>
    <row r="75" spans="1:15" ht="51" x14ac:dyDescent="0.2">
      <c r="A75" s="45" t="s">
        <v>244</v>
      </c>
      <c r="B75" s="46" t="s">
        <v>239</v>
      </c>
      <c r="C75" s="46" t="s">
        <v>239</v>
      </c>
      <c r="D75" s="46" t="s">
        <v>199</v>
      </c>
      <c r="E75" s="46" t="s">
        <v>229</v>
      </c>
      <c r="F75" s="46" t="s">
        <v>68</v>
      </c>
      <c r="G75" s="46" t="s">
        <v>68</v>
      </c>
      <c r="H75" s="46" t="s">
        <v>68</v>
      </c>
      <c r="I75" s="46" t="s">
        <v>68</v>
      </c>
      <c r="J75" s="46" t="s">
        <v>71</v>
      </c>
      <c r="K75" s="47">
        <v>210</v>
      </c>
      <c r="L75" s="47">
        <v>300</v>
      </c>
      <c r="M75" s="47">
        <f t="shared" si="3"/>
        <v>510</v>
      </c>
      <c r="N75" s="46" t="s">
        <v>240</v>
      </c>
      <c r="O75" s="71" t="s">
        <v>245</v>
      </c>
    </row>
    <row r="76" spans="1:15" ht="38.25" x14ac:dyDescent="0.2">
      <c r="A76" s="45" t="s">
        <v>246</v>
      </c>
      <c r="B76" s="46" t="s">
        <v>247</v>
      </c>
      <c r="C76" s="46" t="s">
        <v>247</v>
      </c>
      <c r="D76" s="46" t="s">
        <v>248</v>
      </c>
      <c r="E76" s="46" t="s">
        <v>68</v>
      </c>
      <c r="F76" s="46" t="s">
        <v>68</v>
      </c>
      <c r="G76" s="46" t="s">
        <v>68</v>
      </c>
      <c r="H76" s="46" t="s">
        <v>68</v>
      </c>
      <c r="I76" s="46" t="s">
        <v>68</v>
      </c>
      <c r="J76" s="46" t="s">
        <v>71</v>
      </c>
      <c r="K76" s="47">
        <v>500</v>
      </c>
      <c r="L76" s="47">
        <v>600</v>
      </c>
      <c r="M76" s="47">
        <f t="shared" si="3"/>
        <v>1100</v>
      </c>
      <c r="N76" s="46" t="s">
        <v>249</v>
      </c>
      <c r="O76" s="71" t="s">
        <v>250</v>
      </c>
    </row>
    <row r="77" spans="1:15" ht="12.75" x14ac:dyDescent="0.2">
      <c r="A77" s="34" t="s">
        <v>251</v>
      </c>
      <c r="B77" s="35" t="s">
        <v>68</v>
      </c>
      <c r="C77" s="35" t="s">
        <v>68</v>
      </c>
      <c r="D77" s="35" t="s">
        <v>68</v>
      </c>
      <c r="E77" s="35" t="s">
        <v>68</v>
      </c>
      <c r="F77" s="35" t="s">
        <v>68</v>
      </c>
      <c r="G77" s="35" t="s">
        <v>68</v>
      </c>
      <c r="H77" s="35" t="s">
        <v>68</v>
      </c>
      <c r="I77" s="35" t="s">
        <v>68</v>
      </c>
      <c r="J77" s="35" t="s">
        <v>68</v>
      </c>
      <c r="K77" s="36" t="s">
        <v>68</v>
      </c>
      <c r="L77" s="36" t="s">
        <v>68</v>
      </c>
      <c r="M77" s="47">
        <f t="shared" si="3"/>
        <v>0</v>
      </c>
      <c r="N77" s="35"/>
      <c r="O77" s="35" t="s">
        <v>68</v>
      </c>
    </row>
    <row r="78" spans="1:15" ht="51" x14ac:dyDescent="0.2">
      <c r="A78" s="45" t="s">
        <v>252</v>
      </c>
      <c r="B78" s="104" t="s">
        <v>253</v>
      </c>
      <c r="C78" s="104" t="s">
        <v>6560</v>
      </c>
      <c r="D78" s="104" t="s">
        <v>6558</v>
      </c>
      <c r="E78" s="104" t="s">
        <v>254</v>
      </c>
      <c r="F78" s="104" t="s">
        <v>6554</v>
      </c>
      <c r="G78" s="46" t="s">
        <v>68</v>
      </c>
      <c r="H78" s="46" t="s">
        <v>68</v>
      </c>
      <c r="I78" s="46" t="s">
        <v>68</v>
      </c>
      <c r="J78" s="46" t="s">
        <v>71</v>
      </c>
      <c r="K78" s="47">
        <v>160</v>
      </c>
      <c r="L78" s="47">
        <v>80</v>
      </c>
      <c r="M78" s="47">
        <f t="shared" si="3"/>
        <v>240</v>
      </c>
      <c r="N78" s="48" t="s">
        <v>6556</v>
      </c>
      <c r="O78" s="48" t="s">
        <v>255</v>
      </c>
    </row>
    <row r="79" spans="1:15" ht="51" x14ac:dyDescent="0.2">
      <c r="A79" s="45" t="s">
        <v>256</v>
      </c>
      <c r="B79" s="104" t="s">
        <v>253</v>
      </c>
      <c r="C79" s="104" t="s">
        <v>6560</v>
      </c>
      <c r="D79" s="104" t="s">
        <v>6561</v>
      </c>
      <c r="E79" s="104" t="s">
        <v>6562</v>
      </c>
      <c r="F79" s="104" t="s">
        <v>6555</v>
      </c>
      <c r="G79" s="46"/>
      <c r="H79" s="46" t="s">
        <v>68</v>
      </c>
      <c r="I79" s="46" t="s">
        <v>68</v>
      </c>
      <c r="J79" s="46" t="s">
        <v>71</v>
      </c>
      <c r="K79" s="47">
        <v>180</v>
      </c>
      <c r="L79" s="47">
        <v>120</v>
      </c>
      <c r="M79" s="47">
        <f t="shared" si="3"/>
        <v>300</v>
      </c>
      <c r="N79" s="48" t="s">
        <v>6557</v>
      </c>
      <c r="O79" s="48" t="s">
        <v>259</v>
      </c>
    </row>
    <row r="80" spans="1:15" ht="38.25" x14ac:dyDescent="0.2">
      <c r="A80" s="45" t="s">
        <v>260</v>
      </c>
      <c r="B80" s="46" t="s">
        <v>261</v>
      </c>
      <c r="C80" s="46" t="s">
        <v>261</v>
      </c>
      <c r="D80" s="46"/>
      <c r="E80" s="46" t="s">
        <v>68</v>
      </c>
      <c r="F80" s="46" t="s">
        <v>68</v>
      </c>
      <c r="G80" s="46" t="s">
        <v>68</v>
      </c>
      <c r="H80" s="46" t="s">
        <v>68</v>
      </c>
      <c r="I80" s="46" t="s">
        <v>68</v>
      </c>
      <c r="J80" s="46" t="s">
        <v>71</v>
      </c>
      <c r="K80" s="47">
        <v>140</v>
      </c>
      <c r="L80" s="47">
        <v>10</v>
      </c>
      <c r="M80" s="47">
        <f t="shared" si="3"/>
        <v>150</v>
      </c>
      <c r="N80" s="48" t="s">
        <v>262</v>
      </c>
      <c r="O80" s="48" t="s">
        <v>263</v>
      </c>
    </row>
    <row r="81" spans="1:15" ht="51" x14ac:dyDescent="0.2">
      <c r="A81" s="45" t="s">
        <v>264</v>
      </c>
      <c r="B81" s="46" t="s">
        <v>265</v>
      </c>
      <c r="C81" s="46" t="s">
        <v>265</v>
      </c>
      <c r="D81" s="46"/>
      <c r="E81" s="46" t="s">
        <v>68</v>
      </c>
      <c r="F81" s="46" t="s">
        <v>68</v>
      </c>
      <c r="G81" s="46" t="s">
        <v>68</v>
      </c>
      <c r="H81" s="46" t="s">
        <v>68</v>
      </c>
      <c r="I81" s="46" t="s">
        <v>68</v>
      </c>
      <c r="J81" s="46" t="s">
        <v>71</v>
      </c>
      <c r="K81" s="47">
        <v>140</v>
      </c>
      <c r="L81" s="47">
        <v>10</v>
      </c>
      <c r="M81" s="47">
        <f t="shared" si="3"/>
        <v>150</v>
      </c>
      <c r="N81" s="48" t="s">
        <v>266</v>
      </c>
      <c r="O81" s="48" t="s">
        <v>267</v>
      </c>
    </row>
    <row r="82" spans="1:15" ht="89.25" x14ac:dyDescent="0.2">
      <c r="A82" s="45" t="s">
        <v>268</v>
      </c>
      <c r="B82" s="46" t="s">
        <v>6553</v>
      </c>
      <c r="C82" s="46" t="s">
        <v>6553</v>
      </c>
      <c r="D82" s="46" t="s">
        <v>269</v>
      </c>
      <c r="E82" s="46" t="s">
        <v>270</v>
      </c>
      <c r="F82" s="46" t="s">
        <v>271</v>
      </c>
      <c r="G82" s="46"/>
      <c r="H82" s="46" t="s">
        <v>68</v>
      </c>
      <c r="I82" s="46" t="s">
        <v>68</v>
      </c>
      <c r="J82" s="46" t="s">
        <v>71</v>
      </c>
      <c r="K82" s="47">
        <v>170</v>
      </c>
      <c r="L82" s="47">
        <v>180</v>
      </c>
      <c r="M82" s="47">
        <f t="shared" ref="M82:M145" si="4">SUM(K82:L82)</f>
        <v>350</v>
      </c>
      <c r="N82" s="48" t="s">
        <v>272</v>
      </c>
      <c r="O82" s="48" t="s">
        <v>273</v>
      </c>
    </row>
    <row r="83" spans="1:15" ht="76.5" x14ac:dyDescent="0.2">
      <c r="A83" s="45" t="s">
        <v>274</v>
      </c>
      <c r="B83" s="46" t="s">
        <v>6553</v>
      </c>
      <c r="C83" s="46" t="s">
        <v>6553</v>
      </c>
      <c r="D83" s="46" t="s">
        <v>269</v>
      </c>
      <c r="E83" s="46" t="s">
        <v>275</v>
      </c>
      <c r="F83" s="46" t="s">
        <v>68</v>
      </c>
      <c r="G83" s="46" t="s">
        <v>68</v>
      </c>
      <c r="H83" s="46" t="s">
        <v>68</v>
      </c>
      <c r="I83" s="46" t="s">
        <v>68</v>
      </c>
      <c r="J83" s="46" t="s">
        <v>71</v>
      </c>
      <c r="K83" s="47">
        <v>150</v>
      </c>
      <c r="L83" s="47">
        <v>120</v>
      </c>
      <c r="M83" s="47">
        <f t="shared" si="4"/>
        <v>270</v>
      </c>
      <c r="N83" s="48" t="s">
        <v>276</v>
      </c>
      <c r="O83" s="48" t="s">
        <v>277</v>
      </c>
    </row>
    <row r="84" spans="1:15" ht="51" x14ac:dyDescent="0.2">
      <c r="A84" s="45" t="s">
        <v>278</v>
      </c>
      <c r="B84" s="46" t="s">
        <v>279</v>
      </c>
      <c r="C84" s="46" t="s">
        <v>279</v>
      </c>
      <c r="D84" s="46" t="s">
        <v>269</v>
      </c>
      <c r="E84" s="46" t="s">
        <v>258</v>
      </c>
      <c r="F84" s="46" t="s">
        <v>68</v>
      </c>
      <c r="G84" s="46" t="s">
        <v>68</v>
      </c>
      <c r="H84" s="46" t="s">
        <v>68</v>
      </c>
      <c r="I84" s="46"/>
      <c r="J84" s="46" t="s">
        <v>71</v>
      </c>
      <c r="K84" s="47">
        <v>140</v>
      </c>
      <c r="L84" s="47">
        <v>70</v>
      </c>
      <c r="M84" s="47">
        <f t="shared" si="4"/>
        <v>210</v>
      </c>
      <c r="N84" s="48" t="s">
        <v>280</v>
      </c>
      <c r="O84" s="48" t="s">
        <v>281</v>
      </c>
    </row>
    <row r="85" spans="1:15" ht="89.25" x14ac:dyDescent="0.2">
      <c r="A85" s="45" t="s">
        <v>282</v>
      </c>
      <c r="B85" s="46" t="s">
        <v>283</v>
      </c>
      <c r="C85" s="46" t="s">
        <v>283</v>
      </c>
      <c r="D85" s="46" t="s">
        <v>269</v>
      </c>
      <c r="E85" s="46" t="s">
        <v>68</v>
      </c>
      <c r="F85" s="46" t="s">
        <v>68</v>
      </c>
      <c r="G85" s="46"/>
      <c r="H85" s="46" t="s">
        <v>68</v>
      </c>
      <c r="I85" s="46"/>
      <c r="J85" s="46" t="s">
        <v>71</v>
      </c>
      <c r="K85" s="47">
        <v>170</v>
      </c>
      <c r="L85" s="47">
        <f>L83+L84</f>
        <v>190</v>
      </c>
      <c r="M85" s="47">
        <f t="shared" si="4"/>
        <v>360</v>
      </c>
      <c r="N85" s="48" t="s">
        <v>284</v>
      </c>
      <c r="O85" s="48" t="s">
        <v>285</v>
      </c>
    </row>
    <row r="86" spans="1:15" ht="63.75" x14ac:dyDescent="0.2">
      <c r="A86" s="45" t="s">
        <v>286</v>
      </c>
      <c r="B86" s="46" t="s">
        <v>287</v>
      </c>
      <c r="C86" s="46" t="s">
        <v>287</v>
      </c>
      <c r="D86" s="46" t="s">
        <v>269</v>
      </c>
      <c r="E86" s="46" t="s">
        <v>68</v>
      </c>
      <c r="F86" s="46" t="s">
        <v>68</v>
      </c>
      <c r="G86" s="46" t="s">
        <v>68</v>
      </c>
      <c r="H86" s="46" t="s">
        <v>68</v>
      </c>
      <c r="I86" s="46"/>
      <c r="J86" s="46" t="s">
        <v>71</v>
      </c>
      <c r="K86" s="47">
        <v>170</v>
      </c>
      <c r="L86" s="47">
        <f>160+15+15</f>
        <v>190</v>
      </c>
      <c r="M86" s="47">
        <f t="shared" si="4"/>
        <v>360</v>
      </c>
      <c r="N86" s="48" t="s">
        <v>288</v>
      </c>
      <c r="O86" s="48" t="s">
        <v>289</v>
      </c>
    </row>
    <row r="87" spans="1:15" ht="102" x14ac:dyDescent="0.2">
      <c r="A87" s="45" t="s">
        <v>290</v>
      </c>
      <c r="B87" s="46" t="s">
        <v>287</v>
      </c>
      <c r="C87" s="46" t="s">
        <v>287</v>
      </c>
      <c r="D87" s="46" t="s">
        <v>269</v>
      </c>
      <c r="E87" s="46" t="s">
        <v>291</v>
      </c>
      <c r="F87" s="46" t="s">
        <v>124</v>
      </c>
      <c r="G87" s="46" t="s">
        <v>68</v>
      </c>
      <c r="H87" s="46" t="s">
        <v>68</v>
      </c>
      <c r="I87" s="46"/>
      <c r="J87" s="46" t="s">
        <v>71</v>
      </c>
      <c r="K87" s="47">
        <f>ROUND($K$86*2,0)</f>
        <v>340</v>
      </c>
      <c r="L87" s="47">
        <f>L86+60</f>
        <v>250</v>
      </c>
      <c r="M87" s="47">
        <f t="shared" si="4"/>
        <v>590</v>
      </c>
      <c r="N87" s="48" t="s">
        <v>288</v>
      </c>
      <c r="O87" s="48" t="s">
        <v>292</v>
      </c>
    </row>
    <row r="88" spans="1:15" ht="114.75" x14ac:dyDescent="0.2">
      <c r="A88" s="45" t="s">
        <v>293</v>
      </c>
      <c r="B88" s="46" t="s">
        <v>287</v>
      </c>
      <c r="C88" s="46" t="s">
        <v>287</v>
      </c>
      <c r="D88" s="46" t="s">
        <v>269</v>
      </c>
      <c r="E88" s="46" t="s">
        <v>291</v>
      </c>
      <c r="F88" s="46" t="s">
        <v>128</v>
      </c>
      <c r="G88" s="46" t="s">
        <v>129</v>
      </c>
      <c r="H88" s="46" t="s">
        <v>68</v>
      </c>
      <c r="I88" s="46"/>
      <c r="J88" s="46" t="s">
        <v>71</v>
      </c>
      <c r="K88" s="47">
        <f>ROUND($K$86*2.5,0)</f>
        <v>425</v>
      </c>
      <c r="L88" s="47">
        <f>L86+60+(5*2)</f>
        <v>260</v>
      </c>
      <c r="M88" s="47">
        <f t="shared" si="4"/>
        <v>685</v>
      </c>
      <c r="N88" s="48" t="s">
        <v>288</v>
      </c>
      <c r="O88" s="48" t="s">
        <v>294</v>
      </c>
    </row>
    <row r="89" spans="1:15" ht="114.75" x14ac:dyDescent="0.2">
      <c r="A89" s="45" t="s">
        <v>295</v>
      </c>
      <c r="B89" s="46" t="s">
        <v>287</v>
      </c>
      <c r="C89" s="46" t="s">
        <v>287</v>
      </c>
      <c r="D89" s="46" t="s">
        <v>269</v>
      </c>
      <c r="E89" s="46" t="s">
        <v>291</v>
      </c>
      <c r="F89" s="46" t="s">
        <v>128</v>
      </c>
      <c r="G89" s="46" t="s">
        <v>132</v>
      </c>
      <c r="H89" s="46" t="s">
        <v>68</v>
      </c>
      <c r="I89" s="46"/>
      <c r="J89" s="46" t="s">
        <v>71</v>
      </c>
      <c r="K89" s="47">
        <f>ROUND($K$86*3,0)</f>
        <v>510</v>
      </c>
      <c r="L89" s="47">
        <f>L86+60+(5*4)</f>
        <v>270</v>
      </c>
      <c r="M89" s="47">
        <f t="shared" si="4"/>
        <v>780</v>
      </c>
      <c r="N89" s="48" t="s">
        <v>288</v>
      </c>
      <c r="O89" s="48" t="s">
        <v>296</v>
      </c>
    </row>
    <row r="90" spans="1:15" ht="127.5" x14ac:dyDescent="0.2">
      <c r="A90" s="45" t="s">
        <v>297</v>
      </c>
      <c r="B90" s="46" t="s">
        <v>287</v>
      </c>
      <c r="C90" s="46" t="s">
        <v>287</v>
      </c>
      <c r="D90" s="46" t="s">
        <v>269</v>
      </c>
      <c r="E90" s="46" t="s">
        <v>291</v>
      </c>
      <c r="F90" s="46" t="s">
        <v>135</v>
      </c>
      <c r="G90" s="46" t="s">
        <v>136</v>
      </c>
      <c r="H90" s="46" t="s">
        <v>129</v>
      </c>
      <c r="I90" s="46"/>
      <c r="J90" s="46" t="s">
        <v>71</v>
      </c>
      <c r="K90" s="47">
        <f>ROUND($K$86*2.5,0)</f>
        <v>425</v>
      </c>
      <c r="L90" s="47">
        <f>L86+60+(25*2)</f>
        <v>300</v>
      </c>
      <c r="M90" s="47">
        <f t="shared" si="4"/>
        <v>725</v>
      </c>
      <c r="N90" s="48" t="s">
        <v>288</v>
      </c>
      <c r="O90" s="48" t="s">
        <v>298</v>
      </c>
    </row>
    <row r="91" spans="1:15" ht="127.5" x14ac:dyDescent="0.2">
      <c r="A91" s="45" t="s">
        <v>299</v>
      </c>
      <c r="B91" s="46" t="s">
        <v>287</v>
      </c>
      <c r="C91" s="46" t="s">
        <v>287</v>
      </c>
      <c r="D91" s="46" t="s">
        <v>269</v>
      </c>
      <c r="E91" s="46" t="s">
        <v>291</v>
      </c>
      <c r="F91" s="46" t="s">
        <v>135</v>
      </c>
      <c r="G91" s="46" t="s">
        <v>136</v>
      </c>
      <c r="H91" s="46" t="s">
        <v>132</v>
      </c>
      <c r="I91" s="46"/>
      <c r="J91" s="46" t="s">
        <v>71</v>
      </c>
      <c r="K91" s="47">
        <f>ROUND($K$86*3,0)</f>
        <v>510</v>
      </c>
      <c r="L91" s="47">
        <f>L86+80+(25*4)</f>
        <v>370</v>
      </c>
      <c r="M91" s="47">
        <f t="shared" si="4"/>
        <v>880</v>
      </c>
      <c r="N91" s="48" t="s">
        <v>288</v>
      </c>
      <c r="O91" s="48" t="s">
        <v>300</v>
      </c>
    </row>
    <row r="92" spans="1:15" ht="127.5" x14ac:dyDescent="0.2">
      <c r="A92" s="45" t="s">
        <v>301</v>
      </c>
      <c r="B92" s="46" t="s">
        <v>287</v>
      </c>
      <c r="C92" s="46" t="s">
        <v>287</v>
      </c>
      <c r="D92" s="46" t="s">
        <v>269</v>
      </c>
      <c r="E92" s="46" t="s">
        <v>291</v>
      </c>
      <c r="F92" s="46" t="s">
        <v>135</v>
      </c>
      <c r="G92" s="46" t="s">
        <v>136</v>
      </c>
      <c r="H92" s="46" t="s">
        <v>141</v>
      </c>
      <c r="I92" s="46"/>
      <c r="J92" s="46" t="s">
        <v>71</v>
      </c>
      <c r="K92" s="47">
        <f>ROUND($K$86*3.5,0)</f>
        <v>595</v>
      </c>
      <c r="L92" s="47">
        <f>L86+100+(25*6)</f>
        <v>440</v>
      </c>
      <c r="M92" s="47">
        <f t="shared" si="4"/>
        <v>1035</v>
      </c>
      <c r="N92" s="48" t="s">
        <v>288</v>
      </c>
      <c r="O92" s="48" t="s">
        <v>302</v>
      </c>
    </row>
    <row r="93" spans="1:15" ht="127.5" x14ac:dyDescent="0.2">
      <c r="A93" s="45" t="s">
        <v>303</v>
      </c>
      <c r="B93" s="46" t="s">
        <v>287</v>
      </c>
      <c r="C93" s="46" t="s">
        <v>287</v>
      </c>
      <c r="D93" s="46" t="s">
        <v>269</v>
      </c>
      <c r="E93" s="46" t="s">
        <v>291</v>
      </c>
      <c r="F93" s="46" t="s">
        <v>135</v>
      </c>
      <c r="G93" s="46" t="s">
        <v>144</v>
      </c>
      <c r="H93" s="46" t="s">
        <v>129</v>
      </c>
      <c r="I93" s="46"/>
      <c r="J93" s="46" t="s">
        <v>71</v>
      </c>
      <c r="K93" s="47">
        <f>ROUND($K$86*3,0)</f>
        <v>510</v>
      </c>
      <c r="L93" s="47">
        <f>L86+60+(50*2)</f>
        <v>350</v>
      </c>
      <c r="M93" s="47">
        <f t="shared" si="4"/>
        <v>860</v>
      </c>
      <c r="N93" s="48" t="s">
        <v>288</v>
      </c>
      <c r="O93" s="48" t="s">
        <v>304</v>
      </c>
    </row>
    <row r="94" spans="1:15" ht="127.5" x14ac:dyDescent="0.2">
      <c r="A94" s="45" t="s">
        <v>305</v>
      </c>
      <c r="B94" s="46" t="s">
        <v>287</v>
      </c>
      <c r="C94" s="46" t="s">
        <v>287</v>
      </c>
      <c r="D94" s="46" t="s">
        <v>269</v>
      </c>
      <c r="E94" s="46" t="s">
        <v>291</v>
      </c>
      <c r="F94" s="46" t="s">
        <v>135</v>
      </c>
      <c r="G94" s="46" t="s">
        <v>144</v>
      </c>
      <c r="H94" s="46" t="s">
        <v>132</v>
      </c>
      <c r="I94" s="46"/>
      <c r="J94" s="46" t="s">
        <v>71</v>
      </c>
      <c r="K94" s="47">
        <f>ROUND($K$86*3.5,0)</f>
        <v>595</v>
      </c>
      <c r="L94" s="47">
        <f>L86+80+(50*4)</f>
        <v>470</v>
      </c>
      <c r="M94" s="47">
        <f t="shared" si="4"/>
        <v>1065</v>
      </c>
      <c r="N94" s="48" t="s">
        <v>288</v>
      </c>
      <c r="O94" s="48" t="s">
        <v>306</v>
      </c>
    </row>
    <row r="95" spans="1:15" ht="127.5" x14ac:dyDescent="0.2">
      <c r="A95" s="45" t="s">
        <v>307</v>
      </c>
      <c r="B95" s="46" t="s">
        <v>287</v>
      </c>
      <c r="C95" s="46" t="s">
        <v>287</v>
      </c>
      <c r="D95" s="46" t="s">
        <v>269</v>
      </c>
      <c r="E95" s="46" t="s">
        <v>291</v>
      </c>
      <c r="F95" s="46" t="s">
        <v>135</v>
      </c>
      <c r="G95" s="46" t="s">
        <v>149</v>
      </c>
      <c r="H95" s="46" t="s">
        <v>129</v>
      </c>
      <c r="I95" s="46"/>
      <c r="J95" s="46" t="s">
        <v>71</v>
      </c>
      <c r="K95" s="47">
        <f>ROUND($K$86*3,0)</f>
        <v>510</v>
      </c>
      <c r="L95" s="47">
        <f>L86+80+(75*2)</f>
        <v>420</v>
      </c>
      <c r="M95" s="47">
        <f t="shared" si="4"/>
        <v>930</v>
      </c>
      <c r="N95" s="48" t="s">
        <v>288</v>
      </c>
      <c r="O95" s="48" t="s">
        <v>308</v>
      </c>
    </row>
    <row r="96" spans="1:15" ht="127.5" x14ac:dyDescent="0.2">
      <c r="A96" s="45" t="s">
        <v>309</v>
      </c>
      <c r="B96" s="46" t="s">
        <v>287</v>
      </c>
      <c r="C96" s="46" t="s">
        <v>287</v>
      </c>
      <c r="D96" s="46" t="s">
        <v>269</v>
      </c>
      <c r="E96" s="46" t="s">
        <v>291</v>
      </c>
      <c r="F96" s="46" t="s">
        <v>135</v>
      </c>
      <c r="G96" s="46" t="s">
        <v>149</v>
      </c>
      <c r="H96" s="46" t="s">
        <v>132</v>
      </c>
      <c r="I96" s="46"/>
      <c r="J96" s="46" t="s">
        <v>71</v>
      </c>
      <c r="K96" s="47">
        <f>ROUND($K$86*3.5,0)</f>
        <v>595</v>
      </c>
      <c r="L96" s="47">
        <f>L86+100+(75*4)</f>
        <v>590</v>
      </c>
      <c r="M96" s="47">
        <f t="shared" si="4"/>
        <v>1185</v>
      </c>
      <c r="N96" s="48" t="s">
        <v>288</v>
      </c>
      <c r="O96" s="48" t="s">
        <v>310</v>
      </c>
    </row>
    <row r="97" spans="1:15" ht="127.5" x14ac:dyDescent="0.2">
      <c r="A97" s="45" t="s">
        <v>311</v>
      </c>
      <c r="B97" s="46" t="s">
        <v>287</v>
      </c>
      <c r="C97" s="46" t="s">
        <v>287</v>
      </c>
      <c r="D97" s="46" t="s">
        <v>269</v>
      </c>
      <c r="E97" s="46" t="s">
        <v>291</v>
      </c>
      <c r="F97" s="46" t="s">
        <v>135</v>
      </c>
      <c r="G97" s="46" t="s">
        <v>154</v>
      </c>
      <c r="H97" s="46" t="s">
        <v>129</v>
      </c>
      <c r="I97" s="46"/>
      <c r="J97" s="46" t="s">
        <v>71</v>
      </c>
      <c r="K97" s="47">
        <f>ROUND($K$86*3,0)</f>
        <v>510</v>
      </c>
      <c r="L97" s="47">
        <f>L86+100+(100*2)</f>
        <v>490</v>
      </c>
      <c r="M97" s="47">
        <f t="shared" si="4"/>
        <v>1000</v>
      </c>
      <c r="N97" s="48" t="s">
        <v>288</v>
      </c>
      <c r="O97" s="48" t="s">
        <v>312</v>
      </c>
    </row>
    <row r="98" spans="1:15" ht="127.5" x14ac:dyDescent="0.2">
      <c r="A98" s="45" t="s">
        <v>313</v>
      </c>
      <c r="B98" s="46" t="s">
        <v>287</v>
      </c>
      <c r="C98" s="46" t="s">
        <v>287</v>
      </c>
      <c r="D98" s="46" t="s">
        <v>269</v>
      </c>
      <c r="E98" s="46" t="s">
        <v>291</v>
      </c>
      <c r="F98" s="46" t="s">
        <v>135</v>
      </c>
      <c r="G98" s="46" t="s">
        <v>154</v>
      </c>
      <c r="H98" s="46" t="s">
        <v>132</v>
      </c>
      <c r="I98" s="46"/>
      <c r="J98" s="46" t="s">
        <v>71</v>
      </c>
      <c r="K98" s="47">
        <f>ROUND($K$86*3.5,0)</f>
        <v>595</v>
      </c>
      <c r="L98" s="47">
        <f>L86+120+(100*4)</f>
        <v>710</v>
      </c>
      <c r="M98" s="47">
        <f t="shared" si="4"/>
        <v>1305</v>
      </c>
      <c r="N98" s="48" t="s">
        <v>288</v>
      </c>
      <c r="O98" s="48" t="s">
        <v>314</v>
      </c>
    </row>
    <row r="99" spans="1:15" ht="102" x14ac:dyDescent="0.2">
      <c r="A99" s="45" t="s">
        <v>315</v>
      </c>
      <c r="B99" s="46" t="s">
        <v>287</v>
      </c>
      <c r="C99" s="46" t="s">
        <v>287</v>
      </c>
      <c r="D99" s="46" t="s">
        <v>269</v>
      </c>
      <c r="E99" s="46" t="s">
        <v>291</v>
      </c>
      <c r="F99" s="46" t="s">
        <v>159</v>
      </c>
      <c r="G99" s="46" t="s">
        <v>132</v>
      </c>
      <c r="H99" s="46" t="s">
        <v>68</v>
      </c>
      <c r="I99" s="46"/>
      <c r="J99" s="46" t="s">
        <v>71</v>
      </c>
      <c r="K99" s="47">
        <f>ROUND($K$86*2,0)</f>
        <v>340</v>
      </c>
      <c r="L99" s="47">
        <f>L86+60</f>
        <v>250</v>
      </c>
      <c r="M99" s="47">
        <f t="shared" si="4"/>
        <v>590</v>
      </c>
      <c r="N99" s="48" t="s">
        <v>288</v>
      </c>
      <c r="O99" s="48" t="s">
        <v>316</v>
      </c>
    </row>
    <row r="100" spans="1:15" ht="89.25" x14ac:dyDescent="0.2">
      <c r="A100" s="45" t="s">
        <v>317</v>
      </c>
      <c r="B100" s="46" t="s">
        <v>318</v>
      </c>
      <c r="C100" s="46" t="s">
        <v>318</v>
      </c>
      <c r="D100" s="46" t="s">
        <v>319</v>
      </c>
      <c r="E100" s="46" t="s">
        <v>68</v>
      </c>
      <c r="F100" s="46" t="s">
        <v>68</v>
      </c>
      <c r="G100" s="46" t="s">
        <v>68</v>
      </c>
      <c r="H100" s="46" t="s">
        <v>68</v>
      </c>
      <c r="I100" s="46"/>
      <c r="J100" s="46" t="s">
        <v>71</v>
      </c>
      <c r="K100" s="47">
        <v>150</v>
      </c>
      <c r="L100" s="47">
        <v>70</v>
      </c>
      <c r="M100" s="47">
        <f t="shared" si="4"/>
        <v>220</v>
      </c>
      <c r="N100" s="48" t="s">
        <v>320</v>
      </c>
      <c r="O100" s="48" t="s">
        <v>321</v>
      </c>
    </row>
    <row r="101" spans="1:15" ht="51" x14ac:dyDescent="0.2">
      <c r="A101" s="45" t="s">
        <v>322</v>
      </c>
      <c r="B101" s="46" t="s">
        <v>323</v>
      </c>
      <c r="C101" s="46" t="s">
        <v>323</v>
      </c>
      <c r="D101" s="46" t="s">
        <v>319</v>
      </c>
      <c r="E101" s="46" t="s">
        <v>258</v>
      </c>
      <c r="F101" s="46" t="s">
        <v>68</v>
      </c>
      <c r="G101" s="46" t="s">
        <v>68</v>
      </c>
      <c r="H101" s="46" t="s">
        <v>68</v>
      </c>
      <c r="I101" s="46"/>
      <c r="J101" s="46" t="s">
        <v>71</v>
      </c>
      <c r="K101" s="47">
        <v>140</v>
      </c>
      <c r="L101" s="47">
        <v>70</v>
      </c>
      <c r="M101" s="47">
        <f t="shared" si="4"/>
        <v>210</v>
      </c>
      <c r="N101" s="48" t="s">
        <v>324</v>
      </c>
      <c r="O101" s="48" t="s">
        <v>325</v>
      </c>
    </row>
    <row r="102" spans="1:15" ht="89.25" x14ac:dyDescent="0.2">
      <c r="A102" s="45" t="s">
        <v>326</v>
      </c>
      <c r="B102" s="46" t="s">
        <v>327</v>
      </c>
      <c r="C102" s="46" t="s">
        <v>327</v>
      </c>
      <c r="D102" s="46" t="s">
        <v>319</v>
      </c>
      <c r="E102" s="46" t="s">
        <v>258</v>
      </c>
      <c r="F102" s="46" t="s">
        <v>68</v>
      </c>
      <c r="G102" s="46" t="s">
        <v>68</v>
      </c>
      <c r="H102" s="46" t="s">
        <v>68</v>
      </c>
      <c r="I102" s="46"/>
      <c r="J102" s="46" t="s">
        <v>71</v>
      </c>
      <c r="K102" s="47">
        <v>160</v>
      </c>
      <c r="L102" s="47">
        <v>120</v>
      </c>
      <c r="M102" s="47">
        <f t="shared" si="4"/>
        <v>280</v>
      </c>
      <c r="N102" s="48" t="s">
        <v>328</v>
      </c>
      <c r="O102" s="48" t="s">
        <v>329</v>
      </c>
    </row>
    <row r="103" spans="1:15" ht="63.75" x14ac:dyDescent="0.2">
      <c r="A103" s="45" t="s">
        <v>330</v>
      </c>
      <c r="B103" s="46" t="s">
        <v>331</v>
      </c>
      <c r="C103" s="46" t="s">
        <v>331</v>
      </c>
      <c r="D103" s="46" t="s">
        <v>319</v>
      </c>
      <c r="E103" s="46" t="s">
        <v>68</v>
      </c>
      <c r="F103" s="46" t="s">
        <v>68</v>
      </c>
      <c r="G103" s="46" t="s">
        <v>68</v>
      </c>
      <c r="H103" s="46" t="s">
        <v>68</v>
      </c>
      <c r="I103" s="46"/>
      <c r="J103" s="46" t="s">
        <v>71</v>
      </c>
      <c r="K103" s="47">
        <v>160</v>
      </c>
      <c r="L103" s="47">
        <v>110</v>
      </c>
      <c r="M103" s="47">
        <f t="shared" si="4"/>
        <v>270</v>
      </c>
      <c r="N103" s="48" t="s">
        <v>332</v>
      </c>
      <c r="O103" s="48" t="s">
        <v>333</v>
      </c>
    </row>
    <row r="104" spans="1:15" ht="89.25" x14ac:dyDescent="0.2">
      <c r="A104" s="45" t="s">
        <v>334</v>
      </c>
      <c r="B104" s="46" t="s">
        <v>331</v>
      </c>
      <c r="C104" s="46" t="s">
        <v>331</v>
      </c>
      <c r="D104" s="46" t="s">
        <v>319</v>
      </c>
      <c r="E104" s="46" t="s">
        <v>291</v>
      </c>
      <c r="F104" s="46" t="s">
        <v>124</v>
      </c>
      <c r="G104" s="46" t="s">
        <v>68</v>
      </c>
      <c r="H104" s="46" t="s">
        <v>68</v>
      </c>
      <c r="I104" s="46"/>
      <c r="J104" s="46" t="s">
        <v>71</v>
      </c>
      <c r="K104" s="47">
        <f>ROUND($K$103*2,0)</f>
        <v>320</v>
      </c>
      <c r="L104" s="47">
        <f>L103+60</f>
        <v>170</v>
      </c>
      <c r="M104" s="47">
        <f t="shared" si="4"/>
        <v>490</v>
      </c>
      <c r="N104" s="48" t="s">
        <v>332</v>
      </c>
      <c r="O104" s="48" t="s">
        <v>335</v>
      </c>
    </row>
    <row r="105" spans="1:15" ht="114.75" x14ac:dyDescent="0.2">
      <c r="A105" s="45" t="s">
        <v>336</v>
      </c>
      <c r="B105" s="46" t="s">
        <v>331</v>
      </c>
      <c r="C105" s="46" t="s">
        <v>331</v>
      </c>
      <c r="D105" s="46" t="s">
        <v>319</v>
      </c>
      <c r="E105" s="46" t="s">
        <v>291</v>
      </c>
      <c r="F105" s="46" t="s">
        <v>337</v>
      </c>
      <c r="G105" s="46" t="s">
        <v>129</v>
      </c>
      <c r="H105" s="46" t="s">
        <v>68</v>
      </c>
      <c r="I105" s="46"/>
      <c r="J105" s="46" t="s">
        <v>71</v>
      </c>
      <c r="K105" s="47">
        <f>ROUND($K$103*2.5,0)</f>
        <v>400</v>
      </c>
      <c r="L105" s="47">
        <f>L103+60+(5*2)</f>
        <v>180</v>
      </c>
      <c r="M105" s="47">
        <f t="shared" si="4"/>
        <v>580</v>
      </c>
      <c r="N105" s="48" t="s">
        <v>332</v>
      </c>
      <c r="O105" s="48" t="s">
        <v>338</v>
      </c>
    </row>
    <row r="106" spans="1:15" ht="114.75" x14ac:dyDescent="0.2">
      <c r="A106" s="45" t="s">
        <v>339</v>
      </c>
      <c r="B106" s="46" t="s">
        <v>331</v>
      </c>
      <c r="C106" s="46" t="s">
        <v>331</v>
      </c>
      <c r="D106" s="46" t="s">
        <v>319</v>
      </c>
      <c r="E106" s="46" t="s">
        <v>291</v>
      </c>
      <c r="F106" s="46" t="s">
        <v>128</v>
      </c>
      <c r="G106" s="46" t="s">
        <v>132</v>
      </c>
      <c r="H106" s="46" t="s">
        <v>68</v>
      </c>
      <c r="I106" s="46"/>
      <c r="J106" s="46" t="s">
        <v>71</v>
      </c>
      <c r="K106" s="47">
        <f>ROUND($K$103*3,0)</f>
        <v>480</v>
      </c>
      <c r="L106" s="47">
        <f>L103+60+(5*4)</f>
        <v>190</v>
      </c>
      <c r="M106" s="47">
        <f t="shared" si="4"/>
        <v>670</v>
      </c>
      <c r="N106" s="48" t="s">
        <v>332</v>
      </c>
      <c r="O106" s="48" t="s">
        <v>340</v>
      </c>
    </row>
    <row r="107" spans="1:15" ht="127.5" x14ac:dyDescent="0.2">
      <c r="A107" s="45" t="s">
        <v>341</v>
      </c>
      <c r="B107" s="46" t="s">
        <v>331</v>
      </c>
      <c r="C107" s="46" t="s">
        <v>331</v>
      </c>
      <c r="D107" s="46" t="s">
        <v>319</v>
      </c>
      <c r="E107" s="46" t="s">
        <v>291</v>
      </c>
      <c r="F107" s="46" t="s">
        <v>135</v>
      </c>
      <c r="G107" s="46" t="s">
        <v>136</v>
      </c>
      <c r="H107" s="46" t="s">
        <v>129</v>
      </c>
      <c r="I107" s="46"/>
      <c r="J107" s="46" t="s">
        <v>71</v>
      </c>
      <c r="K107" s="47">
        <f>ROUND($K$103*2.5,0)</f>
        <v>400</v>
      </c>
      <c r="L107" s="47">
        <f>L103+60+(25*2)</f>
        <v>220</v>
      </c>
      <c r="M107" s="47">
        <f t="shared" si="4"/>
        <v>620</v>
      </c>
      <c r="N107" s="48" t="s">
        <v>332</v>
      </c>
      <c r="O107" s="48" t="s">
        <v>342</v>
      </c>
    </row>
    <row r="108" spans="1:15" ht="127.5" x14ac:dyDescent="0.2">
      <c r="A108" s="45" t="s">
        <v>343</v>
      </c>
      <c r="B108" s="46" t="s">
        <v>331</v>
      </c>
      <c r="C108" s="46" t="s">
        <v>331</v>
      </c>
      <c r="D108" s="46" t="s">
        <v>319</v>
      </c>
      <c r="E108" s="46" t="s">
        <v>291</v>
      </c>
      <c r="F108" s="46" t="s">
        <v>135</v>
      </c>
      <c r="G108" s="46" t="s">
        <v>136</v>
      </c>
      <c r="H108" s="46" t="s">
        <v>132</v>
      </c>
      <c r="I108" s="46"/>
      <c r="J108" s="46" t="s">
        <v>71</v>
      </c>
      <c r="K108" s="47">
        <f>ROUND($K$103*3,0)</f>
        <v>480</v>
      </c>
      <c r="L108" s="47">
        <f>L103+80+(25*4)</f>
        <v>290</v>
      </c>
      <c r="M108" s="47">
        <f t="shared" si="4"/>
        <v>770</v>
      </c>
      <c r="N108" s="48" t="s">
        <v>332</v>
      </c>
      <c r="O108" s="48" t="s">
        <v>344</v>
      </c>
    </row>
    <row r="109" spans="1:15" ht="127.5" x14ac:dyDescent="0.2">
      <c r="A109" s="45" t="s">
        <v>345</v>
      </c>
      <c r="B109" s="46" t="s">
        <v>331</v>
      </c>
      <c r="C109" s="46" t="s">
        <v>331</v>
      </c>
      <c r="D109" s="46" t="s">
        <v>319</v>
      </c>
      <c r="E109" s="46" t="s">
        <v>291</v>
      </c>
      <c r="F109" s="46" t="s">
        <v>135</v>
      </c>
      <c r="G109" s="46" t="s">
        <v>136</v>
      </c>
      <c r="H109" s="46" t="s">
        <v>141</v>
      </c>
      <c r="I109" s="46"/>
      <c r="J109" s="46" t="s">
        <v>71</v>
      </c>
      <c r="K109" s="47">
        <f>ROUND($K$103*3.5,0)</f>
        <v>560</v>
      </c>
      <c r="L109" s="47">
        <f>L103+100+(25*6)</f>
        <v>360</v>
      </c>
      <c r="M109" s="47">
        <f t="shared" si="4"/>
        <v>920</v>
      </c>
      <c r="N109" s="48" t="s">
        <v>332</v>
      </c>
      <c r="O109" s="48" t="s">
        <v>346</v>
      </c>
    </row>
    <row r="110" spans="1:15" ht="127.5" x14ac:dyDescent="0.2">
      <c r="A110" s="45" t="s">
        <v>347</v>
      </c>
      <c r="B110" s="46" t="s">
        <v>331</v>
      </c>
      <c r="C110" s="46" t="s">
        <v>331</v>
      </c>
      <c r="D110" s="46" t="s">
        <v>319</v>
      </c>
      <c r="E110" s="46" t="s">
        <v>291</v>
      </c>
      <c r="F110" s="46" t="s">
        <v>135</v>
      </c>
      <c r="G110" s="46" t="s">
        <v>144</v>
      </c>
      <c r="H110" s="46" t="s">
        <v>129</v>
      </c>
      <c r="I110" s="46"/>
      <c r="J110" s="46" t="s">
        <v>71</v>
      </c>
      <c r="K110" s="47">
        <f>ROUND($K$103*3,0)</f>
        <v>480</v>
      </c>
      <c r="L110" s="47">
        <f>L103+60+(50*2)</f>
        <v>270</v>
      </c>
      <c r="M110" s="47">
        <f t="shared" si="4"/>
        <v>750</v>
      </c>
      <c r="N110" s="48" t="s">
        <v>332</v>
      </c>
      <c r="O110" s="48" t="s">
        <v>348</v>
      </c>
    </row>
    <row r="111" spans="1:15" ht="127.5" x14ac:dyDescent="0.2">
      <c r="A111" s="45" t="s">
        <v>349</v>
      </c>
      <c r="B111" s="46" t="s">
        <v>331</v>
      </c>
      <c r="C111" s="46" t="s">
        <v>331</v>
      </c>
      <c r="D111" s="46" t="s">
        <v>319</v>
      </c>
      <c r="E111" s="46" t="s">
        <v>291</v>
      </c>
      <c r="F111" s="46" t="s">
        <v>135</v>
      </c>
      <c r="G111" s="46" t="s">
        <v>144</v>
      </c>
      <c r="H111" s="46" t="s">
        <v>132</v>
      </c>
      <c r="I111" s="46"/>
      <c r="J111" s="46" t="s">
        <v>71</v>
      </c>
      <c r="K111" s="47">
        <f>ROUND($K$103*3.5,0)</f>
        <v>560</v>
      </c>
      <c r="L111" s="47">
        <f>L103+80+(50*4)</f>
        <v>390</v>
      </c>
      <c r="M111" s="47">
        <f t="shared" si="4"/>
        <v>950</v>
      </c>
      <c r="N111" s="48" t="s">
        <v>332</v>
      </c>
      <c r="O111" s="48" t="s">
        <v>350</v>
      </c>
    </row>
    <row r="112" spans="1:15" ht="127.5" x14ac:dyDescent="0.2">
      <c r="A112" s="45" t="s">
        <v>351</v>
      </c>
      <c r="B112" s="46" t="s">
        <v>331</v>
      </c>
      <c r="C112" s="46" t="s">
        <v>331</v>
      </c>
      <c r="D112" s="46" t="s">
        <v>319</v>
      </c>
      <c r="E112" s="46" t="s">
        <v>291</v>
      </c>
      <c r="F112" s="46" t="s">
        <v>135</v>
      </c>
      <c r="G112" s="46" t="s">
        <v>149</v>
      </c>
      <c r="H112" s="46" t="s">
        <v>129</v>
      </c>
      <c r="I112" s="46"/>
      <c r="J112" s="46" t="s">
        <v>71</v>
      </c>
      <c r="K112" s="47">
        <f>ROUND($K$103*3,0)</f>
        <v>480</v>
      </c>
      <c r="L112" s="47">
        <f>L103+80+(75*2)</f>
        <v>340</v>
      </c>
      <c r="M112" s="47">
        <f t="shared" si="4"/>
        <v>820</v>
      </c>
      <c r="N112" s="48" t="s">
        <v>332</v>
      </c>
      <c r="O112" s="48" t="s">
        <v>352</v>
      </c>
    </row>
    <row r="113" spans="1:15" ht="127.5" x14ac:dyDescent="0.2">
      <c r="A113" s="45" t="s">
        <v>353</v>
      </c>
      <c r="B113" s="46" t="s">
        <v>331</v>
      </c>
      <c r="C113" s="46" t="s">
        <v>331</v>
      </c>
      <c r="D113" s="46" t="s">
        <v>319</v>
      </c>
      <c r="E113" s="46" t="s">
        <v>291</v>
      </c>
      <c r="F113" s="46" t="s">
        <v>135</v>
      </c>
      <c r="G113" s="46" t="s">
        <v>149</v>
      </c>
      <c r="H113" s="46" t="s">
        <v>132</v>
      </c>
      <c r="I113" s="46"/>
      <c r="J113" s="46" t="s">
        <v>71</v>
      </c>
      <c r="K113" s="47">
        <f>ROUND($K$103*3.5,0)</f>
        <v>560</v>
      </c>
      <c r="L113" s="47">
        <f>L103+100+(75*4)</f>
        <v>510</v>
      </c>
      <c r="M113" s="47">
        <f t="shared" si="4"/>
        <v>1070</v>
      </c>
      <c r="N113" s="48" t="s">
        <v>332</v>
      </c>
      <c r="O113" s="48" t="s">
        <v>354</v>
      </c>
    </row>
    <row r="114" spans="1:15" ht="127.5" x14ac:dyDescent="0.2">
      <c r="A114" s="45" t="s">
        <v>355</v>
      </c>
      <c r="B114" s="46" t="s">
        <v>331</v>
      </c>
      <c r="C114" s="46" t="s">
        <v>331</v>
      </c>
      <c r="D114" s="46" t="s">
        <v>319</v>
      </c>
      <c r="E114" s="46" t="s">
        <v>291</v>
      </c>
      <c r="F114" s="46" t="s">
        <v>135</v>
      </c>
      <c r="G114" s="46" t="s">
        <v>154</v>
      </c>
      <c r="H114" s="46" t="s">
        <v>129</v>
      </c>
      <c r="I114" s="46"/>
      <c r="J114" s="46" t="s">
        <v>71</v>
      </c>
      <c r="K114" s="47">
        <f>ROUND($K$103*3,0)</f>
        <v>480</v>
      </c>
      <c r="L114" s="47">
        <f>L103+100+(100*2)</f>
        <v>410</v>
      </c>
      <c r="M114" s="47">
        <f t="shared" si="4"/>
        <v>890</v>
      </c>
      <c r="N114" s="48" t="s">
        <v>332</v>
      </c>
      <c r="O114" s="48" t="s">
        <v>356</v>
      </c>
    </row>
    <row r="115" spans="1:15" ht="127.5" x14ac:dyDescent="0.2">
      <c r="A115" s="45" t="s">
        <v>357</v>
      </c>
      <c r="B115" s="46" t="s">
        <v>331</v>
      </c>
      <c r="C115" s="46" t="s">
        <v>331</v>
      </c>
      <c r="D115" s="46" t="s">
        <v>319</v>
      </c>
      <c r="E115" s="46" t="s">
        <v>291</v>
      </c>
      <c r="F115" s="46" t="s">
        <v>135</v>
      </c>
      <c r="G115" s="46" t="s">
        <v>154</v>
      </c>
      <c r="H115" s="46" t="s">
        <v>132</v>
      </c>
      <c r="I115" s="46"/>
      <c r="J115" s="46" t="s">
        <v>71</v>
      </c>
      <c r="K115" s="47">
        <f>ROUND($K$103*3.5,0)</f>
        <v>560</v>
      </c>
      <c r="L115" s="47">
        <f>L103+120+(100*4)</f>
        <v>630</v>
      </c>
      <c r="M115" s="47">
        <f t="shared" si="4"/>
        <v>1190</v>
      </c>
      <c r="N115" s="48" t="s">
        <v>332</v>
      </c>
      <c r="O115" s="48" t="s">
        <v>358</v>
      </c>
    </row>
    <row r="116" spans="1:15" ht="102" x14ac:dyDescent="0.2">
      <c r="A116" s="45" t="s">
        <v>359</v>
      </c>
      <c r="B116" s="46" t="s">
        <v>331</v>
      </c>
      <c r="C116" s="46" t="s">
        <v>331</v>
      </c>
      <c r="D116" s="46" t="s">
        <v>319</v>
      </c>
      <c r="E116" s="46" t="s">
        <v>291</v>
      </c>
      <c r="F116" s="46" t="s">
        <v>159</v>
      </c>
      <c r="G116" s="46" t="s">
        <v>132</v>
      </c>
      <c r="H116" s="46" t="s">
        <v>68</v>
      </c>
      <c r="I116" s="46"/>
      <c r="J116" s="46" t="s">
        <v>71</v>
      </c>
      <c r="K116" s="47">
        <f>ROUND($K$103*2,0)</f>
        <v>320</v>
      </c>
      <c r="L116" s="47">
        <f>L103+60</f>
        <v>170</v>
      </c>
      <c r="M116" s="47">
        <f t="shared" si="4"/>
        <v>490</v>
      </c>
      <c r="N116" s="48" t="s">
        <v>332</v>
      </c>
      <c r="O116" s="48" t="s">
        <v>360</v>
      </c>
    </row>
    <row r="117" spans="1:15" ht="76.5" x14ac:dyDescent="0.2">
      <c r="A117" s="45" t="s">
        <v>361</v>
      </c>
      <c r="B117" s="46" t="s">
        <v>362</v>
      </c>
      <c r="C117" s="46" t="s">
        <v>362</v>
      </c>
      <c r="D117" s="46" t="s">
        <v>319</v>
      </c>
      <c r="E117" s="46" t="s">
        <v>68</v>
      </c>
      <c r="F117" s="46" t="s">
        <v>68</v>
      </c>
      <c r="G117" s="46" t="s">
        <v>68</v>
      </c>
      <c r="H117" s="46"/>
      <c r="I117" s="46"/>
      <c r="J117" s="46" t="s">
        <v>71</v>
      </c>
      <c r="K117" s="47">
        <v>220</v>
      </c>
      <c r="L117" s="47">
        <f>220+15+15+15</f>
        <v>265</v>
      </c>
      <c r="M117" s="47">
        <f t="shared" si="4"/>
        <v>485</v>
      </c>
      <c r="N117" s="48" t="s">
        <v>363</v>
      </c>
      <c r="O117" s="48" t="s">
        <v>364</v>
      </c>
    </row>
    <row r="118" spans="1:15" ht="89.25" x14ac:dyDescent="0.2">
      <c r="A118" s="45" t="s">
        <v>365</v>
      </c>
      <c r="B118" s="46" t="s">
        <v>362</v>
      </c>
      <c r="C118" s="46" t="s">
        <v>362</v>
      </c>
      <c r="D118" s="46" t="s">
        <v>319</v>
      </c>
      <c r="E118" s="46" t="s">
        <v>291</v>
      </c>
      <c r="F118" s="46" t="s">
        <v>124</v>
      </c>
      <c r="G118" s="46" t="s">
        <v>68</v>
      </c>
      <c r="H118" s="46" t="s">
        <v>68</v>
      </c>
      <c r="I118" s="46"/>
      <c r="J118" s="46" t="s">
        <v>71</v>
      </c>
      <c r="K118" s="47">
        <f>ROUND($K$117*2,0)</f>
        <v>440</v>
      </c>
      <c r="L118" s="47">
        <f>L117+60</f>
        <v>325</v>
      </c>
      <c r="M118" s="47">
        <f t="shared" si="4"/>
        <v>765</v>
      </c>
      <c r="N118" s="48" t="s">
        <v>363</v>
      </c>
      <c r="O118" s="48" t="s">
        <v>366</v>
      </c>
    </row>
    <row r="119" spans="1:15" ht="89.25" x14ac:dyDescent="0.2">
      <c r="A119" s="45" t="s">
        <v>367</v>
      </c>
      <c r="B119" s="46" t="s">
        <v>362</v>
      </c>
      <c r="C119" s="46" t="s">
        <v>362</v>
      </c>
      <c r="D119" s="46" t="s">
        <v>319</v>
      </c>
      <c r="E119" s="46" t="s">
        <v>291</v>
      </c>
      <c r="F119" s="46" t="s">
        <v>337</v>
      </c>
      <c r="G119" s="46" t="s">
        <v>129</v>
      </c>
      <c r="H119" s="46" t="s">
        <v>68</v>
      </c>
      <c r="I119" s="46"/>
      <c r="J119" s="46" t="s">
        <v>71</v>
      </c>
      <c r="K119" s="47">
        <f>ROUND($K$117*2.5,0)</f>
        <v>550</v>
      </c>
      <c r="L119" s="47">
        <f>L117+60+(5*2)</f>
        <v>335</v>
      </c>
      <c r="M119" s="47">
        <f t="shared" si="4"/>
        <v>885</v>
      </c>
      <c r="N119" s="48" t="s">
        <v>363</v>
      </c>
      <c r="O119" s="71" t="s">
        <v>368</v>
      </c>
    </row>
    <row r="120" spans="1:15" ht="89.25" x14ac:dyDescent="0.2">
      <c r="A120" s="45" t="s">
        <v>369</v>
      </c>
      <c r="B120" s="46" t="s">
        <v>362</v>
      </c>
      <c r="C120" s="46" t="s">
        <v>362</v>
      </c>
      <c r="D120" s="46" t="s">
        <v>319</v>
      </c>
      <c r="E120" s="46" t="s">
        <v>291</v>
      </c>
      <c r="F120" s="46" t="s">
        <v>128</v>
      </c>
      <c r="G120" s="46" t="s">
        <v>132</v>
      </c>
      <c r="H120" s="46" t="s">
        <v>68</v>
      </c>
      <c r="I120" s="46"/>
      <c r="J120" s="46" t="s">
        <v>71</v>
      </c>
      <c r="K120" s="47">
        <f>ROUND($K$117*3,0)</f>
        <v>660</v>
      </c>
      <c r="L120" s="47">
        <f>L117+60+(5*4)</f>
        <v>345</v>
      </c>
      <c r="M120" s="47">
        <f t="shared" si="4"/>
        <v>1005</v>
      </c>
      <c r="N120" s="48" t="s">
        <v>363</v>
      </c>
      <c r="O120" s="71" t="s">
        <v>370</v>
      </c>
    </row>
    <row r="121" spans="1:15" ht="89.25" x14ac:dyDescent="0.2">
      <c r="A121" s="45" t="s">
        <v>371</v>
      </c>
      <c r="B121" s="46" t="s">
        <v>362</v>
      </c>
      <c r="C121" s="46" t="s">
        <v>362</v>
      </c>
      <c r="D121" s="46" t="s">
        <v>319</v>
      </c>
      <c r="E121" s="46" t="s">
        <v>291</v>
      </c>
      <c r="F121" s="46" t="s">
        <v>135</v>
      </c>
      <c r="G121" s="46" t="s">
        <v>136</v>
      </c>
      <c r="H121" s="46" t="s">
        <v>129</v>
      </c>
      <c r="I121" s="46"/>
      <c r="J121" s="46" t="s">
        <v>71</v>
      </c>
      <c r="K121" s="47">
        <f>ROUND($K$117*2.5,0)</f>
        <v>550</v>
      </c>
      <c r="L121" s="47">
        <f>L117+60+(25*2)</f>
        <v>375</v>
      </c>
      <c r="M121" s="47">
        <f t="shared" si="4"/>
        <v>925</v>
      </c>
      <c r="N121" s="48" t="s">
        <v>363</v>
      </c>
      <c r="O121" s="71" t="s">
        <v>372</v>
      </c>
    </row>
    <row r="122" spans="1:15" ht="89.25" x14ac:dyDescent="0.2">
      <c r="A122" s="45" t="s">
        <v>373</v>
      </c>
      <c r="B122" s="46" t="s">
        <v>362</v>
      </c>
      <c r="C122" s="46" t="s">
        <v>362</v>
      </c>
      <c r="D122" s="46" t="s">
        <v>319</v>
      </c>
      <c r="E122" s="46" t="s">
        <v>291</v>
      </c>
      <c r="F122" s="46" t="s">
        <v>135</v>
      </c>
      <c r="G122" s="46" t="s">
        <v>136</v>
      </c>
      <c r="H122" s="46" t="s">
        <v>132</v>
      </c>
      <c r="I122" s="46"/>
      <c r="J122" s="46" t="s">
        <v>71</v>
      </c>
      <c r="K122" s="47">
        <f>ROUND($K$117*3,0)</f>
        <v>660</v>
      </c>
      <c r="L122" s="47">
        <f>L117+80+(25*4)</f>
        <v>445</v>
      </c>
      <c r="M122" s="47">
        <f t="shared" si="4"/>
        <v>1105</v>
      </c>
      <c r="N122" s="48" t="s">
        <v>363</v>
      </c>
      <c r="O122" s="71" t="s">
        <v>374</v>
      </c>
    </row>
    <row r="123" spans="1:15" ht="89.25" x14ac:dyDescent="0.2">
      <c r="A123" s="45" t="s">
        <v>375</v>
      </c>
      <c r="B123" s="46" t="s">
        <v>362</v>
      </c>
      <c r="C123" s="46" t="s">
        <v>362</v>
      </c>
      <c r="D123" s="46" t="s">
        <v>319</v>
      </c>
      <c r="E123" s="46" t="s">
        <v>291</v>
      </c>
      <c r="F123" s="46" t="s">
        <v>135</v>
      </c>
      <c r="G123" s="46" t="s">
        <v>136</v>
      </c>
      <c r="H123" s="46" t="s">
        <v>141</v>
      </c>
      <c r="I123" s="46"/>
      <c r="J123" s="46" t="s">
        <v>71</v>
      </c>
      <c r="K123" s="47">
        <f>ROUND($K$117*3.5,0)</f>
        <v>770</v>
      </c>
      <c r="L123" s="47">
        <f>L117+100+(25*6)</f>
        <v>515</v>
      </c>
      <c r="M123" s="47">
        <f t="shared" si="4"/>
        <v>1285</v>
      </c>
      <c r="N123" s="48" t="s">
        <v>363</v>
      </c>
      <c r="O123" s="71" t="s">
        <v>376</v>
      </c>
    </row>
    <row r="124" spans="1:15" ht="89.25" x14ac:dyDescent="0.2">
      <c r="A124" s="45" t="s">
        <v>377</v>
      </c>
      <c r="B124" s="46" t="s">
        <v>362</v>
      </c>
      <c r="C124" s="46" t="s">
        <v>362</v>
      </c>
      <c r="D124" s="46" t="s">
        <v>319</v>
      </c>
      <c r="E124" s="46" t="s">
        <v>291</v>
      </c>
      <c r="F124" s="46" t="s">
        <v>135</v>
      </c>
      <c r="G124" s="46" t="s">
        <v>144</v>
      </c>
      <c r="H124" s="46" t="s">
        <v>129</v>
      </c>
      <c r="I124" s="46"/>
      <c r="J124" s="46" t="s">
        <v>71</v>
      </c>
      <c r="K124" s="47">
        <f>ROUND($K$117*3,0)</f>
        <v>660</v>
      </c>
      <c r="L124" s="47">
        <f>L117+60+(50*2)</f>
        <v>425</v>
      </c>
      <c r="M124" s="47">
        <f t="shared" si="4"/>
        <v>1085</v>
      </c>
      <c r="N124" s="48" t="s">
        <v>363</v>
      </c>
      <c r="O124" s="71" t="s">
        <v>378</v>
      </c>
    </row>
    <row r="125" spans="1:15" ht="89.25" x14ac:dyDescent="0.2">
      <c r="A125" s="45" t="s">
        <v>379</v>
      </c>
      <c r="B125" s="46" t="s">
        <v>362</v>
      </c>
      <c r="C125" s="46" t="s">
        <v>362</v>
      </c>
      <c r="D125" s="46" t="s">
        <v>319</v>
      </c>
      <c r="E125" s="46" t="s">
        <v>291</v>
      </c>
      <c r="F125" s="46" t="s">
        <v>135</v>
      </c>
      <c r="G125" s="46" t="s">
        <v>144</v>
      </c>
      <c r="H125" s="46" t="s">
        <v>132</v>
      </c>
      <c r="I125" s="46"/>
      <c r="J125" s="46" t="s">
        <v>71</v>
      </c>
      <c r="K125" s="47">
        <f>ROUND($K$117*3.5,0)</f>
        <v>770</v>
      </c>
      <c r="L125" s="47">
        <f>L117+80+(50*4)</f>
        <v>545</v>
      </c>
      <c r="M125" s="47">
        <f t="shared" si="4"/>
        <v>1315</v>
      </c>
      <c r="N125" s="48" t="s">
        <v>363</v>
      </c>
      <c r="O125" s="71" t="s">
        <v>380</v>
      </c>
    </row>
    <row r="126" spans="1:15" ht="89.25" x14ac:dyDescent="0.2">
      <c r="A126" s="45" t="s">
        <v>381</v>
      </c>
      <c r="B126" s="46" t="s">
        <v>362</v>
      </c>
      <c r="C126" s="46" t="s">
        <v>362</v>
      </c>
      <c r="D126" s="46" t="s">
        <v>319</v>
      </c>
      <c r="E126" s="46" t="s">
        <v>291</v>
      </c>
      <c r="F126" s="46" t="s">
        <v>135</v>
      </c>
      <c r="G126" s="46" t="s">
        <v>149</v>
      </c>
      <c r="H126" s="46" t="s">
        <v>129</v>
      </c>
      <c r="I126" s="46"/>
      <c r="J126" s="46" t="s">
        <v>71</v>
      </c>
      <c r="K126" s="47">
        <f>ROUND($K$117*3,0)</f>
        <v>660</v>
      </c>
      <c r="L126" s="47">
        <f>L117+80+(75*2)</f>
        <v>495</v>
      </c>
      <c r="M126" s="47">
        <f t="shared" si="4"/>
        <v>1155</v>
      </c>
      <c r="N126" s="48" t="s">
        <v>363</v>
      </c>
      <c r="O126" s="71" t="s">
        <v>382</v>
      </c>
    </row>
    <row r="127" spans="1:15" ht="89.25" x14ac:dyDescent="0.2">
      <c r="A127" s="45" t="s">
        <v>383</v>
      </c>
      <c r="B127" s="46" t="s">
        <v>362</v>
      </c>
      <c r="C127" s="46" t="s">
        <v>362</v>
      </c>
      <c r="D127" s="46" t="s">
        <v>319</v>
      </c>
      <c r="E127" s="46" t="s">
        <v>291</v>
      </c>
      <c r="F127" s="46" t="s">
        <v>135</v>
      </c>
      <c r="G127" s="46" t="s">
        <v>149</v>
      </c>
      <c r="H127" s="46" t="s">
        <v>132</v>
      </c>
      <c r="I127" s="46"/>
      <c r="J127" s="46" t="s">
        <v>71</v>
      </c>
      <c r="K127" s="47">
        <f>ROUND($K$117*3.5,0)</f>
        <v>770</v>
      </c>
      <c r="L127" s="47">
        <f>L117+100+(75*4)</f>
        <v>665</v>
      </c>
      <c r="M127" s="47">
        <f t="shared" si="4"/>
        <v>1435</v>
      </c>
      <c r="N127" s="48" t="s">
        <v>363</v>
      </c>
      <c r="O127" s="71" t="s">
        <v>384</v>
      </c>
    </row>
    <row r="128" spans="1:15" ht="89.25" x14ac:dyDescent="0.2">
      <c r="A128" s="45" t="s">
        <v>385</v>
      </c>
      <c r="B128" s="46" t="s">
        <v>362</v>
      </c>
      <c r="C128" s="46" t="s">
        <v>362</v>
      </c>
      <c r="D128" s="46" t="s">
        <v>319</v>
      </c>
      <c r="E128" s="46" t="s">
        <v>291</v>
      </c>
      <c r="F128" s="46" t="s">
        <v>135</v>
      </c>
      <c r="G128" s="46" t="s">
        <v>154</v>
      </c>
      <c r="H128" s="46" t="s">
        <v>129</v>
      </c>
      <c r="I128" s="46"/>
      <c r="J128" s="46" t="s">
        <v>71</v>
      </c>
      <c r="K128" s="47">
        <f>ROUND($K$117*3,0)</f>
        <v>660</v>
      </c>
      <c r="L128" s="47">
        <f>L117+100+(100*2)</f>
        <v>565</v>
      </c>
      <c r="M128" s="47">
        <f t="shared" si="4"/>
        <v>1225</v>
      </c>
      <c r="N128" s="48" t="s">
        <v>363</v>
      </c>
      <c r="O128" s="71" t="s">
        <v>386</v>
      </c>
    </row>
    <row r="129" spans="1:15" ht="89.25" x14ac:dyDescent="0.2">
      <c r="A129" s="45" t="s">
        <v>387</v>
      </c>
      <c r="B129" s="46" t="s">
        <v>362</v>
      </c>
      <c r="C129" s="46" t="s">
        <v>362</v>
      </c>
      <c r="D129" s="46" t="s">
        <v>319</v>
      </c>
      <c r="E129" s="46" t="s">
        <v>291</v>
      </c>
      <c r="F129" s="46" t="s">
        <v>135</v>
      </c>
      <c r="G129" s="46" t="s">
        <v>154</v>
      </c>
      <c r="H129" s="46" t="s">
        <v>132</v>
      </c>
      <c r="I129" s="46"/>
      <c r="J129" s="46" t="s">
        <v>71</v>
      </c>
      <c r="K129" s="47">
        <f>ROUND($K$117*3.5,0)</f>
        <v>770</v>
      </c>
      <c r="L129" s="47">
        <f>L117+120+(100*4)</f>
        <v>785</v>
      </c>
      <c r="M129" s="47">
        <f t="shared" si="4"/>
        <v>1555</v>
      </c>
      <c r="N129" s="48" t="s">
        <v>363</v>
      </c>
      <c r="O129" s="71" t="s">
        <v>388</v>
      </c>
    </row>
    <row r="130" spans="1:15" ht="89.25" x14ac:dyDescent="0.2">
      <c r="A130" s="45" t="s">
        <v>389</v>
      </c>
      <c r="B130" s="46" t="s">
        <v>362</v>
      </c>
      <c r="C130" s="46" t="s">
        <v>362</v>
      </c>
      <c r="D130" s="46" t="s">
        <v>319</v>
      </c>
      <c r="E130" s="46" t="s">
        <v>291</v>
      </c>
      <c r="F130" s="46" t="s">
        <v>159</v>
      </c>
      <c r="G130" s="46" t="s">
        <v>132</v>
      </c>
      <c r="H130" s="46" t="s">
        <v>68</v>
      </c>
      <c r="I130" s="46"/>
      <c r="J130" s="46" t="s">
        <v>71</v>
      </c>
      <c r="K130" s="47">
        <f>ROUND($K$117*2,0)</f>
        <v>440</v>
      </c>
      <c r="L130" s="47">
        <f>L117+60</f>
        <v>325</v>
      </c>
      <c r="M130" s="47">
        <f t="shared" si="4"/>
        <v>765</v>
      </c>
      <c r="N130" s="48" t="s">
        <v>363</v>
      </c>
      <c r="O130" s="71" t="s">
        <v>390</v>
      </c>
    </row>
    <row r="131" spans="1:15" ht="76.5" x14ac:dyDescent="0.2">
      <c r="A131" s="45" t="s">
        <v>391</v>
      </c>
      <c r="B131" s="46" t="s">
        <v>392</v>
      </c>
      <c r="C131" s="46" t="s">
        <v>392</v>
      </c>
      <c r="D131" s="46" t="s">
        <v>319</v>
      </c>
      <c r="E131" s="46" t="s">
        <v>68</v>
      </c>
      <c r="F131" s="46" t="s">
        <v>68</v>
      </c>
      <c r="G131" s="46" t="s">
        <v>68</v>
      </c>
      <c r="H131" s="46"/>
      <c r="I131" s="46"/>
      <c r="J131" s="46" t="s">
        <v>71</v>
      </c>
      <c r="K131" s="47">
        <v>180</v>
      </c>
      <c r="L131" s="47">
        <v>150</v>
      </c>
      <c r="M131" s="47">
        <f t="shared" si="4"/>
        <v>330</v>
      </c>
      <c r="N131" s="48" t="s">
        <v>393</v>
      </c>
      <c r="O131" s="71" t="s">
        <v>394</v>
      </c>
    </row>
    <row r="132" spans="1:15" ht="63.75" x14ac:dyDescent="0.2">
      <c r="A132" s="45" t="s">
        <v>395</v>
      </c>
      <c r="B132" s="46" t="s">
        <v>396</v>
      </c>
      <c r="C132" s="46" t="s">
        <v>396</v>
      </c>
      <c r="D132" s="46" t="s">
        <v>319</v>
      </c>
      <c r="E132" s="46" t="s">
        <v>258</v>
      </c>
      <c r="F132" s="46" t="s">
        <v>68</v>
      </c>
      <c r="G132" s="46" t="s">
        <v>68</v>
      </c>
      <c r="H132" s="46"/>
      <c r="I132" s="46"/>
      <c r="J132" s="46" t="s">
        <v>71</v>
      </c>
      <c r="K132" s="47">
        <v>220</v>
      </c>
      <c r="L132" s="47">
        <v>270</v>
      </c>
      <c r="M132" s="47">
        <f t="shared" si="4"/>
        <v>490</v>
      </c>
      <c r="N132" s="48" t="s">
        <v>397</v>
      </c>
      <c r="O132" s="71" t="s">
        <v>398</v>
      </c>
    </row>
    <row r="133" spans="1:15" ht="76.5" x14ac:dyDescent="0.2">
      <c r="A133" s="45" t="s">
        <v>399</v>
      </c>
      <c r="B133" s="46" t="s">
        <v>400</v>
      </c>
      <c r="C133" s="46" t="s">
        <v>400</v>
      </c>
      <c r="D133" s="46" t="s">
        <v>319</v>
      </c>
      <c r="E133" s="46" t="s">
        <v>68</v>
      </c>
      <c r="F133" s="46" t="s">
        <v>68</v>
      </c>
      <c r="G133" s="46" t="s">
        <v>68</v>
      </c>
      <c r="H133" s="46" t="s">
        <v>68</v>
      </c>
      <c r="I133" s="46"/>
      <c r="J133" s="46" t="s">
        <v>71</v>
      </c>
      <c r="K133" s="47">
        <v>260</v>
      </c>
      <c r="L133" s="47">
        <v>380</v>
      </c>
      <c r="M133" s="47">
        <f t="shared" si="4"/>
        <v>640</v>
      </c>
      <c r="N133" s="48" t="s">
        <v>393</v>
      </c>
      <c r="O133" s="71" t="s">
        <v>401</v>
      </c>
    </row>
    <row r="134" spans="1:15" ht="76.5" x14ac:dyDescent="0.2">
      <c r="A134" s="45" t="s">
        <v>402</v>
      </c>
      <c r="B134" s="46" t="s">
        <v>400</v>
      </c>
      <c r="C134" s="46" t="s">
        <v>400</v>
      </c>
      <c r="D134" s="46" t="s">
        <v>319</v>
      </c>
      <c r="E134" s="46" t="s">
        <v>291</v>
      </c>
      <c r="F134" s="46" t="s">
        <v>124</v>
      </c>
      <c r="G134" s="46" t="s">
        <v>68</v>
      </c>
      <c r="H134" s="46" t="s">
        <v>68</v>
      </c>
      <c r="I134" s="46"/>
      <c r="J134" s="46" t="s">
        <v>71</v>
      </c>
      <c r="K134" s="47">
        <f>ROUND($K$133*2,0)</f>
        <v>520</v>
      </c>
      <c r="L134" s="47">
        <f>L133+60</f>
        <v>440</v>
      </c>
      <c r="M134" s="47">
        <f t="shared" si="4"/>
        <v>960</v>
      </c>
      <c r="N134" s="48" t="s">
        <v>393</v>
      </c>
      <c r="O134" s="71" t="s">
        <v>403</v>
      </c>
    </row>
    <row r="135" spans="1:15" ht="89.25" x14ac:dyDescent="0.2">
      <c r="A135" s="45" t="s">
        <v>404</v>
      </c>
      <c r="B135" s="46" t="s">
        <v>400</v>
      </c>
      <c r="C135" s="46" t="s">
        <v>400</v>
      </c>
      <c r="D135" s="46" t="s">
        <v>319</v>
      </c>
      <c r="E135" s="46" t="s">
        <v>291</v>
      </c>
      <c r="F135" s="46" t="s">
        <v>337</v>
      </c>
      <c r="G135" s="46" t="s">
        <v>129</v>
      </c>
      <c r="H135" s="46" t="s">
        <v>68</v>
      </c>
      <c r="I135" s="46"/>
      <c r="J135" s="46" t="s">
        <v>71</v>
      </c>
      <c r="K135" s="47">
        <f>ROUND($K$133*2.5,0)</f>
        <v>650</v>
      </c>
      <c r="L135" s="47">
        <f>L133+60+(5*2)</f>
        <v>450</v>
      </c>
      <c r="M135" s="47">
        <f t="shared" si="4"/>
        <v>1100</v>
      </c>
      <c r="N135" s="48" t="s">
        <v>393</v>
      </c>
      <c r="O135" s="71" t="s">
        <v>405</v>
      </c>
    </row>
    <row r="136" spans="1:15" ht="76.5" x14ac:dyDescent="0.2">
      <c r="A136" s="45" t="s">
        <v>406</v>
      </c>
      <c r="B136" s="46" t="s">
        <v>400</v>
      </c>
      <c r="C136" s="46" t="s">
        <v>400</v>
      </c>
      <c r="D136" s="46" t="s">
        <v>319</v>
      </c>
      <c r="E136" s="46" t="s">
        <v>291</v>
      </c>
      <c r="F136" s="46" t="s">
        <v>128</v>
      </c>
      <c r="G136" s="46" t="s">
        <v>132</v>
      </c>
      <c r="H136" s="46" t="s">
        <v>68</v>
      </c>
      <c r="I136" s="46"/>
      <c r="J136" s="46" t="s">
        <v>71</v>
      </c>
      <c r="K136" s="47">
        <f>ROUND($K$133*3,0)</f>
        <v>780</v>
      </c>
      <c r="L136" s="47">
        <f>L133+60+(5*4)</f>
        <v>460</v>
      </c>
      <c r="M136" s="47">
        <f t="shared" si="4"/>
        <v>1240</v>
      </c>
      <c r="N136" s="48" t="s">
        <v>393</v>
      </c>
      <c r="O136" s="71" t="s">
        <v>407</v>
      </c>
    </row>
    <row r="137" spans="1:15" ht="89.25" x14ac:dyDescent="0.2">
      <c r="A137" s="45" t="s">
        <v>408</v>
      </c>
      <c r="B137" s="46" t="s">
        <v>400</v>
      </c>
      <c r="C137" s="46" t="s">
        <v>400</v>
      </c>
      <c r="D137" s="46" t="s">
        <v>319</v>
      </c>
      <c r="E137" s="46" t="s">
        <v>291</v>
      </c>
      <c r="F137" s="46" t="s">
        <v>135</v>
      </c>
      <c r="G137" s="46" t="s">
        <v>136</v>
      </c>
      <c r="H137" s="46" t="s">
        <v>129</v>
      </c>
      <c r="I137" s="46"/>
      <c r="J137" s="46" t="s">
        <v>71</v>
      </c>
      <c r="K137" s="47">
        <f>ROUND($K$133*2.5,0)</f>
        <v>650</v>
      </c>
      <c r="L137" s="47">
        <f>L133+60+(25*2)</f>
        <v>490</v>
      </c>
      <c r="M137" s="47">
        <f t="shared" si="4"/>
        <v>1140</v>
      </c>
      <c r="N137" s="48" t="s">
        <v>393</v>
      </c>
      <c r="O137" s="71" t="s">
        <v>409</v>
      </c>
    </row>
    <row r="138" spans="1:15" ht="89.25" x14ac:dyDescent="0.2">
      <c r="A138" s="45" t="s">
        <v>410</v>
      </c>
      <c r="B138" s="46" t="s">
        <v>400</v>
      </c>
      <c r="C138" s="46" t="s">
        <v>400</v>
      </c>
      <c r="D138" s="46" t="s">
        <v>319</v>
      </c>
      <c r="E138" s="46" t="s">
        <v>291</v>
      </c>
      <c r="F138" s="46" t="s">
        <v>135</v>
      </c>
      <c r="G138" s="46" t="s">
        <v>136</v>
      </c>
      <c r="H138" s="46" t="s">
        <v>132</v>
      </c>
      <c r="I138" s="46"/>
      <c r="J138" s="46" t="s">
        <v>71</v>
      </c>
      <c r="K138" s="47">
        <f>ROUND($K$133*3,0)</f>
        <v>780</v>
      </c>
      <c r="L138" s="47">
        <f>L133+80+(25*4)</f>
        <v>560</v>
      </c>
      <c r="M138" s="47">
        <f t="shared" si="4"/>
        <v>1340</v>
      </c>
      <c r="N138" s="48" t="s">
        <v>393</v>
      </c>
      <c r="O138" s="71" t="s">
        <v>411</v>
      </c>
    </row>
    <row r="139" spans="1:15" ht="89.25" x14ac:dyDescent="0.2">
      <c r="A139" s="45" t="s">
        <v>412</v>
      </c>
      <c r="B139" s="46" t="s">
        <v>400</v>
      </c>
      <c r="C139" s="46" t="s">
        <v>400</v>
      </c>
      <c r="D139" s="46" t="s">
        <v>319</v>
      </c>
      <c r="E139" s="46" t="s">
        <v>291</v>
      </c>
      <c r="F139" s="46" t="s">
        <v>135</v>
      </c>
      <c r="G139" s="46" t="s">
        <v>136</v>
      </c>
      <c r="H139" s="46" t="s">
        <v>141</v>
      </c>
      <c r="I139" s="46"/>
      <c r="J139" s="46" t="s">
        <v>71</v>
      </c>
      <c r="K139" s="47">
        <f>ROUND($K$133*3.5,0)</f>
        <v>910</v>
      </c>
      <c r="L139" s="47">
        <f>L133+100+(25*6)</f>
        <v>630</v>
      </c>
      <c r="M139" s="47">
        <f t="shared" si="4"/>
        <v>1540</v>
      </c>
      <c r="N139" s="48" t="s">
        <v>393</v>
      </c>
      <c r="O139" s="71" t="s">
        <v>413</v>
      </c>
    </row>
    <row r="140" spans="1:15" ht="89.25" x14ac:dyDescent="0.2">
      <c r="A140" s="45" t="s">
        <v>414</v>
      </c>
      <c r="B140" s="46" t="s">
        <v>400</v>
      </c>
      <c r="C140" s="46" t="s">
        <v>400</v>
      </c>
      <c r="D140" s="46" t="s">
        <v>319</v>
      </c>
      <c r="E140" s="46" t="s">
        <v>291</v>
      </c>
      <c r="F140" s="46" t="s">
        <v>135</v>
      </c>
      <c r="G140" s="46" t="s">
        <v>144</v>
      </c>
      <c r="H140" s="46" t="s">
        <v>129</v>
      </c>
      <c r="I140" s="46"/>
      <c r="J140" s="46" t="s">
        <v>71</v>
      </c>
      <c r="K140" s="47">
        <f>ROUND($K$133*3,0)</f>
        <v>780</v>
      </c>
      <c r="L140" s="47">
        <f>L133+60+(50*2)</f>
        <v>540</v>
      </c>
      <c r="M140" s="47">
        <f t="shared" si="4"/>
        <v>1320</v>
      </c>
      <c r="N140" s="48" t="s">
        <v>393</v>
      </c>
      <c r="O140" s="71" t="s">
        <v>415</v>
      </c>
    </row>
    <row r="141" spans="1:15" ht="89.25" x14ac:dyDescent="0.2">
      <c r="A141" s="45" t="s">
        <v>416</v>
      </c>
      <c r="B141" s="46" t="s">
        <v>400</v>
      </c>
      <c r="C141" s="46" t="s">
        <v>400</v>
      </c>
      <c r="D141" s="46" t="s">
        <v>319</v>
      </c>
      <c r="E141" s="46" t="s">
        <v>291</v>
      </c>
      <c r="F141" s="46" t="s">
        <v>135</v>
      </c>
      <c r="G141" s="46" t="s">
        <v>144</v>
      </c>
      <c r="H141" s="46" t="s">
        <v>132</v>
      </c>
      <c r="I141" s="46"/>
      <c r="J141" s="46" t="s">
        <v>71</v>
      </c>
      <c r="K141" s="47">
        <f>ROUND($K$133*3.5,0)</f>
        <v>910</v>
      </c>
      <c r="L141" s="47">
        <f>L133+80+(50*4)</f>
        <v>660</v>
      </c>
      <c r="M141" s="47">
        <f t="shared" si="4"/>
        <v>1570</v>
      </c>
      <c r="N141" s="48" t="s">
        <v>393</v>
      </c>
      <c r="O141" s="71" t="s">
        <v>417</v>
      </c>
    </row>
    <row r="142" spans="1:15" ht="89.25" x14ac:dyDescent="0.2">
      <c r="A142" s="45" t="s">
        <v>418</v>
      </c>
      <c r="B142" s="46" t="s">
        <v>400</v>
      </c>
      <c r="C142" s="46" t="s">
        <v>400</v>
      </c>
      <c r="D142" s="46" t="s">
        <v>319</v>
      </c>
      <c r="E142" s="46" t="s">
        <v>291</v>
      </c>
      <c r="F142" s="46" t="s">
        <v>135</v>
      </c>
      <c r="G142" s="46" t="s">
        <v>149</v>
      </c>
      <c r="H142" s="46" t="s">
        <v>129</v>
      </c>
      <c r="I142" s="46"/>
      <c r="J142" s="46" t="s">
        <v>71</v>
      </c>
      <c r="K142" s="47">
        <f>ROUND($K$133*3,0)</f>
        <v>780</v>
      </c>
      <c r="L142" s="47">
        <f>L133+80+(75*2)</f>
        <v>610</v>
      </c>
      <c r="M142" s="47">
        <f t="shared" si="4"/>
        <v>1390</v>
      </c>
      <c r="N142" s="48" t="s">
        <v>393</v>
      </c>
      <c r="O142" s="71" t="s">
        <v>419</v>
      </c>
    </row>
    <row r="143" spans="1:15" ht="89.25" x14ac:dyDescent="0.2">
      <c r="A143" s="45" t="s">
        <v>420</v>
      </c>
      <c r="B143" s="46" t="s">
        <v>400</v>
      </c>
      <c r="C143" s="46" t="s">
        <v>400</v>
      </c>
      <c r="D143" s="46" t="s">
        <v>319</v>
      </c>
      <c r="E143" s="46" t="s">
        <v>291</v>
      </c>
      <c r="F143" s="46" t="s">
        <v>135</v>
      </c>
      <c r="G143" s="46" t="s">
        <v>149</v>
      </c>
      <c r="H143" s="46" t="s">
        <v>132</v>
      </c>
      <c r="I143" s="46"/>
      <c r="J143" s="46" t="s">
        <v>71</v>
      </c>
      <c r="K143" s="47">
        <f>ROUND($K$133*3.5,0)</f>
        <v>910</v>
      </c>
      <c r="L143" s="47">
        <f>L133+100+(75*4)</f>
        <v>780</v>
      </c>
      <c r="M143" s="47">
        <f t="shared" si="4"/>
        <v>1690</v>
      </c>
      <c r="N143" s="48" t="s">
        <v>393</v>
      </c>
      <c r="O143" s="71" t="s">
        <v>421</v>
      </c>
    </row>
    <row r="144" spans="1:15" ht="89.25" x14ac:dyDescent="0.2">
      <c r="A144" s="45" t="s">
        <v>422</v>
      </c>
      <c r="B144" s="46" t="s">
        <v>400</v>
      </c>
      <c r="C144" s="46" t="s">
        <v>400</v>
      </c>
      <c r="D144" s="46" t="s">
        <v>319</v>
      </c>
      <c r="E144" s="46" t="s">
        <v>291</v>
      </c>
      <c r="F144" s="46" t="s">
        <v>135</v>
      </c>
      <c r="G144" s="46" t="s">
        <v>154</v>
      </c>
      <c r="H144" s="46" t="s">
        <v>129</v>
      </c>
      <c r="I144" s="46"/>
      <c r="J144" s="46" t="s">
        <v>71</v>
      </c>
      <c r="K144" s="47">
        <f>ROUND($K$133*3,0)</f>
        <v>780</v>
      </c>
      <c r="L144" s="47">
        <f>L133+100+(100*2)</f>
        <v>680</v>
      </c>
      <c r="M144" s="47">
        <f t="shared" si="4"/>
        <v>1460</v>
      </c>
      <c r="N144" s="48" t="s">
        <v>393</v>
      </c>
      <c r="O144" s="71" t="s">
        <v>423</v>
      </c>
    </row>
    <row r="145" spans="1:15" ht="89.25" x14ac:dyDescent="0.2">
      <c r="A145" s="45" t="s">
        <v>424</v>
      </c>
      <c r="B145" s="46" t="s">
        <v>400</v>
      </c>
      <c r="C145" s="46" t="s">
        <v>400</v>
      </c>
      <c r="D145" s="46" t="s">
        <v>319</v>
      </c>
      <c r="E145" s="46" t="s">
        <v>291</v>
      </c>
      <c r="F145" s="46" t="s">
        <v>135</v>
      </c>
      <c r="G145" s="46" t="s">
        <v>154</v>
      </c>
      <c r="H145" s="46" t="s">
        <v>132</v>
      </c>
      <c r="I145" s="46"/>
      <c r="J145" s="46" t="s">
        <v>71</v>
      </c>
      <c r="K145" s="47">
        <f>ROUND($K$133*3.5,0)</f>
        <v>910</v>
      </c>
      <c r="L145" s="47">
        <f>L133+120+(100*4)</f>
        <v>900</v>
      </c>
      <c r="M145" s="47">
        <f t="shared" si="4"/>
        <v>1810</v>
      </c>
      <c r="N145" s="48" t="s">
        <v>393</v>
      </c>
      <c r="O145" s="71" t="s">
        <v>425</v>
      </c>
    </row>
    <row r="146" spans="1:15" ht="89.25" x14ac:dyDescent="0.2">
      <c r="A146" s="45" t="s">
        <v>426</v>
      </c>
      <c r="B146" s="46" t="s">
        <v>400</v>
      </c>
      <c r="C146" s="46" t="s">
        <v>400</v>
      </c>
      <c r="D146" s="46" t="s">
        <v>319</v>
      </c>
      <c r="E146" s="46" t="s">
        <v>291</v>
      </c>
      <c r="F146" s="46" t="s">
        <v>159</v>
      </c>
      <c r="G146" s="46" t="s">
        <v>132</v>
      </c>
      <c r="H146" s="46" t="s">
        <v>68</v>
      </c>
      <c r="I146" s="46"/>
      <c r="J146" s="46" t="s">
        <v>71</v>
      </c>
      <c r="K146" s="47">
        <f>ROUND($K$133*2,0)</f>
        <v>520</v>
      </c>
      <c r="L146" s="47">
        <f>L133+60</f>
        <v>440</v>
      </c>
      <c r="M146" s="47">
        <f t="shared" ref="M146:M209" si="5">SUM(K146:L146)</f>
        <v>960</v>
      </c>
      <c r="N146" s="48" t="s">
        <v>393</v>
      </c>
      <c r="O146" s="71" t="s">
        <v>427</v>
      </c>
    </row>
    <row r="147" spans="1:15" ht="76.5" x14ac:dyDescent="0.2">
      <c r="A147" s="45" t="s">
        <v>428</v>
      </c>
      <c r="B147" s="46" t="s">
        <v>396</v>
      </c>
      <c r="C147" s="46" t="s">
        <v>396</v>
      </c>
      <c r="D147" s="46" t="s">
        <v>429</v>
      </c>
      <c r="E147" s="46" t="s">
        <v>258</v>
      </c>
      <c r="F147" s="46" t="s">
        <v>68</v>
      </c>
      <c r="G147" s="46" t="s">
        <v>68</v>
      </c>
      <c r="H147" s="46" t="s">
        <v>68</v>
      </c>
      <c r="I147" s="46"/>
      <c r="J147" s="46" t="s">
        <v>71</v>
      </c>
      <c r="K147" s="47">
        <v>200</v>
      </c>
      <c r="L147" s="47">
        <v>420</v>
      </c>
      <c r="M147" s="47">
        <f t="shared" si="5"/>
        <v>620</v>
      </c>
      <c r="N147" s="48" t="s">
        <v>393</v>
      </c>
      <c r="O147" s="71" t="s">
        <v>430</v>
      </c>
    </row>
    <row r="148" spans="1:15" ht="76.5" x14ac:dyDescent="0.2">
      <c r="A148" s="45" t="s">
        <v>431</v>
      </c>
      <c r="B148" s="46" t="s">
        <v>400</v>
      </c>
      <c r="C148" s="46" t="s">
        <v>400</v>
      </c>
      <c r="D148" s="46" t="s">
        <v>429</v>
      </c>
      <c r="E148" s="46" t="s">
        <v>291</v>
      </c>
      <c r="F148" s="46" t="s">
        <v>258</v>
      </c>
      <c r="G148" s="46" t="s">
        <v>68</v>
      </c>
      <c r="H148" s="46" t="s">
        <v>68</v>
      </c>
      <c r="I148" s="46"/>
      <c r="J148" s="46" t="s">
        <v>71</v>
      </c>
      <c r="K148" s="47">
        <v>460</v>
      </c>
      <c r="L148" s="47">
        <v>1200</v>
      </c>
      <c r="M148" s="47">
        <f t="shared" si="5"/>
        <v>1660</v>
      </c>
      <c r="N148" s="48" t="s">
        <v>393</v>
      </c>
      <c r="O148" s="71" t="s">
        <v>432</v>
      </c>
    </row>
    <row r="149" spans="1:15" ht="63.75" x14ac:dyDescent="0.2">
      <c r="A149" s="45" t="s">
        <v>433</v>
      </c>
      <c r="B149" s="46" t="s">
        <v>396</v>
      </c>
      <c r="C149" s="46" t="s">
        <v>396</v>
      </c>
      <c r="D149" s="46" t="s">
        <v>434</v>
      </c>
      <c r="E149" s="46" t="s">
        <v>258</v>
      </c>
      <c r="F149" s="46" t="s">
        <v>68</v>
      </c>
      <c r="G149" s="46" t="s">
        <v>68</v>
      </c>
      <c r="H149" s="46" t="s">
        <v>68</v>
      </c>
      <c r="I149" s="46" t="s">
        <v>68</v>
      </c>
      <c r="J149" s="46" t="s">
        <v>71</v>
      </c>
      <c r="K149" s="47">
        <v>200</v>
      </c>
      <c r="L149" s="47">
        <v>170</v>
      </c>
      <c r="M149" s="47">
        <f t="shared" si="5"/>
        <v>370</v>
      </c>
      <c r="N149" s="48" t="s">
        <v>397</v>
      </c>
      <c r="O149" s="71" t="s">
        <v>435</v>
      </c>
    </row>
    <row r="150" spans="1:15" ht="76.5" x14ac:dyDescent="0.2">
      <c r="A150" s="45" t="s">
        <v>436</v>
      </c>
      <c r="B150" s="46" t="s">
        <v>400</v>
      </c>
      <c r="C150" s="46" t="s">
        <v>400</v>
      </c>
      <c r="D150" s="46" t="s">
        <v>434</v>
      </c>
      <c r="E150" s="46" t="s">
        <v>291</v>
      </c>
      <c r="F150" s="46" t="s">
        <v>258</v>
      </c>
      <c r="G150" s="46" t="s">
        <v>68</v>
      </c>
      <c r="H150" s="46" t="s">
        <v>68</v>
      </c>
      <c r="I150" s="46" t="s">
        <v>68</v>
      </c>
      <c r="J150" s="46" t="s">
        <v>71</v>
      </c>
      <c r="K150" s="47">
        <v>320</v>
      </c>
      <c r="L150" s="47">
        <v>650</v>
      </c>
      <c r="M150" s="47">
        <f t="shared" si="5"/>
        <v>970</v>
      </c>
      <c r="N150" s="48" t="s">
        <v>437</v>
      </c>
      <c r="O150" s="71" t="s">
        <v>438</v>
      </c>
    </row>
    <row r="151" spans="1:15" ht="12.75" x14ac:dyDescent="0.2">
      <c r="A151" s="34" t="s">
        <v>439</v>
      </c>
      <c r="B151" s="35" t="s">
        <v>68</v>
      </c>
      <c r="C151" s="35" t="s">
        <v>68</v>
      </c>
      <c r="D151" s="35" t="s">
        <v>68</v>
      </c>
      <c r="E151" s="35" t="s">
        <v>68</v>
      </c>
      <c r="F151" s="35" t="s">
        <v>68</v>
      </c>
      <c r="G151" s="35" t="s">
        <v>68</v>
      </c>
      <c r="H151" s="35" t="s">
        <v>68</v>
      </c>
      <c r="I151" s="35" t="s">
        <v>68</v>
      </c>
      <c r="J151" s="35" t="s">
        <v>68</v>
      </c>
      <c r="K151" s="36" t="s">
        <v>68</v>
      </c>
      <c r="L151" s="36" t="s">
        <v>68</v>
      </c>
      <c r="M151" s="47">
        <f t="shared" si="5"/>
        <v>0</v>
      </c>
      <c r="N151" s="35"/>
      <c r="O151" s="35" t="s">
        <v>68</v>
      </c>
    </row>
    <row r="152" spans="1:15" ht="63.75" x14ac:dyDescent="0.2">
      <c r="A152" s="45" t="s">
        <v>440</v>
      </c>
      <c r="B152" s="46" t="s">
        <v>441</v>
      </c>
      <c r="C152" s="46" t="s">
        <v>441</v>
      </c>
      <c r="D152" s="46" t="s">
        <v>442</v>
      </c>
      <c r="E152" s="46" t="s">
        <v>443</v>
      </c>
      <c r="F152" s="46" t="s">
        <v>444</v>
      </c>
      <c r="G152" s="46" t="s">
        <v>257</v>
      </c>
      <c r="H152" s="46" t="s">
        <v>68</v>
      </c>
      <c r="I152" s="46" t="s">
        <v>445</v>
      </c>
      <c r="J152" s="46" t="s">
        <v>71</v>
      </c>
      <c r="K152" s="47">
        <v>140</v>
      </c>
      <c r="L152" s="47">
        <v>40</v>
      </c>
      <c r="M152" s="47">
        <f t="shared" si="5"/>
        <v>180</v>
      </c>
      <c r="N152" s="48" t="s">
        <v>446</v>
      </c>
      <c r="O152" s="71" t="s">
        <v>447</v>
      </c>
    </row>
    <row r="153" spans="1:15" ht="63.75" x14ac:dyDescent="0.2">
      <c r="A153" s="45" t="s">
        <v>448</v>
      </c>
      <c r="B153" s="46" t="s">
        <v>441</v>
      </c>
      <c r="C153" s="46" t="s">
        <v>441</v>
      </c>
      <c r="D153" s="46" t="s">
        <v>442</v>
      </c>
      <c r="E153" s="46" t="s">
        <v>443</v>
      </c>
      <c r="F153" s="46" t="s">
        <v>444</v>
      </c>
      <c r="G153" s="46" t="s">
        <v>257</v>
      </c>
      <c r="H153" s="46" t="s">
        <v>68</v>
      </c>
      <c r="I153" s="46" t="s">
        <v>449</v>
      </c>
      <c r="J153" s="46" t="s">
        <v>71</v>
      </c>
      <c r="K153" s="47">
        <v>140</v>
      </c>
      <c r="L153" s="47">
        <v>80</v>
      </c>
      <c r="M153" s="47">
        <f t="shared" si="5"/>
        <v>220</v>
      </c>
      <c r="N153" s="48" t="s">
        <v>446</v>
      </c>
      <c r="O153" s="71" t="s">
        <v>450</v>
      </c>
    </row>
    <row r="154" spans="1:15" ht="63.75" x14ac:dyDescent="0.2">
      <c r="A154" s="45" t="s">
        <v>451</v>
      </c>
      <c r="B154" s="46" t="s">
        <v>441</v>
      </c>
      <c r="C154" s="46" t="s">
        <v>441</v>
      </c>
      <c r="D154" s="46" t="s">
        <v>442</v>
      </c>
      <c r="E154" s="46" t="s">
        <v>452</v>
      </c>
      <c r="F154" s="46" t="s">
        <v>453</v>
      </c>
      <c r="G154" s="46" t="s">
        <v>254</v>
      </c>
      <c r="H154" s="46" t="s">
        <v>68</v>
      </c>
      <c r="I154" s="46" t="s">
        <v>454</v>
      </c>
      <c r="J154" s="46" t="s">
        <v>71</v>
      </c>
      <c r="K154" s="47">
        <v>130</v>
      </c>
      <c r="L154" s="47">
        <v>30</v>
      </c>
      <c r="M154" s="47">
        <f t="shared" si="5"/>
        <v>160</v>
      </c>
      <c r="N154" s="48" t="s">
        <v>446</v>
      </c>
      <c r="O154" s="71" t="s">
        <v>455</v>
      </c>
    </row>
    <row r="155" spans="1:15" ht="63.75" x14ac:dyDescent="0.2">
      <c r="A155" s="45" t="s">
        <v>456</v>
      </c>
      <c r="B155" s="46" t="s">
        <v>441</v>
      </c>
      <c r="C155" s="46" t="s">
        <v>441</v>
      </c>
      <c r="D155" s="46" t="s">
        <v>442</v>
      </c>
      <c r="E155" s="46" t="s">
        <v>452</v>
      </c>
      <c r="F155" s="46" t="s">
        <v>453</v>
      </c>
      <c r="G155" s="46" t="s">
        <v>257</v>
      </c>
      <c r="H155" s="46" t="s">
        <v>68</v>
      </c>
      <c r="I155" s="46" t="s">
        <v>445</v>
      </c>
      <c r="J155" s="46" t="s">
        <v>71</v>
      </c>
      <c r="K155" s="47">
        <v>140</v>
      </c>
      <c r="L155" s="47">
        <v>80</v>
      </c>
      <c r="M155" s="47">
        <f t="shared" si="5"/>
        <v>220</v>
      </c>
      <c r="N155" s="48" t="s">
        <v>446</v>
      </c>
      <c r="O155" s="71" t="s">
        <v>457</v>
      </c>
    </row>
    <row r="156" spans="1:15" ht="63.75" x14ac:dyDescent="0.2">
      <c r="A156" s="45" t="s">
        <v>458</v>
      </c>
      <c r="B156" s="46" t="s">
        <v>441</v>
      </c>
      <c r="C156" s="46" t="s">
        <v>441</v>
      </c>
      <c r="D156" s="46" t="s">
        <v>442</v>
      </c>
      <c r="E156" s="46" t="s">
        <v>452</v>
      </c>
      <c r="F156" s="46" t="s">
        <v>453</v>
      </c>
      <c r="G156" s="46" t="s">
        <v>257</v>
      </c>
      <c r="H156" s="46" t="s">
        <v>68</v>
      </c>
      <c r="I156" s="46" t="s">
        <v>449</v>
      </c>
      <c r="J156" s="46" t="s">
        <v>71</v>
      </c>
      <c r="K156" s="47">
        <v>155</v>
      </c>
      <c r="L156" s="47">
        <v>200</v>
      </c>
      <c r="M156" s="47">
        <f t="shared" si="5"/>
        <v>355</v>
      </c>
      <c r="N156" s="48" t="s">
        <v>446</v>
      </c>
      <c r="O156" s="71" t="s">
        <v>459</v>
      </c>
    </row>
    <row r="157" spans="1:15" ht="51" x14ac:dyDescent="0.2">
      <c r="A157" s="45" t="s">
        <v>460</v>
      </c>
      <c r="B157" s="46" t="s">
        <v>461</v>
      </c>
      <c r="C157" s="46" t="s">
        <v>461</v>
      </c>
      <c r="D157" s="46" t="s">
        <v>442</v>
      </c>
      <c r="E157" s="46" t="s">
        <v>452</v>
      </c>
      <c r="F157" s="46" t="s">
        <v>68</v>
      </c>
      <c r="G157" s="46" t="s">
        <v>68</v>
      </c>
      <c r="H157" s="46" t="s">
        <v>68</v>
      </c>
      <c r="I157" s="46" t="s">
        <v>68</v>
      </c>
      <c r="J157" s="46" t="s">
        <v>71</v>
      </c>
      <c r="K157" s="47">
        <v>130</v>
      </c>
      <c r="L157" s="47">
        <v>10</v>
      </c>
      <c r="M157" s="47">
        <f t="shared" si="5"/>
        <v>140</v>
      </c>
      <c r="N157" s="46" t="s">
        <v>462</v>
      </c>
      <c r="O157" s="71" t="s">
        <v>463</v>
      </c>
    </row>
    <row r="158" spans="1:15" ht="51" x14ac:dyDescent="0.2">
      <c r="A158" s="45" t="s">
        <v>464</v>
      </c>
      <c r="B158" s="46" t="s">
        <v>441</v>
      </c>
      <c r="C158" s="46" t="s">
        <v>441</v>
      </c>
      <c r="D158" s="46" t="s">
        <v>442</v>
      </c>
      <c r="E158" s="46" t="s">
        <v>465</v>
      </c>
      <c r="F158" s="46" t="s">
        <v>444</v>
      </c>
      <c r="G158" s="46" t="s">
        <v>254</v>
      </c>
      <c r="H158" s="46" t="s">
        <v>68</v>
      </c>
      <c r="I158" s="46" t="s">
        <v>454</v>
      </c>
      <c r="J158" s="46" t="s">
        <v>71</v>
      </c>
      <c r="K158" s="47">
        <v>130</v>
      </c>
      <c r="L158" s="47">
        <v>30</v>
      </c>
      <c r="M158" s="47">
        <f t="shared" si="5"/>
        <v>160</v>
      </c>
      <c r="N158" s="48" t="s">
        <v>446</v>
      </c>
      <c r="O158" s="71" t="s">
        <v>466</v>
      </c>
    </row>
    <row r="159" spans="1:15" ht="51" x14ac:dyDescent="0.2">
      <c r="A159" s="45" t="s">
        <v>467</v>
      </c>
      <c r="B159" s="46" t="s">
        <v>441</v>
      </c>
      <c r="C159" s="46" t="s">
        <v>441</v>
      </c>
      <c r="D159" s="46" t="s">
        <v>442</v>
      </c>
      <c r="E159" s="46" t="s">
        <v>465</v>
      </c>
      <c r="F159" s="46" t="s">
        <v>444</v>
      </c>
      <c r="G159" s="46" t="s">
        <v>257</v>
      </c>
      <c r="H159" s="46" t="s">
        <v>68</v>
      </c>
      <c r="I159" s="46" t="s">
        <v>445</v>
      </c>
      <c r="J159" s="46" t="s">
        <v>71</v>
      </c>
      <c r="K159" s="47">
        <v>140</v>
      </c>
      <c r="L159" s="47">
        <v>50</v>
      </c>
      <c r="M159" s="47">
        <f t="shared" si="5"/>
        <v>190</v>
      </c>
      <c r="N159" s="48" t="s">
        <v>446</v>
      </c>
      <c r="O159" s="71" t="s">
        <v>468</v>
      </c>
    </row>
    <row r="160" spans="1:15" ht="51" x14ac:dyDescent="0.2">
      <c r="A160" s="45" t="s">
        <v>469</v>
      </c>
      <c r="B160" s="46" t="s">
        <v>441</v>
      </c>
      <c r="C160" s="46" t="s">
        <v>441</v>
      </c>
      <c r="D160" s="46" t="s">
        <v>442</v>
      </c>
      <c r="E160" s="46" t="s">
        <v>465</v>
      </c>
      <c r="F160" s="46" t="s">
        <v>444</v>
      </c>
      <c r="G160" s="46" t="s">
        <v>257</v>
      </c>
      <c r="H160" s="46" t="s">
        <v>68</v>
      </c>
      <c r="I160" s="46" t="s">
        <v>449</v>
      </c>
      <c r="J160" s="46" t="s">
        <v>71</v>
      </c>
      <c r="K160" s="47">
        <v>160</v>
      </c>
      <c r="L160" s="47">
        <v>120</v>
      </c>
      <c r="M160" s="47">
        <f t="shared" si="5"/>
        <v>280</v>
      </c>
      <c r="N160" s="48" t="s">
        <v>446</v>
      </c>
      <c r="O160" s="71" t="s">
        <v>470</v>
      </c>
    </row>
    <row r="161" spans="1:15" ht="51" x14ac:dyDescent="0.2">
      <c r="A161" s="45" t="s">
        <v>471</v>
      </c>
      <c r="B161" s="46" t="s">
        <v>461</v>
      </c>
      <c r="C161" s="46" t="s">
        <v>461</v>
      </c>
      <c r="D161" s="46" t="s">
        <v>442</v>
      </c>
      <c r="E161" s="46" t="s">
        <v>465</v>
      </c>
      <c r="F161" s="46" t="s">
        <v>68</v>
      </c>
      <c r="G161" s="46" t="s">
        <v>68</v>
      </c>
      <c r="H161" s="46" t="s">
        <v>68</v>
      </c>
      <c r="I161" s="46" t="s">
        <v>68</v>
      </c>
      <c r="J161" s="46" t="s">
        <v>71</v>
      </c>
      <c r="K161" s="47">
        <v>130</v>
      </c>
      <c r="L161" s="47">
        <v>10</v>
      </c>
      <c r="M161" s="47">
        <f t="shared" si="5"/>
        <v>140</v>
      </c>
      <c r="N161" s="46" t="s">
        <v>462</v>
      </c>
      <c r="O161" s="71" t="s">
        <v>472</v>
      </c>
    </row>
    <row r="162" spans="1:15" ht="51" x14ac:dyDescent="0.2">
      <c r="A162" s="45" t="s">
        <v>473</v>
      </c>
      <c r="B162" s="46" t="s">
        <v>441</v>
      </c>
      <c r="C162" s="46" t="s">
        <v>441</v>
      </c>
      <c r="D162" s="46" t="s">
        <v>442</v>
      </c>
      <c r="E162" s="46" t="s">
        <v>474</v>
      </c>
      <c r="F162" s="46" t="s">
        <v>444</v>
      </c>
      <c r="G162" s="46" t="s">
        <v>254</v>
      </c>
      <c r="H162" s="46" t="s">
        <v>68</v>
      </c>
      <c r="I162" s="46" t="s">
        <v>454</v>
      </c>
      <c r="J162" s="46" t="s">
        <v>71</v>
      </c>
      <c r="K162" s="47">
        <v>130</v>
      </c>
      <c r="L162" s="47">
        <v>40</v>
      </c>
      <c r="M162" s="47">
        <f t="shared" si="5"/>
        <v>170</v>
      </c>
      <c r="N162" s="48" t="s">
        <v>446</v>
      </c>
      <c r="O162" s="71" t="s">
        <v>475</v>
      </c>
    </row>
    <row r="163" spans="1:15" ht="51" x14ac:dyDescent="0.2">
      <c r="A163" s="45" t="s">
        <v>476</v>
      </c>
      <c r="B163" s="46" t="s">
        <v>441</v>
      </c>
      <c r="C163" s="46" t="s">
        <v>441</v>
      </c>
      <c r="D163" s="46" t="s">
        <v>442</v>
      </c>
      <c r="E163" s="46" t="s">
        <v>474</v>
      </c>
      <c r="F163" s="46" t="s">
        <v>444</v>
      </c>
      <c r="G163" s="46" t="s">
        <v>257</v>
      </c>
      <c r="H163" s="46" t="s">
        <v>68</v>
      </c>
      <c r="I163" s="46" t="s">
        <v>445</v>
      </c>
      <c r="J163" s="46" t="s">
        <v>71</v>
      </c>
      <c r="K163" s="47">
        <v>140</v>
      </c>
      <c r="L163" s="47">
        <v>70</v>
      </c>
      <c r="M163" s="47">
        <f t="shared" si="5"/>
        <v>210</v>
      </c>
      <c r="N163" s="48" t="s">
        <v>446</v>
      </c>
      <c r="O163" s="71" t="s">
        <v>477</v>
      </c>
    </row>
    <row r="164" spans="1:15" ht="51" x14ac:dyDescent="0.2">
      <c r="A164" s="45" t="s">
        <v>478</v>
      </c>
      <c r="B164" s="46" t="s">
        <v>441</v>
      </c>
      <c r="C164" s="46" t="s">
        <v>441</v>
      </c>
      <c r="D164" s="46" t="s">
        <v>442</v>
      </c>
      <c r="E164" s="46" t="s">
        <v>474</v>
      </c>
      <c r="F164" s="46" t="s">
        <v>444</v>
      </c>
      <c r="G164" s="46" t="s">
        <v>257</v>
      </c>
      <c r="H164" s="46" t="s">
        <v>68</v>
      </c>
      <c r="I164" s="46" t="s">
        <v>449</v>
      </c>
      <c r="J164" s="46" t="s">
        <v>71</v>
      </c>
      <c r="K164" s="47">
        <v>160</v>
      </c>
      <c r="L164" s="47">
        <v>150</v>
      </c>
      <c r="M164" s="47">
        <f t="shared" si="5"/>
        <v>310</v>
      </c>
      <c r="N164" s="48" t="s">
        <v>446</v>
      </c>
      <c r="O164" s="71" t="s">
        <v>479</v>
      </c>
    </row>
    <row r="165" spans="1:15" ht="51" x14ac:dyDescent="0.2">
      <c r="A165" s="45" t="s">
        <v>480</v>
      </c>
      <c r="B165" s="46" t="s">
        <v>461</v>
      </c>
      <c r="C165" s="46" t="s">
        <v>461</v>
      </c>
      <c r="D165" s="46" t="s">
        <v>442</v>
      </c>
      <c r="E165" s="46" t="s">
        <v>474</v>
      </c>
      <c r="F165" s="46" t="s">
        <v>444</v>
      </c>
      <c r="G165" s="46" t="s">
        <v>68</v>
      </c>
      <c r="H165" s="46" t="s">
        <v>68</v>
      </c>
      <c r="I165" s="46" t="s">
        <v>68</v>
      </c>
      <c r="J165" s="46" t="s">
        <v>71</v>
      </c>
      <c r="K165" s="47">
        <v>130</v>
      </c>
      <c r="L165" s="47">
        <v>10</v>
      </c>
      <c r="M165" s="47">
        <f t="shared" si="5"/>
        <v>140</v>
      </c>
      <c r="N165" s="46" t="s">
        <v>462</v>
      </c>
      <c r="O165" s="71" t="s">
        <v>481</v>
      </c>
    </row>
    <row r="166" spans="1:15" ht="51" x14ac:dyDescent="0.2">
      <c r="A166" s="45" t="s">
        <v>482</v>
      </c>
      <c r="B166" s="46" t="s">
        <v>483</v>
      </c>
      <c r="C166" s="46" t="s">
        <v>483</v>
      </c>
      <c r="D166" s="46" t="s">
        <v>442</v>
      </c>
      <c r="E166" s="46" t="s">
        <v>474</v>
      </c>
      <c r="F166" s="46" t="s">
        <v>444</v>
      </c>
      <c r="G166" s="46" t="s">
        <v>257</v>
      </c>
      <c r="H166" s="46" t="s">
        <v>68</v>
      </c>
      <c r="I166" s="46" t="s">
        <v>445</v>
      </c>
      <c r="J166" s="46" t="s">
        <v>71</v>
      </c>
      <c r="K166" s="47">
        <v>150</v>
      </c>
      <c r="L166" s="47">
        <v>60</v>
      </c>
      <c r="M166" s="47">
        <f t="shared" si="5"/>
        <v>210</v>
      </c>
      <c r="N166" s="46" t="s">
        <v>462</v>
      </c>
      <c r="O166" s="71" t="s">
        <v>484</v>
      </c>
    </row>
    <row r="167" spans="1:15" ht="51" x14ac:dyDescent="0.2">
      <c r="A167" s="45" t="s">
        <v>485</v>
      </c>
      <c r="B167" s="46" t="s">
        <v>483</v>
      </c>
      <c r="C167" s="46" t="s">
        <v>483</v>
      </c>
      <c r="D167" s="46" t="s">
        <v>442</v>
      </c>
      <c r="E167" s="46" t="s">
        <v>474</v>
      </c>
      <c r="F167" s="46" t="s">
        <v>444</v>
      </c>
      <c r="G167" s="46" t="s">
        <v>257</v>
      </c>
      <c r="H167" s="46" t="s">
        <v>68</v>
      </c>
      <c r="I167" s="46" t="s">
        <v>449</v>
      </c>
      <c r="J167" s="46" t="s">
        <v>71</v>
      </c>
      <c r="K167" s="47">
        <v>160</v>
      </c>
      <c r="L167" s="47">
        <v>120</v>
      </c>
      <c r="M167" s="47">
        <f t="shared" si="5"/>
        <v>280</v>
      </c>
      <c r="N167" s="46" t="s">
        <v>462</v>
      </c>
      <c r="O167" s="71" t="s">
        <v>486</v>
      </c>
    </row>
    <row r="168" spans="1:15" ht="51" x14ac:dyDescent="0.2">
      <c r="A168" s="45" t="s">
        <v>487</v>
      </c>
      <c r="B168" s="46" t="s">
        <v>441</v>
      </c>
      <c r="C168" s="46" t="s">
        <v>441</v>
      </c>
      <c r="D168" s="46" t="s">
        <v>442</v>
      </c>
      <c r="E168" s="46" t="s">
        <v>474</v>
      </c>
      <c r="F168" s="46" t="s">
        <v>488</v>
      </c>
      <c r="G168" s="46" t="s">
        <v>254</v>
      </c>
      <c r="H168" s="46" t="s">
        <v>68</v>
      </c>
      <c r="I168" s="46" t="s">
        <v>454</v>
      </c>
      <c r="J168" s="46" t="s">
        <v>71</v>
      </c>
      <c r="K168" s="47">
        <v>145</v>
      </c>
      <c r="L168" s="47">
        <v>90</v>
      </c>
      <c r="M168" s="47">
        <f t="shared" si="5"/>
        <v>235</v>
      </c>
      <c r="N168" s="48" t="s">
        <v>446</v>
      </c>
      <c r="O168" s="71" t="s">
        <v>489</v>
      </c>
    </row>
    <row r="169" spans="1:15" ht="51" x14ac:dyDescent="0.2">
      <c r="A169" s="45" t="s">
        <v>490</v>
      </c>
      <c r="B169" s="46" t="s">
        <v>441</v>
      </c>
      <c r="C169" s="46" t="s">
        <v>441</v>
      </c>
      <c r="D169" s="46" t="s">
        <v>442</v>
      </c>
      <c r="E169" s="46" t="s">
        <v>474</v>
      </c>
      <c r="F169" s="46" t="s">
        <v>488</v>
      </c>
      <c r="G169" s="46" t="s">
        <v>257</v>
      </c>
      <c r="H169" s="46" t="s">
        <v>68</v>
      </c>
      <c r="I169" s="46" t="s">
        <v>445</v>
      </c>
      <c r="J169" s="46" t="s">
        <v>71</v>
      </c>
      <c r="K169" s="47">
        <v>160</v>
      </c>
      <c r="L169" s="47">
        <v>180</v>
      </c>
      <c r="M169" s="47">
        <f t="shared" si="5"/>
        <v>340</v>
      </c>
      <c r="N169" s="48" t="s">
        <v>446</v>
      </c>
      <c r="O169" s="71" t="s">
        <v>491</v>
      </c>
    </row>
    <row r="170" spans="1:15" ht="51" x14ac:dyDescent="0.2">
      <c r="A170" s="45" t="s">
        <v>492</v>
      </c>
      <c r="B170" s="46" t="s">
        <v>441</v>
      </c>
      <c r="C170" s="46" t="s">
        <v>441</v>
      </c>
      <c r="D170" s="46" t="s">
        <v>442</v>
      </c>
      <c r="E170" s="46" t="s">
        <v>474</v>
      </c>
      <c r="F170" s="46" t="s">
        <v>488</v>
      </c>
      <c r="G170" s="46" t="s">
        <v>257</v>
      </c>
      <c r="H170" s="46" t="s">
        <v>68</v>
      </c>
      <c r="I170" s="46" t="s">
        <v>449</v>
      </c>
      <c r="J170" s="46" t="s">
        <v>71</v>
      </c>
      <c r="K170" s="47">
        <v>180</v>
      </c>
      <c r="L170" s="47">
        <v>360</v>
      </c>
      <c r="M170" s="47">
        <f t="shared" si="5"/>
        <v>540</v>
      </c>
      <c r="N170" s="48" t="s">
        <v>446</v>
      </c>
      <c r="O170" s="71" t="s">
        <v>493</v>
      </c>
    </row>
    <row r="171" spans="1:15" ht="51" x14ac:dyDescent="0.2">
      <c r="A171" s="45" t="s">
        <v>494</v>
      </c>
      <c r="B171" s="46" t="s">
        <v>461</v>
      </c>
      <c r="C171" s="46" t="s">
        <v>461</v>
      </c>
      <c r="D171" s="46" t="s">
        <v>442</v>
      </c>
      <c r="E171" s="46" t="s">
        <v>474</v>
      </c>
      <c r="F171" s="46" t="s">
        <v>488</v>
      </c>
      <c r="G171" s="46" t="s">
        <v>68</v>
      </c>
      <c r="H171" s="46" t="s">
        <v>68</v>
      </c>
      <c r="I171" s="46" t="s">
        <v>68</v>
      </c>
      <c r="J171" s="46" t="s">
        <v>71</v>
      </c>
      <c r="K171" s="47">
        <v>130</v>
      </c>
      <c r="L171" s="47">
        <v>20</v>
      </c>
      <c r="M171" s="47">
        <f t="shared" si="5"/>
        <v>150</v>
      </c>
      <c r="N171" s="46" t="s">
        <v>462</v>
      </c>
      <c r="O171" s="71" t="s">
        <v>495</v>
      </c>
    </row>
    <row r="172" spans="1:15" ht="63.75" x14ac:dyDescent="0.2">
      <c r="A172" s="45" t="s">
        <v>496</v>
      </c>
      <c r="B172" s="46" t="s">
        <v>483</v>
      </c>
      <c r="C172" s="46" t="s">
        <v>483</v>
      </c>
      <c r="D172" s="46" t="s">
        <v>442</v>
      </c>
      <c r="E172" s="46" t="s">
        <v>474</v>
      </c>
      <c r="F172" s="46" t="s">
        <v>488</v>
      </c>
      <c r="G172" s="46" t="s">
        <v>257</v>
      </c>
      <c r="H172" s="46" t="s">
        <v>68</v>
      </c>
      <c r="I172" s="46" t="s">
        <v>445</v>
      </c>
      <c r="J172" s="46" t="s">
        <v>71</v>
      </c>
      <c r="K172" s="47">
        <v>150</v>
      </c>
      <c r="L172" s="47">
        <v>60</v>
      </c>
      <c r="M172" s="47">
        <f t="shared" si="5"/>
        <v>210</v>
      </c>
      <c r="N172" s="46" t="s">
        <v>462</v>
      </c>
      <c r="O172" s="71" t="s">
        <v>497</v>
      </c>
    </row>
    <row r="173" spans="1:15" ht="63.75" x14ac:dyDescent="0.2">
      <c r="A173" s="45" t="s">
        <v>498</v>
      </c>
      <c r="B173" s="46" t="s">
        <v>483</v>
      </c>
      <c r="C173" s="46" t="s">
        <v>483</v>
      </c>
      <c r="D173" s="46" t="s">
        <v>442</v>
      </c>
      <c r="E173" s="46" t="s">
        <v>474</v>
      </c>
      <c r="F173" s="46" t="s">
        <v>488</v>
      </c>
      <c r="G173" s="46" t="s">
        <v>257</v>
      </c>
      <c r="H173" s="46" t="s">
        <v>68</v>
      </c>
      <c r="I173" s="46" t="s">
        <v>449</v>
      </c>
      <c r="J173" s="46" t="s">
        <v>71</v>
      </c>
      <c r="K173" s="47">
        <v>160</v>
      </c>
      <c r="L173" s="47">
        <v>120</v>
      </c>
      <c r="M173" s="47">
        <f t="shared" si="5"/>
        <v>280</v>
      </c>
      <c r="N173" s="46" t="s">
        <v>462</v>
      </c>
      <c r="O173" s="71" t="s">
        <v>499</v>
      </c>
    </row>
    <row r="174" spans="1:15" ht="51" x14ac:dyDescent="0.2">
      <c r="A174" s="45" t="s">
        <v>500</v>
      </c>
      <c r="B174" s="46" t="s">
        <v>441</v>
      </c>
      <c r="C174" s="46" t="s">
        <v>441</v>
      </c>
      <c r="D174" s="46" t="s">
        <v>442</v>
      </c>
      <c r="E174" s="46" t="s">
        <v>474</v>
      </c>
      <c r="F174" s="46" t="s">
        <v>501</v>
      </c>
      <c r="G174" s="46" t="s">
        <v>257</v>
      </c>
      <c r="H174" s="46" t="s">
        <v>68</v>
      </c>
      <c r="I174" s="46" t="s">
        <v>445</v>
      </c>
      <c r="J174" s="46" t="s">
        <v>71</v>
      </c>
      <c r="K174" s="47">
        <v>170</v>
      </c>
      <c r="L174" s="47">
        <v>220</v>
      </c>
      <c r="M174" s="47">
        <f t="shared" si="5"/>
        <v>390</v>
      </c>
      <c r="N174" s="48" t="s">
        <v>446</v>
      </c>
      <c r="O174" s="71" t="s">
        <v>502</v>
      </c>
    </row>
    <row r="175" spans="1:15" ht="51" x14ac:dyDescent="0.2">
      <c r="A175" s="45" t="s">
        <v>503</v>
      </c>
      <c r="B175" s="46" t="s">
        <v>441</v>
      </c>
      <c r="C175" s="46" t="s">
        <v>441</v>
      </c>
      <c r="D175" s="46" t="s">
        <v>442</v>
      </c>
      <c r="E175" s="46" t="s">
        <v>474</v>
      </c>
      <c r="F175" s="46" t="s">
        <v>501</v>
      </c>
      <c r="G175" s="46" t="s">
        <v>257</v>
      </c>
      <c r="H175" s="46" t="s">
        <v>68</v>
      </c>
      <c r="I175" s="46" t="s">
        <v>449</v>
      </c>
      <c r="J175" s="46" t="s">
        <v>71</v>
      </c>
      <c r="K175" s="47">
        <v>210</v>
      </c>
      <c r="L175" s="47">
        <v>500</v>
      </c>
      <c r="M175" s="47">
        <f t="shared" si="5"/>
        <v>710</v>
      </c>
      <c r="N175" s="48" t="s">
        <v>446</v>
      </c>
      <c r="O175" s="71" t="s">
        <v>504</v>
      </c>
    </row>
    <row r="176" spans="1:15" ht="51" x14ac:dyDescent="0.2">
      <c r="A176" s="45" t="s">
        <v>505</v>
      </c>
      <c r="B176" s="46" t="s">
        <v>461</v>
      </c>
      <c r="C176" s="46" t="s">
        <v>461</v>
      </c>
      <c r="D176" s="46" t="s">
        <v>442</v>
      </c>
      <c r="E176" s="46" t="s">
        <v>474</v>
      </c>
      <c r="F176" s="46" t="s">
        <v>501</v>
      </c>
      <c r="G176" s="46" t="s">
        <v>257</v>
      </c>
      <c r="H176" s="46" t="s">
        <v>68</v>
      </c>
      <c r="I176" s="46" t="s">
        <v>68</v>
      </c>
      <c r="J176" s="46" t="s">
        <v>71</v>
      </c>
      <c r="K176" s="47">
        <v>130</v>
      </c>
      <c r="L176" s="47">
        <v>20</v>
      </c>
      <c r="M176" s="47">
        <f t="shared" si="5"/>
        <v>150</v>
      </c>
      <c r="N176" s="46" t="s">
        <v>462</v>
      </c>
      <c r="O176" s="71" t="s">
        <v>506</v>
      </c>
    </row>
    <row r="177" spans="1:15" ht="63.75" x14ac:dyDescent="0.2">
      <c r="A177" s="45" t="s">
        <v>507</v>
      </c>
      <c r="B177" s="46" t="s">
        <v>508</v>
      </c>
      <c r="C177" s="46" t="s">
        <v>508</v>
      </c>
      <c r="D177" s="46" t="s">
        <v>442</v>
      </c>
      <c r="E177" s="46" t="s">
        <v>474</v>
      </c>
      <c r="F177" s="46" t="s">
        <v>501</v>
      </c>
      <c r="G177" s="46" t="s">
        <v>257</v>
      </c>
      <c r="H177" s="46" t="s">
        <v>68</v>
      </c>
      <c r="I177" s="46" t="s">
        <v>445</v>
      </c>
      <c r="J177" s="46" t="s">
        <v>71</v>
      </c>
      <c r="K177" s="47">
        <v>190</v>
      </c>
      <c r="L177" s="47">
        <v>120</v>
      </c>
      <c r="M177" s="47">
        <f t="shared" si="5"/>
        <v>310</v>
      </c>
      <c r="N177" s="46" t="s">
        <v>462</v>
      </c>
      <c r="O177" s="71" t="s">
        <v>509</v>
      </c>
    </row>
    <row r="178" spans="1:15" ht="63.75" x14ac:dyDescent="0.2">
      <c r="A178" s="45" t="s">
        <v>510</v>
      </c>
      <c r="B178" s="46" t="s">
        <v>508</v>
      </c>
      <c r="C178" s="46" t="s">
        <v>508</v>
      </c>
      <c r="D178" s="46" t="s">
        <v>442</v>
      </c>
      <c r="E178" s="46" t="s">
        <v>474</v>
      </c>
      <c r="F178" s="46" t="s">
        <v>501</v>
      </c>
      <c r="G178" s="46" t="s">
        <v>257</v>
      </c>
      <c r="H178" s="46" t="s">
        <v>68</v>
      </c>
      <c r="I178" s="46" t="s">
        <v>449</v>
      </c>
      <c r="J178" s="46" t="s">
        <v>71</v>
      </c>
      <c r="K178" s="47">
        <v>210</v>
      </c>
      <c r="L178" s="47">
        <v>240</v>
      </c>
      <c r="M178" s="47">
        <f t="shared" si="5"/>
        <v>450</v>
      </c>
      <c r="N178" s="46" t="s">
        <v>462</v>
      </c>
      <c r="O178" s="71" t="s">
        <v>511</v>
      </c>
    </row>
    <row r="179" spans="1:15" ht="51" x14ac:dyDescent="0.2">
      <c r="A179" s="45" t="s">
        <v>512</v>
      </c>
      <c r="B179" s="46" t="s">
        <v>441</v>
      </c>
      <c r="C179" s="46" t="s">
        <v>441</v>
      </c>
      <c r="D179" s="46" t="s">
        <v>442</v>
      </c>
      <c r="E179" s="46" t="s">
        <v>474</v>
      </c>
      <c r="F179" s="46" t="s">
        <v>213</v>
      </c>
      <c r="G179" s="46" t="s">
        <v>254</v>
      </c>
      <c r="H179" s="46" t="s">
        <v>513</v>
      </c>
      <c r="I179" s="46" t="s">
        <v>454</v>
      </c>
      <c r="J179" s="46" t="s">
        <v>71</v>
      </c>
      <c r="K179" s="47">
        <v>160</v>
      </c>
      <c r="L179" s="47">
        <v>150</v>
      </c>
      <c r="M179" s="47">
        <f t="shared" si="5"/>
        <v>310</v>
      </c>
      <c r="N179" s="48" t="s">
        <v>446</v>
      </c>
      <c r="O179" s="71" t="s">
        <v>514</v>
      </c>
    </row>
    <row r="180" spans="1:15" ht="51" x14ac:dyDescent="0.2">
      <c r="A180" s="45" t="s">
        <v>515</v>
      </c>
      <c r="B180" s="46" t="s">
        <v>441</v>
      </c>
      <c r="C180" s="46" t="s">
        <v>441</v>
      </c>
      <c r="D180" s="46" t="s">
        <v>442</v>
      </c>
      <c r="E180" s="46" t="s">
        <v>474</v>
      </c>
      <c r="F180" s="46" t="s">
        <v>213</v>
      </c>
      <c r="G180" s="46" t="s">
        <v>254</v>
      </c>
      <c r="H180" s="46" t="s">
        <v>513</v>
      </c>
      <c r="I180" s="46" t="s">
        <v>445</v>
      </c>
      <c r="J180" s="46" t="s">
        <v>71</v>
      </c>
      <c r="K180" s="47">
        <v>170</v>
      </c>
      <c r="L180" s="47">
        <v>230</v>
      </c>
      <c r="M180" s="47">
        <f t="shared" si="5"/>
        <v>400</v>
      </c>
      <c r="N180" s="48" t="s">
        <v>446</v>
      </c>
      <c r="O180" s="71" t="s">
        <v>516</v>
      </c>
    </row>
    <row r="181" spans="1:15" ht="51" x14ac:dyDescent="0.2">
      <c r="A181" s="45" t="s">
        <v>517</v>
      </c>
      <c r="B181" s="46" t="s">
        <v>483</v>
      </c>
      <c r="C181" s="46" t="s">
        <v>483</v>
      </c>
      <c r="D181" s="46" t="s">
        <v>442</v>
      </c>
      <c r="E181" s="46" t="s">
        <v>474</v>
      </c>
      <c r="F181" s="46" t="s">
        <v>213</v>
      </c>
      <c r="G181" s="46" t="s">
        <v>254</v>
      </c>
      <c r="H181" s="46" t="s">
        <v>68</v>
      </c>
      <c r="I181" s="46" t="s">
        <v>68</v>
      </c>
      <c r="J181" s="46" t="s">
        <v>71</v>
      </c>
      <c r="K181" s="47">
        <v>145</v>
      </c>
      <c r="L181" s="47">
        <v>50</v>
      </c>
      <c r="M181" s="47">
        <f t="shared" si="5"/>
        <v>195</v>
      </c>
      <c r="N181" s="46" t="s">
        <v>462</v>
      </c>
      <c r="O181" s="71" t="s">
        <v>518</v>
      </c>
    </row>
    <row r="182" spans="1:15" ht="51" x14ac:dyDescent="0.2">
      <c r="A182" s="45" t="s">
        <v>519</v>
      </c>
      <c r="B182" s="46" t="s">
        <v>441</v>
      </c>
      <c r="C182" s="46" t="s">
        <v>441</v>
      </c>
      <c r="D182" s="46" t="s">
        <v>520</v>
      </c>
      <c r="E182" s="46" t="s">
        <v>474</v>
      </c>
      <c r="F182" s="46" t="s">
        <v>199</v>
      </c>
      <c r="G182" s="46" t="s">
        <v>254</v>
      </c>
      <c r="H182" s="46" t="s">
        <v>68</v>
      </c>
      <c r="I182" s="46" t="s">
        <v>454</v>
      </c>
      <c r="J182" s="46" t="s">
        <v>71</v>
      </c>
      <c r="K182" s="47">
        <v>170</v>
      </c>
      <c r="L182" s="47">
        <v>60</v>
      </c>
      <c r="M182" s="47">
        <f t="shared" si="5"/>
        <v>230</v>
      </c>
      <c r="N182" s="46" t="s">
        <v>521</v>
      </c>
      <c r="O182" s="71" t="s">
        <v>522</v>
      </c>
    </row>
    <row r="183" spans="1:15" ht="51" x14ac:dyDescent="0.2">
      <c r="A183" s="45" t="s">
        <v>523</v>
      </c>
      <c r="B183" s="46" t="s">
        <v>441</v>
      </c>
      <c r="C183" s="46" t="s">
        <v>441</v>
      </c>
      <c r="D183" s="46" t="s">
        <v>520</v>
      </c>
      <c r="E183" s="46" t="s">
        <v>474</v>
      </c>
      <c r="F183" s="46" t="s">
        <v>199</v>
      </c>
      <c r="G183" s="46" t="s">
        <v>257</v>
      </c>
      <c r="H183" s="46" t="s">
        <v>68</v>
      </c>
      <c r="I183" s="46" t="s">
        <v>445</v>
      </c>
      <c r="J183" s="46" t="s">
        <v>71</v>
      </c>
      <c r="K183" s="47">
        <v>190</v>
      </c>
      <c r="L183" s="47">
        <v>180</v>
      </c>
      <c r="M183" s="47">
        <f t="shared" si="5"/>
        <v>370</v>
      </c>
      <c r="N183" s="46" t="s">
        <v>521</v>
      </c>
      <c r="O183" s="71" t="s">
        <v>524</v>
      </c>
    </row>
    <row r="184" spans="1:15" ht="51" x14ac:dyDescent="0.2">
      <c r="A184" s="45" t="s">
        <v>525</v>
      </c>
      <c r="B184" s="46" t="s">
        <v>441</v>
      </c>
      <c r="C184" s="46" t="s">
        <v>441</v>
      </c>
      <c r="D184" s="46" t="s">
        <v>520</v>
      </c>
      <c r="E184" s="46" t="s">
        <v>474</v>
      </c>
      <c r="F184" s="46" t="s">
        <v>199</v>
      </c>
      <c r="G184" s="46" t="s">
        <v>257</v>
      </c>
      <c r="H184" s="46" t="s">
        <v>68</v>
      </c>
      <c r="I184" s="46" t="s">
        <v>449</v>
      </c>
      <c r="J184" s="46" t="s">
        <v>71</v>
      </c>
      <c r="K184" s="47">
        <v>220</v>
      </c>
      <c r="L184" s="47">
        <v>240</v>
      </c>
      <c r="M184" s="47">
        <f t="shared" si="5"/>
        <v>460</v>
      </c>
      <c r="N184" s="46" t="s">
        <v>521</v>
      </c>
      <c r="O184" s="71" t="s">
        <v>526</v>
      </c>
    </row>
    <row r="185" spans="1:15" ht="51" x14ac:dyDescent="0.2">
      <c r="A185" s="45" t="s">
        <v>527</v>
      </c>
      <c r="B185" s="46" t="s">
        <v>461</v>
      </c>
      <c r="C185" s="46" t="s">
        <v>461</v>
      </c>
      <c r="D185" s="46" t="s">
        <v>520</v>
      </c>
      <c r="E185" s="46" t="s">
        <v>474</v>
      </c>
      <c r="F185" s="46" t="s">
        <v>199</v>
      </c>
      <c r="G185" s="46" t="s">
        <v>68</v>
      </c>
      <c r="H185" s="46" t="s">
        <v>68</v>
      </c>
      <c r="I185" s="46" t="s">
        <v>68</v>
      </c>
      <c r="J185" s="46" t="s">
        <v>71</v>
      </c>
      <c r="K185" s="47">
        <v>130</v>
      </c>
      <c r="L185" s="47">
        <v>10</v>
      </c>
      <c r="M185" s="47">
        <f t="shared" si="5"/>
        <v>140</v>
      </c>
      <c r="N185" s="46" t="s">
        <v>462</v>
      </c>
      <c r="O185" s="71" t="s">
        <v>528</v>
      </c>
    </row>
    <row r="186" spans="1:15" ht="51" x14ac:dyDescent="0.2">
      <c r="A186" s="45" t="s">
        <v>529</v>
      </c>
      <c r="B186" s="46" t="s">
        <v>483</v>
      </c>
      <c r="C186" s="46" t="s">
        <v>483</v>
      </c>
      <c r="D186" s="46" t="s">
        <v>520</v>
      </c>
      <c r="E186" s="46" t="s">
        <v>474</v>
      </c>
      <c r="F186" s="46" t="s">
        <v>199</v>
      </c>
      <c r="G186" s="46" t="s">
        <v>257</v>
      </c>
      <c r="H186" s="46" t="s">
        <v>68</v>
      </c>
      <c r="I186" s="46" t="s">
        <v>445</v>
      </c>
      <c r="J186" s="46" t="s">
        <v>71</v>
      </c>
      <c r="K186" s="47">
        <v>150</v>
      </c>
      <c r="L186" s="47">
        <v>60</v>
      </c>
      <c r="M186" s="47">
        <f t="shared" si="5"/>
        <v>210</v>
      </c>
      <c r="N186" s="46" t="s">
        <v>462</v>
      </c>
      <c r="O186" s="71" t="s">
        <v>530</v>
      </c>
    </row>
    <row r="187" spans="1:15" ht="51" x14ac:dyDescent="0.2">
      <c r="A187" s="45" t="s">
        <v>531</v>
      </c>
      <c r="B187" s="46" t="s">
        <v>483</v>
      </c>
      <c r="C187" s="46" t="s">
        <v>483</v>
      </c>
      <c r="D187" s="46" t="s">
        <v>520</v>
      </c>
      <c r="E187" s="46" t="s">
        <v>474</v>
      </c>
      <c r="F187" s="46" t="s">
        <v>199</v>
      </c>
      <c r="G187" s="46" t="s">
        <v>257</v>
      </c>
      <c r="H187" s="46" t="s">
        <v>68</v>
      </c>
      <c r="I187" s="46" t="s">
        <v>449</v>
      </c>
      <c r="J187" s="46" t="s">
        <v>71</v>
      </c>
      <c r="K187" s="47">
        <v>190</v>
      </c>
      <c r="L187" s="47">
        <v>120</v>
      </c>
      <c r="M187" s="47">
        <f t="shared" si="5"/>
        <v>310</v>
      </c>
      <c r="N187" s="46" t="s">
        <v>462</v>
      </c>
      <c r="O187" s="71" t="s">
        <v>532</v>
      </c>
    </row>
    <row r="188" spans="1:15" ht="63.75" x14ac:dyDescent="0.2">
      <c r="A188" s="45" t="s">
        <v>533</v>
      </c>
      <c r="B188" s="46" t="s">
        <v>441</v>
      </c>
      <c r="C188" s="46" t="s">
        <v>441</v>
      </c>
      <c r="D188" s="46" t="s">
        <v>520</v>
      </c>
      <c r="E188" s="46" t="s">
        <v>474</v>
      </c>
      <c r="F188" s="46" t="s">
        <v>488</v>
      </c>
      <c r="G188" s="46" t="s">
        <v>254</v>
      </c>
      <c r="H188" s="46" t="s">
        <v>68</v>
      </c>
      <c r="I188" s="46" t="s">
        <v>454</v>
      </c>
      <c r="J188" s="46" t="s">
        <v>71</v>
      </c>
      <c r="K188" s="47">
        <v>150</v>
      </c>
      <c r="L188" s="47">
        <v>100</v>
      </c>
      <c r="M188" s="47">
        <f t="shared" si="5"/>
        <v>250</v>
      </c>
      <c r="N188" s="46" t="s">
        <v>521</v>
      </c>
      <c r="O188" s="71" t="s">
        <v>534</v>
      </c>
    </row>
    <row r="189" spans="1:15" ht="63.75" x14ac:dyDescent="0.2">
      <c r="A189" s="45" t="s">
        <v>535</v>
      </c>
      <c r="B189" s="46" t="s">
        <v>441</v>
      </c>
      <c r="C189" s="46" t="s">
        <v>441</v>
      </c>
      <c r="D189" s="46" t="s">
        <v>520</v>
      </c>
      <c r="E189" s="46" t="s">
        <v>474</v>
      </c>
      <c r="F189" s="46" t="s">
        <v>488</v>
      </c>
      <c r="G189" s="46" t="s">
        <v>257</v>
      </c>
      <c r="H189" s="46" t="s">
        <v>68</v>
      </c>
      <c r="I189" s="46" t="s">
        <v>445</v>
      </c>
      <c r="J189" s="46" t="s">
        <v>71</v>
      </c>
      <c r="K189" s="47">
        <v>180</v>
      </c>
      <c r="L189" s="47">
        <v>160</v>
      </c>
      <c r="M189" s="47">
        <f t="shared" si="5"/>
        <v>340</v>
      </c>
      <c r="N189" s="46" t="s">
        <v>521</v>
      </c>
      <c r="O189" s="71" t="s">
        <v>536</v>
      </c>
    </row>
    <row r="190" spans="1:15" ht="63.75" x14ac:dyDescent="0.2">
      <c r="A190" s="45" t="s">
        <v>537</v>
      </c>
      <c r="B190" s="46" t="s">
        <v>441</v>
      </c>
      <c r="C190" s="46" t="s">
        <v>441</v>
      </c>
      <c r="D190" s="46" t="s">
        <v>520</v>
      </c>
      <c r="E190" s="46" t="s">
        <v>474</v>
      </c>
      <c r="F190" s="46" t="s">
        <v>488</v>
      </c>
      <c r="G190" s="46" t="s">
        <v>257</v>
      </c>
      <c r="H190" s="46" t="s">
        <v>68</v>
      </c>
      <c r="I190" s="46" t="s">
        <v>449</v>
      </c>
      <c r="J190" s="46" t="s">
        <v>71</v>
      </c>
      <c r="K190" s="47">
        <v>200</v>
      </c>
      <c r="L190" s="47">
        <v>260</v>
      </c>
      <c r="M190" s="47">
        <f t="shared" si="5"/>
        <v>460</v>
      </c>
      <c r="N190" s="46" t="s">
        <v>521</v>
      </c>
      <c r="O190" s="71" t="s">
        <v>538</v>
      </c>
    </row>
    <row r="191" spans="1:15" ht="51" x14ac:dyDescent="0.2">
      <c r="A191" s="45" t="s">
        <v>539</v>
      </c>
      <c r="B191" s="46" t="s">
        <v>461</v>
      </c>
      <c r="C191" s="46" t="s">
        <v>461</v>
      </c>
      <c r="D191" s="46" t="s">
        <v>520</v>
      </c>
      <c r="E191" s="46" t="s">
        <v>474</v>
      </c>
      <c r="F191" s="46" t="s">
        <v>488</v>
      </c>
      <c r="G191" s="46" t="s">
        <v>68</v>
      </c>
      <c r="H191" s="46" t="s">
        <v>68</v>
      </c>
      <c r="I191" s="46" t="s">
        <v>68</v>
      </c>
      <c r="J191" s="46" t="s">
        <v>71</v>
      </c>
      <c r="K191" s="47">
        <v>130</v>
      </c>
      <c r="L191" s="47">
        <v>20</v>
      </c>
      <c r="M191" s="47">
        <f t="shared" si="5"/>
        <v>150</v>
      </c>
      <c r="N191" s="46" t="s">
        <v>462</v>
      </c>
      <c r="O191" s="71" t="s">
        <v>540</v>
      </c>
    </row>
    <row r="192" spans="1:15" ht="63.75" x14ac:dyDescent="0.2">
      <c r="A192" s="45" t="s">
        <v>541</v>
      </c>
      <c r="B192" s="46" t="s">
        <v>483</v>
      </c>
      <c r="C192" s="46" t="s">
        <v>483</v>
      </c>
      <c r="D192" s="46" t="s">
        <v>520</v>
      </c>
      <c r="E192" s="46" t="s">
        <v>474</v>
      </c>
      <c r="F192" s="46" t="s">
        <v>488</v>
      </c>
      <c r="G192" s="46" t="s">
        <v>257</v>
      </c>
      <c r="H192" s="46" t="s">
        <v>68</v>
      </c>
      <c r="I192" s="46" t="s">
        <v>445</v>
      </c>
      <c r="J192" s="46" t="s">
        <v>71</v>
      </c>
      <c r="K192" s="47">
        <v>150</v>
      </c>
      <c r="L192" s="47">
        <v>60</v>
      </c>
      <c r="M192" s="47">
        <f t="shared" si="5"/>
        <v>210</v>
      </c>
      <c r="N192" s="46" t="s">
        <v>462</v>
      </c>
      <c r="O192" s="71" t="s">
        <v>542</v>
      </c>
    </row>
    <row r="193" spans="1:15" ht="63.75" x14ac:dyDescent="0.2">
      <c r="A193" s="45" t="s">
        <v>543</v>
      </c>
      <c r="B193" s="46" t="s">
        <v>483</v>
      </c>
      <c r="C193" s="46" t="s">
        <v>483</v>
      </c>
      <c r="D193" s="46" t="s">
        <v>520</v>
      </c>
      <c r="E193" s="46" t="s">
        <v>474</v>
      </c>
      <c r="F193" s="46" t="s">
        <v>488</v>
      </c>
      <c r="G193" s="46" t="s">
        <v>257</v>
      </c>
      <c r="H193" s="46" t="s">
        <v>68</v>
      </c>
      <c r="I193" s="46" t="s">
        <v>449</v>
      </c>
      <c r="J193" s="46" t="s">
        <v>71</v>
      </c>
      <c r="K193" s="47">
        <v>190</v>
      </c>
      <c r="L193" s="47">
        <v>120</v>
      </c>
      <c r="M193" s="47">
        <f t="shared" si="5"/>
        <v>310</v>
      </c>
      <c r="N193" s="46" t="s">
        <v>462</v>
      </c>
      <c r="O193" s="71" t="s">
        <v>544</v>
      </c>
    </row>
    <row r="194" spans="1:15" ht="51" x14ac:dyDescent="0.2">
      <c r="A194" s="45" t="s">
        <v>545</v>
      </c>
      <c r="B194" s="46" t="s">
        <v>441</v>
      </c>
      <c r="C194" s="46" t="s">
        <v>441</v>
      </c>
      <c r="D194" s="46" t="s">
        <v>520</v>
      </c>
      <c r="E194" s="46" t="s">
        <v>474</v>
      </c>
      <c r="F194" s="46" t="s">
        <v>501</v>
      </c>
      <c r="G194" s="46" t="s">
        <v>257</v>
      </c>
      <c r="H194" s="46" t="s">
        <v>68</v>
      </c>
      <c r="I194" s="46" t="s">
        <v>445</v>
      </c>
      <c r="J194" s="46" t="s">
        <v>71</v>
      </c>
      <c r="K194" s="47">
        <v>205</v>
      </c>
      <c r="L194" s="47">
        <v>240</v>
      </c>
      <c r="M194" s="47">
        <f t="shared" si="5"/>
        <v>445</v>
      </c>
      <c r="N194" s="46" t="s">
        <v>521</v>
      </c>
      <c r="O194" s="71" t="s">
        <v>546</v>
      </c>
    </row>
    <row r="195" spans="1:15" ht="51" x14ac:dyDescent="0.2">
      <c r="A195" s="45" t="s">
        <v>547</v>
      </c>
      <c r="B195" s="46" t="s">
        <v>441</v>
      </c>
      <c r="C195" s="46" t="s">
        <v>441</v>
      </c>
      <c r="D195" s="46" t="s">
        <v>520</v>
      </c>
      <c r="E195" s="46" t="s">
        <v>474</v>
      </c>
      <c r="F195" s="46" t="s">
        <v>501</v>
      </c>
      <c r="G195" s="46" t="s">
        <v>257</v>
      </c>
      <c r="H195" s="46" t="s">
        <v>68</v>
      </c>
      <c r="I195" s="46" t="s">
        <v>449</v>
      </c>
      <c r="J195" s="46" t="s">
        <v>71</v>
      </c>
      <c r="K195" s="47">
        <v>270</v>
      </c>
      <c r="L195" s="47">
        <v>450</v>
      </c>
      <c r="M195" s="47">
        <f t="shared" si="5"/>
        <v>720</v>
      </c>
      <c r="N195" s="46" t="s">
        <v>521</v>
      </c>
      <c r="O195" s="71" t="s">
        <v>548</v>
      </c>
    </row>
    <row r="196" spans="1:15" ht="51" x14ac:dyDescent="0.2">
      <c r="A196" s="45" t="s">
        <v>549</v>
      </c>
      <c r="B196" s="46" t="s">
        <v>461</v>
      </c>
      <c r="C196" s="46" t="s">
        <v>461</v>
      </c>
      <c r="D196" s="46" t="s">
        <v>520</v>
      </c>
      <c r="E196" s="46" t="s">
        <v>474</v>
      </c>
      <c r="F196" s="46" t="s">
        <v>501</v>
      </c>
      <c r="G196" s="46" t="s">
        <v>257</v>
      </c>
      <c r="H196" s="46" t="s">
        <v>68</v>
      </c>
      <c r="I196" s="46" t="s">
        <v>68</v>
      </c>
      <c r="J196" s="46" t="s">
        <v>71</v>
      </c>
      <c r="K196" s="47">
        <v>135</v>
      </c>
      <c r="L196" s="47">
        <v>20</v>
      </c>
      <c r="M196" s="47">
        <f t="shared" si="5"/>
        <v>155</v>
      </c>
      <c r="N196" s="46" t="s">
        <v>462</v>
      </c>
      <c r="O196" s="71" t="s">
        <v>550</v>
      </c>
    </row>
    <row r="197" spans="1:15" ht="63.75" x14ac:dyDescent="0.2">
      <c r="A197" s="45" t="s">
        <v>551</v>
      </c>
      <c r="B197" s="46" t="s">
        <v>508</v>
      </c>
      <c r="C197" s="46" t="s">
        <v>508</v>
      </c>
      <c r="D197" s="46" t="s">
        <v>520</v>
      </c>
      <c r="E197" s="46" t="s">
        <v>474</v>
      </c>
      <c r="F197" s="46" t="s">
        <v>501</v>
      </c>
      <c r="G197" s="46" t="s">
        <v>257</v>
      </c>
      <c r="H197" s="46" t="s">
        <v>68</v>
      </c>
      <c r="I197" s="46" t="s">
        <v>445</v>
      </c>
      <c r="J197" s="46" t="s">
        <v>71</v>
      </c>
      <c r="K197" s="47">
        <v>155</v>
      </c>
      <c r="L197" s="47">
        <v>120</v>
      </c>
      <c r="M197" s="47">
        <f t="shared" si="5"/>
        <v>275</v>
      </c>
      <c r="N197" s="46" t="s">
        <v>462</v>
      </c>
      <c r="O197" s="71" t="s">
        <v>552</v>
      </c>
    </row>
    <row r="198" spans="1:15" ht="63.75" x14ac:dyDescent="0.2">
      <c r="A198" s="45" t="s">
        <v>553</v>
      </c>
      <c r="B198" s="46" t="s">
        <v>508</v>
      </c>
      <c r="C198" s="46" t="s">
        <v>508</v>
      </c>
      <c r="D198" s="46" t="s">
        <v>520</v>
      </c>
      <c r="E198" s="46" t="s">
        <v>474</v>
      </c>
      <c r="F198" s="46" t="s">
        <v>501</v>
      </c>
      <c r="G198" s="46" t="s">
        <v>257</v>
      </c>
      <c r="H198" s="46" t="s">
        <v>68</v>
      </c>
      <c r="I198" s="46" t="s">
        <v>449</v>
      </c>
      <c r="J198" s="46" t="s">
        <v>71</v>
      </c>
      <c r="K198" s="47">
        <v>200</v>
      </c>
      <c r="L198" s="47">
        <v>240</v>
      </c>
      <c r="M198" s="47">
        <f t="shared" si="5"/>
        <v>440</v>
      </c>
      <c r="N198" s="46" t="s">
        <v>462</v>
      </c>
      <c r="O198" s="71" t="s">
        <v>554</v>
      </c>
    </row>
    <row r="199" spans="1:15" ht="51" x14ac:dyDescent="0.2">
      <c r="A199" s="45" t="s">
        <v>555</v>
      </c>
      <c r="B199" s="46" t="s">
        <v>441</v>
      </c>
      <c r="C199" s="46" t="s">
        <v>441</v>
      </c>
      <c r="D199" s="46" t="s">
        <v>520</v>
      </c>
      <c r="E199" s="46" t="s">
        <v>474</v>
      </c>
      <c r="F199" s="46" t="s">
        <v>556</v>
      </c>
      <c r="G199" s="46" t="s">
        <v>257</v>
      </c>
      <c r="H199" s="46" t="s">
        <v>68</v>
      </c>
      <c r="I199" s="46" t="s">
        <v>445</v>
      </c>
      <c r="J199" s="46" t="s">
        <v>71</v>
      </c>
      <c r="K199" s="47">
        <v>205</v>
      </c>
      <c r="L199" s="47">
        <v>280</v>
      </c>
      <c r="M199" s="47">
        <f t="shared" si="5"/>
        <v>485</v>
      </c>
      <c r="N199" s="46" t="s">
        <v>521</v>
      </c>
      <c r="O199" s="71" t="s">
        <v>557</v>
      </c>
    </row>
    <row r="200" spans="1:15" ht="51" x14ac:dyDescent="0.2">
      <c r="A200" s="45" t="s">
        <v>558</v>
      </c>
      <c r="B200" s="46" t="s">
        <v>441</v>
      </c>
      <c r="C200" s="46" t="s">
        <v>441</v>
      </c>
      <c r="D200" s="46" t="s">
        <v>520</v>
      </c>
      <c r="E200" s="46" t="s">
        <v>474</v>
      </c>
      <c r="F200" s="46" t="s">
        <v>556</v>
      </c>
      <c r="G200" s="46" t="s">
        <v>257</v>
      </c>
      <c r="H200" s="46" t="s">
        <v>68</v>
      </c>
      <c r="I200" s="46" t="s">
        <v>449</v>
      </c>
      <c r="J200" s="46" t="s">
        <v>71</v>
      </c>
      <c r="K200" s="47">
        <v>300</v>
      </c>
      <c r="L200" s="47">
        <v>1050</v>
      </c>
      <c r="M200" s="47">
        <f t="shared" si="5"/>
        <v>1350</v>
      </c>
      <c r="N200" s="46" t="s">
        <v>521</v>
      </c>
      <c r="O200" s="71" t="s">
        <v>559</v>
      </c>
    </row>
    <row r="201" spans="1:15" ht="63.75" x14ac:dyDescent="0.2">
      <c r="A201" s="45" t="s">
        <v>560</v>
      </c>
      <c r="B201" s="46" t="s">
        <v>441</v>
      </c>
      <c r="C201" s="46" t="s">
        <v>441</v>
      </c>
      <c r="D201" s="46" t="s">
        <v>520</v>
      </c>
      <c r="E201" s="46" t="s">
        <v>474</v>
      </c>
      <c r="F201" s="46" t="s">
        <v>556</v>
      </c>
      <c r="G201" s="46" t="s">
        <v>257</v>
      </c>
      <c r="H201" s="46" t="s">
        <v>561</v>
      </c>
      <c r="I201" s="46" t="s">
        <v>445</v>
      </c>
      <c r="J201" s="46" t="s">
        <v>71</v>
      </c>
      <c r="K201" s="47">
        <v>215</v>
      </c>
      <c r="L201" s="47">
        <v>250</v>
      </c>
      <c r="M201" s="47">
        <f t="shared" si="5"/>
        <v>465</v>
      </c>
      <c r="N201" s="46" t="s">
        <v>521</v>
      </c>
      <c r="O201" s="71" t="s">
        <v>562</v>
      </c>
    </row>
    <row r="202" spans="1:15" ht="63.75" x14ac:dyDescent="0.2">
      <c r="A202" s="45" t="s">
        <v>563</v>
      </c>
      <c r="B202" s="46" t="s">
        <v>441</v>
      </c>
      <c r="C202" s="46" t="s">
        <v>441</v>
      </c>
      <c r="D202" s="46" t="s">
        <v>520</v>
      </c>
      <c r="E202" s="46" t="s">
        <v>474</v>
      </c>
      <c r="F202" s="46" t="s">
        <v>556</v>
      </c>
      <c r="G202" s="46" t="s">
        <v>257</v>
      </c>
      <c r="H202" s="46" t="s">
        <v>561</v>
      </c>
      <c r="I202" s="46" t="s">
        <v>449</v>
      </c>
      <c r="J202" s="46" t="s">
        <v>71</v>
      </c>
      <c r="K202" s="47">
        <v>350</v>
      </c>
      <c r="L202" s="47">
        <v>1000</v>
      </c>
      <c r="M202" s="47">
        <f t="shared" si="5"/>
        <v>1350</v>
      </c>
      <c r="N202" s="46" t="s">
        <v>521</v>
      </c>
      <c r="O202" s="71" t="s">
        <v>564</v>
      </c>
    </row>
    <row r="203" spans="1:15" ht="51" x14ac:dyDescent="0.2">
      <c r="A203" s="45" t="s">
        <v>565</v>
      </c>
      <c r="B203" s="46" t="s">
        <v>483</v>
      </c>
      <c r="C203" s="46" t="s">
        <v>483</v>
      </c>
      <c r="D203" s="46" t="s">
        <v>520</v>
      </c>
      <c r="E203" s="46" t="s">
        <v>474</v>
      </c>
      <c r="F203" s="46" t="s">
        <v>556</v>
      </c>
      <c r="G203" s="46" t="s">
        <v>257</v>
      </c>
      <c r="H203" s="46" t="s">
        <v>68</v>
      </c>
      <c r="I203" s="46" t="s">
        <v>445</v>
      </c>
      <c r="J203" s="46" t="s">
        <v>71</v>
      </c>
      <c r="K203" s="47">
        <v>150</v>
      </c>
      <c r="L203" s="47">
        <v>60</v>
      </c>
      <c r="M203" s="47">
        <f t="shared" si="5"/>
        <v>210</v>
      </c>
      <c r="N203" s="46" t="s">
        <v>462</v>
      </c>
      <c r="O203" s="71" t="s">
        <v>566</v>
      </c>
    </row>
    <row r="204" spans="1:15" ht="51" x14ac:dyDescent="0.2">
      <c r="A204" s="45" t="s">
        <v>567</v>
      </c>
      <c r="B204" s="46" t="s">
        <v>483</v>
      </c>
      <c r="C204" s="46" t="s">
        <v>483</v>
      </c>
      <c r="D204" s="46" t="s">
        <v>520</v>
      </c>
      <c r="E204" s="46" t="s">
        <v>474</v>
      </c>
      <c r="F204" s="46" t="s">
        <v>556</v>
      </c>
      <c r="G204" s="46" t="s">
        <v>257</v>
      </c>
      <c r="H204" s="46" t="s">
        <v>68</v>
      </c>
      <c r="I204" s="46" t="s">
        <v>449</v>
      </c>
      <c r="J204" s="46" t="s">
        <v>71</v>
      </c>
      <c r="K204" s="47">
        <v>170</v>
      </c>
      <c r="L204" s="47">
        <v>120</v>
      </c>
      <c r="M204" s="47">
        <f t="shared" si="5"/>
        <v>290</v>
      </c>
      <c r="N204" s="46" t="s">
        <v>462</v>
      </c>
      <c r="O204" s="71" t="s">
        <v>568</v>
      </c>
    </row>
    <row r="205" spans="1:15" ht="51" x14ac:dyDescent="0.2">
      <c r="A205" s="45" t="s">
        <v>569</v>
      </c>
      <c r="B205" s="46" t="s">
        <v>441</v>
      </c>
      <c r="C205" s="46" t="s">
        <v>441</v>
      </c>
      <c r="D205" s="46" t="s">
        <v>520</v>
      </c>
      <c r="E205" s="46" t="s">
        <v>474</v>
      </c>
      <c r="F205" s="46" t="s">
        <v>213</v>
      </c>
      <c r="G205" s="46" t="s">
        <v>254</v>
      </c>
      <c r="H205" s="46" t="s">
        <v>513</v>
      </c>
      <c r="I205" s="46" t="s">
        <v>454</v>
      </c>
      <c r="J205" s="46" t="s">
        <v>71</v>
      </c>
      <c r="K205" s="47">
        <v>200</v>
      </c>
      <c r="L205" s="47">
        <v>130</v>
      </c>
      <c r="M205" s="47">
        <f t="shared" si="5"/>
        <v>330</v>
      </c>
      <c r="N205" s="46" t="s">
        <v>521</v>
      </c>
      <c r="O205" s="71" t="s">
        <v>570</v>
      </c>
    </row>
    <row r="206" spans="1:15" ht="51" x14ac:dyDescent="0.2">
      <c r="A206" s="45" t="s">
        <v>571</v>
      </c>
      <c r="B206" s="46" t="s">
        <v>441</v>
      </c>
      <c r="C206" s="46" t="s">
        <v>441</v>
      </c>
      <c r="D206" s="46" t="s">
        <v>520</v>
      </c>
      <c r="E206" s="46" t="s">
        <v>474</v>
      </c>
      <c r="F206" s="46" t="s">
        <v>213</v>
      </c>
      <c r="G206" s="46" t="s">
        <v>254</v>
      </c>
      <c r="H206" s="46" t="s">
        <v>513</v>
      </c>
      <c r="I206" s="46" t="s">
        <v>445</v>
      </c>
      <c r="J206" s="46" t="s">
        <v>71</v>
      </c>
      <c r="K206" s="47">
        <v>220</v>
      </c>
      <c r="L206" s="47">
        <v>250</v>
      </c>
      <c r="M206" s="47">
        <f t="shared" si="5"/>
        <v>470</v>
      </c>
      <c r="N206" s="46" t="s">
        <v>521</v>
      </c>
      <c r="O206" s="71" t="s">
        <v>572</v>
      </c>
    </row>
    <row r="207" spans="1:15" ht="51" x14ac:dyDescent="0.2">
      <c r="A207" s="45" t="s">
        <v>573</v>
      </c>
      <c r="B207" s="46" t="s">
        <v>483</v>
      </c>
      <c r="C207" s="46" t="s">
        <v>483</v>
      </c>
      <c r="D207" s="46" t="s">
        <v>520</v>
      </c>
      <c r="E207" s="46" t="s">
        <v>474</v>
      </c>
      <c r="F207" s="46" t="s">
        <v>213</v>
      </c>
      <c r="G207" s="46" t="s">
        <v>254</v>
      </c>
      <c r="H207" s="46" t="s">
        <v>68</v>
      </c>
      <c r="I207" s="46" t="s">
        <v>68</v>
      </c>
      <c r="J207" s="46" t="s">
        <v>71</v>
      </c>
      <c r="K207" s="47">
        <v>150</v>
      </c>
      <c r="L207" s="47">
        <v>50</v>
      </c>
      <c r="M207" s="47">
        <f t="shared" si="5"/>
        <v>200</v>
      </c>
      <c r="N207" s="46" t="s">
        <v>462</v>
      </c>
      <c r="O207" s="71" t="s">
        <v>574</v>
      </c>
    </row>
    <row r="208" spans="1:15" ht="51" x14ac:dyDescent="0.2">
      <c r="A208" s="45" t="s">
        <v>575</v>
      </c>
      <c r="B208" s="46" t="s">
        <v>441</v>
      </c>
      <c r="C208" s="46" t="s">
        <v>441</v>
      </c>
      <c r="D208" s="46" t="s">
        <v>520</v>
      </c>
      <c r="E208" s="46" t="s">
        <v>576</v>
      </c>
      <c r="F208" s="46" t="s">
        <v>199</v>
      </c>
      <c r="G208" s="46" t="s">
        <v>254</v>
      </c>
      <c r="H208" s="46" t="s">
        <v>68</v>
      </c>
      <c r="I208" s="46" t="s">
        <v>454</v>
      </c>
      <c r="J208" s="46" t="s">
        <v>71</v>
      </c>
      <c r="K208" s="47">
        <v>150</v>
      </c>
      <c r="L208" s="47">
        <v>45</v>
      </c>
      <c r="M208" s="47">
        <f t="shared" si="5"/>
        <v>195</v>
      </c>
      <c r="N208" s="46" t="s">
        <v>521</v>
      </c>
      <c r="O208" s="71" t="s">
        <v>577</v>
      </c>
    </row>
    <row r="209" spans="1:15" ht="51" x14ac:dyDescent="0.2">
      <c r="A209" s="45" t="s">
        <v>578</v>
      </c>
      <c r="B209" s="46" t="s">
        <v>441</v>
      </c>
      <c r="C209" s="46" t="s">
        <v>441</v>
      </c>
      <c r="D209" s="46" t="s">
        <v>520</v>
      </c>
      <c r="E209" s="46" t="s">
        <v>576</v>
      </c>
      <c r="F209" s="46" t="s">
        <v>199</v>
      </c>
      <c r="G209" s="46" t="s">
        <v>257</v>
      </c>
      <c r="H209" s="46" t="s">
        <v>68</v>
      </c>
      <c r="I209" s="46" t="s">
        <v>445</v>
      </c>
      <c r="J209" s="46" t="s">
        <v>71</v>
      </c>
      <c r="K209" s="47">
        <v>170</v>
      </c>
      <c r="L209" s="47">
        <v>80</v>
      </c>
      <c r="M209" s="47">
        <f t="shared" si="5"/>
        <v>250</v>
      </c>
      <c r="N209" s="46" t="s">
        <v>521</v>
      </c>
      <c r="O209" s="71" t="s">
        <v>579</v>
      </c>
    </row>
    <row r="210" spans="1:15" ht="51" x14ac:dyDescent="0.2">
      <c r="A210" s="45" t="s">
        <v>580</v>
      </c>
      <c r="B210" s="46" t="s">
        <v>441</v>
      </c>
      <c r="C210" s="46" t="s">
        <v>441</v>
      </c>
      <c r="D210" s="46" t="s">
        <v>520</v>
      </c>
      <c r="E210" s="46" t="s">
        <v>576</v>
      </c>
      <c r="F210" s="46" t="s">
        <v>199</v>
      </c>
      <c r="G210" s="46" t="s">
        <v>257</v>
      </c>
      <c r="H210" s="46" t="s">
        <v>68</v>
      </c>
      <c r="I210" s="46" t="s">
        <v>449</v>
      </c>
      <c r="J210" s="46" t="s">
        <v>71</v>
      </c>
      <c r="K210" s="47">
        <v>210</v>
      </c>
      <c r="L210" s="47">
        <v>250</v>
      </c>
      <c r="M210" s="47">
        <f t="shared" ref="M210:M273" si="6">SUM(K210:L210)</f>
        <v>460</v>
      </c>
      <c r="N210" s="46" t="s">
        <v>521</v>
      </c>
      <c r="O210" s="71" t="s">
        <v>581</v>
      </c>
    </row>
    <row r="211" spans="1:15" ht="51" x14ac:dyDescent="0.2">
      <c r="A211" s="45" t="s">
        <v>582</v>
      </c>
      <c r="B211" s="46" t="s">
        <v>583</v>
      </c>
      <c r="C211" s="46" t="s">
        <v>583</v>
      </c>
      <c r="D211" s="46" t="s">
        <v>520</v>
      </c>
      <c r="E211" s="46" t="s">
        <v>576</v>
      </c>
      <c r="F211" s="46" t="s">
        <v>199</v>
      </c>
      <c r="G211" s="46" t="s">
        <v>257</v>
      </c>
      <c r="H211" s="46" t="s">
        <v>68</v>
      </c>
      <c r="I211" s="46" t="s">
        <v>68</v>
      </c>
      <c r="J211" s="46" t="s">
        <v>71</v>
      </c>
      <c r="K211" s="47">
        <v>130</v>
      </c>
      <c r="L211" s="47">
        <v>20</v>
      </c>
      <c r="M211" s="47">
        <f t="shared" si="6"/>
        <v>150</v>
      </c>
      <c r="N211" s="46" t="s">
        <v>462</v>
      </c>
      <c r="O211" s="71" t="s">
        <v>584</v>
      </c>
    </row>
    <row r="212" spans="1:15" ht="51" x14ac:dyDescent="0.2">
      <c r="A212" s="45" t="s">
        <v>585</v>
      </c>
      <c r="B212" s="46" t="s">
        <v>483</v>
      </c>
      <c r="C212" s="46" t="s">
        <v>483</v>
      </c>
      <c r="D212" s="46" t="s">
        <v>520</v>
      </c>
      <c r="E212" s="46" t="s">
        <v>576</v>
      </c>
      <c r="F212" s="46" t="s">
        <v>199</v>
      </c>
      <c r="G212" s="46" t="s">
        <v>257</v>
      </c>
      <c r="H212" s="46" t="s">
        <v>68</v>
      </c>
      <c r="I212" s="46" t="s">
        <v>445</v>
      </c>
      <c r="J212" s="46" t="s">
        <v>71</v>
      </c>
      <c r="K212" s="47">
        <v>150</v>
      </c>
      <c r="L212" s="47">
        <v>60</v>
      </c>
      <c r="M212" s="47">
        <f t="shared" si="6"/>
        <v>210</v>
      </c>
      <c r="N212" s="46" t="s">
        <v>462</v>
      </c>
      <c r="O212" s="71" t="s">
        <v>586</v>
      </c>
    </row>
    <row r="213" spans="1:15" ht="51" x14ac:dyDescent="0.2">
      <c r="A213" s="45" t="s">
        <v>587</v>
      </c>
      <c r="B213" s="46" t="s">
        <v>483</v>
      </c>
      <c r="C213" s="46" t="s">
        <v>483</v>
      </c>
      <c r="D213" s="46" t="s">
        <v>520</v>
      </c>
      <c r="E213" s="46" t="s">
        <v>576</v>
      </c>
      <c r="F213" s="46" t="s">
        <v>199</v>
      </c>
      <c r="G213" s="46" t="s">
        <v>257</v>
      </c>
      <c r="H213" s="46" t="s">
        <v>68</v>
      </c>
      <c r="I213" s="46" t="s">
        <v>449</v>
      </c>
      <c r="J213" s="46" t="s">
        <v>71</v>
      </c>
      <c r="K213" s="47">
        <v>190</v>
      </c>
      <c r="L213" s="47">
        <v>120</v>
      </c>
      <c r="M213" s="47">
        <f t="shared" si="6"/>
        <v>310</v>
      </c>
      <c r="N213" s="46" t="s">
        <v>462</v>
      </c>
      <c r="O213" s="71" t="s">
        <v>588</v>
      </c>
    </row>
    <row r="214" spans="1:15" ht="51" x14ac:dyDescent="0.2">
      <c r="A214" s="45" t="s">
        <v>589</v>
      </c>
      <c r="B214" s="46" t="s">
        <v>441</v>
      </c>
      <c r="C214" s="46" t="s">
        <v>441</v>
      </c>
      <c r="D214" s="46" t="s">
        <v>520</v>
      </c>
      <c r="E214" s="46" t="s">
        <v>576</v>
      </c>
      <c r="F214" s="46" t="s">
        <v>501</v>
      </c>
      <c r="G214" s="46" t="s">
        <v>257</v>
      </c>
      <c r="H214" s="46" t="s">
        <v>68</v>
      </c>
      <c r="I214" s="46" t="s">
        <v>445</v>
      </c>
      <c r="J214" s="46" t="s">
        <v>71</v>
      </c>
      <c r="K214" s="47">
        <v>230</v>
      </c>
      <c r="L214" s="47">
        <v>390</v>
      </c>
      <c r="M214" s="47">
        <f t="shared" si="6"/>
        <v>620</v>
      </c>
      <c r="N214" s="46" t="s">
        <v>521</v>
      </c>
      <c r="O214" s="71" t="s">
        <v>590</v>
      </c>
    </row>
    <row r="215" spans="1:15" ht="51" x14ac:dyDescent="0.2">
      <c r="A215" s="45" t="s">
        <v>591</v>
      </c>
      <c r="B215" s="46" t="s">
        <v>441</v>
      </c>
      <c r="C215" s="46" t="s">
        <v>441</v>
      </c>
      <c r="D215" s="46" t="s">
        <v>520</v>
      </c>
      <c r="E215" s="46" t="s">
        <v>576</v>
      </c>
      <c r="F215" s="46" t="s">
        <v>501</v>
      </c>
      <c r="G215" s="46" t="s">
        <v>257</v>
      </c>
      <c r="H215" s="46" t="s">
        <v>68</v>
      </c>
      <c r="I215" s="46" t="s">
        <v>449</v>
      </c>
      <c r="J215" s="46" t="s">
        <v>71</v>
      </c>
      <c r="K215" s="47">
        <v>300</v>
      </c>
      <c r="L215" s="47">
        <v>800</v>
      </c>
      <c r="M215" s="47">
        <f t="shared" si="6"/>
        <v>1100</v>
      </c>
      <c r="N215" s="46" t="s">
        <v>521</v>
      </c>
      <c r="O215" s="71" t="s">
        <v>592</v>
      </c>
    </row>
    <row r="216" spans="1:15" ht="63.75" x14ac:dyDescent="0.2">
      <c r="A216" s="45" t="s">
        <v>593</v>
      </c>
      <c r="B216" s="46" t="s">
        <v>461</v>
      </c>
      <c r="C216" s="46" t="s">
        <v>461</v>
      </c>
      <c r="D216" s="46" t="s">
        <v>520</v>
      </c>
      <c r="E216" s="46" t="s">
        <v>576</v>
      </c>
      <c r="F216" s="46" t="s">
        <v>501</v>
      </c>
      <c r="G216" s="46" t="s">
        <v>257</v>
      </c>
      <c r="H216" s="46" t="s">
        <v>68</v>
      </c>
      <c r="I216" s="46" t="s">
        <v>68</v>
      </c>
      <c r="J216" s="46" t="s">
        <v>71</v>
      </c>
      <c r="K216" s="47">
        <v>130</v>
      </c>
      <c r="L216" s="47">
        <v>20</v>
      </c>
      <c r="M216" s="47">
        <f t="shared" si="6"/>
        <v>150</v>
      </c>
      <c r="N216" s="46" t="s">
        <v>462</v>
      </c>
      <c r="O216" s="71" t="s">
        <v>594</v>
      </c>
    </row>
    <row r="217" spans="1:15" ht="63.75" x14ac:dyDescent="0.2">
      <c r="A217" s="45" t="s">
        <v>595</v>
      </c>
      <c r="B217" s="46" t="s">
        <v>508</v>
      </c>
      <c r="C217" s="46" t="s">
        <v>508</v>
      </c>
      <c r="D217" s="46" t="s">
        <v>520</v>
      </c>
      <c r="E217" s="46" t="s">
        <v>576</v>
      </c>
      <c r="F217" s="46" t="s">
        <v>501</v>
      </c>
      <c r="G217" s="46" t="s">
        <v>257</v>
      </c>
      <c r="H217" s="46" t="s">
        <v>68</v>
      </c>
      <c r="I217" s="46" t="s">
        <v>445</v>
      </c>
      <c r="J217" s="46" t="s">
        <v>71</v>
      </c>
      <c r="K217" s="47">
        <v>170</v>
      </c>
      <c r="L217" s="47">
        <v>120</v>
      </c>
      <c r="M217" s="47">
        <f t="shared" si="6"/>
        <v>290</v>
      </c>
      <c r="N217" s="46" t="s">
        <v>462</v>
      </c>
      <c r="O217" s="71" t="s">
        <v>596</v>
      </c>
    </row>
    <row r="218" spans="1:15" ht="63.75" x14ac:dyDescent="0.2">
      <c r="A218" s="45" t="s">
        <v>597</v>
      </c>
      <c r="B218" s="46" t="s">
        <v>508</v>
      </c>
      <c r="C218" s="46" t="s">
        <v>508</v>
      </c>
      <c r="D218" s="46" t="s">
        <v>520</v>
      </c>
      <c r="E218" s="46" t="s">
        <v>576</v>
      </c>
      <c r="F218" s="46" t="s">
        <v>501</v>
      </c>
      <c r="G218" s="46" t="s">
        <v>257</v>
      </c>
      <c r="H218" s="46" t="s">
        <v>68</v>
      </c>
      <c r="I218" s="46" t="s">
        <v>449</v>
      </c>
      <c r="J218" s="46" t="s">
        <v>71</v>
      </c>
      <c r="K218" s="47">
        <v>190</v>
      </c>
      <c r="L218" s="47">
        <v>240</v>
      </c>
      <c r="M218" s="47">
        <f t="shared" si="6"/>
        <v>430</v>
      </c>
      <c r="N218" s="46" t="s">
        <v>462</v>
      </c>
      <c r="O218" s="71" t="s">
        <v>598</v>
      </c>
    </row>
    <row r="219" spans="1:15" ht="51" x14ac:dyDescent="0.2">
      <c r="A219" s="45" t="s">
        <v>599</v>
      </c>
      <c r="B219" s="46" t="s">
        <v>441</v>
      </c>
      <c r="C219" s="46" t="s">
        <v>441</v>
      </c>
      <c r="D219" s="46" t="s">
        <v>520</v>
      </c>
      <c r="E219" s="46" t="s">
        <v>576</v>
      </c>
      <c r="F219" s="46" t="s">
        <v>556</v>
      </c>
      <c r="G219" s="46" t="s">
        <v>257</v>
      </c>
      <c r="H219" s="46" t="s">
        <v>68</v>
      </c>
      <c r="I219" s="46" t="s">
        <v>445</v>
      </c>
      <c r="J219" s="46" t="s">
        <v>71</v>
      </c>
      <c r="K219" s="47">
        <v>200</v>
      </c>
      <c r="L219" s="47">
        <v>180</v>
      </c>
      <c r="M219" s="47">
        <f t="shared" si="6"/>
        <v>380</v>
      </c>
      <c r="N219" s="46" t="s">
        <v>521</v>
      </c>
      <c r="O219" s="71" t="s">
        <v>600</v>
      </c>
    </row>
    <row r="220" spans="1:15" ht="51" x14ac:dyDescent="0.2">
      <c r="A220" s="45" t="s">
        <v>601</v>
      </c>
      <c r="B220" s="46" t="s">
        <v>441</v>
      </c>
      <c r="C220" s="46" t="s">
        <v>441</v>
      </c>
      <c r="D220" s="46" t="s">
        <v>520</v>
      </c>
      <c r="E220" s="46" t="s">
        <v>576</v>
      </c>
      <c r="F220" s="46" t="s">
        <v>556</v>
      </c>
      <c r="G220" s="46" t="s">
        <v>257</v>
      </c>
      <c r="H220" s="46" t="s">
        <v>68</v>
      </c>
      <c r="I220" s="46" t="s">
        <v>449</v>
      </c>
      <c r="J220" s="46" t="s">
        <v>71</v>
      </c>
      <c r="K220" s="47">
        <v>230</v>
      </c>
      <c r="L220" s="47">
        <v>450</v>
      </c>
      <c r="M220" s="47">
        <f t="shared" si="6"/>
        <v>680</v>
      </c>
      <c r="N220" s="46" t="s">
        <v>521</v>
      </c>
      <c r="O220" s="71" t="s">
        <v>602</v>
      </c>
    </row>
    <row r="221" spans="1:15" ht="51" x14ac:dyDescent="0.2">
      <c r="A221" s="45" t="s">
        <v>603</v>
      </c>
      <c r="B221" s="46" t="s">
        <v>483</v>
      </c>
      <c r="C221" s="46" t="s">
        <v>483</v>
      </c>
      <c r="D221" s="46" t="s">
        <v>520</v>
      </c>
      <c r="E221" s="46" t="s">
        <v>576</v>
      </c>
      <c r="F221" s="46" t="s">
        <v>556</v>
      </c>
      <c r="G221" s="46" t="s">
        <v>257</v>
      </c>
      <c r="H221" s="46" t="s">
        <v>68</v>
      </c>
      <c r="I221" s="46" t="s">
        <v>445</v>
      </c>
      <c r="J221" s="46" t="s">
        <v>71</v>
      </c>
      <c r="K221" s="47">
        <v>150</v>
      </c>
      <c r="L221" s="47">
        <v>100</v>
      </c>
      <c r="M221" s="47">
        <f t="shared" si="6"/>
        <v>250</v>
      </c>
      <c r="N221" s="46" t="s">
        <v>462</v>
      </c>
      <c r="O221" s="71" t="s">
        <v>604</v>
      </c>
    </row>
    <row r="222" spans="1:15" ht="51" x14ac:dyDescent="0.2">
      <c r="A222" s="45" t="s">
        <v>605</v>
      </c>
      <c r="B222" s="46" t="s">
        <v>483</v>
      </c>
      <c r="C222" s="46" t="s">
        <v>483</v>
      </c>
      <c r="D222" s="46" t="s">
        <v>520</v>
      </c>
      <c r="E222" s="46" t="s">
        <v>576</v>
      </c>
      <c r="F222" s="46" t="s">
        <v>556</v>
      </c>
      <c r="G222" s="46" t="s">
        <v>257</v>
      </c>
      <c r="H222" s="46" t="s">
        <v>68</v>
      </c>
      <c r="I222" s="46" t="s">
        <v>449</v>
      </c>
      <c r="J222" s="46" t="s">
        <v>71</v>
      </c>
      <c r="K222" s="47">
        <v>180</v>
      </c>
      <c r="L222" s="47">
        <v>200</v>
      </c>
      <c r="M222" s="47">
        <f t="shared" si="6"/>
        <v>380</v>
      </c>
      <c r="N222" s="46" t="s">
        <v>462</v>
      </c>
      <c r="O222" s="71" t="s">
        <v>606</v>
      </c>
    </row>
    <row r="223" spans="1:15" ht="63.75" x14ac:dyDescent="0.2">
      <c r="A223" s="45" t="s">
        <v>607</v>
      </c>
      <c r="B223" s="46" t="s">
        <v>608</v>
      </c>
      <c r="C223" s="46" t="s">
        <v>608</v>
      </c>
      <c r="D223" s="46" t="s">
        <v>254</v>
      </c>
      <c r="E223" s="46" t="s">
        <v>609</v>
      </c>
      <c r="F223" s="46" t="s">
        <v>68</v>
      </c>
      <c r="G223" s="46" t="s">
        <v>68</v>
      </c>
      <c r="H223" s="46" t="s">
        <v>68</v>
      </c>
      <c r="I223" s="46" t="s">
        <v>68</v>
      </c>
      <c r="J223" s="46" t="s">
        <v>71</v>
      </c>
      <c r="K223" s="47">
        <v>130</v>
      </c>
      <c r="L223" s="47">
        <v>15</v>
      </c>
      <c r="M223" s="47">
        <f t="shared" si="6"/>
        <v>145</v>
      </c>
      <c r="N223" s="46" t="s">
        <v>610</v>
      </c>
      <c r="O223" s="71" t="s">
        <v>611</v>
      </c>
    </row>
    <row r="224" spans="1:15" ht="63.75" x14ac:dyDescent="0.2">
      <c r="A224" s="45" t="s">
        <v>612</v>
      </c>
      <c r="B224" s="46" t="s">
        <v>608</v>
      </c>
      <c r="C224" s="46" t="s">
        <v>608</v>
      </c>
      <c r="D224" s="46" t="s">
        <v>257</v>
      </c>
      <c r="E224" s="46" t="s">
        <v>609</v>
      </c>
      <c r="F224" s="46" t="s">
        <v>68</v>
      </c>
      <c r="G224" s="46" t="s">
        <v>68</v>
      </c>
      <c r="H224" s="46" t="s">
        <v>68</v>
      </c>
      <c r="I224" s="46" t="s">
        <v>68</v>
      </c>
      <c r="J224" s="46" t="s">
        <v>71</v>
      </c>
      <c r="K224" s="47">
        <v>140</v>
      </c>
      <c r="L224" s="47">
        <v>30</v>
      </c>
      <c r="M224" s="47">
        <f t="shared" si="6"/>
        <v>170</v>
      </c>
      <c r="N224" s="46" t="s">
        <v>610</v>
      </c>
      <c r="O224" s="71" t="s">
        <v>613</v>
      </c>
    </row>
    <row r="225" spans="1:15" ht="63.75" x14ac:dyDescent="0.2">
      <c r="A225" s="45" t="s">
        <v>614</v>
      </c>
      <c r="B225" s="46" t="s">
        <v>615</v>
      </c>
      <c r="C225" s="46" t="s">
        <v>615</v>
      </c>
      <c r="D225" s="46" t="s">
        <v>556</v>
      </c>
      <c r="E225" s="46" t="s">
        <v>616</v>
      </c>
      <c r="F225" s="46" t="s">
        <v>257</v>
      </c>
      <c r="G225" s="46"/>
      <c r="H225" s="46"/>
      <c r="I225" s="46" t="s">
        <v>445</v>
      </c>
      <c r="J225" s="46" t="s">
        <v>71</v>
      </c>
      <c r="K225" s="47">
        <v>250</v>
      </c>
      <c r="L225" s="47">
        <f>2*50</f>
        <v>100</v>
      </c>
      <c r="M225" s="47">
        <f t="shared" si="6"/>
        <v>350</v>
      </c>
      <c r="N225" s="46" t="s">
        <v>610</v>
      </c>
      <c r="O225" s="71" t="s">
        <v>617</v>
      </c>
    </row>
    <row r="226" spans="1:15" ht="63.75" x14ac:dyDescent="0.2">
      <c r="A226" s="45" t="s">
        <v>618</v>
      </c>
      <c r="B226" s="46" t="s">
        <v>615</v>
      </c>
      <c r="C226" s="46" t="s">
        <v>615</v>
      </c>
      <c r="D226" s="46" t="s">
        <v>556</v>
      </c>
      <c r="E226" s="46" t="s">
        <v>616</v>
      </c>
      <c r="F226" s="46" t="s">
        <v>257</v>
      </c>
      <c r="G226" s="46"/>
      <c r="H226" s="46"/>
      <c r="I226" s="46" t="s">
        <v>449</v>
      </c>
      <c r="J226" s="46" t="s">
        <v>71</v>
      </c>
      <c r="K226" s="47">
        <v>280</v>
      </c>
      <c r="L226" s="47">
        <f>2*150</f>
        <v>300</v>
      </c>
      <c r="M226" s="47">
        <f t="shared" si="6"/>
        <v>580</v>
      </c>
      <c r="N226" s="46" t="s">
        <v>610</v>
      </c>
      <c r="O226" s="71" t="s">
        <v>619</v>
      </c>
    </row>
    <row r="227" spans="1:15" ht="63.75" x14ac:dyDescent="0.2">
      <c r="A227" s="45" t="s">
        <v>620</v>
      </c>
      <c r="B227" s="46" t="s">
        <v>621</v>
      </c>
      <c r="C227" s="46" t="s">
        <v>621</v>
      </c>
      <c r="D227" s="46" t="s">
        <v>257</v>
      </c>
      <c r="E227" s="46" t="s">
        <v>556</v>
      </c>
      <c r="F227" s="46" t="s">
        <v>68</v>
      </c>
      <c r="G227" s="46" t="s">
        <v>609</v>
      </c>
      <c r="H227" s="46" t="s">
        <v>68</v>
      </c>
      <c r="I227" s="46" t="s">
        <v>68</v>
      </c>
      <c r="J227" s="46" t="s">
        <v>71</v>
      </c>
      <c r="K227" s="47">
        <v>150</v>
      </c>
      <c r="L227" s="47">
        <v>50</v>
      </c>
      <c r="M227" s="47">
        <f t="shared" si="6"/>
        <v>200</v>
      </c>
      <c r="N227" s="46" t="s">
        <v>622</v>
      </c>
      <c r="O227" s="71" t="s">
        <v>623</v>
      </c>
    </row>
    <row r="228" spans="1:15" ht="76.5" x14ac:dyDescent="0.2">
      <c r="A228" s="45" t="s">
        <v>624</v>
      </c>
      <c r="B228" s="46" t="s">
        <v>625</v>
      </c>
      <c r="C228" s="46" t="s">
        <v>625</v>
      </c>
      <c r="D228" s="46" t="s">
        <v>254</v>
      </c>
      <c r="E228" s="46" t="s">
        <v>626</v>
      </c>
      <c r="F228" s="46" t="s">
        <v>68</v>
      </c>
      <c r="G228" s="46" t="s">
        <v>68</v>
      </c>
      <c r="H228" s="46" t="s">
        <v>68</v>
      </c>
      <c r="I228" s="46" t="s">
        <v>68</v>
      </c>
      <c r="J228" s="46" t="s">
        <v>71</v>
      </c>
      <c r="K228" s="47">
        <v>130</v>
      </c>
      <c r="L228" s="47">
        <v>25</v>
      </c>
      <c r="M228" s="47">
        <f t="shared" si="6"/>
        <v>155</v>
      </c>
      <c r="N228" s="46" t="s">
        <v>627</v>
      </c>
      <c r="O228" s="71" t="s">
        <v>628</v>
      </c>
    </row>
    <row r="229" spans="1:15" ht="63.75" x14ac:dyDescent="0.2">
      <c r="A229" s="45" t="s">
        <v>629</v>
      </c>
      <c r="B229" s="46" t="s">
        <v>630</v>
      </c>
      <c r="C229" s="46" t="s">
        <v>630</v>
      </c>
      <c r="D229" s="46" t="s">
        <v>254</v>
      </c>
      <c r="E229" s="46" t="s">
        <v>631</v>
      </c>
      <c r="F229" s="46" t="s">
        <v>68</v>
      </c>
      <c r="G229" s="46" t="s">
        <v>68</v>
      </c>
      <c r="H229" s="46" t="s">
        <v>68</v>
      </c>
      <c r="I229" s="46" t="s">
        <v>68</v>
      </c>
      <c r="J229" s="46" t="s">
        <v>71</v>
      </c>
      <c r="K229" s="47">
        <v>130</v>
      </c>
      <c r="L229" s="47">
        <v>30</v>
      </c>
      <c r="M229" s="47">
        <f t="shared" si="6"/>
        <v>160</v>
      </c>
      <c r="N229" s="46" t="s">
        <v>632</v>
      </c>
      <c r="O229" s="71" t="s">
        <v>633</v>
      </c>
    </row>
    <row r="230" spans="1:15" ht="51" x14ac:dyDescent="0.2">
      <c r="A230" s="45" t="s">
        <v>634</v>
      </c>
      <c r="B230" s="46" t="s">
        <v>635</v>
      </c>
      <c r="C230" s="46" t="s">
        <v>635</v>
      </c>
      <c r="D230" s="46" t="s">
        <v>254</v>
      </c>
      <c r="E230" s="46" t="s">
        <v>68</v>
      </c>
      <c r="F230" s="46" t="s">
        <v>68</v>
      </c>
      <c r="G230" s="46" t="s">
        <v>68</v>
      </c>
      <c r="H230" s="46" t="s">
        <v>68</v>
      </c>
      <c r="I230" s="46" t="s">
        <v>68</v>
      </c>
      <c r="J230" s="46" t="s">
        <v>71</v>
      </c>
      <c r="K230" s="47">
        <v>180</v>
      </c>
      <c r="L230" s="47">
        <v>30</v>
      </c>
      <c r="M230" s="47">
        <f t="shared" si="6"/>
        <v>210</v>
      </c>
      <c r="N230" s="46" t="s">
        <v>462</v>
      </c>
      <c r="O230" s="71" t="s">
        <v>636</v>
      </c>
    </row>
    <row r="231" spans="1:15" ht="51" x14ac:dyDescent="0.2">
      <c r="A231" s="45" t="s">
        <v>637</v>
      </c>
      <c r="B231" s="46" t="s">
        <v>638</v>
      </c>
      <c r="C231" s="46" t="s">
        <v>638</v>
      </c>
      <c r="D231" s="46" t="s">
        <v>257</v>
      </c>
      <c r="E231" s="46" t="s">
        <v>68</v>
      </c>
      <c r="F231" s="46" t="s">
        <v>68</v>
      </c>
      <c r="G231" s="46" t="s">
        <v>68</v>
      </c>
      <c r="H231" s="46" t="s">
        <v>68</v>
      </c>
      <c r="I231" s="46" t="s">
        <v>68</v>
      </c>
      <c r="J231" s="46" t="s">
        <v>71</v>
      </c>
      <c r="K231" s="47">
        <v>140</v>
      </c>
      <c r="L231" s="47">
        <v>20</v>
      </c>
      <c r="M231" s="47">
        <f t="shared" si="6"/>
        <v>160</v>
      </c>
      <c r="N231" s="46" t="s">
        <v>462</v>
      </c>
      <c r="O231" s="71" t="s">
        <v>639</v>
      </c>
    </row>
    <row r="232" spans="1:15" ht="12.75" x14ac:dyDescent="0.2">
      <c r="A232" s="34" t="s">
        <v>640</v>
      </c>
      <c r="B232" s="35" t="s">
        <v>68</v>
      </c>
      <c r="C232" s="35" t="s">
        <v>68</v>
      </c>
      <c r="D232" s="35" t="s">
        <v>68</v>
      </c>
      <c r="E232" s="35" t="s">
        <v>68</v>
      </c>
      <c r="F232" s="35" t="s">
        <v>68</v>
      </c>
      <c r="G232" s="35" t="s">
        <v>68</v>
      </c>
      <c r="H232" s="35" t="s">
        <v>68</v>
      </c>
      <c r="I232" s="35" t="s">
        <v>68</v>
      </c>
      <c r="J232" s="35" t="s">
        <v>68</v>
      </c>
      <c r="K232" s="36" t="s">
        <v>68</v>
      </c>
      <c r="L232" s="36" t="s">
        <v>68</v>
      </c>
      <c r="M232" s="47">
        <f t="shared" si="6"/>
        <v>0</v>
      </c>
      <c r="N232" s="35"/>
      <c r="O232" s="35" t="s">
        <v>68</v>
      </c>
    </row>
    <row r="233" spans="1:15" ht="38.25" x14ac:dyDescent="0.2">
      <c r="A233" s="45" t="s">
        <v>641</v>
      </c>
      <c r="B233" s="46" t="s">
        <v>642</v>
      </c>
      <c r="C233" s="46" t="s">
        <v>642</v>
      </c>
      <c r="D233" s="46" t="s">
        <v>68</v>
      </c>
      <c r="E233" s="46" t="s">
        <v>68</v>
      </c>
      <c r="F233" s="46" t="s">
        <v>68</v>
      </c>
      <c r="G233" s="46" t="s">
        <v>68</v>
      </c>
      <c r="H233" s="46" t="s">
        <v>68</v>
      </c>
      <c r="I233" s="46" t="s">
        <v>454</v>
      </c>
      <c r="J233" s="46" t="s">
        <v>71</v>
      </c>
      <c r="K233" s="47">
        <v>150</v>
      </c>
      <c r="L233" s="47">
        <v>100</v>
      </c>
      <c r="M233" s="47">
        <f t="shared" si="6"/>
        <v>250</v>
      </c>
      <c r="N233" s="46" t="s">
        <v>643</v>
      </c>
      <c r="O233" s="71" t="s">
        <v>644</v>
      </c>
    </row>
    <row r="234" spans="1:15" ht="38.25" x14ac:dyDescent="0.2">
      <c r="A234" s="45" t="s">
        <v>645</v>
      </c>
      <c r="B234" s="46" t="s">
        <v>642</v>
      </c>
      <c r="C234" s="46" t="s">
        <v>642</v>
      </c>
      <c r="D234" s="46" t="s">
        <v>68</v>
      </c>
      <c r="E234" s="46" t="s">
        <v>68</v>
      </c>
      <c r="F234" s="46" t="s">
        <v>68</v>
      </c>
      <c r="G234" s="46" t="s">
        <v>68</v>
      </c>
      <c r="H234" s="46" t="s">
        <v>68</v>
      </c>
      <c r="I234" s="46" t="s">
        <v>445</v>
      </c>
      <c r="J234" s="46" t="s">
        <v>71</v>
      </c>
      <c r="K234" s="47">
        <v>180</v>
      </c>
      <c r="L234" s="47">
        <v>300</v>
      </c>
      <c r="M234" s="47">
        <f t="shared" si="6"/>
        <v>480</v>
      </c>
      <c r="N234" s="46" t="s">
        <v>643</v>
      </c>
      <c r="O234" s="71" t="s">
        <v>646</v>
      </c>
    </row>
    <row r="235" spans="1:15" ht="38.25" x14ac:dyDescent="0.2">
      <c r="A235" s="45" t="s">
        <v>647</v>
      </c>
      <c r="B235" s="46" t="s">
        <v>642</v>
      </c>
      <c r="C235" s="46" t="s">
        <v>642</v>
      </c>
      <c r="D235" s="46" t="s">
        <v>68</v>
      </c>
      <c r="E235" s="46" t="s">
        <v>68</v>
      </c>
      <c r="F235" s="46" t="s">
        <v>68</v>
      </c>
      <c r="G235" s="46" t="s">
        <v>68</v>
      </c>
      <c r="H235" s="46" t="s">
        <v>68</v>
      </c>
      <c r="I235" s="46" t="s">
        <v>449</v>
      </c>
      <c r="J235" s="46" t="s">
        <v>71</v>
      </c>
      <c r="K235" s="47">
        <v>260</v>
      </c>
      <c r="L235" s="47">
        <v>600</v>
      </c>
      <c r="M235" s="47">
        <f t="shared" si="6"/>
        <v>860</v>
      </c>
      <c r="N235" s="46" t="s">
        <v>643</v>
      </c>
      <c r="O235" s="71" t="s">
        <v>648</v>
      </c>
    </row>
    <row r="236" spans="1:15" ht="38.25" x14ac:dyDescent="0.2">
      <c r="A236" s="45" t="s">
        <v>649</v>
      </c>
      <c r="B236" s="46" t="s">
        <v>650</v>
      </c>
      <c r="C236" s="46" t="s">
        <v>650</v>
      </c>
      <c r="D236" s="46" t="s">
        <v>199</v>
      </c>
      <c r="E236" s="46" t="s">
        <v>68</v>
      </c>
      <c r="F236" s="46" t="s">
        <v>68</v>
      </c>
      <c r="G236" s="46" t="s">
        <v>68</v>
      </c>
      <c r="H236" s="46" t="s">
        <v>68</v>
      </c>
      <c r="I236" s="46" t="s">
        <v>68</v>
      </c>
      <c r="J236" s="46" t="s">
        <v>71</v>
      </c>
      <c r="K236" s="47">
        <v>150</v>
      </c>
      <c r="L236" s="47">
        <v>20</v>
      </c>
      <c r="M236" s="47">
        <f t="shared" si="6"/>
        <v>170</v>
      </c>
      <c r="N236" s="46" t="s">
        <v>651</v>
      </c>
      <c r="O236" s="71" t="s">
        <v>652</v>
      </c>
    </row>
    <row r="237" spans="1:15" ht="51" x14ac:dyDescent="0.2">
      <c r="A237" s="45" t="s">
        <v>653</v>
      </c>
      <c r="B237" s="46" t="s">
        <v>654</v>
      </c>
      <c r="C237" s="46" t="s">
        <v>654</v>
      </c>
      <c r="D237" s="46" t="s">
        <v>254</v>
      </c>
      <c r="E237" s="46" t="s">
        <v>68</v>
      </c>
      <c r="F237" s="46" t="s">
        <v>68</v>
      </c>
      <c r="G237" s="46" t="s">
        <v>68</v>
      </c>
      <c r="H237" s="46" t="s">
        <v>68</v>
      </c>
      <c r="I237" s="46" t="s">
        <v>68</v>
      </c>
      <c r="J237" s="46" t="s">
        <v>71</v>
      </c>
      <c r="K237" s="47">
        <v>130</v>
      </c>
      <c r="L237" s="47">
        <v>15</v>
      </c>
      <c r="M237" s="47">
        <f t="shared" si="6"/>
        <v>145</v>
      </c>
      <c r="N237" s="46" t="s">
        <v>610</v>
      </c>
      <c r="O237" s="71" t="s">
        <v>655</v>
      </c>
    </row>
    <row r="238" spans="1:15" ht="12.75" x14ac:dyDescent="0.2">
      <c r="A238" s="34" t="s">
        <v>656</v>
      </c>
      <c r="B238" s="35" t="s">
        <v>68</v>
      </c>
      <c r="C238" s="35" t="s">
        <v>68</v>
      </c>
      <c r="D238" s="35" t="s">
        <v>68</v>
      </c>
      <c r="E238" s="35" t="s">
        <v>68</v>
      </c>
      <c r="F238" s="35" t="s">
        <v>68</v>
      </c>
      <c r="G238" s="35" t="s">
        <v>68</v>
      </c>
      <c r="H238" s="35" t="s">
        <v>68</v>
      </c>
      <c r="I238" s="35" t="s">
        <v>68</v>
      </c>
      <c r="J238" s="35" t="s">
        <v>68</v>
      </c>
      <c r="K238" s="36" t="s">
        <v>68</v>
      </c>
      <c r="L238" s="36" t="s">
        <v>68</v>
      </c>
      <c r="M238" s="47">
        <f t="shared" si="6"/>
        <v>0</v>
      </c>
      <c r="N238" s="35"/>
      <c r="O238" s="35" t="s">
        <v>68</v>
      </c>
    </row>
    <row r="239" spans="1:15" ht="63.75" x14ac:dyDescent="0.2">
      <c r="A239" s="45" t="s">
        <v>657</v>
      </c>
      <c r="B239" s="46" t="s">
        <v>658</v>
      </c>
      <c r="C239" s="46" t="s">
        <v>658</v>
      </c>
      <c r="D239" s="46" t="s">
        <v>659</v>
      </c>
      <c r="E239" s="46" t="s">
        <v>660</v>
      </c>
      <c r="F239" s="46" t="s">
        <v>68</v>
      </c>
      <c r="G239" s="46" t="s">
        <v>68</v>
      </c>
      <c r="H239" s="46" t="s">
        <v>68</v>
      </c>
      <c r="I239" s="46" t="s">
        <v>454</v>
      </c>
      <c r="J239" s="46" t="s">
        <v>71</v>
      </c>
      <c r="K239" s="47">
        <v>150</v>
      </c>
      <c r="L239" s="47">
        <v>80</v>
      </c>
      <c r="M239" s="47">
        <f t="shared" si="6"/>
        <v>230</v>
      </c>
      <c r="N239" s="46" t="s">
        <v>661</v>
      </c>
      <c r="O239" s="71" t="s">
        <v>662</v>
      </c>
    </row>
    <row r="240" spans="1:15" ht="51" x14ac:dyDescent="0.2">
      <c r="A240" s="45" t="s">
        <v>663</v>
      </c>
      <c r="B240" s="46" t="s">
        <v>658</v>
      </c>
      <c r="C240" s="46" t="s">
        <v>658</v>
      </c>
      <c r="D240" s="46" t="s">
        <v>659</v>
      </c>
      <c r="E240" s="46" t="s">
        <v>660</v>
      </c>
      <c r="F240" s="46" t="s">
        <v>68</v>
      </c>
      <c r="G240" s="46" t="s">
        <v>68</v>
      </c>
      <c r="H240" s="46" t="s">
        <v>68</v>
      </c>
      <c r="I240" s="46" t="s">
        <v>445</v>
      </c>
      <c r="J240" s="46" t="s">
        <v>71</v>
      </c>
      <c r="K240" s="47">
        <v>170</v>
      </c>
      <c r="L240" s="47">
        <v>150</v>
      </c>
      <c r="M240" s="47">
        <f t="shared" si="6"/>
        <v>320</v>
      </c>
      <c r="N240" s="46" t="s">
        <v>661</v>
      </c>
      <c r="O240" s="71" t="s">
        <v>664</v>
      </c>
    </row>
    <row r="241" spans="1:15" ht="63.75" x14ac:dyDescent="0.2">
      <c r="A241" s="45" t="s">
        <v>665</v>
      </c>
      <c r="B241" s="46" t="s">
        <v>658</v>
      </c>
      <c r="C241" s="46" t="s">
        <v>658</v>
      </c>
      <c r="D241" s="46" t="s">
        <v>659</v>
      </c>
      <c r="E241" s="46" t="s">
        <v>660</v>
      </c>
      <c r="F241" s="46" t="s">
        <v>68</v>
      </c>
      <c r="G241" s="46" t="s">
        <v>68</v>
      </c>
      <c r="H241" s="46" t="s">
        <v>68</v>
      </c>
      <c r="I241" s="46" t="s">
        <v>449</v>
      </c>
      <c r="J241" s="46" t="s">
        <v>71</v>
      </c>
      <c r="K241" s="47">
        <v>200</v>
      </c>
      <c r="L241" s="47">
        <v>300</v>
      </c>
      <c r="M241" s="47">
        <f t="shared" si="6"/>
        <v>500</v>
      </c>
      <c r="N241" s="46" t="s">
        <v>661</v>
      </c>
      <c r="O241" s="71" t="s">
        <v>666</v>
      </c>
    </row>
    <row r="242" spans="1:15" ht="63.75" x14ac:dyDescent="0.2">
      <c r="A242" s="45" t="s">
        <v>667</v>
      </c>
      <c r="B242" s="46" t="s">
        <v>658</v>
      </c>
      <c r="C242" s="46" t="s">
        <v>658</v>
      </c>
      <c r="D242" s="46" t="s">
        <v>668</v>
      </c>
      <c r="E242" s="46" t="s">
        <v>660</v>
      </c>
      <c r="F242" s="46" t="s">
        <v>68</v>
      </c>
      <c r="G242" s="46" t="s">
        <v>68</v>
      </c>
      <c r="H242" s="46" t="s">
        <v>68</v>
      </c>
      <c r="I242" s="46" t="s">
        <v>454</v>
      </c>
      <c r="J242" s="46" t="s">
        <v>71</v>
      </c>
      <c r="K242" s="47">
        <v>170</v>
      </c>
      <c r="L242" s="47">
        <v>100</v>
      </c>
      <c r="M242" s="47">
        <f t="shared" si="6"/>
        <v>270</v>
      </c>
      <c r="N242" s="46" t="s">
        <v>661</v>
      </c>
      <c r="O242" s="71" t="s">
        <v>669</v>
      </c>
    </row>
    <row r="243" spans="1:15" ht="63.75" x14ac:dyDescent="0.2">
      <c r="A243" s="45" t="s">
        <v>670</v>
      </c>
      <c r="B243" s="46" t="s">
        <v>658</v>
      </c>
      <c r="C243" s="46" t="s">
        <v>658</v>
      </c>
      <c r="D243" s="46" t="s">
        <v>668</v>
      </c>
      <c r="E243" s="46" t="s">
        <v>660</v>
      </c>
      <c r="F243" s="46" t="s">
        <v>68</v>
      </c>
      <c r="G243" s="46" t="s">
        <v>68</v>
      </c>
      <c r="H243" s="46" t="s">
        <v>68</v>
      </c>
      <c r="I243" s="46" t="s">
        <v>445</v>
      </c>
      <c r="J243" s="46" t="s">
        <v>71</v>
      </c>
      <c r="K243" s="47">
        <v>180</v>
      </c>
      <c r="L243" s="47">
        <v>170</v>
      </c>
      <c r="M243" s="47">
        <f t="shared" si="6"/>
        <v>350</v>
      </c>
      <c r="N243" s="46" t="s">
        <v>661</v>
      </c>
      <c r="O243" s="71" t="s">
        <v>671</v>
      </c>
    </row>
    <row r="244" spans="1:15" ht="63.75" x14ac:dyDescent="0.2">
      <c r="A244" s="45" t="s">
        <v>672</v>
      </c>
      <c r="B244" s="46" t="s">
        <v>658</v>
      </c>
      <c r="C244" s="46" t="s">
        <v>658</v>
      </c>
      <c r="D244" s="46" t="s">
        <v>668</v>
      </c>
      <c r="E244" s="46" t="s">
        <v>660</v>
      </c>
      <c r="F244" s="46" t="s">
        <v>68</v>
      </c>
      <c r="G244" s="46" t="s">
        <v>68</v>
      </c>
      <c r="H244" s="46" t="s">
        <v>68</v>
      </c>
      <c r="I244" s="46" t="s">
        <v>449</v>
      </c>
      <c r="J244" s="46" t="s">
        <v>71</v>
      </c>
      <c r="K244" s="47">
        <v>215</v>
      </c>
      <c r="L244" s="47">
        <v>320</v>
      </c>
      <c r="M244" s="47">
        <f t="shared" si="6"/>
        <v>535</v>
      </c>
      <c r="N244" s="46" t="s">
        <v>661</v>
      </c>
      <c r="O244" s="71" t="s">
        <v>673</v>
      </c>
    </row>
    <row r="245" spans="1:15" ht="63.75" x14ac:dyDescent="0.2">
      <c r="A245" s="45" t="s">
        <v>674</v>
      </c>
      <c r="B245" s="46" t="s">
        <v>675</v>
      </c>
      <c r="C245" s="46" t="s">
        <v>675</v>
      </c>
      <c r="D245" s="46" t="s">
        <v>676</v>
      </c>
      <c r="E245" s="46" t="s">
        <v>254</v>
      </c>
      <c r="F245" s="46" t="s">
        <v>677</v>
      </c>
      <c r="G245" s="46" t="s">
        <v>68</v>
      </c>
      <c r="H245" s="46" t="s">
        <v>68</v>
      </c>
      <c r="I245" s="46" t="s">
        <v>454</v>
      </c>
      <c r="J245" s="46" t="s">
        <v>71</v>
      </c>
      <c r="K245" s="47">
        <v>140</v>
      </c>
      <c r="L245" s="47">
        <v>70</v>
      </c>
      <c r="M245" s="47">
        <f t="shared" si="6"/>
        <v>210</v>
      </c>
      <c r="N245" s="46" t="s">
        <v>678</v>
      </c>
      <c r="O245" s="71" t="s">
        <v>679</v>
      </c>
    </row>
    <row r="246" spans="1:15" ht="63.75" x14ac:dyDescent="0.2">
      <c r="A246" s="45" t="s">
        <v>680</v>
      </c>
      <c r="B246" s="46" t="s">
        <v>675</v>
      </c>
      <c r="C246" s="46" t="s">
        <v>675</v>
      </c>
      <c r="D246" s="46" t="s">
        <v>676</v>
      </c>
      <c r="E246" s="46" t="s">
        <v>257</v>
      </c>
      <c r="F246" s="46" t="s">
        <v>677</v>
      </c>
      <c r="G246" s="46" t="s">
        <v>68</v>
      </c>
      <c r="H246" s="46" t="s">
        <v>68</v>
      </c>
      <c r="I246" s="46" t="s">
        <v>445</v>
      </c>
      <c r="J246" s="46" t="s">
        <v>71</v>
      </c>
      <c r="K246" s="47">
        <v>150</v>
      </c>
      <c r="L246" s="47">
        <v>150</v>
      </c>
      <c r="M246" s="47">
        <f t="shared" si="6"/>
        <v>300</v>
      </c>
      <c r="N246" s="46" t="s">
        <v>678</v>
      </c>
      <c r="O246" s="71" t="s">
        <v>681</v>
      </c>
    </row>
    <row r="247" spans="1:15" ht="63.75" x14ac:dyDescent="0.2">
      <c r="A247" s="45" t="s">
        <v>682</v>
      </c>
      <c r="B247" s="46" t="s">
        <v>675</v>
      </c>
      <c r="C247" s="46" t="s">
        <v>675</v>
      </c>
      <c r="D247" s="46" t="s">
        <v>676</v>
      </c>
      <c r="E247" s="46" t="s">
        <v>257</v>
      </c>
      <c r="F247" s="46" t="s">
        <v>677</v>
      </c>
      <c r="G247" s="46" t="s">
        <v>68</v>
      </c>
      <c r="H247" s="46" t="s">
        <v>68</v>
      </c>
      <c r="I247" s="46" t="s">
        <v>449</v>
      </c>
      <c r="J247" s="46" t="s">
        <v>71</v>
      </c>
      <c r="K247" s="47">
        <v>200</v>
      </c>
      <c r="L247" s="47">
        <v>280</v>
      </c>
      <c r="M247" s="47">
        <f t="shared" si="6"/>
        <v>480</v>
      </c>
      <c r="N247" s="46" t="s">
        <v>678</v>
      </c>
      <c r="O247" s="71" t="s">
        <v>683</v>
      </c>
    </row>
    <row r="248" spans="1:15" ht="63.75" x14ac:dyDescent="0.2">
      <c r="A248" s="45" t="s">
        <v>684</v>
      </c>
      <c r="B248" s="46" t="s">
        <v>675</v>
      </c>
      <c r="C248" s="46" t="s">
        <v>675</v>
      </c>
      <c r="D248" s="46" t="s">
        <v>676</v>
      </c>
      <c r="E248" s="46" t="s">
        <v>254</v>
      </c>
      <c r="F248" s="46" t="s">
        <v>685</v>
      </c>
      <c r="G248" s="46" t="s">
        <v>68</v>
      </c>
      <c r="H248" s="46" t="s">
        <v>68</v>
      </c>
      <c r="I248" s="46" t="s">
        <v>454</v>
      </c>
      <c r="J248" s="46" t="s">
        <v>71</v>
      </c>
      <c r="K248" s="47">
        <v>160</v>
      </c>
      <c r="L248" s="47">
        <v>300</v>
      </c>
      <c r="M248" s="47">
        <f t="shared" si="6"/>
        <v>460</v>
      </c>
      <c r="N248" s="46" t="s">
        <v>678</v>
      </c>
      <c r="O248" s="71" t="s">
        <v>686</v>
      </c>
    </row>
    <row r="249" spans="1:15" ht="63.75" x14ac:dyDescent="0.2">
      <c r="A249" s="45" t="s">
        <v>687</v>
      </c>
      <c r="B249" s="46" t="s">
        <v>675</v>
      </c>
      <c r="C249" s="46" t="s">
        <v>675</v>
      </c>
      <c r="D249" s="46" t="s">
        <v>676</v>
      </c>
      <c r="E249" s="46" t="s">
        <v>257</v>
      </c>
      <c r="F249" s="46" t="s">
        <v>685</v>
      </c>
      <c r="G249" s="46" t="s">
        <v>68</v>
      </c>
      <c r="H249" s="46" t="s">
        <v>68</v>
      </c>
      <c r="I249" s="46" t="s">
        <v>445</v>
      </c>
      <c r="J249" s="46" t="s">
        <v>71</v>
      </c>
      <c r="K249" s="47">
        <v>210</v>
      </c>
      <c r="L249" s="47">
        <v>580</v>
      </c>
      <c r="M249" s="47">
        <f t="shared" si="6"/>
        <v>790</v>
      </c>
      <c r="N249" s="46" t="s">
        <v>678</v>
      </c>
      <c r="O249" s="71" t="s">
        <v>688</v>
      </c>
    </row>
    <row r="250" spans="1:15" ht="63.75" x14ac:dyDescent="0.2">
      <c r="A250" s="45" t="s">
        <v>689</v>
      </c>
      <c r="B250" s="46" t="s">
        <v>675</v>
      </c>
      <c r="C250" s="46" t="s">
        <v>675</v>
      </c>
      <c r="D250" s="46" t="s">
        <v>676</v>
      </c>
      <c r="E250" s="46" t="s">
        <v>257</v>
      </c>
      <c r="F250" s="46" t="s">
        <v>685</v>
      </c>
      <c r="G250" s="46" t="s">
        <v>68</v>
      </c>
      <c r="H250" s="46" t="s">
        <v>68</v>
      </c>
      <c r="I250" s="46" t="s">
        <v>449</v>
      </c>
      <c r="J250" s="46" t="s">
        <v>71</v>
      </c>
      <c r="K250" s="47">
        <v>260</v>
      </c>
      <c r="L250" s="47">
        <v>950</v>
      </c>
      <c r="M250" s="47">
        <f t="shared" si="6"/>
        <v>1210</v>
      </c>
      <c r="N250" s="46" t="s">
        <v>678</v>
      </c>
      <c r="O250" s="71" t="s">
        <v>690</v>
      </c>
    </row>
    <row r="251" spans="1:15" ht="63.75" x14ac:dyDescent="0.2">
      <c r="A251" s="45" t="s">
        <v>691</v>
      </c>
      <c r="B251" s="46" t="s">
        <v>675</v>
      </c>
      <c r="C251" s="46" t="s">
        <v>675</v>
      </c>
      <c r="D251" s="46" t="s">
        <v>692</v>
      </c>
      <c r="E251" s="46" t="s">
        <v>254</v>
      </c>
      <c r="F251" s="46" t="s">
        <v>68</v>
      </c>
      <c r="G251" s="46" t="s">
        <v>68</v>
      </c>
      <c r="H251" s="46" t="s">
        <v>68</v>
      </c>
      <c r="I251" s="46" t="s">
        <v>454</v>
      </c>
      <c r="J251" s="46" t="s">
        <v>71</v>
      </c>
      <c r="K251" s="47">
        <v>140</v>
      </c>
      <c r="L251" s="47">
        <v>30</v>
      </c>
      <c r="M251" s="47">
        <f t="shared" si="6"/>
        <v>170</v>
      </c>
      <c r="N251" s="46" t="s">
        <v>678</v>
      </c>
      <c r="O251" s="71" t="s">
        <v>693</v>
      </c>
    </row>
    <row r="252" spans="1:15" ht="63.75" x14ac:dyDescent="0.2">
      <c r="A252" s="45" t="s">
        <v>694</v>
      </c>
      <c r="B252" s="46" t="s">
        <v>675</v>
      </c>
      <c r="C252" s="46" t="s">
        <v>675</v>
      </c>
      <c r="D252" s="46" t="s">
        <v>692</v>
      </c>
      <c r="E252" s="46" t="s">
        <v>257</v>
      </c>
      <c r="F252" s="46" t="s">
        <v>68</v>
      </c>
      <c r="G252" s="46" t="s">
        <v>68</v>
      </c>
      <c r="H252" s="46" t="s">
        <v>68</v>
      </c>
      <c r="I252" s="46" t="s">
        <v>445</v>
      </c>
      <c r="J252" s="46" t="s">
        <v>71</v>
      </c>
      <c r="K252" s="47">
        <v>160</v>
      </c>
      <c r="L252" s="47">
        <v>110</v>
      </c>
      <c r="M252" s="47">
        <f t="shared" si="6"/>
        <v>270</v>
      </c>
      <c r="N252" s="46" t="s">
        <v>678</v>
      </c>
      <c r="O252" s="71" t="s">
        <v>695</v>
      </c>
    </row>
    <row r="253" spans="1:15" ht="63.75" x14ac:dyDescent="0.2">
      <c r="A253" s="45" t="s">
        <v>696</v>
      </c>
      <c r="B253" s="46" t="s">
        <v>675</v>
      </c>
      <c r="C253" s="46" t="s">
        <v>675</v>
      </c>
      <c r="D253" s="46" t="s">
        <v>692</v>
      </c>
      <c r="E253" s="46" t="s">
        <v>257</v>
      </c>
      <c r="F253" s="46" t="s">
        <v>68</v>
      </c>
      <c r="G253" s="46" t="s">
        <v>68</v>
      </c>
      <c r="H253" s="46" t="s">
        <v>68</v>
      </c>
      <c r="I253" s="46" t="s">
        <v>449</v>
      </c>
      <c r="J253" s="46" t="s">
        <v>71</v>
      </c>
      <c r="K253" s="47">
        <v>180</v>
      </c>
      <c r="L253" s="47">
        <v>230</v>
      </c>
      <c r="M253" s="47">
        <f t="shared" si="6"/>
        <v>410</v>
      </c>
      <c r="N253" s="46" t="s">
        <v>678</v>
      </c>
      <c r="O253" s="71" t="s">
        <v>697</v>
      </c>
    </row>
    <row r="254" spans="1:15" ht="38.25" x14ac:dyDescent="0.2">
      <c r="A254" s="45" t="s">
        <v>698</v>
      </c>
      <c r="B254" s="46" t="s">
        <v>699</v>
      </c>
      <c r="C254" s="46" t="s">
        <v>699</v>
      </c>
      <c r="D254" s="46" t="s">
        <v>68</v>
      </c>
      <c r="E254" s="46" t="s">
        <v>68</v>
      </c>
      <c r="F254" s="46" t="s">
        <v>68</v>
      </c>
      <c r="G254" s="46" t="s">
        <v>68</v>
      </c>
      <c r="H254" s="46" t="s">
        <v>68</v>
      </c>
      <c r="I254" s="46" t="s">
        <v>68</v>
      </c>
      <c r="J254" s="46" t="s">
        <v>71</v>
      </c>
      <c r="K254" s="47">
        <v>150</v>
      </c>
      <c r="L254" s="47">
        <v>15</v>
      </c>
      <c r="M254" s="47">
        <f t="shared" si="6"/>
        <v>165</v>
      </c>
      <c r="N254" s="46" t="s">
        <v>700</v>
      </c>
      <c r="O254" s="71" t="s">
        <v>701</v>
      </c>
    </row>
    <row r="255" spans="1:15" ht="51" x14ac:dyDescent="0.2">
      <c r="A255" s="45" t="s">
        <v>702</v>
      </c>
      <c r="B255" s="46" t="s">
        <v>703</v>
      </c>
      <c r="C255" s="46" t="s">
        <v>703</v>
      </c>
      <c r="D255" s="46" t="s">
        <v>704</v>
      </c>
      <c r="E255" s="46" t="s">
        <v>68</v>
      </c>
      <c r="F255" s="46" t="s">
        <v>68</v>
      </c>
      <c r="G255" s="46" t="s">
        <v>68</v>
      </c>
      <c r="H255" s="46" t="s">
        <v>68</v>
      </c>
      <c r="I255" s="46" t="s">
        <v>445</v>
      </c>
      <c r="J255" s="46" t="s">
        <v>71</v>
      </c>
      <c r="K255" s="47">
        <v>150</v>
      </c>
      <c r="L255" s="47">
        <v>50</v>
      </c>
      <c r="M255" s="47">
        <f t="shared" si="6"/>
        <v>200</v>
      </c>
      <c r="N255" s="46" t="s">
        <v>705</v>
      </c>
      <c r="O255" s="71" t="s">
        <v>706</v>
      </c>
    </row>
    <row r="256" spans="1:15" ht="51" x14ac:dyDescent="0.2">
      <c r="A256" s="45" t="s">
        <v>707</v>
      </c>
      <c r="B256" s="46" t="s">
        <v>703</v>
      </c>
      <c r="C256" s="46" t="s">
        <v>703</v>
      </c>
      <c r="D256" s="46" t="s">
        <v>704</v>
      </c>
      <c r="E256" s="46" t="s">
        <v>68</v>
      </c>
      <c r="F256" s="46" t="s">
        <v>68</v>
      </c>
      <c r="G256" s="46" t="s">
        <v>68</v>
      </c>
      <c r="H256" s="46" t="s">
        <v>68</v>
      </c>
      <c r="I256" s="46" t="s">
        <v>449</v>
      </c>
      <c r="J256" s="46" t="s">
        <v>71</v>
      </c>
      <c r="K256" s="47">
        <v>170</v>
      </c>
      <c r="L256" s="47">
        <v>80</v>
      </c>
      <c r="M256" s="47">
        <f t="shared" si="6"/>
        <v>250</v>
      </c>
      <c r="N256" s="46" t="s">
        <v>705</v>
      </c>
      <c r="O256" s="71" t="s">
        <v>708</v>
      </c>
    </row>
    <row r="257" spans="1:15" ht="51" x14ac:dyDescent="0.2">
      <c r="A257" s="45" t="s">
        <v>709</v>
      </c>
      <c r="B257" s="46" t="s">
        <v>710</v>
      </c>
      <c r="C257" s="46" t="s">
        <v>710</v>
      </c>
      <c r="D257" s="46" t="s">
        <v>711</v>
      </c>
      <c r="E257" s="46" t="s">
        <v>257</v>
      </c>
      <c r="F257" s="46" t="s">
        <v>712</v>
      </c>
      <c r="G257" s="46" t="s">
        <v>68</v>
      </c>
      <c r="H257" s="46" t="s">
        <v>68</v>
      </c>
      <c r="I257" s="46" t="s">
        <v>68</v>
      </c>
      <c r="J257" s="46" t="s">
        <v>71</v>
      </c>
      <c r="K257" s="47">
        <v>140</v>
      </c>
      <c r="L257" s="47">
        <v>90</v>
      </c>
      <c r="M257" s="47">
        <f t="shared" si="6"/>
        <v>230</v>
      </c>
      <c r="N257" s="46" t="s">
        <v>713</v>
      </c>
      <c r="O257" s="71" t="s">
        <v>714</v>
      </c>
    </row>
    <row r="258" spans="1:15" ht="51" x14ac:dyDescent="0.2">
      <c r="A258" s="45" t="s">
        <v>715</v>
      </c>
      <c r="B258" s="46" t="s">
        <v>710</v>
      </c>
      <c r="C258" s="46" t="s">
        <v>710</v>
      </c>
      <c r="D258" s="46" t="s">
        <v>711</v>
      </c>
      <c r="E258" s="46" t="s">
        <v>257</v>
      </c>
      <c r="F258" s="46" t="s">
        <v>716</v>
      </c>
      <c r="G258" s="46" t="s">
        <v>68</v>
      </c>
      <c r="H258" s="46" t="s">
        <v>68</v>
      </c>
      <c r="I258" s="46" t="s">
        <v>68</v>
      </c>
      <c r="J258" s="46" t="s">
        <v>71</v>
      </c>
      <c r="K258" s="47">
        <v>140</v>
      </c>
      <c r="L258" s="47">
        <v>100</v>
      </c>
      <c r="M258" s="47">
        <f t="shared" si="6"/>
        <v>240</v>
      </c>
      <c r="N258" s="46" t="s">
        <v>713</v>
      </c>
      <c r="O258" s="71" t="s">
        <v>717</v>
      </c>
    </row>
    <row r="259" spans="1:15" ht="51" x14ac:dyDescent="0.2">
      <c r="A259" s="45" t="s">
        <v>718</v>
      </c>
      <c r="B259" s="46" t="s">
        <v>710</v>
      </c>
      <c r="C259" s="46" t="s">
        <v>710</v>
      </c>
      <c r="D259" s="46" t="s">
        <v>719</v>
      </c>
      <c r="E259" s="46" t="s">
        <v>720</v>
      </c>
      <c r="F259" s="46" t="s">
        <v>712</v>
      </c>
      <c r="G259" s="46" t="s">
        <v>68</v>
      </c>
      <c r="H259" s="46" t="s">
        <v>68</v>
      </c>
      <c r="I259" s="46" t="s">
        <v>68</v>
      </c>
      <c r="J259" s="46" t="s">
        <v>71</v>
      </c>
      <c r="K259" s="47">
        <v>140</v>
      </c>
      <c r="L259" s="47">
        <v>50</v>
      </c>
      <c r="M259" s="47">
        <f t="shared" si="6"/>
        <v>190</v>
      </c>
      <c r="N259" s="46" t="s">
        <v>713</v>
      </c>
      <c r="O259" s="71" t="s">
        <v>721</v>
      </c>
    </row>
    <row r="260" spans="1:15" ht="51" x14ac:dyDescent="0.2">
      <c r="A260" s="45" t="s">
        <v>722</v>
      </c>
      <c r="B260" s="46" t="s">
        <v>710</v>
      </c>
      <c r="C260" s="46" t="s">
        <v>710</v>
      </c>
      <c r="D260" s="46" t="s">
        <v>719</v>
      </c>
      <c r="E260" s="46" t="s">
        <v>720</v>
      </c>
      <c r="F260" s="46" t="s">
        <v>716</v>
      </c>
      <c r="G260" s="46" t="s">
        <v>68</v>
      </c>
      <c r="H260" s="46" t="s">
        <v>68</v>
      </c>
      <c r="I260" s="46" t="s">
        <v>68</v>
      </c>
      <c r="J260" s="46" t="s">
        <v>71</v>
      </c>
      <c r="K260" s="47">
        <v>140</v>
      </c>
      <c r="L260" s="47">
        <v>70</v>
      </c>
      <c r="M260" s="47">
        <f t="shared" si="6"/>
        <v>210</v>
      </c>
      <c r="N260" s="46" t="s">
        <v>713</v>
      </c>
      <c r="O260" s="71" t="s">
        <v>723</v>
      </c>
    </row>
    <row r="261" spans="1:15" ht="12.75" x14ac:dyDescent="0.2">
      <c r="A261" s="34" t="s">
        <v>724</v>
      </c>
      <c r="B261" s="35" t="s">
        <v>68</v>
      </c>
      <c r="C261" s="35" t="s">
        <v>68</v>
      </c>
      <c r="D261" s="35" t="s">
        <v>68</v>
      </c>
      <c r="E261" s="35" t="s">
        <v>68</v>
      </c>
      <c r="F261" s="35" t="s">
        <v>68</v>
      </c>
      <c r="G261" s="35" t="s">
        <v>68</v>
      </c>
      <c r="H261" s="35" t="s">
        <v>68</v>
      </c>
      <c r="I261" s="35" t="s">
        <v>68</v>
      </c>
      <c r="J261" s="35" t="s">
        <v>68</v>
      </c>
      <c r="K261" s="36" t="s">
        <v>68</v>
      </c>
      <c r="L261" s="36" t="s">
        <v>68</v>
      </c>
      <c r="M261" s="47">
        <f t="shared" si="6"/>
        <v>0</v>
      </c>
      <c r="N261" s="35"/>
      <c r="O261" s="35" t="s">
        <v>68</v>
      </c>
    </row>
    <row r="262" spans="1:15" ht="63.75" x14ac:dyDescent="0.2">
      <c r="A262" s="45" t="s">
        <v>725</v>
      </c>
      <c r="B262" s="46" t="s">
        <v>726</v>
      </c>
      <c r="C262" s="46" t="s">
        <v>726</v>
      </c>
      <c r="D262" s="46" t="s">
        <v>727</v>
      </c>
      <c r="E262" s="46" t="s">
        <v>728</v>
      </c>
      <c r="F262" s="46" t="s">
        <v>68</v>
      </c>
      <c r="G262" s="46" t="s">
        <v>68</v>
      </c>
      <c r="H262" s="46" t="s">
        <v>68</v>
      </c>
      <c r="I262" s="46" t="s">
        <v>454</v>
      </c>
      <c r="J262" s="46" t="s">
        <v>71</v>
      </c>
      <c r="K262" s="47">
        <v>220</v>
      </c>
      <c r="L262" s="47">
        <v>265</v>
      </c>
      <c r="M262" s="47">
        <f t="shared" si="6"/>
        <v>485</v>
      </c>
      <c r="N262" s="46" t="s">
        <v>729</v>
      </c>
      <c r="O262" s="71" t="s">
        <v>730</v>
      </c>
    </row>
    <row r="263" spans="1:15" ht="63.75" x14ac:dyDescent="0.2">
      <c r="A263" s="45" t="s">
        <v>731</v>
      </c>
      <c r="B263" s="46" t="s">
        <v>726</v>
      </c>
      <c r="C263" s="46" t="s">
        <v>726</v>
      </c>
      <c r="D263" s="46" t="s">
        <v>727</v>
      </c>
      <c r="E263" s="46" t="s">
        <v>728</v>
      </c>
      <c r="F263" s="46" t="s">
        <v>68</v>
      </c>
      <c r="G263" s="46" t="s">
        <v>68</v>
      </c>
      <c r="H263" s="46" t="s">
        <v>68</v>
      </c>
      <c r="I263" s="46" t="s">
        <v>445</v>
      </c>
      <c r="J263" s="46" t="s">
        <v>71</v>
      </c>
      <c r="K263" s="47">
        <v>280</v>
      </c>
      <c r="L263" s="47">
        <v>615</v>
      </c>
      <c r="M263" s="47">
        <f t="shared" si="6"/>
        <v>895</v>
      </c>
      <c r="N263" s="46" t="s">
        <v>729</v>
      </c>
      <c r="O263" s="71" t="s">
        <v>732</v>
      </c>
    </row>
    <row r="264" spans="1:15" ht="63.75" x14ac:dyDescent="0.2">
      <c r="A264" s="45" t="s">
        <v>733</v>
      </c>
      <c r="B264" s="46" t="s">
        <v>726</v>
      </c>
      <c r="C264" s="46" t="s">
        <v>726</v>
      </c>
      <c r="D264" s="46" t="s">
        <v>727</v>
      </c>
      <c r="E264" s="46" t="s">
        <v>728</v>
      </c>
      <c r="F264" s="46" t="s">
        <v>68</v>
      </c>
      <c r="G264" s="46" t="s">
        <v>68</v>
      </c>
      <c r="H264" s="46" t="s">
        <v>68</v>
      </c>
      <c r="I264" s="46" t="s">
        <v>449</v>
      </c>
      <c r="J264" s="46" t="s">
        <v>71</v>
      </c>
      <c r="K264" s="47">
        <v>310</v>
      </c>
      <c r="L264" s="47">
        <v>815</v>
      </c>
      <c r="M264" s="47">
        <f t="shared" si="6"/>
        <v>1125</v>
      </c>
      <c r="N264" s="46" t="s">
        <v>729</v>
      </c>
      <c r="O264" s="71" t="s">
        <v>734</v>
      </c>
    </row>
    <row r="265" spans="1:15" ht="63.75" x14ac:dyDescent="0.2">
      <c r="A265" s="45" t="s">
        <v>735</v>
      </c>
      <c r="B265" s="46" t="s">
        <v>726</v>
      </c>
      <c r="C265" s="46" t="s">
        <v>726</v>
      </c>
      <c r="D265" s="46" t="s">
        <v>736</v>
      </c>
      <c r="E265" s="46" t="s">
        <v>728</v>
      </c>
      <c r="F265" s="46" t="s">
        <v>68</v>
      </c>
      <c r="G265" s="46" t="s">
        <v>68</v>
      </c>
      <c r="H265" s="46" t="s">
        <v>68</v>
      </c>
      <c r="I265" s="46" t="s">
        <v>454</v>
      </c>
      <c r="J265" s="46" t="s">
        <v>71</v>
      </c>
      <c r="K265" s="47">
        <v>220</v>
      </c>
      <c r="L265" s="47">
        <v>265</v>
      </c>
      <c r="M265" s="47">
        <f t="shared" si="6"/>
        <v>485</v>
      </c>
      <c r="N265" s="46" t="s">
        <v>729</v>
      </c>
      <c r="O265" s="71" t="s">
        <v>737</v>
      </c>
    </row>
    <row r="266" spans="1:15" ht="63.75" x14ac:dyDescent="0.2">
      <c r="A266" s="45" t="s">
        <v>738</v>
      </c>
      <c r="B266" s="46" t="s">
        <v>726</v>
      </c>
      <c r="C266" s="46" t="s">
        <v>726</v>
      </c>
      <c r="D266" s="46" t="s">
        <v>736</v>
      </c>
      <c r="E266" s="46" t="s">
        <v>728</v>
      </c>
      <c r="F266" s="46" t="s">
        <v>68</v>
      </c>
      <c r="G266" s="46" t="s">
        <v>68</v>
      </c>
      <c r="H266" s="46" t="s">
        <v>68</v>
      </c>
      <c r="I266" s="46" t="s">
        <v>445</v>
      </c>
      <c r="J266" s="46" t="s">
        <v>71</v>
      </c>
      <c r="K266" s="47">
        <v>270</v>
      </c>
      <c r="L266" s="47">
        <v>615</v>
      </c>
      <c r="M266" s="47">
        <f t="shared" si="6"/>
        <v>885</v>
      </c>
      <c r="N266" s="46" t="s">
        <v>729</v>
      </c>
      <c r="O266" s="71" t="s">
        <v>739</v>
      </c>
    </row>
    <row r="267" spans="1:15" ht="63.75" x14ac:dyDescent="0.2">
      <c r="A267" s="45" t="s">
        <v>740</v>
      </c>
      <c r="B267" s="46" t="s">
        <v>726</v>
      </c>
      <c r="C267" s="46" t="s">
        <v>726</v>
      </c>
      <c r="D267" s="46" t="s">
        <v>736</v>
      </c>
      <c r="E267" s="46" t="s">
        <v>728</v>
      </c>
      <c r="F267" s="46" t="s">
        <v>68</v>
      </c>
      <c r="G267" s="46" t="s">
        <v>68</v>
      </c>
      <c r="H267" s="46" t="s">
        <v>68</v>
      </c>
      <c r="I267" s="46" t="s">
        <v>449</v>
      </c>
      <c r="J267" s="46" t="s">
        <v>71</v>
      </c>
      <c r="K267" s="47">
        <v>300</v>
      </c>
      <c r="L267" s="47">
        <v>815</v>
      </c>
      <c r="M267" s="47">
        <f t="shared" si="6"/>
        <v>1115</v>
      </c>
      <c r="N267" s="46" t="s">
        <v>729</v>
      </c>
      <c r="O267" s="71" t="s">
        <v>741</v>
      </c>
    </row>
    <row r="268" spans="1:15" ht="76.5" x14ac:dyDescent="0.2">
      <c r="A268" s="45" t="s">
        <v>742</v>
      </c>
      <c r="B268" s="46" t="s">
        <v>743</v>
      </c>
      <c r="C268" s="46" t="s">
        <v>743</v>
      </c>
      <c r="D268" s="46" t="s">
        <v>728</v>
      </c>
      <c r="E268" s="46" t="s">
        <v>68</v>
      </c>
      <c r="F268" s="46" t="s">
        <v>68</v>
      </c>
      <c r="G268" s="46" t="s">
        <v>68</v>
      </c>
      <c r="H268" s="46" t="s">
        <v>68</v>
      </c>
      <c r="I268" s="46" t="s">
        <v>454</v>
      </c>
      <c r="J268" s="46" t="s">
        <v>71</v>
      </c>
      <c r="K268" s="47">
        <v>240</v>
      </c>
      <c r="L268" s="47">
        <f>300+115</f>
        <v>415</v>
      </c>
      <c r="M268" s="47">
        <f t="shared" si="6"/>
        <v>655</v>
      </c>
      <c r="N268" s="46" t="s">
        <v>744</v>
      </c>
      <c r="O268" s="71" t="s">
        <v>745</v>
      </c>
    </row>
    <row r="269" spans="1:15" ht="76.5" x14ac:dyDescent="0.2">
      <c r="A269" s="45" t="s">
        <v>746</v>
      </c>
      <c r="B269" s="46" t="s">
        <v>743</v>
      </c>
      <c r="C269" s="46" t="s">
        <v>743</v>
      </c>
      <c r="D269" s="46" t="s">
        <v>728</v>
      </c>
      <c r="E269" s="46" t="s">
        <v>68</v>
      </c>
      <c r="F269" s="46" t="s">
        <v>68</v>
      </c>
      <c r="G269" s="46" t="s">
        <v>68</v>
      </c>
      <c r="H269" s="46" t="s">
        <v>68</v>
      </c>
      <c r="I269" s="46" t="s">
        <v>445</v>
      </c>
      <c r="J269" s="46" t="s">
        <v>71</v>
      </c>
      <c r="K269" s="47">
        <v>280</v>
      </c>
      <c r="L269" s="47">
        <f>565+150</f>
        <v>715</v>
      </c>
      <c r="M269" s="47">
        <f t="shared" si="6"/>
        <v>995</v>
      </c>
      <c r="N269" s="46" t="s">
        <v>744</v>
      </c>
      <c r="O269" s="71" t="s">
        <v>747</v>
      </c>
    </row>
    <row r="270" spans="1:15" ht="76.5" x14ac:dyDescent="0.2">
      <c r="A270" s="45" t="s">
        <v>748</v>
      </c>
      <c r="B270" s="46" t="s">
        <v>743</v>
      </c>
      <c r="C270" s="46" t="s">
        <v>743</v>
      </c>
      <c r="D270" s="46" t="s">
        <v>728</v>
      </c>
      <c r="E270" s="46" t="s">
        <v>68</v>
      </c>
      <c r="F270" s="46" t="s">
        <v>68</v>
      </c>
      <c r="G270" s="46" t="s">
        <v>68</v>
      </c>
      <c r="H270" s="46" t="s">
        <v>68</v>
      </c>
      <c r="I270" s="46" t="s">
        <v>449</v>
      </c>
      <c r="J270" s="46" t="s">
        <v>71</v>
      </c>
      <c r="K270" s="47">
        <v>350</v>
      </c>
      <c r="L270" s="47">
        <f>1000+150</f>
        <v>1150</v>
      </c>
      <c r="M270" s="47">
        <f t="shared" si="6"/>
        <v>1500</v>
      </c>
      <c r="N270" s="46" t="s">
        <v>744</v>
      </c>
      <c r="O270" s="71" t="s">
        <v>749</v>
      </c>
    </row>
    <row r="271" spans="1:15" ht="63.75" x14ac:dyDescent="0.2">
      <c r="A271" s="45" t="s">
        <v>750</v>
      </c>
      <c r="B271" s="46" t="s">
        <v>751</v>
      </c>
      <c r="C271" s="46" t="s">
        <v>751</v>
      </c>
      <c r="D271" s="46" t="s">
        <v>752</v>
      </c>
      <c r="E271" s="46" t="s">
        <v>68</v>
      </c>
      <c r="F271" s="46" t="s">
        <v>68</v>
      </c>
      <c r="G271" s="46" t="s">
        <v>68</v>
      </c>
      <c r="H271" s="46" t="s">
        <v>68</v>
      </c>
      <c r="I271" s="46" t="s">
        <v>68</v>
      </c>
      <c r="J271" s="46" t="s">
        <v>71</v>
      </c>
      <c r="K271" s="47">
        <v>190</v>
      </c>
      <c r="L271" s="47">
        <v>20</v>
      </c>
      <c r="M271" s="47">
        <f t="shared" si="6"/>
        <v>210</v>
      </c>
      <c r="N271" s="46" t="s">
        <v>753</v>
      </c>
      <c r="O271" s="71" t="s">
        <v>754</v>
      </c>
    </row>
    <row r="272" spans="1:15" ht="63.75" x14ac:dyDescent="0.2">
      <c r="A272" s="45" t="s">
        <v>755</v>
      </c>
      <c r="B272" s="46" t="s">
        <v>751</v>
      </c>
      <c r="C272" s="46" t="s">
        <v>751</v>
      </c>
      <c r="D272" s="46" t="s">
        <v>756</v>
      </c>
      <c r="E272" s="46" t="s">
        <v>68</v>
      </c>
      <c r="F272" s="46" t="s">
        <v>68</v>
      </c>
      <c r="G272" s="46" t="s">
        <v>68</v>
      </c>
      <c r="H272" s="46" t="s">
        <v>68</v>
      </c>
      <c r="I272" s="46" t="s">
        <v>68</v>
      </c>
      <c r="J272" s="46" t="s">
        <v>71</v>
      </c>
      <c r="K272" s="47">
        <v>195</v>
      </c>
      <c r="L272" s="47">
        <v>50</v>
      </c>
      <c r="M272" s="47">
        <f t="shared" si="6"/>
        <v>245</v>
      </c>
      <c r="N272" s="46" t="s">
        <v>757</v>
      </c>
      <c r="O272" s="71" t="s">
        <v>758</v>
      </c>
    </row>
    <row r="273" spans="1:15" ht="38.25" x14ac:dyDescent="0.2">
      <c r="A273" s="45" t="s">
        <v>759</v>
      </c>
      <c r="B273" s="46" t="s">
        <v>760</v>
      </c>
      <c r="C273" s="46" t="s">
        <v>760</v>
      </c>
      <c r="D273" s="46" t="s">
        <v>68</v>
      </c>
      <c r="E273" s="46" t="s">
        <v>68</v>
      </c>
      <c r="F273" s="46" t="s">
        <v>68</v>
      </c>
      <c r="G273" s="46" t="s">
        <v>68</v>
      </c>
      <c r="H273" s="46" t="s">
        <v>68</v>
      </c>
      <c r="I273" s="46" t="s">
        <v>68</v>
      </c>
      <c r="J273" s="46" t="s">
        <v>71</v>
      </c>
      <c r="K273" s="47">
        <v>150</v>
      </c>
      <c r="L273" s="47">
        <v>30</v>
      </c>
      <c r="M273" s="47">
        <f t="shared" si="6"/>
        <v>180</v>
      </c>
      <c r="N273" s="46" t="s">
        <v>761</v>
      </c>
      <c r="O273" s="71" t="s">
        <v>762</v>
      </c>
    </row>
    <row r="274" spans="1:15" ht="63.75" x14ac:dyDescent="0.2">
      <c r="A274" s="45" t="s">
        <v>763</v>
      </c>
      <c r="B274" s="46" t="s">
        <v>764</v>
      </c>
      <c r="C274" s="46" t="s">
        <v>764</v>
      </c>
      <c r="D274" s="46" t="s">
        <v>765</v>
      </c>
      <c r="E274" s="46" t="s">
        <v>766</v>
      </c>
      <c r="F274" s="46"/>
      <c r="G274" s="46" t="s">
        <v>68</v>
      </c>
      <c r="H274" s="46" t="s">
        <v>68</v>
      </c>
      <c r="I274" s="46" t="s">
        <v>454</v>
      </c>
      <c r="J274" s="46" t="s">
        <v>71</v>
      </c>
      <c r="K274" s="47">
        <v>130</v>
      </c>
      <c r="L274" s="47">
        <v>30</v>
      </c>
      <c r="M274" s="47">
        <f t="shared" ref="M274:M337" si="7">SUM(K274:L274)</f>
        <v>160</v>
      </c>
      <c r="N274" s="46" t="s">
        <v>767</v>
      </c>
      <c r="O274" s="71" t="s">
        <v>768</v>
      </c>
    </row>
    <row r="275" spans="1:15" ht="63.75" x14ac:dyDescent="0.2">
      <c r="A275" s="45" t="s">
        <v>769</v>
      </c>
      <c r="B275" s="46" t="s">
        <v>764</v>
      </c>
      <c r="C275" s="46" t="s">
        <v>764</v>
      </c>
      <c r="D275" s="46" t="s">
        <v>770</v>
      </c>
      <c r="E275" s="46" t="s">
        <v>766</v>
      </c>
      <c r="F275" s="46"/>
      <c r="G275" s="46" t="s">
        <v>68</v>
      </c>
      <c r="H275" s="46" t="s">
        <v>68</v>
      </c>
      <c r="I275" s="46" t="s">
        <v>445</v>
      </c>
      <c r="J275" s="46" t="s">
        <v>71</v>
      </c>
      <c r="K275" s="47">
        <v>140</v>
      </c>
      <c r="L275" s="47">
        <v>70</v>
      </c>
      <c r="M275" s="47">
        <f t="shared" si="7"/>
        <v>210</v>
      </c>
      <c r="N275" s="46" t="s">
        <v>767</v>
      </c>
      <c r="O275" s="71" t="s">
        <v>771</v>
      </c>
    </row>
    <row r="276" spans="1:15" ht="63.75" x14ac:dyDescent="0.2">
      <c r="A276" s="45" t="s">
        <v>772</v>
      </c>
      <c r="B276" s="46" t="s">
        <v>773</v>
      </c>
      <c r="C276" s="46" t="s">
        <v>773</v>
      </c>
      <c r="D276" s="46" t="s">
        <v>770</v>
      </c>
      <c r="E276" s="46" t="s">
        <v>766</v>
      </c>
      <c r="F276" s="46"/>
      <c r="G276" s="46" t="s">
        <v>68</v>
      </c>
      <c r="H276" s="46" t="s">
        <v>68</v>
      </c>
      <c r="I276" s="46" t="s">
        <v>449</v>
      </c>
      <c r="J276" s="46" t="s">
        <v>71</v>
      </c>
      <c r="K276" s="47">
        <v>170</v>
      </c>
      <c r="L276" s="47">
        <v>140</v>
      </c>
      <c r="M276" s="47">
        <f t="shared" si="7"/>
        <v>310</v>
      </c>
      <c r="N276" s="46" t="s">
        <v>767</v>
      </c>
      <c r="O276" s="71" t="s">
        <v>774</v>
      </c>
    </row>
    <row r="277" spans="1:15" ht="76.5" x14ac:dyDescent="0.2">
      <c r="A277" s="45" t="s">
        <v>775</v>
      </c>
      <c r="B277" s="46" t="s">
        <v>773</v>
      </c>
      <c r="C277" s="46" t="s">
        <v>773</v>
      </c>
      <c r="D277" s="46" t="s">
        <v>770</v>
      </c>
      <c r="E277" s="46" t="s">
        <v>776</v>
      </c>
      <c r="F277" s="46"/>
      <c r="G277" s="46" t="s">
        <v>68</v>
      </c>
      <c r="H277" s="46" t="s">
        <v>68</v>
      </c>
      <c r="I277" s="46" t="s">
        <v>445</v>
      </c>
      <c r="J277" s="46" t="s">
        <v>71</v>
      </c>
      <c r="K277" s="47">
        <v>200</v>
      </c>
      <c r="L277" s="47">
        <v>90</v>
      </c>
      <c r="M277" s="47">
        <f t="shared" si="7"/>
        <v>290</v>
      </c>
      <c r="N277" s="46" t="s">
        <v>777</v>
      </c>
      <c r="O277" s="71" t="s">
        <v>778</v>
      </c>
    </row>
    <row r="278" spans="1:15" ht="76.5" x14ac:dyDescent="0.2">
      <c r="A278" s="45" t="s">
        <v>779</v>
      </c>
      <c r="B278" s="46" t="s">
        <v>764</v>
      </c>
      <c r="C278" s="46" t="s">
        <v>764</v>
      </c>
      <c r="D278" s="46" t="s">
        <v>770</v>
      </c>
      <c r="E278" s="46" t="s">
        <v>776</v>
      </c>
      <c r="F278" s="46"/>
      <c r="G278" s="46" t="s">
        <v>68</v>
      </c>
      <c r="H278" s="46" t="s">
        <v>68</v>
      </c>
      <c r="I278" s="46" t="s">
        <v>449</v>
      </c>
      <c r="J278" s="46" t="s">
        <v>71</v>
      </c>
      <c r="K278" s="47">
        <v>220</v>
      </c>
      <c r="L278" s="47">
        <v>160</v>
      </c>
      <c r="M278" s="47">
        <f t="shared" si="7"/>
        <v>380</v>
      </c>
      <c r="N278" s="46" t="s">
        <v>777</v>
      </c>
      <c r="O278" s="71" t="s">
        <v>780</v>
      </c>
    </row>
    <row r="279" spans="1:15" ht="51" x14ac:dyDescent="0.2">
      <c r="A279" s="45" t="s">
        <v>781</v>
      </c>
      <c r="B279" s="46" t="s">
        <v>782</v>
      </c>
      <c r="C279" s="46" t="s">
        <v>782</v>
      </c>
      <c r="D279" s="46" t="s">
        <v>254</v>
      </c>
      <c r="E279" s="46" t="s">
        <v>770</v>
      </c>
      <c r="F279" s="46" t="s">
        <v>68</v>
      </c>
      <c r="G279" s="46" t="s">
        <v>68</v>
      </c>
      <c r="H279" s="46" t="s">
        <v>68</v>
      </c>
      <c r="I279" s="46" t="s">
        <v>445</v>
      </c>
      <c r="J279" s="46" t="s">
        <v>71</v>
      </c>
      <c r="K279" s="47">
        <v>140</v>
      </c>
      <c r="L279" s="47">
        <v>45</v>
      </c>
      <c r="M279" s="47">
        <f t="shared" si="7"/>
        <v>185</v>
      </c>
      <c r="N279" s="46" t="s">
        <v>783</v>
      </c>
      <c r="O279" s="71" t="s">
        <v>784</v>
      </c>
    </row>
    <row r="280" spans="1:15" ht="51" x14ac:dyDescent="0.2">
      <c r="A280" s="45" t="s">
        <v>785</v>
      </c>
      <c r="B280" s="46" t="s">
        <v>782</v>
      </c>
      <c r="C280" s="46" t="s">
        <v>782</v>
      </c>
      <c r="D280" s="46" t="s">
        <v>254</v>
      </c>
      <c r="E280" s="46" t="s">
        <v>770</v>
      </c>
      <c r="F280" s="46" t="s">
        <v>68</v>
      </c>
      <c r="G280" s="46" t="s">
        <v>68</v>
      </c>
      <c r="H280" s="46" t="s">
        <v>68</v>
      </c>
      <c r="I280" s="46" t="s">
        <v>449</v>
      </c>
      <c r="J280" s="46" t="s">
        <v>71</v>
      </c>
      <c r="K280" s="47">
        <v>180</v>
      </c>
      <c r="L280" s="47">
        <v>200</v>
      </c>
      <c r="M280" s="47">
        <f t="shared" si="7"/>
        <v>380</v>
      </c>
      <c r="N280" s="46" t="s">
        <v>783</v>
      </c>
      <c r="O280" s="71" t="s">
        <v>786</v>
      </c>
    </row>
    <row r="281" spans="1:15" ht="51" x14ac:dyDescent="0.2">
      <c r="A281" s="45" t="s">
        <v>787</v>
      </c>
      <c r="B281" s="46" t="s">
        <v>782</v>
      </c>
      <c r="C281" s="46" t="s">
        <v>782</v>
      </c>
      <c r="D281" s="46" t="s">
        <v>788</v>
      </c>
      <c r="E281" s="46" t="s">
        <v>770</v>
      </c>
      <c r="F281" s="46" t="s">
        <v>68</v>
      </c>
      <c r="G281" s="46" t="s">
        <v>68</v>
      </c>
      <c r="H281" s="46" t="s">
        <v>68</v>
      </c>
      <c r="I281" s="46" t="s">
        <v>445</v>
      </c>
      <c r="J281" s="46" t="s">
        <v>71</v>
      </c>
      <c r="K281" s="47">
        <v>155</v>
      </c>
      <c r="L281" s="47">
        <v>140</v>
      </c>
      <c r="M281" s="47">
        <f t="shared" si="7"/>
        <v>295</v>
      </c>
      <c r="N281" s="46" t="s">
        <v>783</v>
      </c>
      <c r="O281" s="71" t="s">
        <v>789</v>
      </c>
    </row>
    <row r="282" spans="1:15" ht="51" x14ac:dyDescent="0.2">
      <c r="A282" s="45" t="s">
        <v>790</v>
      </c>
      <c r="B282" s="46" t="s">
        <v>782</v>
      </c>
      <c r="C282" s="46" t="s">
        <v>782</v>
      </c>
      <c r="D282" s="46" t="s">
        <v>788</v>
      </c>
      <c r="E282" s="46" t="s">
        <v>770</v>
      </c>
      <c r="F282" s="46" t="s">
        <v>68</v>
      </c>
      <c r="G282" s="46" t="s">
        <v>68</v>
      </c>
      <c r="H282" s="46" t="s">
        <v>68</v>
      </c>
      <c r="I282" s="46" t="s">
        <v>449</v>
      </c>
      <c r="J282" s="46" t="s">
        <v>71</v>
      </c>
      <c r="K282" s="47">
        <v>180</v>
      </c>
      <c r="L282" s="47">
        <v>200</v>
      </c>
      <c r="M282" s="47">
        <f t="shared" si="7"/>
        <v>380</v>
      </c>
      <c r="N282" s="46" t="s">
        <v>783</v>
      </c>
      <c r="O282" s="71" t="s">
        <v>791</v>
      </c>
    </row>
    <row r="283" spans="1:15" ht="51" x14ac:dyDescent="0.2">
      <c r="A283" s="45" t="s">
        <v>792</v>
      </c>
      <c r="B283" s="46" t="s">
        <v>782</v>
      </c>
      <c r="C283" s="46" t="s">
        <v>782</v>
      </c>
      <c r="D283" s="46" t="s">
        <v>254</v>
      </c>
      <c r="E283" s="46" t="s">
        <v>793</v>
      </c>
      <c r="F283" s="46" t="s">
        <v>68</v>
      </c>
      <c r="G283" s="46" t="s">
        <v>68</v>
      </c>
      <c r="H283" s="46" t="s">
        <v>68</v>
      </c>
      <c r="I283" s="46" t="s">
        <v>445</v>
      </c>
      <c r="J283" s="46" t="s">
        <v>71</v>
      </c>
      <c r="K283" s="47">
        <v>140</v>
      </c>
      <c r="L283" s="47">
        <v>55</v>
      </c>
      <c r="M283" s="47">
        <f t="shared" si="7"/>
        <v>195</v>
      </c>
      <c r="N283" s="46" t="s">
        <v>783</v>
      </c>
      <c r="O283" s="71" t="s">
        <v>794</v>
      </c>
    </row>
    <row r="284" spans="1:15" ht="51" x14ac:dyDescent="0.2">
      <c r="A284" s="45" t="s">
        <v>795</v>
      </c>
      <c r="B284" s="46" t="s">
        <v>782</v>
      </c>
      <c r="C284" s="46" t="s">
        <v>782</v>
      </c>
      <c r="D284" s="46" t="s">
        <v>254</v>
      </c>
      <c r="E284" s="46" t="s">
        <v>796</v>
      </c>
      <c r="F284" s="46" t="s">
        <v>68</v>
      </c>
      <c r="G284" s="46" t="s">
        <v>68</v>
      </c>
      <c r="H284" s="46" t="s">
        <v>68</v>
      </c>
      <c r="I284" s="46" t="s">
        <v>449</v>
      </c>
      <c r="J284" s="46" t="s">
        <v>71</v>
      </c>
      <c r="K284" s="47">
        <v>180</v>
      </c>
      <c r="L284" s="47">
        <v>150</v>
      </c>
      <c r="M284" s="47">
        <f t="shared" si="7"/>
        <v>330</v>
      </c>
      <c r="N284" s="46" t="s">
        <v>783</v>
      </c>
      <c r="O284" s="71" t="s">
        <v>797</v>
      </c>
    </row>
    <row r="285" spans="1:15" ht="51" x14ac:dyDescent="0.2">
      <c r="A285" s="45" t="s">
        <v>798</v>
      </c>
      <c r="B285" s="46" t="s">
        <v>799</v>
      </c>
      <c r="C285" s="46" t="s">
        <v>799</v>
      </c>
      <c r="D285" s="46" t="s">
        <v>800</v>
      </c>
      <c r="E285" s="46" t="s">
        <v>68</v>
      </c>
      <c r="F285" s="46" t="s">
        <v>68</v>
      </c>
      <c r="G285" s="46" t="s">
        <v>68</v>
      </c>
      <c r="H285" s="46" t="s">
        <v>68</v>
      </c>
      <c r="I285" s="46" t="s">
        <v>68</v>
      </c>
      <c r="J285" s="46" t="s">
        <v>71</v>
      </c>
      <c r="K285" s="47">
        <v>210</v>
      </c>
      <c r="L285" s="47">
        <v>350</v>
      </c>
      <c r="M285" s="47">
        <f t="shared" si="7"/>
        <v>560</v>
      </c>
      <c r="N285" s="46" t="s">
        <v>783</v>
      </c>
      <c r="O285" s="71" t="s">
        <v>801</v>
      </c>
    </row>
    <row r="286" spans="1:15" ht="12.75" x14ac:dyDescent="0.2">
      <c r="A286" s="34" t="s">
        <v>802</v>
      </c>
      <c r="B286" s="35" t="s">
        <v>68</v>
      </c>
      <c r="C286" s="35" t="s">
        <v>68</v>
      </c>
      <c r="D286" s="35" t="s">
        <v>68</v>
      </c>
      <c r="E286" s="35" t="s">
        <v>68</v>
      </c>
      <c r="F286" s="35" t="s">
        <v>68</v>
      </c>
      <c r="G286" s="35" t="s">
        <v>68</v>
      </c>
      <c r="H286" s="35" t="s">
        <v>68</v>
      </c>
      <c r="I286" s="35" t="s">
        <v>68</v>
      </c>
      <c r="J286" s="35" t="s">
        <v>68</v>
      </c>
      <c r="K286" s="36" t="s">
        <v>68</v>
      </c>
      <c r="L286" s="36" t="s">
        <v>68</v>
      </c>
      <c r="M286" s="47">
        <f t="shared" si="7"/>
        <v>0</v>
      </c>
      <c r="N286" s="35"/>
      <c r="O286" s="35" t="s">
        <v>68</v>
      </c>
    </row>
    <row r="287" spans="1:15" ht="51" x14ac:dyDescent="0.2">
      <c r="A287" s="45" t="s">
        <v>803</v>
      </c>
      <c r="B287" s="46" t="s">
        <v>804</v>
      </c>
      <c r="C287" s="46" t="s">
        <v>804</v>
      </c>
      <c r="D287" s="46" t="s">
        <v>805</v>
      </c>
      <c r="E287" s="46"/>
      <c r="F287" s="46" t="s">
        <v>68</v>
      </c>
      <c r="G287" s="46" t="s">
        <v>68</v>
      </c>
      <c r="H287" s="46" t="s">
        <v>68</v>
      </c>
      <c r="I287" s="46" t="s">
        <v>68</v>
      </c>
      <c r="J287" s="46" t="s">
        <v>71</v>
      </c>
      <c r="K287" s="47">
        <v>150</v>
      </c>
      <c r="L287" s="47">
        <v>150</v>
      </c>
      <c r="M287" s="47">
        <f t="shared" si="7"/>
        <v>300</v>
      </c>
      <c r="N287" s="48" t="s">
        <v>806</v>
      </c>
      <c r="O287" s="48" t="s">
        <v>807</v>
      </c>
    </row>
    <row r="288" spans="1:15" ht="51" x14ac:dyDescent="0.2">
      <c r="A288" s="45" t="s">
        <v>808</v>
      </c>
      <c r="B288" s="46" t="s">
        <v>804</v>
      </c>
      <c r="C288" s="46" t="s">
        <v>804</v>
      </c>
      <c r="D288" s="46" t="s">
        <v>809</v>
      </c>
      <c r="E288" s="46"/>
      <c r="F288" s="46" t="s">
        <v>68</v>
      </c>
      <c r="G288" s="46" t="s">
        <v>68</v>
      </c>
      <c r="H288" s="46" t="s">
        <v>68</v>
      </c>
      <c r="I288" s="46" t="s">
        <v>68</v>
      </c>
      <c r="J288" s="46" t="s">
        <v>71</v>
      </c>
      <c r="K288" s="47">
        <v>160</v>
      </c>
      <c r="L288" s="47">
        <v>190</v>
      </c>
      <c r="M288" s="47">
        <f t="shared" si="7"/>
        <v>350</v>
      </c>
      <c r="N288" s="48" t="s">
        <v>806</v>
      </c>
      <c r="O288" s="48" t="s">
        <v>810</v>
      </c>
    </row>
    <row r="289" spans="1:15" ht="51" x14ac:dyDescent="0.2">
      <c r="A289" s="45" t="s">
        <v>811</v>
      </c>
      <c r="B289" s="46" t="s">
        <v>812</v>
      </c>
      <c r="C289" s="46" t="s">
        <v>812</v>
      </c>
      <c r="D289" s="46" t="s">
        <v>199</v>
      </c>
      <c r="E289" s="46"/>
      <c r="F289" s="46" t="s">
        <v>68</v>
      </c>
      <c r="G289" s="46" t="s">
        <v>68</v>
      </c>
      <c r="H289" s="46" t="s">
        <v>68</v>
      </c>
      <c r="I289" s="46" t="s">
        <v>68</v>
      </c>
      <c r="J289" s="46" t="s">
        <v>71</v>
      </c>
      <c r="K289" s="47">
        <v>140</v>
      </c>
      <c r="L289" s="47">
        <v>25</v>
      </c>
      <c r="M289" s="47">
        <f t="shared" si="7"/>
        <v>165</v>
      </c>
      <c r="N289" s="48" t="s">
        <v>813</v>
      </c>
      <c r="O289" s="48" t="s">
        <v>814</v>
      </c>
    </row>
    <row r="290" spans="1:15" ht="51" x14ac:dyDescent="0.2">
      <c r="A290" s="45" t="s">
        <v>815</v>
      </c>
      <c r="B290" s="46" t="s">
        <v>816</v>
      </c>
      <c r="C290" s="46" t="s">
        <v>816</v>
      </c>
      <c r="D290" s="46" t="s">
        <v>199</v>
      </c>
      <c r="E290" s="46"/>
      <c r="F290" s="46" t="s">
        <v>68</v>
      </c>
      <c r="G290" s="46" t="s">
        <v>68</v>
      </c>
      <c r="H290" s="46" t="s">
        <v>68</v>
      </c>
      <c r="I290" s="46" t="s">
        <v>68</v>
      </c>
      <c r="J290" s="46" t="s">
        <v>71</v>
      </c>
      <c r="K290" s="47">
        <v>140</v>
      </c>
      <c r="L290" s="47">
        <v>30</v>
      </c>
      <c r="M290" s="47">
        <f t="shared" si="7"/>
        <v>170</v>
      </c>
      <c r="N290" s="48" t="s">
        <v>817</v>
      </c>
      <c r="O290" s="48" t="s">
        <v>818</v>
      </c>
    </row>
    <row r="291" spans="1:15" ht="63.75" x14ac:dyDescent="0.2">
      <c r="A291" s="45" t="s">
        <v>819</v>
      </c>
      <c r="B291" s="46" t="s">
        <v>820</v>
      </c>
      <c r="C291" s="46" t="s">
        <v>820</v>
      </c>
      <c r="D291" s="46" t="s">
        <v>821</v>
      </c>
      <c r="E291" s="46" t="s">
        <v>822</v>
      </c>
      <c r="F291" s="46" t="s">
        <v>68</v>
      </c>
      <c r="G291" s="46" t="s">
        <v>68</v>
      </c>
      <c r="H291" s="46" t="s">
        <v>68</v>
      </c>
      <c r="I291" s="46" t="s">
        <v>454</v>
      </c>
      <c r="J291" s="46" t="s">
        <v>71</v>
      </c>
      <c r="K291" s="47">
        <v>200</v>
      </c>
      <c r="L291" s="47">
        <f>270+100</f>
        <v>370</v>
      </c>
      <c r="M291" s="47">
        <f t="shared" si="7"/>
        <v>570</v>
      </c>
      <c r="N291" s="48" t="s">
        <v>823</v>
      </c>
      <c r="O291" s="48" t="s">
        <v>824</v>
      </c>
    </row>
    <row r="292" spans="1:15" ht="63.75" x14ac:dyDescent="0.2">
      <c r="A292" s="45" t="s">
        <v>825</v>
      </c>
      <c r="B292" s="46" t="s">
        <v>820</v>
      </c>
      <c r="C292" s="46" t="s">
        <v>820</v>
      </c>
      <c r="D292" s="46" t="s">
        <v>821</v>
      </c>
      <c r="E292" s="46" t="s">
        <v>822</v>
      </c>
      <c r="F292" s="46"/>
      <c r="G292" s="46"/>
      <c r="H292" s="46"/>
      <c r="I292" s="46" t="s">
        <v>445</v>
      </c>
      <c r="J292" s="46" t="s">
        <v>71</v>
      </c>
      <c r="K292" s="47">
        <v>250</v>
      </c>
      <c r="L292" s="47">
        <f>570+100</f>
        <v>670</v>
      </c>
      <c r="M292" s="47">
        <f t="shared" si="7"/>
        <v>920</v>
      </c>
      <c r="N292" s="48" t="s">
        <v>823</v>
      </c>
      <c r="O292" s="48" t="s">
        <v>824</v>
      </c>
    </row>
    <row r="293" spans="1:15" ht="63.75" x14ac:dyDescent="0.2">
      <c r="A293" s="45" t="s">
        <v>826</v>
      </c>
      <c r="B293" s="46" t="s">
        <v>820</v>
      </c>
      <c r="C293" s="46" t="s">
        <v>820</v>
      </c>
      <c r="D293" s="46" t="s">
        <v>821</v>
      </c>
      <c r="E293" s="46" t="s">
        <v>822</v>
      </c>
      <c r="F293" s="46"/>
      <c r="G293" s="46"/>
      <c r="H293" s="46"/>
      <c r="I293" s="46" t="s">
        <v>449</v>
      </c>
      <c r="J293" s="46" t="s">
        <v>71</v>
      </c>
      <c r="K293" s="47">
        <v>300</v>
      </c>
      <c r="L293" s="47">
        <f>870+100</f>
        <v>970</v>
      </c>
      <c r="M293" s="47">
        <f t="shared" si="7"/>
        <v>1270</v>
      </c>
      <c r="N293" s="48" t="s">
        <v>823</v>
      </c>
      <c r="O293" s="48" t="s">
        <v>824</v>
      </c>
    </row>
    <row r="294" spans="1:15" ht="51" x14ac:dyDescent="0.2">
      <c r="A294" s="45" t="s">
        <v>827</v>
      </c>
      <c r="B294" s="46" t="s">
        <v>828</v>
      </c>
      <c r="C294" s="46" t="s">
        <v>828</v>
      </c>
      <c r="D294" s="46" t="s">
        <v>821</v>
      </c>
      <c r="E294" s="46" t="s">
        <v>822</v>
      </c>
      <c r="F294" s="46"/>
      <c r="G294" s="46"/>
      <c r="H294" s="46"/>
      <c r="I294" s="46"/>
      <c r="J294" s="46" t="s">
        <v>71</v>
      </c>
      <c r="K294" s="47">
        <v>150</v>
      </c>
      <c r="L294" s="47">
        <v>170</v>
      </c>
      <c r="M294" s="47">
        <f t="shared" si="7"/>
        <v>320</v>
      </c>
      <c r="N294" s="48" t="s">
        <v>829</v>
      </c>
      <c r="O294" s="48" t="s">
        <v>830</v>
      </c>
    </row>
    <row r="295" spans="1:15" ht="51" x14ac:dyDescent="0.2">
      <c r="A295" s="45" t="s">
        <v>831</v>
      </c>
      <c r="B295" s="46" t="s">
        <v>832</v>
      </c>
      <c r="C295" s="46" t="s">
        <v>832</v>
      </c>
      <c r="D295" s="46" t="s">
        <v>254</v>
      </c>
      <c r="E295" s="46" t="s">
        <v>68</v>
      </c>
      <c r="F295" s="46" t="s">
        <v>68</v>
      </c>
      <c r="G295" s="46" t="s">
        <v>68</v>
      </c>
      <c r="H295" s="46" t="s">
        <v>68</v>
      </c>
      <c r="I295" s="46" t="s">
        <v>68</v>
      </c>
      <c r="J295" s="46" t="s">
        <v>71</v>
      </c>
      <c r="K295" s="47">
        <v>130</v>
      </c>
      <c r="L295" s="47">
        <v>25</v>
      </c>
      <c r="M295" s="47">
        <f t="shared" si="7"/>
        <v>155</v>
      </c>
      <c r="N295" s="48" t="s">
        <v>833</v>
      </c>
      <c r="O295" s="48" t="s">
        <v>834</v>
      </c>
    </row>
    <row r="296" spans="1:15" ht="51" x14ac:dyDescent="0.2">
      <c r="A296" s="45" t="s">
        <v>835</v>
      </c>
      <c r="B296" s="46" t="s">
        <v>832</v>
      </c>
      <c r="C296" s="46" t="s">
        <v>832</v>
      </c>
      <c r="D296" s="46" t="s">
        <v>257</v>
      </c>
      <c r="E296" s="46" t="s">
        <v>68</v>
      </c>
      <c r="F296" s="46" t="s">
        <v>68</v>
      </c>
      <c r="G296" s="46" t="s">
        <v>68</v>
      </c>
      <c r="H296" s="46" t="s">
        <v>68</v>
      </c>
      <c r="I296" s="46" t="s">
        <v>68</v>
      </c>
      <c r="J296" s="46" t="s">
        <v>71</v>
      </c>
      <c r="K296" s="47">
        <v>140</v>
      </c>
      <c r="L296" s="47">
        <v>40</v>
      </c>
      <c r="M296" s="47">
        <f t="shared" si="7"/>
        <v>180</v>
      </c>
      <c r="N296" s="48" t="s">
        <v>833</v>
      </c>
      <c r="O296" s="48" t="s">
        <v>836</v>
      </c>
    </row>
    <row r="297" spans="1:15" ht="127.5" x14ac:dyDescent="0.2">
      <c r="A297" s="45" t="s">
        <v>837</v>
      </c>
      <c r="B297" s="46" t="s">
        <v>838</v>
      </c>
      <c r="C297" s="46" t="s">
        <v>838</v>
      </c>
      <c r="D297" s="46" t="s">
        <v>839</v>
      </c>
      <c r="E297" s="46" t="s">
        <v>68</v>
      </c>
      <c r="F297" s="46" t="s">
        <v>68</v>
      </c>
      <c r="G297" s="46" t="s">
        <v>68</v>
      </c>
      <c r="H297" s="46" t="s">
        <v>68</v>
      </c>
      <c r="I297" s="46" t="s">
        <v>68</v>
      </c>
      <c r="J297" s="46" t="s">
        <v>71</v>
      </c>
      <c r="K297" s="47">
        <v>150</v>
      </c>
      <c r="L297" s="47">
        <v>110</v>
      </c>
      <c r="M297" s="47">
        <f t="shared" si="7"/>
        <v>260</v>
      </c>
      <c r="N297" s="48" t="s">
        <v>840</v>
      </c>
      <c r="O297" s="48" t="s">
        <v>841</v>
      </c>
    </row>
    <row r="298" spans="1:15" ht="140.25" x14ac:dyDescent="0.2">
      <c r="A298" s="45" t="s">
        <v>842</v>
      </c>
      <c r="B298" s="46" t="s">
        <v>838</v>
      </c>
      <c r="C298" s="46" t="s">
        <v>838</v>
      </c>
      <c r="D298" s="46" t="s">
        <v>270</v>
      </c>
      <c r="E298" s="46" t="s">
        <v>68</v>
      </c>
      <c r="F298" s="46" t="s">
        <v>68</v>
      </c>
      <c r="G298" s="46" t="s">
        <v>68</v>
      </c>
      <c r="H298" s="46" t="s">
        <v>68</v>
      </c>
      <c r="I298" s="46" t="s">
        <v>68</v>
      </c>
      <c r="J298" s="46" t="s">
        <v>71</v>
      </c>
      <c r="K298" s="47">
        <v>180</v>
      </c>
      <c r="L298" s="47">
        <v>230</v>
      </c>
      <c r="M298" s="47">
        <f t="shared" si="7"/>
        <v>410</v>
      </c>
      <c r="N298" s="48" t="s">
        <v>840</v>
      </c>
      <c r="O298" s="48" t="s">
        <v>843</v>
      </c>
    </row>
    <row r="299" spans="1:15" ht="140.25" x14ac:dyDescent="0.2">
      <c r="A299" s="45" t="s">
        <v>844</v>
      </c>
      <c r="B299" s="46" t="s">
        <v>838</v>
      </c>
      <c r="C299" s="46" t="s">
        <v>838</v>
      </c>
      <c r="D299" s="46" t="s">
        <v>845</v>
      </c>
      <c r="E299" s="46" t="s">
        <v>68</v>
      </c>
      <c r="F299" s="46" t="s">
        <v>68</v>
      </c>
      <c r="G299" s="46" t="s">
        <v>68</v>
      </c>
      <c r="H299" s="46" t="s">
        <v>68</v>
      </c>
      <c r="I299" s="46" t="s">
        <v>68</v>
      </c>
      <c r="J299" s="46" t="s">
        <v>71</v>
      </c>
      <c r="K299" s="47">
        <v>160</v>
      </c>
      <c r="L299" s="47">
        <v>110</v>
      </c>
      <c r="M299" s="47">
        <f t="shared" si="7"/>
        <v>270</v>
      </c>
      <c r="N299" s="48" t="s">
        <v>840</v>
      </c>
      <c r="O299" s="48" t="s">
        <v>846</v>
      </c>
    </row>
    <row r="300" spans="1:15" ht="127.5" x14ac:dyDescent="0.2">
      <c r="A300" s="45" t="s">
        <v>847</v>
      </c>
      <c r="B300" s="46" t="s">
        <v>838</v>
      </c>
      <c r="C300" s="46" t="s">
        <v>838</v>
      </c>
      <c r="D300" s="46" t="s">
        <v>848</v>
      </c>
      <c r="E300" s="46" t="s">
        <v>68</v>
      </c>
      <c r="F300" s="46" t="s">
        <v>68</v>
      </c>
      <c r="G300" s="46" t="s">
        <v>68</v>
      </c>
      <c r="H300" s="46" t="s">
        <v>68</v>
      </c>
      <c r="I300" s="46" t="s">
        <v>68</v>
      </c>
      <c r="J300" s="46" t="s">
        <v>71</v>
      </c>
      <c r="K300" s="47">
        <v>160</v>
      </c>
      <c r="L300" s="47">
        <v>110</v>
      </c>
      <c r="M300" s="47">
        <f t="shared" si="7"/>
        <v>270</v>
      </c>
      <c r="N300" s="48" t="s">
        <v>840</v>
      </c>
      <c r="O300" s="48" t="s">
        <v>849</v>
      </c>
    </row>
    <row r="301" spans="1:15" ht="127.5" x14ac:dyDescent="0.2">
      <c r="A301" s="45" t="s">
        <v>850</v>
      </c>
      <c r="B301" s="46" t="s">
        <v>838</v>
      </c>
      <c r="C301" s="46" t="s">
        <v>838</v>
      </c>
      <c r="D301" s="46" t="s">
        <v>851</v>
      </c>
      <c r="E301" s="46" t="s">
        <v>68</v>
      </c>
      <c r="F301" s="46" t="s">
        <v>68</v>
      </c>
      <c r="G301" s="46" t="s">
        <v>68</v>
      </c>
      <c r="H301" s="46" t="s">
        <v>68</v>
      </c>
      <c r="I301" s="46" t="s">
        <v>68</v>
      </c>
      <c r="J301" s="46" t="s">
        <v>71</v>
      </c>
      <c r="K301" s="47">
        <v>170</v>
      </c>
      <c r="L301" s="47">
        <v>160</v>
      </c>
      <c r="M301" s="47">
        <f t="shared" si="7"/>
        <v>330</v>
      </c>
      <c r="N301" s="48" t="s">
        <v>840</v>
      </c>
      <c r="O301" s="48" t="s">
        <v>852</v>
      </c>
    </row>
    <row r="302" spans="1:15" ht="127.5" x14ac:dyDescent="0.2">
      <c r="A302" s="45" t="s">
        <v>853</v>
      </c>
      <c r="B302" s="46" t="s">
        <v>838</v>
      </c>
      <c r="C302" s="46" t="s">
        <v>838</v>
      </c>
      <c r="D302" s="46" t="s">
        <v>854</v>
      </c>
      <c r="E302" s="46" t="s">
        <v>68</v>
      </c>
      <c r="F302" s="46" t="s">
        <v>68</v>
      </c>
      <c r="G302" s="46" t="s">
        <v>68</v>
      </c>
      <c r="H302" s="46" t="s">
        <v>68</v>
      </c>
      <c r="I302" s="46" t="s">
        <v>68</v>
      </c>
      <c r="J302" s="46" t="s">
        <v>71</v>
      </c>
      <c r="K302" s="47">
        <v>180</v>
      </c>
      <c r="L302" s="47">
        <v>90</v>
      </c>
      <c r="M302" s="47">
        <f t="shared" si="7"/>
        <v>270</v>
      </c>
      <c r="N302" s="48" t="s">
        <v>840</v>
      </c>
      <c r="O302" s="48" t="s">
        <v>855</v>
      </c>
    </row>
    <row r="303" spans="1:15" ht="140.25" x14ac:dyDescent="0.2">
      <c r="A303" s="45" t="s">
        <v>856</v>
      </c>
      <c r="B303" s="46" t="s">
        <v>838</v>
      </c>
      <c r="C303" s="46" t="s">
        <v>838</v>
      </c>
      <c r="D303" s="46" t="s">
        <v>857</v>
      </c>
      <c r="E303" s="46" t="s">
        <v>68</v>
      </c>
      <c r="F303" s="46" t="s">
        <v>68</v>
      </c>
      <c r="G303" s="46" t="s">
        <v>68</v>
      </c>
      <c r="H303" s="46" t="s">
        <v>68</v>
      </c>
      <c r="I303" s="46" t="s">
        <v>68</v>
      </c>
      <c r="J303" s="46" t="s">
        <v>71</v>
      </c>
      <c r="K303" s="47">
        <v>180</v>
      </c>
      <c r="L303" s="47">
        <v>200</v>
      </c>
      <c r="M303" s="47">
        <f t="shared" si="7"/>
        <v>380</v>
      </c>
      <c r="N303" s="48" t="s">
        <v>840</v>
      </c>
      <c r="O303" s="48" t="s">
        <v>858</v>
      </c>
    </row>
    <row r="304" spans="1:15" ht="127.5" x14ac:dyDescent="0.2">
      <c r="A304" s="45" t="s">
        <v>859</v>
      </c>
      <c r="B304" s="46" t="s">
        <v>838</v>
      </c>
      <c r="C304" s="46" t="s">
        <v>838</v>
      </c>
      <c r="D304" s="46" t="s">
        <v>860</v>
      </c>
      <c r="E304" s="46" t="s">
        <v>68</v>
      </c>
      <c r="F304" s="46" t="s">
        <v>68</v>
      </c>
      <c r="G304" s="46" t="s">
        <v>68</v>
      </c>
      <c r="H304" s="46" t="s">
        <v>68</v>
      </c>
      <c r="I304" s="46" t="s">
        <v>68</v>
      </c>
      <c r="J304" s="46" t="s">
        <v>71</v>
      </c>
      <c r="K304" s="47">
        <v>180</v>
      </c>
      <c r="L304" s="47">
        <v>130</v>
      </c>
      <c r="M304" s="47">
        <f t="shared" si="7"/>
        <v>310</v>
      </c>
      <c r="N304" s="48" t="s">
        <v>840</v>
      </c>
      <c r="O304" s="48" t="s">
        <v>861</v>
      </c>
    </row>
    <row r="305" spans="1:15" ht="127.5" x14ac:dyDescent="0.2">
      <c r="A305" s="45" t="s">
        <v>862</v>
      </c>
      <c r="B305" s="46" t="s">
        <v>838</v>
      </c>
      <c r="C305" s="46" t="s">
        <v>838</v>
      </c>
      <c r="D305" s="46" t="s">
        <v>863</v>
      </c>
      <c r="E305" s="46" t="s">
        <v>68</v>
      </c>
      <c r="F305" s="46" t="s">
        <v>68</v>
      </c>
      <c r="G305" s="46" t="s">
        <v>68</v>
      </c>
      <c r="H305" s="46" t="s">
        <v>68</v>
      </c>
      <c r="I305" s="46" t="s">
        <v>68</v>
      </c>
      <c r="J305" s="46" t="s">
        <v>71</v>
      </c>
      <c r="K305" s="47">
        <v>240</v>
      </c>
      <c r="L305" s="47">
        <v>320</v>
      </c>
      <c r="M305" s="47">
        <f t="shared" si="7"/>
        <v>560</v>
      </c>
      <c r="N305" s="48" t="s">
        <v>840</v>
      </c>
      <c r="O305" s="48" t="s">
        <v>864</v>
      </c>
    </row>
    <row r="306" spans="1:15" ht="51" x14ac:dyDescent="0.2">
      <c r="A306" s="45" t="s">
        <v>865</v>
      </c>
      <c r="B306" s="46" t="s">
        <v>866</v>
      </c>
      <c r="C306" s="46" t="s">
        <v>866</v>
      </c>
      <c r="D306" s="46" t="s">
        <v>839</v>
      </c>
      <c r="E306" s="46" t="s">
        <v>68</v>
      </c>
      <c r="F306" s="46" t="s">
        <v>68</v>
      </c>
      <c r="G306" s="46" t="s">
        <v>68</v>
      </c>
      <c r="H306" s="46" t="s">
        <v>68</v>
      </c>
      <c r="I306" s="46" t="s">
        <v>867</v>
      </c>
      <c r="J306" s="46" t="s">
        <v>71</v>
      </c>
      <c r="K306" s="47">
        <v>150</v>
      </c>
      <c r="L306" s="47">
        <v>60</v>
      </c>
      <c r="M306" s="47">
        <f t="shared" si="7"/>
        <v>210</v>
      </c>
      <c r="N306" s="48" t="s">
        <v>868</v>
      </c>
      <c r="O306" s="48" t="s">
        <v>869</v>
      </c>
    </row>
    <row r="307" spans="1:15" ht="51" x14ac:dyDescent="0.2">
      <c r="A307" s="45" t="s">
        <v>870</v>
      </c>
      <c r="B307" s="46" t="s">
        <v>866</v>
      </c>
      <c r="C307" s="46" t="s">
        <v>866</v>
      </c>
      <c r="D307" s="46" t="s">
        <v>839</v>
      </c>
      <c r="E307" s="46" t="s">
        <v>68</v>
      </c>
      <c r="F307" s="46" t="s">
        <v>68</v>
      </c>
      <c r="G307" s="46" t="s">
        <v>68</v>
      </c>
      <c r="H307" s="46" t="s">
        <v>68</v>
      </c>
      <c r="I307" s="46" t="s">
        <v>871</v>
      </c>
      <c r="J307" s="46" t="s">
        <v>71</v>
      </c>
      <c r="K307" s="47">
        <v>160</v>
      </c>
      <c r="L307" s="47">
        <v>120</v>
      </c>
      <c r="M307" s="47">
        <f t="shared" si="7"/>
        <v>280</v>
      </c>
      <c r="N307" s="48" t="s">
        <v>872</v>
      </c>
      <c r="O307" s="48" t="s">
        <v>873</v>
      </c>
    </row>
    <row r="308" spans="1:15" ht="51" x14ac:dyDescent="0.2">
      <c r="A308" s="45" t="s">
        <v>874</v>
      </c>
      <c r="B308" s="46" t="s">
        <v>866</v>
      </c>
      <c r="C308" s="46" t="s">
        <v>866</v>
      </c>
      <c r="D308" s="46" t="s">
        <v>270</v>
      </c>
      <c r="E308" s="46" t="s">
        <v>68</v>
      </c>
      <c r="F308" s="46" t="s">
        <v>68</v>
      </c>
      <c r="G308" s="46" t="s">
        <v>68</v>
      </c>
      <c r="H308" s="46" t="s">
        <v>68</v>
      </c>
      <c r="I308" s="46" t="s">
        <v>867</v>
      </c>
      <c r="J308" s="46" t="s">
        <v>71</v>
      </c>
      <c r="K308" s="47">
        <v>160</v>
      </c>
      <c r="L308" s="47">
        <v>120</v>
      </c>
      <c r="M308" s="47">
        <f t="shared" si="7"/>
        <v>280</v>
      </c>
      <c r="N308" s="48" t="s">
        <v>875</v>
      </c>
      <c r="O308" s="48" t="s">
        <v>876</v>
      </c>
    </row>
    <row r="309" spans="1:15" ht="51" x14ac:dyDescent="0.2">
      <c r="A309" s="45" t="s">
        <v>877</v>
      </c>
      <c r="B309" s="46" t="s">
        <v>866</v>
      </c>
      <c r="C309" s="46" t="s">
        <v>866</v>
      </c>
      <c r="D309" s="46" t="s">
        <v>270</v>
      </c>
      <c r="E309" s="46" t="s">
        <v>68</v>
      </c>
      <c r="F309" s="46" t="s">
        <v>68</v>
      </c>
      <c r="G309" s="46" t="s">
        <v>68</v>
      </c>
      <c r="H309" s="46" t="s">
        <v>68</v>
      </c>
      <c r="I309" s="46" t="s">
        <v>871</v>
      </c>
      <c r="J309" s="46" t="s">
        <v>71</v>
      </c>
      <c r="K309" s="47">
        <v>180</v>
      </c>
      <c r="L309" s="47">
        <v>320</v>
      </c>
      <c r="M309" s="47">
        <f t="shared" si="7"/>
        <v>500</v>
      </c>
      <c r="N309" s="48" t="s">
        <v>878</v>
      </c>
      <c r="O309" s="48" t="s">
        <v>879</v>
      </c>
    </row>
    <row r="310" spans="1:15" ht="51" x14ac:dyDescent="0.2">
      <c r="A310" s="45" t="s">
        <v>880</v>
      </c>
      <c r="B310" s="46" t="s">
        <v>881</v>
      </c>
      <c r="C310" s="46" t="s">
        <v>881</v>
      </c>
      <c r="D310" s="46" t="s">
        <v>882</v>
      </c>
      <c r="E310" s="46" t="s">
        <v>68</v>
      </c>
      <c r="F310" s="46" t="s">
        <v>68</v>
      </c>
      <c r="G310" s="46" t="s">
        <v>68</v>
      </c>
      <c r="H310" s="46" t="s">
        <v>68</v>
      </c>
      <c r="I310" s="46" t="s">
        <v>68</v>
      </c>
      <c r="J310" s="46" t="s">
        <v>71</v>
      </c>
      <c r="K310" s="47">
        <v>210</v>
      </c>
      <c r="L310" s="47">
        <f>200+30+30</f>
        <v>260</v>
      </c>
      <c r="M310" s="47">
        <f t="shared" si="7"/>
        <v>470</v>
      </c>
      <c r="N310" s="48" t="s">
        <v>883</v>
      </c>
      <c r="O310" s="48" t="s">
        <v>884</v>
      </c>
    </row>
    <row r="311" spans="1:15" ht="102" x14ac:dyDescent="0.2">
      <c r="A311" s="45" t="s">
        <v>885</v>
      </c>
      <c r="B311" s="46" t="s">
        <v>881</v>
      </c>
      <c r="C311" s="46" t="s">
        <v>881</v>
      </c>
      <c r="D311" s="46" t="s">
        <v>882</v>
      </c>
      <c r="E311" s="46" t="s">
        <v>291</v>
      </c>
      <c r="F311" s="46" t="s">
        <v>124</v>
      </c>
      <c r="G311" s="46" t="s">
        <v>68</v>
      </c>
      <c r="H311" s="46" t="s">
        <v>68</v>
      </c>
      <c r="I311" s="46" t="s">
        <v>68</v>
      </c>
      <c r="J311" s="46" t="s">
        <v>71</v>
      </c>
      <c r="K311" s="47">
        <f>ROUND($K$310*2,0)</f>
        <v>420</v>
      </c>
      <c r="L311" s="47">
        <f>L310+100</f>
        <v>360</v>
      </c>
      <c r="M311" s="47">
        <f t="shared" si="7"/>
        <v>780</v>
      </c>
      <c r="N311" s="48" t="s">
        <v>883</v>
      </c>
      <c r="O311" s="48" t="s">
        <v>886</v>
      </c>
    </row>
    <row r="312" spans="1:15" ht="89.25" x14ac:dyDescent="0.2">
      <c r="A312" s="45" t="s">
        <v>887</v>
      </c>
      <c r="B312" s="46" t="s">
        <v>881</v>
      </c>
      <c r="C312" s="46" t="s">
        <v>881</v>
      </c>
      <c r="D312" s="46" t="s">
        <v>882</v>
      </c>
      <c r="E312" s="46" t="s">
        <v>291</v>
      </c>
      <c r="F312" s="46" t="s">
        <v>337</v>
      </c>
      <c r="G312" s="46" t="s">
        <v>129</v>
      </c>
      <c r="H312" s="46" t="s">
        <v>68</v>
      </c>
      <c r="I312" s="46" t="s">
        <v>68</v>
      </c>
      <c r="J312" s="46" t="s">
        <v>71</v>
      </c>
      <c r="K312" s="47">
        <f>ROUND($K$310*2.5,0)</f>
        <v>525</v>
      </c>
      <c r="L312" s="47">
        <f>L310+100+(5*2)</f>
        <v>370</v>
      </c>
      <c r="M312" s="47">
        <f t="shared" si="7"/>
        <v>895</v>
      </c>
      <c r="N312" s="48" t="s">
        <v>883</v>
      </c>
      <c r="O312" s="71" t="s">
        <v>888</v>
      </c>
    </row>
    <row r="313" spans="1:15" ht="76.5" x14ac:dyDescent="0.2">
      <c r="A313" s="45" t="s">
        <v>889</v>
      </c>
      <c r="B313" s="46" t="s">
        <v>881</v>
      </c>
      <c r="C313" s="46" t="s">
        <v>881</v>
      </c>
      <c r="D313" s="46" t="s">
        <v>882</v>
      </c>
      <c r="E313" s="46" t="s">
        <v>291</v>
      </c>
      <c r="F313" s="46" t="s">
        <v>128</v>
      </c>
      <c r="G313" s="46" t="s">
        <v>132</v>
      </c>
      <c r="H313" s="46" t="s">
        <v>68</v>
      </c>
      <c r="I313" s="46" t="s">
        <v>68</v>
      </c>
      <c r="J313" s="46" t="s">
        <v>71</v>
      </c>
      <c r="K313" s="47">
        <f>ROUND($K$310*3,0)</f>
        <v>630</v>
      </c>
      <c r="L313" s="47">
        <f>L310+100+(5*4)</f>
        <v>380</v>
      </c>
      <c r="M313" s="47">
        <f t="shared" si="7"/>
        <v>1010</v>
      </c>
      <c r="N313" s="48" t="s">
        <v>883</v>
      </c>
      <c r="O313" s="71" t="s">
        <v>890</v>
      </c>
    </row>
    <row r="314" spans="1:15" ht="89.25" x14ac:dyDescent="0.2">
      <c r="A314" s="45" t="s">
        <v>891</v>
      </c>
      <c r="B314" s="46" t="s">
        <v>881</v>
      </c>
      <c r="C314" s="46" t="s">
        <v>881</v>
      </c>
      <c r="D314" s="46" t="s">
        <v>882</v>
      </c>
      <c r="E314" s="46" t="s">
        <v>291</v>
      </c>
      <c r="F314" s="46" t="s">
        <v>135</v>
      </c>
      <c r="G314" s="46" t="s">
        <v>136</v>
      </c>
      <c r="H314" s="46" t="s">
        <v>129</v>
      </c>
      <c r="I314" s="46" t="s">
        <v>68</v>
      </c>
      <c r="J314" s="46" t="s">
        <v>71</v>
      </c>
      <c r="K314" s="47">
        <f>ROUND($K$310*2.5,0)</f>
        <v>525</v>
      </c>
      <c r="L314" s="47">
        <f>L310+100+(25*2)</f>
        <v>410</v>
      </c>
      <c r="M314" s="47">
        <f t="shared" si="7"/>
        <v>935</v>
      </c>
      <c r="N314" s="48" t="s">
        <v>883</v>
      </c>
      <c r="O314" s="71" t="s">
        <v>892</v>
      </c>
    </row>
    <row r="315" spans="1:15" ht="89.25" x14ac:dyDescent="0.2">
      <c r="A315" s="45" t="s">
        <v>893</v>
      </c>
      <c r="B315" s="46" t="s">
        <v>881</v>
      </c>
      <c r="C315" s="46" t="s">
        <v>881</v>
      </c>
      <c r="D315" s="46" t="s">
        <v>882</v>
      </c>
      <c r="E315" s="46" t="s">
        <v>291</v>
      </c>
      <c r="F315" s="46" t="s">
        <v>135</v>
      </c>
      <c r="G315" s="46" t="s">
        <v>136</v>
      </c>
      <c r="H315" s="46" t="s">
        <v>132</v>
      </c>
      <c r="I315" s="46" t="s">
        <v>68</v>
      </c>
      <c r="J315" s="46" t="s">
        <v>71</v>
      </c>
      <c r="K315" s="47">
        <f>ROUND($K$310*3,0)</f>
        <v>630</v>
      </c>
      <c r="L315" s="47">
        <f>L310+120+(25*4)</f>
        <v>480</v>
      </c>
      <c r="M315" s="47">
        <f t="shared" si="7"/>
        <v>1110</v>
      </c>
      <c r="N315" s="48" t="s">
        <v>883</v>
      </c>
      <c r="O315" s="71" t="s">
        <v>894</v>
      </c>
    </row>
    <row r="316" spans="1:15" ht="89.25" x14ac:dyDescent="0.2">
      <c r="A316" s="45" t="s">
        <v>895</v>
      </c>
      <c r="B316" s="46" t="s">
        <v>881</v>
      </c>
      <c r="C316" s="46" t="s">
        <v>881</v>
      </c>
      <c r="D316" s="46" t="s">
        <v>882</v>
      </c>
      <c r="E316" s="46" t="s">
        <v>291</v>
      </c>
      <c r="F316" s="46" t="s">
        <v>135</v>
      </c>
      <c r="G316" s="46" t="s">
        <v>136</v>
      </c>
      <c r="H316" s="46" t="s">
        <v>141</v>
      </c>
      <c r="I316" s="46" t="s">
        <v>68</v>
      </c>
      <c r="J316" s="46" t="s">
        <v>71</v>
      </c>
      <c r="K316" s="47">
        <f>ROUND($K$310*3.5,0)</f>
        <v>735</v>
      </c>
      <c r="L316" s="47">
        <f>L310+140+(25*6)</f>
        <v>550</v>
      </c>
      <c r="M316" s="47">
        <f t="shared" si="7"/>
        <v>1285</v>
      </c>
      <c r="N316" s="48" t="s">
        <v>883</v>
      </c>
      <c r="O316" s="71" t="s">
        <v>896</v>
      </c>
    </row>
    <row r="317" spans="1:15" ht="89.25" x14ac:dyDescent="0.2">
      <c r="A317" s="45" t="s">
        <v>897</v>
      </c>
      <c r="B317" s="46" t="s">
        <v>881</v>
      </c>
      <c r="C317" s="46" t="s">
        <v>881</v>
      </c>
      <c r="D317" s="46" t="s">
        <v>882</v>
      </c>
      <c r="E317" s="46" t="s">
        <v>291</v>
      </c>
      <c r="F317" s="46" t="s">
        <v>135</v>
      </c>
      <c r="G317" s="46" t="s">
        <v>144</v>
      </c>
      <c r="H317" s="46" t="s">
        <v>129</v>
      </c>
      <c r="I317" s="46" t="s">
        <v>68</v>
      </c>
      <c r="J317" s="46" t="s">
        <v>71</v>
      </c>
      <c r="K317" s="47">
        <f>ROUND($K$310*3,0)</f>
        <v>630</v>
      </c>
      <c r="L317" s="47">
        <f>L310+100+(50*2)</f>
        <v>460</v>
      </c>
      <c r="M317" s="47">
        <f t="shared" si="7"/>
        <v>1090</v>
      </c>
      <c r="N317" s="48" t="s">
        <v>883</v>
      </c>
      <c r="O317" s="71" t="s">
        <v>898</v>
      </c>
    </row>
    <row r="318" spans="1:15" ht="89.25" x14ac:dyDescent="0.2">
      <c r="A318" s="45" t="s">
        <v>899</v>
      </c>
      <c r="B318" s="46" t="s">
        <v>881</v>
      </c>
      <c r="C318" s="46" t="s">
        <v>881</v>
      </c>
      <c r="D318" s="46" t="s">
        <v>882</v>
      </c>
      <c r="E318" s="46" t="s">
        <v>291</v>
      </c>
      <c r="F318" s="46" t="s">
        <v>135</v>
      </c>
      <c r="G318" s="46" t="s">
        <v>144</v>
      </c>
      <c r="H318" s="46" t="s">
        <v>132</v>
      </c>
      <c r="I318" s="46" t="s">
        <v>68</v>
      </c>
      <c r="J318" s="46" t="s">
        <v>71</v>
      </c>
      <c r="K318" s="47">
        <f>ROUND($K$310*3.5,0)</f>
        <v>735</v>
      </c>
      <c r="L318" s="47">
        <f>L310+120+(50*4)</f>
        <v>580</v>
      </c>
      <c r="M318" s="47">
        <f t="shared" si="7"/>
        <v>1315</v>
      </c>
      <c r="N318" s="48" t="s">
        <v>883</v>
      </c>
      <c r="O318" s="71" t="s">
        <v>900</v>
      </c>
    </row>
    <row r="319" spans="1:15" ht="89.25" x14ac:dyDescent="0.2">
      <c r="A319" s="45" t="s">
        <v>901</v>
      </c>
      <c r="B319" s="46" t="s">
        <v>881</v>
      </c>
      <c r="C319" s="46" t="s">
        <v>881</v>
      </c>
      <c r="D319" s="46" t="s">
        <v>882</v>
      </c>
      <c r="E319" s="46" t="s">
        <v>291</v>
      </c>
      <c r="F319" s="46" t="s">
        <v>135</v>
      </c>
      <c r="G319" s="46" t="s">
        <v>149</v>
      </c>
      <c r="H319" s="46" t="s">
        <v>129</v>
      </c>
      <c r="I319" s="46" t="s">
        <v>68</v>
      </c>
      <c r="J319" s="46" t="s">
        <v>71</v>
      </c>
      <c r="K319" s="47">
        <f>ROUND($K$310*3,0)</f>
        <v>630</v>
      </c>
      <c r="L319" s="47">
        <f>L310+120+(75*2)</f>
        <v>530</v>
      </c>
      <c r="M319" s="47">
        <f t="shared" si="7"/>
        <v>1160</v>
      </c>
      <c r="N319" s="48" t="s">
        <v>883</v>
      </c>
      <c r="O319" s="71" t="s">
        <v>902</v>
      </c>
    </row>
    <row r="320" spans="1:15" ht="89.25" x14ac:dyDescent="0.2">
      <c r="A320" s="45" t="s">
        <v>903</v>
      </c>
      <c r="B320" s="46" t="s">
        <v>881</v>
      </c>
      <c r="C320" s="46" t="s">
        <v>881</v>
      </c>
      <c r="D320" s="46" t="s">
        <v>882</v>
      </c>
      <c r="E320" s="46" t="s">
        <v>291</v>
      </c>
      <c r="F320" s="46" t="s">
        <v>135</v>
      </c>
      <c r="G320" s="46" t="s">
        <v>149</v>
      </c>
      <c r="H320" s="46" t="s">
        <v>132</v>
      </c>
      <c r="I320" s="46" t="s">
        <v>68</v>
      </c>
      <c r="J320" s="46" t="s">
        <v>71</v>
      </c>
      <c r="K320" s="47">
        <f>ROUND($K$310*3.5,0)</f>
        <v>735</v>
      </c>
      <c r="L320" s="47">
        <f>L310+140+(75*4)</f>
        <v>700</v>
      </c>
      <c r="M320" s="47">
        <f t="shared" si="7"/>
        <v>1435</v>
      </c>
      <c r="N320" s="48" t="s">
        <v>883</v>
      </c>
      <c r="O320" s="71" t="s">
        <v>904</v>
      </c>
    </row>
    <row r="321" spans="1:15" ht="89.25" x14ac:dyDescent="0.2">
      <c r="A321" s="45" t="s">
        <v>905</v>
      </c>
      <c r="B321" s="46" t="s">
        <v>881</v>
      </c>
      <c r="C321" s="46" t="s">
        <v>881</v>
      </c>
      <c r="D321" s="46" t="s">
        <v>882</v>
      </c>
      <c r="E321" s="46" t="s">
        <v>291</v>
      </c>
      <c r="F321" s="46" t="s">
        <v>135</v>
      </c>
      <c r="G321" s="46" t="s">
        <v>154</v>
      </c>
      <c r="H321" s="46" t="s">
        <v>129</v>
      </c>
      <c r="I321" s="46" t="s">
        <v>68</v>
      </c>
      <c r="J321" s="46" t="s">
        <v>71</v>
      </c>
      <c r="K321" s="47">
        <f>ROUND($K$310*3,0)</f>
        <v>630</v>
      </c>
      <c r="L321" s="47">
        <f>L310+140+(100*2)</f>
        <v>600</v>
      </c>
      <c r="M321" s="47">
        <f t="shared" si="7"/>
        <v>1230</v>
      </c>
      <c r="N321" s="48" t="s">
        <v>883</v>
      </c>
      <c r="O321" s="71" t="s">
        <v>906</v>
      </c>
    </row>
    <row r="322" spans="1:15" ht="89.25" x14ac:dyDescent="0.2">
      <c r="A322" s="45" t="s">
        <v>907</v>
      </c>
      <c r="B322" s="46" t="s">
        <v>881</v>
      </c>
      <c r="C322" s="46" t="s">
        <v>881</v>
      </c>
      <c r="D322" s="46" t="s">
        <v>882</v>
      </c>
      <c r="E322" s="46" t="s">
        <v>291</v>
      </c>
      <c r="F322" s="46" t="s">
        <v>135</v>
      </c>
      <c r="G322" s="46" t="s">
        <v>154</v>
      </c>
      <c r="H322" s="46" t="s">
        <v>132</v>
      </c>
      <c r="I322" s="46" t="s">
        <v>68</v>
      </c>
      <c r="J322" s="46" t="s">
        <v>71</v>
      </c>
      <c r="K322" s="47">
        <f>ROUND($K$310*3.5,0)</f>
        <v>735</v>
      </c>
      <c r="L322" s="47">
        <f>L310+160+(100*4)</f>
        <v>820</v>
      </c>
      <c r="M322" s="47">
        <f t="shared" si="7"/>
        <v>1555</v>
      </c>
      <c r="N322" s="48" t="s">
        <v>883</v>
      </c>
      <c r="O322" s="71" t="s">
        <v>908</v>
      </c>
    </row>
    <row r="323" spans="1:15" ht="89.25" x14ac:dyDescent="0.2">
      <c r="A323" s="45" t="s">
        <v>909</v>
      </c>
      <c r="B323" s="46" t="s">
        <v>881</v>
      </c>
      <c r="C323" s="46" t="s">
        <v>881</v>
      </c>
      <c r="D323" s="46" t="s">
        <v>882</v>
      </c>
      <c r="E323" s="46" t="s">
        <v>291</v>
      </c>
      <c r="F323" s="46" t="s">
        <v>159</v>
      </c>
      <c r="G323" s="46" t="s">
        <v>132</v>
      </c>
      <c r="H323" s="46" t="s">
        <v>68</v>
      </c>
      <c r="I323" s="46" t="s">
        <v>68</v>
      </c>
      <c r="J323" s="46" t="s">
        <v>71</v>
      </c>
      <c r="K323" s="47">
        <f>ROUND($K$310*2,0)</f>
        <v>420</v>
      </c>
      <c r="L323" s="47">
        <f>L310+100</f>
        <v>360</v>
      </c>
      <c r="M323" s="47">
        <f t="shared" si="7"/>
        <v>780</v>
      </c>
      <c r="N323" s="48" t="s">
        <v>883</v>
      </c>
      <c r="O323" s="71" t="s">
        <v>910</v>
      </c>
    </row>
    <row r="324" spans="1:15" ht="51" x14ac:dyDescent="0.2">
      <c r="A324" s="45" t="s">
        <v>911</v>
      </c>
      <c r="B324" s="46" t="s">
        <v>912</v>
      </c>
      <c r="C324" s="46" t="s">
        <v>912</v>
      </c>
      <c r="D324" s="46" t="s">
        <v>913</v>
      </c>
      <c r="E324" s="46" t="s">
        <v>68</v>
      </c>
      <c r="F324" s="46" t="s">
        <v>68</v>
      </c>
      <c r="G324" s="46" t="s">
        <v>68</v>
      </c>
      <c r="H324" s="46" t="s">
        <v>68</v>
      </c>
      <c r="I324" s="46" t="s">
        <v>68</v>
      </c>
      <c r="J324" s="46" t="s">
        <v>71</v>
      </c>
      <c r="K324" s="47">
        <v>220</v>
      </c>
      <c r="L324" s="47">
        <v>520</v>
      </c>
      <c r="M324" s="47">
        <f t="shared" si="7"/>
        <v>740</v>
      </c>
      <c r="N324" s="46" t="s">
        <v>914</v>
      </c>
      <c r="O324" s="71" t="s">
        <v>915</v>
      </c>
    </row>
    <row r="325" spans="1:15" ht="51" x14ac:dyDescent="0.2">
      <c r="A325" s="45" t="s">
        <v>916</v>
      </c>
      <c r="B325" s="46" t="s">
        <v>917</v>
      </c>
      <c r="C325" s="46" t="s">
        <v>917</v>
      </c>
      <c r="D325" s="46" t="s">
        <v>254</v>
      </c>
      <c r="E325" s="46" t="s">
        <v>68</v>
      </c>
      <c r="F325" s="46" t="s">
        <v>68</v>
      </c>
      <c r="G325" s="46" t="s">
        <v>68</v>
      </c>
      <c r="H325" s="46" t="s">
        <v>68</v>
      </c>
      <c r="I325" s="46" t="s">
        <v>68</v>
      </c>
      <c r="J325" s="46" t="s">
        <v>71</v>
      </c>
      <c r="K325" s="47">
        <v>140</v>
      </c>
      <c r="L325" s="47">
        <v>60</v>
      </c>
      <c r="M325" s="47">
        <f t="shared" si="7"/>
        <v>200</v>
      </c>
      <c r="N325" s="46" t="s">
        <v>918</v>
      </c>
      <c r="O325" s="71" t="s">
        <v>919</v>
      </c>
    </row>
    <row r="326" spans="1:15" ht="51" x14ac:dyDescent="0.2">
      <c r="A326" s="45" t="s">
        <v>920</v>
      </c>
      <c r="B326" s="46" t="s">
        <v>921</v>
      </c>
      <c r="C326" s="46" t="s">
        <v>921</v>
      </c>
      <c r="D326" s="46" t="s">
        <v>254</v>
      </c>
      <c r="E326" s="46" t="s">
        <v>68</v>
      </c>
      <c r="F326" s="46" t="s">
        <v>68</v>
      </c>
      <c r="G326" s="46" t="s">
        <v>68</v>
      </c>
      <c r="H326" s="46" t="s">
        <v>68</v>
      </c>
      <c r="I326" s="46" t="s">
        <v>68</v>
      </c>
      <c r="J326" s="46" t="s">
        <v>71</v>
      </c>
      <c r="K326" s="47">
        <v>140</v>
      </c>
      <c r="L326" s="47">
        <v>60</v>
      </c>
      <c r="M326" s="47">
        <f t="shared" si="7"/>
        <v>200</v>
      </c>
      <c r="N326" s="46" t="s">
        <v>922</v>
      </c>
      <c r="O326" s="71" t="s">
        <v>923</v>
      </c>
    </row>
    <row r="327" spans="1:15" ht="12.75" x14ac:dyDescent="0.2">
      <c r="A327" s="34" t="s">
        <v>924</v>
      </c>
      <c r="B327" s="35" t="s">
        <v>68</v>
      </c>
      <c r="C327" s="35" t="s">
        <v>68</v>
      </c>
      <c r="D327" s="35" t="s">
        <v>68</v>
      </c>
      <c r="E327" s="35" t="s">
        <v>68</v>
      </c>
      <c r="F327" s="35" t="s">
        <v>68</v>
      </c>
      <c r="G327" s="35" t="s">
        <v>68</v>
      </c>
      <c r="H327" s="35" t="s">
        <v>68</v>
      </c>
      <c r="I327" s="35" t="s">
        <v>68</v>
      </c>
      <c r="J327" s="35" t="s">
        <v>68</v>
      </c>
      <c r="K327" s="36" t="s">
        <v>68</v>
      </c>
      <c r="L327" s="36" t="s">
        <v>68</v>
      </c>
      <c r="M327" s="47">
        <f t="shared" si="7"/>
        <v>0</v>
      </c>
      <c r="N327" s="35"/>
      <c r="O327" s="35" t="s">
        <v>68</v>
      </c>
    </row>
    <row r="328" spans="1:15" ht="51" x14ac:dyDescent="0.2">
      <c r="A328" s="45" t="s">
        <v>925</v>
      </c>
      <c r="B328" s="46" t="s">
        <v>926</v>
      </c>
      <c r="C328" s="46" t="s">
        <v>926</v>
      </c>
      <c r="D328" s="46" t="s">
        <v>927</v>
      </c>
      <c r="E328" s="46" t="s">
        <v>254</v>
      </c>
      <c r="F328" s="46" t="s">
        <v>454</v>
      </c>
      <c r="G328" s="46" t="s">
        <v>68</v>
      </c>
      <c r="H328" s="46" t="s">
        <v>68</v>
      </c>
      <c r="I328" s="46"/>
      <c r="J328" s="46" t="s">
        <v>71</v>
      </c>
      <c r="K328" s="47">
        <v>140</v>
      </c>
      <c r="L328" s="47">
        <v>50</v>
      </c>
      <c r="M328" s="47">
        <f t="shared" si="7"/>
        <v>190</v>
      </c>
      <c r="N328" s="46" t="s">
        <v>928</v>
      </c>
      <c r="O328" s="71" t="s">
        <v>929</v>
      </c>
    </row>
    <row r="329" spans="1:15" ht="51" x14ac:dyDescent="0.2">
      <c r="A329" s="45" t="s">
        <v>930</v>
      </c>
      <c r="B329" s="46" t="s">
        <v>926</v>
      </c>
      <c r="C329" s="46" t="s">
        <v>926</v>
      </c>
      <c r="D329" s="46" t="s">
        <v>927</v>
      </c>
      <c r="E329" s="46" t="s">
        <v>257</v>
      </c>
      <c r="F329" s="46" t="s">
        <v>445</v>
      </c>
      <c r="G329" s="46" t="s">
        <v>68</v>
      </c>
      <c r="H329" s="46" t="s">
        <v>68</v>
      </c>
      <c r="I329" s="46"/>
      <c r="J329" s="46" t="s">
        <v>71</v>
      </c>
      <c r="K329" s="47">
        <v>150</v>
      </c>
      <c r="L329" s="47">
        <v>100</v>
      </c>
      <c r="M329" s="47">
        <f t="shared" si="7"/>
        <v>250</v>
      </c>
      <c r="N329" s="46" t="s">
        <v>928</v>
      </c>
      <c r="O329" s="71" t="s">
        <v>931</v>
      </c>
    </row>
    <row r="330" spans="1:15" ht="51" x14ac:dyDescent="0.2">
      <c r="A330" s="45" t="s">
        <v>932</v>
      </c>
      <c r="B330" s="46" t="s">
        <v>926</v>
      </c>
      <c r="C330" s="46" t="s">
        <v>926</v>
      </c>
      <c r="D330" s="46" t="s">
        <v>927</v>
      </c>
      <c r="E330" s="46" t="s">
        <v>257</v>
      </c>
      <c r="F330" s="46" t="s">
        <v>449</v>
      </c>
      <c r="G330" s="46" t="s">
        <v>68</v>
      </c>
      <c r="H330" s="46" t="s">
        <v>68</v>
      </c>
      <c r="I330" s="46"/>
      <c r="J330" s="46" t="s">
        <v>71</v>
      </c>
      <c r="K330" s="47">
        <v>350</v>
      </c>
      <c r="L330" s="47">
        <v>900</v>
      </c>
      <c r="M330" s="47">
        <f t="shared" si="7"/>
        <v>1250</v>
      </c>
      <c r="N330" s="46" t="s">
        <v>928</v>
      </c>
      <c r="O330" s="71" t="s">
        <v>933</v>
      </c>
    </row>
    <row r="331" spans="1:15" ht="51" x14ac:dyDescent="0.2">
      <c r="A331" s="45" t="s">
        <v>934</v>
      </c>
      <c r="B331" s="46" t="s">
        <v>926</v>
      </c>
      <c r="C331" s="46" t="s">
        <v>926</v>
      </c>
      <c r="D331" s="46" t="s">
        <v>935</v>
      </c>
      <c r="E331" s="46" t="s">
        <v>257</v>
      </c>
      <c r="F331" s="46"/>
      <c r="G331" s="46"/>
      <c r="H331" s="46"/>
      <c r="I331" s="46"/>
      <c r="J331" s="46" t="s">
        <v>71</v>
      </c>
      <c r="K331" s="47">
        <v>300</v>
      </c>
      <c r="L331" s="47">
        <v>340</v>
      </c>
      <c r="M331" s="47">
        <f t="shared" si="7"/>
        <v>640</v>
      </c>
      <c r="N331" s="46" t="s">
        <v>928</v>
      </c>
      <c r="O331" s="71" t="s">
        <v>936</v>
      </c>
    </row>
    <row r="332" spans="1:15" ht="51" x14ac:dyDescent="0.2">
      <c r="A332" s="45" t="s">
        <v>937</v>
      </c>
      <c r="B332" s="46" t="s">
        <v>938</v>
      </c>
      <c r="C332" s="46" t="s">
        <v>938</v>
      </c>
      <c r="D332" s="46" t="s">
        <v>257</v>
      </c>
      <c r="E332" s="46" t="s">
        <v>68</v>
      </c>
      <c r="F332" s="46" t="s">
        <v>68</v>
      </c>
      <c r="G332" s="46" t="s">
        <v>68</v>
      </c>
      <c r="H332" s="46" t="s">
        <v>68</v>
      </c>
      <c r="I332" s="46" t="s">
        <v>68</v>
      </c>
      <c r="J332" s="46" t="s">
        <v>71</v>
      </c>
      <c r="K332" s="47">
        <v>140</v>
      </c>
      <c r="L332" s="47">
        <v>60</v>
      </c>
      <c r="M332" s="47">
        <f t="shared" si="7"/>
        <v>200</v>
      </c>
      <c r="N332" s="46" t="s">
        <v>939</v>
      </c>
      <c r="O332" s="71" t="s">
        <v>940</v>
      </c>
    </row>
    <row r="333" spans="1:15" ht="76.5" x14ac:dyDescent="0.2">
      <c r="A333" s="45" t="s">
        <v>941</v>
      </c>
      <c r="B333" s="46" t="s">
        <v>942</v>
      </c>
      <c r="C333" s="46" t="s">
        <v>942</v>
      </c>
      <c r="D333" s="46" t="s">
        <v>943</v>
      </c>
      <c r="E333" s="46" t="s">
        <v>68</v>
      </c>
      <c r="F333" s="46" t="s">
        <v>68</v>
      </c>
      <c r="G333" s="46" t="s">
        <v>68</v>
      </c>
      <c r="H333" s="46" t="s">
        <v>68</v>
      </c>
      <c r="I333" s="46" t="s">
        <v>68</v>
      </c>
      <c r="J333" s="46" t="s">
        <v>71</v>
      </c>
      <c r="K333" s="47">
        <v>200</v>
      </c>
      <c r="L333" s="47">
        <v>320</v>
      </c>
      <c r="M333" s="47">
        <f t="shared" si="7"/>
        <v>520</v>
      </c>
      <c r="N333" s="46" t="s">
        <v>944</v>
      </c>
      <c r="O333" s="71" t="s">
        <v>945</v>
      </c>
    </row>
    <row r="334" spans="1:15" ht="12.75" x14ac:dyDescent="0.2">
      <c r="A334" s="34" t="s">
        <v>946</v>
      </c>
      <c r="B334" s="35" t="s">
        <v>68</v>
      </c>
      <c r="C334" s="35" t="s">
        <v>68</v>
      </c>
      <c r="D334" s="35" t="s">
        <v>68</v>
      </c>
      <c r="E334" s="35" t="s">
        <v>68</v>
      </c>
      <c r="F334" s="35" t="s">
        <v>68</v>
      </c>
      <c r="G334" s="35" t="s">
        <v>68</v>
      </c>
      <c r="H334" s="35" t="s">
        <v>68</v>
      </c>
      <c r="I334" s="35" t="s">
        <v>68</v>
      </c>
      <c r="J334" s="35" t="s">
        <v>68</v>
      </c>
      <c r="K334" s="36" t="s">
        <v>68</v>
      </c>
      <c r="L334" s="36" t="s">
        <v>68</v>
      </c>
      <c r="M334" s="47">
        <f t="shared" si="7"/>
        <v>0</v>
      </c>
      <c r="N334" s="35"/>
      <c r="O334" s="35" t="s">
        <v>68</v>
      </c>
    </row>
    <row r="335" spans="1:15" ht="38.25" x14ac:dyDescent="0.2">
      <c r="A335" s="45" t="s">
        <v>947</v>
      </c>
      <c r="B335" s="46" t="s">
        <v>948</v>
      </c>
      <c r="C335" s="105" t="s">
        <v>6574</v>
      </c>
      <c r="D335" s="46" t="s">
        <v>949</v>
      </c>
      <c r="E335" s="46" t="s">
        <v>254</v>
      </c>
      <c r="F335" s="46" t="s">
        <v>68</v>
      </c>
      <c r="G335" s="46" t="s">
        <v>68</v>
      </c>
      <c r="H335" s="46" t="s">
        <v>68</v>
      </c>
      <c r="I335" s="46" t="s">
        <v>68</v>
      </c>
      <c r="J335" s="46" t="s">
        <v>71</v>
      </c>
      <c r="K335" s="47">
        <v>140</v>
      </c>
      <c r="L335" s="47">
        <v>30</v>
      </c>
      <c r="M335" s="47">
        <f t="shared" si="7"/>
        <v>170</v>
      </c>
      <c r="N335" s="46" t="s">
        <v>950</v>
      </c>
      <c r="O335" s="71" t="s">
        <v>951</v>
      </c>
    </row>
    <row r="336" spans="1:15" ht="51" x14ac:dyDescent="0.2">
      <c r="A336" s="45" t="s">
        <v>952</v>
      </c>
      <c r="B336" s="46" t="s">
        <v>948</v>
      </c>
      <c r="C336" s="105" t="s">
        <v>6574</v>
      </c>
      <c r="D336" s="46" t="s">
        <v>949</v>
      </c>
      <c r="E336" s="46" t="s">
        <v>254</v>
      </c>
      <c r="F336" s="46" t="s">
        <v>953</v>
      </c>
      <c r="G336" s="46" t="s">
        <v>68</v>
      </c>
      <c r="H336" s="46" t="s">
        <v>68</v>
      </c>
      <c r="I336" s="46" t="s">
        <v>68</v>
      </c>
      <c r="J336" s="46" t="s">
        <v>71</v>
      </c>
      <c r="K336" s="47">
        <v>140</v>
      </c>
      <c r="L336" s="47">
        <v>50</v>
      </c>
      <c r="M336" s="47">
        <f t="shared" si="7"/>
        <v>190</v>
      </c>
      <c r="N336" s="46" t="s">
        <v>950</v>
      </c>
      <c r="O336" s="71" t="s">
        <v>954</v>
      </c>
    </row>
    <row r="337" spans="1:15" ht="51" x14ac:dyDescent="0.2">
      <c r="A337" s="45" t="s">
        <v>955</v>
      </c>
      <c r="B337" s="46" t="s">
        <v>948</v>
      </c>
      <c r="C337" s="105" t="s">
        <v>6573</v>
      </c>
      <c r="D337" s="46" t="s">
        <v>956</v>
      </c>
      <c r="E337" s="46" t="s">
        <v>257</v>
      </c>
      <c r="F337" s="46" t="s">
        <v>68</v>
      </c>
      <c r="G337" s="46" t="s">
        <v>68</v>
      </c>
      <c r="H337" s="46" t="s">
        <v>68</v>
      </c>
      <c r="I337" s="46" t="s">
        <v>445</v>
      </c>
      <c r="J337" s="46" t="s">
        <v>71</v>
      </c>
      <c r="K337" s="47">
        <v>170</v>
      </c>
      <c r="L337" s="47">
        <v>150</v>
      </c>
      <c r="M337" s="47">
        <f t="shared" si="7"/>
        <v>320</v>
      </c>
      <c r="N337" s="46" t="s">
        <v>950</v>
      </c>
      <c r="O337" s="71" t="s">
        <v>957</v>
      </c>
    </row>
    <row r="338" spans="1:15" ht="51" x14ac:dyDescent="0.2">
      <c r="A338" s="45" t="s">
        <v>958</v>
      </c>
      <c r="B338" s="46" t="s">
        <v>948</v>
      </c>
      <c r="C338" s="105" t="s">
        <v>6574</v>
      </c>
      <c r="D338" s="46" t="s">
        <v>956</v>
      </c>
      <c r="E338" s="46" t="s">
        <v>257</v>
      </c>
      <c r="F338" s="46" t="s">
        <v>68</v>
      </c>
      <c r="G338" s="46" t="s">
        <v>68</v>
      </c>
      <c r="H338" s="46" t="s">
        <v>68</v>
      </c>
      <c r="I338" s="46" t="s">
        <v>449</v>
      </c>
      <c r="J338" s="46" t="s">
        <v>71</v>
      </c>
      <c r="K338" s="47">
        <v>190</v>
      </c>
      <c r="L338" s="47">
        <v>250</v>
      </c>
      <c r="M338" s="47">
        <f t="shared" ref="M338:M401" si="8">SUM(K338:L338)</f>
        <v>440</v>
      </c>
      <c r="N338" s="46" t="s">
        <v>950</v>
      </c>
      <c r="O338" s="71" t="s">
        <v>959</v>
      </c>
    </row>
    <row r="339" spans="1:15" ht="51" x14ac:dyDescent="0.2">
      <c r="A339" s="45" t="s">
        <v>960</v>
      </c>
      <c r="B339" s="46" t="s">
        <v>948</v>
      </c>
      <c r="C339" s="105" t="s">
        <v>6573</v>
      </c>
      <c r="D339" s="46" t="s">
        <v>956</v>
      </c>
      <c r="E339" s="46" t="s">
        <v>257</v>
      </c>
      <c r="F339" s="46" t="s">
        <v>953</v>
      </c>
      <c r="G339" s="46" t="s">
        <v>68</v>
      </c>
      <c r="H339" s="46" t="s">
        <v>68</v>
      </c>
      <c r="I339" s="46" t="s">
        <v>449</v>
      </c>
      <c r="J339" s="46" t="s">
        <v>71</v>
      </c>
      <c r="K339" s="47">
        <v>250</v>
      </c>
      <c r="L339" s="47">
        <v>540</v>
      </c>
      <c r="M339" s="47">
        <f t="shared" si="8"/>
        <v>790</v>
      </c>
      <c r="N339" s="46" t="s">
        <v>950</v>
      </c>
      <c r="O339" s="71" t="s">
        <v>961</v>
      </c>
    </row>
    <row r="340" spans="1:15" ht="51" x14ac:dyDescent="0.2">
      <c r="A340" s="45" t="s">
        <v>962</v>
      </c>
      <c r="B340" s="46" t="s">
        <v>963</v>
      </c>
      <c r="C340" s="105" t="s">
        <v>6575</v>
      </c>
      <c r="D340" s="46" t="s">
        <v>964</v>
      </c>
      <c r="E340" s="46" t="s">
        <v>254</v>
      </c>
      <c r="F340" s="46" t="s">
        <v>68</v>
      </c>
      <c r="G340" s="46" t="s">
        <v>68</v>
      </c>
      <c r="H340" s="46" t="s">
        <v>68</v>
      </c>
      <c r="I340" s="46" t="s">
        <v>68</v>
      </c>
      <c r="J340" s="46" t="s">
        <v>71</v>
      </c>
      <c r="K340" s="47">
        <v>170</v>
      </c>
      <c r="L340" s="47">
        <v>110</v>
      </c>
      <c r="M340" s="47">
        <f t="shared" si="8"/>
        <v>280</v>
      </c>
      <c r="N340" s="46" t="s">
        <v>950</v>
      </c>
      <c r="O340" s="71" t="s">
        <v>965</v>
      </c>
    </row>
    <row r="341" spans="1:15" ht="51" x14ac:dyDescent="0.2">
      <c r="A341" s="45" t="s">
        <v>966</v>
      </c>
      <c r="B341" s="46" t="s">
        <v>967</v>
      </c>
      <c r="C341" s="46" t="s">
        <v>967</v>
      </c>
      <c r="D341" s="46" t="s">
        <v>964</v>
      </c>
      <c r="E341" s="46" t="s">
        <v>257</v>
      </c>
      <c r="F341" s="46" t="s">
        <v>68</v>
      </c>
      <c r="G341" s="46" t="s">
        <v>68</v>
      </c>
      <c r="H341" s="46" t="s">
        <v>68</v>
      </c>
      <c r="I341" s="46" t="s">
        <v>68</v>
      </c>
      <c r="J341" s="46" t="s">
        <v>71</v>
      </c>
      <c r="K341" s="47">
        <v>180</v>
      </c>
      <c r="L341" s="47">
        <v>80</v>
      </c>
      <c r="M341" s="47">
        <f t="shared" si="8"/>
        <v>260</v>
      </c>
      <c r="N341" s="46" t="s">
        <v>968</v>
      </c>
      <c r="O341" s="71" t="s">
        <v>969</v>
      </c>
    </row>
    <row r="342" spans="1:15" ht="38.25" x14ac:dyDescent="0.2">
      <c r="A342" s="45" t="s">
        <v>970</v>
      </c>
      <c r="B342" s="46" t="s">
        <v>971</v>
      </c>
      <c r="C342" s="46" t="s">
        <v>971</v>
      </c>
      <c r="D342" s="46" t="s">
        <v>964</v>
      </c>
      <c r="E342" s="46" t="s">
        <v>257</v>
      </c>
      <c r="F342" s="46" t="s">
        <v>68</v>
      </c>
      <c r="G342" s="46" t="s">
        <v>68</v>
      </c>
      <c r="H342" s="46" t="s">
        <v>68</v>
      </c>
      <c r="I342" s="46" t="s">
        <v>68</v>
      </c>
      <c r="J342" s="46" t="s">
        <v>71</v>
      </c>
      <c r="K342" s="47">
        <v>140</v>
      </c>
      <c r="L342" s="47">
        <v>60</v>
      </c>
      <c r="M342" s="47">
        <f t="shared" si="8"/>
        <v>200</v>
      </c>
      <c r="N342" s="46" t="s">
        <v>968</v>
      </c>
      <c r="O342" s="71" t="s">
        <v>972</v>
      </c>
    </row>
    <row r="343" spans="1:15" ht="51" x14ac:dyDescent="0.2">
      <c r="A343" s="45" t="s">
        <v>973</v>
      </c>
      <c r="B343" s="46" t="s">
        <v>971</v>
      </c>
      <c r="C343" s="46" t="s">
        <v>971</v>
      </c>
      <c r="D343" s="46" t="s">
        <v>974</v>
      </c>
      <c r="E343" s="46" t="s">
        <v>254</v>
      </c>
      <c r="F343" s="46" t="s">
        <v>68</v>
      </c>
      <c r="G343" s="46" t="s">
        <v>68</v>
      </c>
      <c r="H343" s="46" t="s">
        <v>68</v>
      </c>
      <c r="I343" s="46" t="s">
        <v>68</v>
      </c>
      <c r="J343" s="46" t="s">
        <v>71</v>
      </c>
      <c r="K343" s="47">
        <v>135</v>
      </c>
      <c r="L343" s="47">
        <v>25</v>
      </c>
      <c r="M343" s="47">
        <f t="shared" si="8"/>
        <v>160</v>
      </c>
      <c r="N343" s="46" t="s">
        <v>968</v>
      </c>
      <c r="O343" s="71" t="s">
        <v>975</v>
      </c>
    </row>
    <row r="344" spans="1:15" ht="51" x14ac:dyDescent="0.2">
      <c r="A344" s="45" t="s">
        <v>976</v>
      </c>
      <c r="B344" s="46" t="s">
        <v>971</v>
      </c>
      <c r="C344" s="46" t="s">
        <v>971</v>
      </c>
      <c r="D344" s="46" t="s">
        <v>974</v>
      </c>
      <c r="E344" s="46" t="s">
        <v>257</v>
      </c>
      <c r="F344" s="46" t="s">
        <v>68</v>
      </c>
      <c r="G344" s="46" t="s">
        <v>68</v>
      </c>
      <c r="H344" s="46" t="s">
        <v>68</v>
      </c>
      <c r="I344" s="46" t="s">
        <v>68</v>
      </c>
      <c r="J344" s="46" t="s">
        <v>71</v>
      </c>
      <c r="K344" s="47">
        <v>140</v>
      </c>
      <c r="L344" s="47">
        <v>45</v>
      </c>
      <c r="M344" s="47">
        <f t="shared" si="8"/>
        <v>185</v>
      </c>
      <c r="N344" s="46" t="s">
        <v>968</v>
      </c>
      <c r="O344" s="71" t="s">
        <v>977</v>
      </c>
    </row>
    <row r="345" spans="1:15" ht="51" x14ac:dyDescent="0.2">
      <c r="A345" s="45" t="s">
        <v>978</v>
      </c>
      <c r="B345" s="46" t="s">
        <v>979</v>
      </c>
      <c r="C345" s="46" t="s">
        <v>979</v>
      </c>
      <c r="D345" s="46" t="s">
        <v>254</v>
      </c>
      <c r="E345" s="46" t="s">
        <v>68</v>
      </c>
      <c r="F345" s="46" t="s">
        <v>68</v>
      </c>
      <c r="G345" s="46" t="s">
        <v>68</v>
      </c>
      <c r="H345" s="46" t="s">
        <v>68</v>
      </c>
      <c r="I345" s="46" t="s">
        <v>68</v>
      </c>
      <c r="J345" s="46" t="s">
        <v>71</v>
      </c>
      <c r="K345" s="47">
        <v>130</v>
      </c>
      <c r="L345" s="47">
        <v>30</v>
      </c>
      <c r="M345" s="47">
        <f t="shared" si="8"/>
        <v>160</v>
      </c>
      <c r="N345" s="46" t="s">
        <v>610</v>
      </c>
      <c r="O345" s="71" t="s">
        <v>980</v>
      </c>
    </row>
    <row r="346" spans="1:15" ht="51" x14ac:dyDescent="0.2">
      <c r="A346" s="45" t="s">
        <v>981</v>
      </c>
      <c r="B346" s="46" t="s">
        <v>979</v>
      </c>
      <c r="C346" s="46" t="s">
        <v>979</v>
      </c>
      <c r="D346" s="46" t="s">
        <v>257</v>
      </c>
      <c r="E346" s="46" t="s">
        <v>68</v>
      </c>
      <c r="F346" s="46" t="s">
        <v>68</v>
      </c>
      <c r="G346" s="46" t="s">
        <v>68</v>
      </c>
      <c r="H346" s="46" t="s">
        <v>68</v>
      </c>
      <c r="I346" s="46" t="s">
        <v>68</v>
      </c>
      <c r="J346" s="46" t="s">
        <v>71</v>
      </c>
      <c r="K346" s="47">
        <v>140</v>
      </c>
      <c r="L346" s="47">
        <v>40</v>
      </c>
      <c r="M346" s="47">
        <f t="shared" si="8"/>
        <v>180</v>
      </c>
      <c r="N346" s="46" t="s">
        <v>610</v>
      </c>
      <c r="O346" s="71" t="s">
        <v>982</v>
      </c>
    </row>
    <row r="347" spans="1:15" ht="38.25" x14ac:dyDescent="0.2">
      <c r="A347" s="45" t="s">
        <v>983</v>
      </c>
      <c r="B347" s="46" t="s">
        <v>984</v>
      </c>
      <c r="C347" s="46" t="s">
        <v>984</v>
      </c>
      <c r="D347" s="46" t="s">
        <v>68</v>
      </c>
      <c r="E347" s="46" t="s">
        <v>68</v>
      </c>
      <c r="F347" s="46" t="s">
        <v>68</v>
      </c>
      <c r="G347" s="46" t="s">
        <v>68</v>
      </c>
      <c r="H347" s="46" t="s">
        <v>68</v>
      </c>
      <c r="I347" s="46" t="s">
        <v>68</v>
      </c>
      <c r="J347" s="46" t="s">
        <v>71</v>
      </c>
      <c r="K347" s="47">
        <v>150</v>
      </c>
      <c r="L347" s="47">
        <v>50</v>
      </c>
      <c r="M347" s="47">
        <f t="shared" si="8"/>
        <v>200</v>
      </c>
      <c r="N347" s="46" t="s">
        <v>985</v>
      </c>
      <c r="O347" s="71" t="s">
        <v>986</v>
      </c>
    </row>
    <row r="348" spans="1:15" ht="51" x14ac:dyDescent="0.2">
      <c r="A348" s="45" t="s">
        <v>987</v>
      </c>
      <c r="B348" s="46" t="s">
        <v>988</v>
      </c>
      <c r="C348" s="46" t="s">
        <v>988</v>
      </c>
      <c r="D348" s="46" t="s">
        <v>989</v>
      </c>
      <c r="E348" s="46" t="s">
        <v>68</v>
      </c>
      <c r="F348" s="46" t="s">
        <v>68</v>
      </c>
      <c r="G348" s="46" t="s">
        <v>68</v>
      </c>
      <c r="H348" s="46" t="s">
        <v>68</v>
      </c>
      <c r="I348" s="46" t="s">
        <v>68</v>
      </c>
      <c r="J348" s="46" t="s">
        <v>71</v>
      </c>
      <c r="K348" s="47">
        <v>270</v>
      </c>
      <c r="L348" s="47">
        <v>60</v>
      </c>
      <c r="M348" s="47">
        <f t="shared" si="8"/>
        <v>330</v>
      </c>
      <c r="N348" s="46" t="s">
        <v>990</v>
      </c>
      <c r="O348" s="71" t="s">
        <v>991</v>
      </c>
    </row>
    <row r="349" spans="1:15" ht="25.5" x14ac:dyDescent="0.2">
      <c r="A349" s="45" t="s">
        <v>992</v>
      </c>
      <c r="B349" s="46" t="s">
        <v>993</v>
      </c>
      <c r="C349" s="46" t="s">
        <v>993</v>
      </c>
      <c r="D349" s="46" t="s">
        <v>68</v>
      </c>
      <c r="E349" s="46" t="s">
        <v>68</v>
      </c>
      <c r="F349" s="46" t="s">
        <v>68</v>
      </c>
      <c r="G349" s="46" t="s">
        <v>68</v>
      </c>
      <c r="H349" s="46" t="s">
        <v>68</v>
      </c>
      <c r="I349" s="46" t="s">
        <v>454</v>
      </c>
      <c r="J349" s="46" t="s">
        <v>71</v>
      </c>
      <c r="K349" s="47">
        <v>160</v>
      </c>
      <c r="L349" s="47">
        <v>100</v>
      </c>
      <c r="M349" s="47">
        <f t="shared" si="8"/>
        <v>260</v>
      </c>
      <c r="N349" s="46" t="s">
        <v>994</v>
      </c>
      <c r="O349" s="71" t="s">
        <v>995</v>
      </c>
    </row>
    <row r="350" spans="1:15" ht="25.5" x14ac:dyDescent="0.2">
      <c r="A350" s="45" t="s">
        <v>996</v>
      </c>
      <c r="B350" s="46" t="s">
        <v>993</v>
      </c>
      <c r="C350" s="46" t="s">
        <v>993</v>
      </c>
      <c r="D350" s="46" t="s">
        <v>68</v>
      </c>
      <c r="E350" s="46" t="s">
        <v>68</v>
      </c>
      <c r="F350" s="46" t="s">
        <v>68</v>
      </c>
      <c r="G350" s="46" t="s">
        <v>68</v>
      </c>
      <c r="H350" s="46" t="s">
        <v>68</v>
      </c>
      <c r="I350" s="46" t="s">
        <v>445</v>
      </c>
      <c r="J350" s="46" t="s">
        <v>71</v>
      </c>
      <c r="K350" s="47">
        <v>180</v>
      </c>
      <c r="L350" s="47">
        <v>120</v>
      </c>
      <c r="M350" s="47">
        <f t="shared" si="8"/>
        <v>300</v>
      </c>
      <c r="N350" s="46" t="s">
        <v>994</v>
      </c>
      <c r="O350" s="71" t="s">
        <v>997</v>
      </c>
    </row>
    <row r="351" spans="1:15" ht="25.5" x14ac:dyDescent="0.2">
      <c r="A351" s="45" t="s">
        <v>998</v>
      </c>
      <c r="B351" s="46" t="s">
        <v>993</v>
      </c>
      <c r="C351" s="46" t="s">
        <v>993</v>
      </c>
      <c r="D351" s="46" t="s">
        <v>68</v>
      </c>
      <c r="E351" s="46" t="s">
        <v>68</v>
      </c>
      <c r="F351" s="46" t="s">
        <v>68</v>
      </c>
      <c r="G351" s="46" t="s">
        <v>68</v>
      </c>
      <c r="H351" s="46" t="s">
        <v>68</v>
      </c>
      <c r="I351" s="46" t="s">
        <v>999</v>
      </c>
      <c r="J351" s="46" t="s">
        <v>71</v>
      </c>
      <c r="K351" s="47">
        <v>200</v>
      </c>
      <c r="L351" s="47">
        <v>220</v>
      </c>
      <c r="M351" s="47">
        <f t="shared" si="8"/>
        <v>420</v>
      </c>
      <c r="N351" s="46" t="s">
        <v>994</v>
      </c>
      <c r="O351" s="71" t="s">
        <v>1000</v>
      </c>
    </row>
    <row r="352" spans="1:15" ht="38.25" x14ac:dyDescent="0.2">
      <c r="A352" s="45" t="s">
        <v>1001</v>
      </c>
      <c r="B352" s="46" t="s">
        <v>1002</v>
      </c>
      <c r="C352" s="46" t="s">
        <v>1002</v>
      </c>
      <c r="D352" s="46" t="s">
        <v>1003</v>
      </c>
      <c r="E352" s="46" t="s">
        <v>68</v>
      </c>
      <c r="F352" s="46" t="s">
        <v>68</v>
      </c>
      <c r="G352" s="46" t="s">
        <v>68</v>
      </c>
      <c r="H352" s="46" t="s">
        <v>68</v>
      </c>
      <c r="I352" s="46" t="s">
        <v>454</v>
      </c>
      <c r="J352" s="46" t="s">
        <v>71</v>
      </c>
      <c r="K352" s="47">
        <v>160</v>
      </c>
      <c r="L352" s="47">
        <v>120</v>
      </c>
      <c r="M352" s="47">
        <f t="shared" si="8"/>
        <v>280</v>
      </c>
      <c r="N352" s="46" t="s">
        <v>1004</v>
      </c>
      <c r="O352" s="71" t="s">
        <v>1005</v>
      </c>
    </row>
    <row r="353" spans="1:15" ht="38.25" x14ac:dyDescent="0.2">
      <c r="A353" s="45" t="s">
        <v>1006</v>
      </c>
      <c r="B353" s="46" t="s">
        <v>1002</v>
      </c>
      <c r="C353" s="46" t="s">
        <v>1002</v>
      </c>
      <c r="D353" s="46" t="s">
        <v>1003</v>
      </c>
      <c r="E353" s="46" t="s">
        <v>68</v>
      </c>
      <c r="F353" s="46" t="s">
        <v>68</v>
      </c>
      <c r="G353" s="46" t="s">
        <v>68</v>
      </c>
      <c r="H353" s="46" t="s">
        <v>68</v>
      </c>
      <c r="I353" s="46" t="s">
        <v>445</v>
      </c>
      <c r="J353" s="46" t="s">
        <v>71</v>
      </c>
      <c r="K353" s="47">
        <v>180</v>
      </c>
      <c r="L353" s="47">
        <v>220</v>
      </c>
      <c r="M353" s="47">
        <f t="shared" si="8"/>
        <v>400</v>
      </c>
      <c r="N353" s="46" t="s">
        <v>1004</v>
      </c>
      <c r="O353" s="71" t="s">
        <v>1007</v>
      </c>
    </row>
    <row r="354" spans="1:15" ht="38.25" x14ac:dyDescent="0.2">
      <c r="A354" s="45" t="s">
        <v>1008</v>
      </c>
      <c r="B354" s="46" t="s">
        <v>1002</v>
      </c>
      <c r="C354" s="46" t="s">
        <v>1002</v>
      </c>
      <c r="D354" s="46" t="s">
        <v>1003</v>
      </c>
      <c r="E354" s="46" t="s">
        <v>68</v>
      </c>
      <c r="F354" s="46" t="s">
        <v>68</v>
      </c>
      <c r="G354" s="46" t="s">
        <v>68</v>
      </c>
      <c r="H354" s="46" t="s">
        <v>68</v>
      </c>
      <c r="I354" s="46" t="s">
        <v>999</v>
      </c>
      <c r="J354" s="46" t="s">
        <v>71</v>
      </c>
      <c r="K354" s="47">
        <v>220</v>
      </c>
      <c r="L354" s="47">
        <v>420</v>
      </c>
      <c r="M354" s="47">
        <f t="shared" si="8"/>
        <v>640</v>
      </c>
      <c r="N354" s="46" t="s">
        <v>1004</v>
      </c>
      <c r="O354" s="71" t="s">
        <v>1009</v>
      </c>
    </row>
    <row r="355" spans="1:15" ht="38.25" x14ac:dyDescent="0.2">
      <c r="A355" s="45" t="s">
        <v>1010</v>
      </c>
      <c r="B355" s="46" t="s">
        <v>1011</v>
      </c>
      <c r="C355" s="46" t="s">
        <v>1011</v>
      </c>
      <c r="D355" s="46" t="s">
        <v>68</v>
      </c>
      <c r="E355" s="46" t="s">
        <v>68</v>
      </c>
      <c r="F355" s="46" t="s">
        <v>68</v>
      </c>
      <c r="G355" s="46" t="s">
        <v>68</v>
      </c>
      <c r="H355" s="46" t="s">
        <v>68</v>
      </c>
      <c r="I355" s="46" t="s">
        <v>68</v>
      </c>
      <c r="J355" s="46" t="s">
        <v>71</v>
      </c>
      <c r="K355" s="47">
        <v>150</v>
      </c>
      <c r="L355" s="47">
        <v>30</v>
      </c>
      <c r="M355" s="47">
        <f t="shared" si="8"/>
        <v>180</v>
      </c>
      <c r="N355" s="46" t="s">
        <v>1012</v>
      </c>
      <c r="O355" s="71" t="s">
        <v>1013</v>
      </c>
    </row>
    <row r="356" spans="1:15" ht="63.75" x14ac:dyDescent="0.2">
      <c r="A356" s="45" t="s">
        <v>1014</v>
      </c>
      <c r="B356" s="46" t="s">
        <v>1015</v>
      </c>
      <c r="C356" s="46" t="s">
        <v>1015</v>
      </c>
      <c r="D356" s="46" t="s">
        <v>1016</v>
      </c>
      <c r="E356" s="46" t="s">
        <v>1017</v>
      </c>
      <c r="F356" s="46" t="s">
        <v>1018</v>
      </c>
      <c r="G356" s="46" t="s">
        <v>1019</v>
      </c>
      <c r="H356" s="46" t="s">
        <v>1020</v>
      </c>
      <c r="I356" s="46" t="s">
        <v>445</v>
      </c>
      <c r="J356" s="46" t="s">
        <v>71</v>
      </c>
      <c r="K356" s="47">
        <v>220</v>
      </c>
      <c r="L356" s="47">
        <v>290</v>
      </c>
      <c r="M356" s="47">
        <f t="shared" si="8"/>
        <v>510</v>
      </c>
      <c r="N356" s="46" t="s">
        <v>1021</v>
      </c>
      <c r="O356" s="71" t="s">
        <v>1022</v>
      </c>
    </row>
    <row r="357" spans="1:15" ht="63.75" x14ac:dyDescent="0.2">
      <c r="A357" s="45" t="s">
        <v>1023</v>
      </c>
      <c r="B357" s="46" t="s">
        <v>1015</v>
      </c>
      <c r="C357" s="46" t="s">
        <v>1015</v>
      </c>
      <c r="D357" s="46" t="s">
        <v>1016</v>
      </c>
      <c r="E357" s="46" t="s">
        <v>1017</v>
      </c>
      <c r="F357" s="46" t="s">
        <v>1018</v>
      </c>
      <c r="G357" s="46" t="s">
        <v>1024</v>
      </c>
      <c r="H357" s="46" t="s">
        <v>1020</v>
      </c>
      <c r="I357" s="46" t="s">
        <v>999</v>
      </c>
      <c r="J357" s="46" t="s">
        <v>71</v>
      </c>
      <c r="K357" s="47">
        <v>245</v>
      </c>
      <c r="L357" s="47">
        <v>450</v>
      </c>
      <c r="M357" s="47">
        <f t="shared" si="8"/>
        <v>695</v>
      </c>
      <c r="N357" s="46" t="s">
        <v>1021</v>
      </c>
      <c r="O357" s="71" t="s">
        <v>1025</v>
      </c>
    </row>
    <row r="358" spans="1:15" ht="63.75" x14ac:dyDescent="0.2">
      <c r="A358" s="45" t="s">
        <v>1026</v>
      </c>
      <c r="B358" s="46" t="s">
        <v>1015</v>
      </c>
      <c r="C358" s="46" t="s">
        <v>1015</v>
      </c>
      <c r="D358" s="46" t="s">
        <v>1016</v>
      </c>
      <c r="E358" s="46" t="s">
        <v>1017</v>
      </c>
      <c r="F358" s="46" t="s">
        <v>1027</v>
      </c>
      <c r="G358" s="46" t="s">
        <v>1028</v>
      </c>
      <c r="H358" s="46" t="s">
        <v>1020</v>
      </c>
      <c r="I358" s="46" t="s">
        <v>445</v>
      </c>
      <c r="J358" s="46" t="s">
        <v>71</v>
      </c>
      <c r="K358" s="47">
        <v>240</v>
      </c>
      <c r="L358" s="47">
        <v>430</v>
      </c>
      <c r="M358" s="47">
        <f t="shared" si="8"/>
        <v>670</v>
      </c>
      <c r="N358" s="46" t="s">
        <v>1021</v>
      </c>
      <c r="O358" s="71" t="s">
        <v>1029</v>
      </c>
    </row>
    <row r="359" spans="1:15" ht="63.75" x14ac:dyDescent="0.2">
      <c r="A359" s="45" t="s">
        <v>1030</v>
      </c>
      <c r="B359" s="46" t="s">
        <v>1015</v>
      </c>
      <c r="C359" s="46" t="s">
        <v>1015</v>
      </c>
      <c r="D359" s="46" t="s">
        <v>1016</v>
      </c>
      <c r="E359" s="46" t="s">
        <v>1017</v>
      </c>
      <c r="F359" s="46" t="s">
        <v>1027</v>
      </c>
      <c r="G359" s="46" t="s">
        <v>1031</v>
      </c>
      <c r="H359" s="46" t="s">
        <v>1020</v>
      </c>
      <c r="I359" s="46" t="s">
        <v>999</v>
      </c>
      <c r="J359" s="46" t="s">
        <v>71</v>
      </c>
      <c r="K359" s="47">
        <v>250</v>
      </c>
      <c r="L359" s="47">
        <v>485</v>
      </c>
      <c r="M359" s="47">
        <f t="shared" si="8"/>
        <v>735</v>
      </c>
      <c r="N359" s="46" t="s">
        <v>1021</v>
      </c>
      <c r="O359" s="71" t="s">
        <v>1032</v>
      </c>
    </row>
    <row r="360" spans="1:15" ht="63.75" x14ac:dyDescent="0.2">
      <c r="A360" s="45" t="s">
        <v>1033</v>
      </c>
      <c r="B360" s="46" t="s">
        <v>1015</v>
      </c>
      <c r="C360" s="46" t="s">
        <v>1015</v>
      </c>
      <c r="D360" s="46" t="s">
        <v>1016</v>
      </c>
      <c r="E360" s="46" t="s">
        <v>1017</v>
      </c>
      <c r="F360" s="46" t="s">
        <v>1027</v>
      </c>
      <c r="G360" s="46" t="s">
        <v>1034</v>
      </c>
      <c r="H360" s="46" t="s">
        <v>1020</v>
      </c>
      <c r="I360" s="46" t="s">
        <v>445</v>
      </c>
      <c r="J360" s="46" t="s">
        <v>71</v>
      </c>
      <c r="K360" s="47">
        <v>240</v>
      </c>
      <c r="L360" s="47">
        <v>460</v>
      </c>
      <c r="M360" s="47">
        <f t="shared" si="8"/>
        <v>700</v>
      </c>
      <c r="N360" s="46" t="s">
        <v>1021</v>
      </c>
      <c r="O360" s="71" t="s">
        <v>1035</v>
      </c>
    </row>
    <row r="361" spans="1:15" ht="63.75" x14ac:dyDescent="0.2">
      <c r="A361" s="45" t="s">
        <v>1036</v>
      </c>
      <c r="B361" s="46" t="s">
        <v>1015</v>
      </c>
      <c r="C361" s="46" t="s">
        <v>1015</v>
      </c>
      <c r="D361" s="46" t="s">
        <v>1016</v>
      </c>
      <c r="E361" s="46" t="s">
        <v>1017</v>
      </c>
      <c r="F361" s="46" t="s">
        <v>1027</v>
      </c>
      <c r="G361" s="46" t="s">
        <v>1037</v>
      </c>
      <c r="H361" s="46" t="s">
        <v>1020</v>
      </c>
      <c r="I361" s="46" t="s">
        <v>999</v>
      </c>
      <c r="J361" s="46" t="s">
        <v>71</v>
      </c>
      <c r="K361" s="47">
        <v>275</v>
      </c>
      <c r="L361" s="47">
        <v>665</v>
      </c>
      <c r="M361" s="47">
        <f t="shared" si="8"/>
        <v>940</v>
      </c>
      <c r="N361" s="46" t="s">
        <v>1021</v>
      </c>
      <c r="O361" s="71" t="s">
        <v>1038</v>
      </c>
    </row>
    <row r="362" spans="1:15" ht="63.75" x14ac:dyDescent="0.2">
      <c r="A362" s="45" t="s">
        <v>1039</v>
      </c>
      <c r="B362" s="46" t="s">
        <v>1015</v>
      </c>
      <c r="C362" s="46" t="s">
        <v>1015</v>
      </c>
      <c r="D362" s="46" t="s">
        <v>1016</v>
      </c>
      <c r="E362" s="46" t="s">
        <v>1017</v>
      </c>
      <c r="F362" s="46" t="s">
        <v>1040</v>
      </c>
      <c r="G362" s="46" t="s">
        <v>1041</v>
      </c>
      <c r="H362" s="46" t="s">
        <v>1020</v>
      </c>
      <c r="I362" s="46" t="s">
        <v>445</v>
      </c>
      <c r="J362" s="46" t="s">
        <v>71</v>
      </c>
      <c r="K362" s="47">
        <v>225</v>
      </c>
      <c r="L362" s="47">
        <v>335</v>
      </c>
      <c r="M362" s="47">
        <f t="shared" si="8"/>
        <v>560</v>
      </c>
      <c r="N362" s="46" t="s">
        <v>1021</v>
      </c>
      <c r="O362" s="71" t="s">
        <v>1042</v>
      </c>
    </row>
    <row r="363" spans="1:15" ht="63.75" x14ac:dyDescent="0.2">
      <c r="A363" s="45" t="s">
        <v>1043</v>
      </c>
      <c r="B363" s="46" t="s">
        <v>1015</v>
      </c>
      <c r="C363" s="46" t="s">
        <v>1015</v>
      </c>
      <c r="D363" s="46" t="s">
        <v>1016</v>
      </c>
      <c r="E363" s="46" t="s">
        <v>1017</v>
      </c>
      <c r="F363" s="46" t="s">
        <v>1040</v>
      </c>
      <c r="G363" s="46" t="s">
        <v>1044</v>
      </c>
      <c r="H363" s="46" t="s">
        <v>1020</v>
      </c>
      <c r="I363" s="46" t="s">
        <v>999</v>
      </c>
      <c r="J363" s="46" t="s">
        <v>71</v>
      </c>
      <c r="K363" s="47">
        <v>275</v>
      </c>
      <c r="L363" s="47">
        <v>600</v>
      </c>
      <c r="M363" s="47">
        <f t="shared" si="8"/>
        <v>875</v>
      </c>
      <c r="N363" s="46" t="s">
        <v>1021</v>
      </c>
      <c r="O363" s="71" t="s">
        <v>1045</v>
      </c>
    </row>
    <row r="364" spans="1:15" ht="63.75" x14ac:dyDescent="0.2">
      <c r="A364" s="45" t="s">
        <v>1046</v>
      </c>
      <c r="B364" s="46" t="s">
        <v>1015</v>
      </c>
      <c r="C364" s="46" t="s">
        <v>1015</v>
      </c>
      <c r="D364" s="46" t="s">
        <v>1016</v>
      </c>
      <c r="E364" s="46" t="s">
        <v>1017</v>
      </c>
      <c r="F364" s="46" t="s">
        <v>1040</v>
      </c>
      <c r="G364" s="46" t="s">
        <v>1047</v>
      </c>
      <c r="H364" s="46" t="s">
        <v>1020</v>
      </c>
      <c r="I364" s="46" t="s">
        <v>445</v>
      </c>
      <c r="J364" s="46" t="s">
        <v>71</v>
      </c>
      <c r="K364" s="47">
        <v>220</v>
      </c>
      <c r="L364" s="47">
        <v>330</v>
      </c>
      <c r="M364" s="47">
        <f t="shared" si="8"/>
        <v>550</v>
      </c>
      <c r="N364" s="46" t="s">
        <v>1021</v>
      </c>
      <c r="O364" s="71" t="s">
        <v>1048</v>
      </c>
    </row>
    <row r="365" spans="1:15" ht="63.75" x14ac:dyDescent="0.2">
      <c r="A365" s="45" t="s">
        <v>1049</v>
      </c>
      <c r="B365" s="46" t="s">
        <v>1015</v>
      </c>
      <c r="C365" s="46" t="s">
        <v>1015</v>
      </c>
      <c r="D365" s="46" t="s">
        <v>1016</v>
      </c>
      <c r="E365" s="46" t="s">
        <v>1017</v>
      </c>
      <c r="F365" s="46" t="s">
        <v>1040</v>
      </c>
      <c r="G365" s="46" t="s">
        <v>1047</v>
      </c>
      <c r="H365" s="46" t="s">
        <v>1020</v>
      </c>
      <c r="I365" s="46" t="s">
        <v>999</v>
      </c>
      <c r="J365" s="46" t="s">
        <v>71</v>
      </c>
      <c r="K365" s="47">
        <v>240</v>
      </c>
      <c r="L365" s="47">
        <v>410</v>
      </c>
      <c r="M365" s="47">
        <f t="shared" si="8"/>
        <v>650</v>
      </c>
      <c r="N365" s="46" t="s">
        <v>1021</v>
      </c>
      <c r="O365" s="71" t="s">
        <v>1050</v>
      </c>
    </row>
    <row r="366" spans="1:15" ht="63.75" x14ac:dyDescent="0.2">
      <c r="A366" s="45" t="s">
        <v>1051</v>
      </c>
      <c r="B366" s="46" t="s">
        <v>1015</v>
      </c>
      <c r="C366" s="46" t="s">
        <v>1015</v>
      </c>
      <c r="D366" s="46" t="s">
        <v>1016</v>
      </c>
      <c r="E366" s="46" t="s">
        <v>1017</v>
      </c>
      <c r="F366" s="46" t="s">
        <v>1040</v>
      </c>
      <c r="G366" s="46" t="s">
        <v>1052</v>
      </c>
      <c r="H366" s="46" t="s">
        <v>1020</v>
      </c>
      <c r="I366" s="46" t="s">
        <v>445</v>
      </c>
      <c r="J366" s="46" t="s">
        <v>71</v>
      </c>
      <c r="K366" s="47">
        <v>230</v>
      </c>
      <c r="L366" s="47">
        <v>385</v>
      </c>
      <c r="M366" s="47">
        <f t="shared" si="8"/>
        <v>615</v>
      </c>
      <c r="N366" s="46" t="s">
        <v>1021</v>
      </c>
      <c r="O366" s="71" t="s">
        <v>1053</v>
      </c>
    </row>
    <row r="367" spans="1:15" ht="63.75" x14ac:dyDescent="0.2">
      <c r="A367" s="45" t="s">
        <v>1054</v>
      </c>
      <c r="B367" s="46" t="s">
        <v>1015</v>
      </c>
      <c r="C367" s="46" t="s">
        <v>1015</v>
      </c>
      <c r="D367" s="46" t="s">
        <v>1016</v>
      </c>
      <c r="E367" s="46" t="s">
        <v>1017</v>
      </c>
      <c r="F367" s="46" t="s">
        <v>1040</v>
      </c>
      <c r="G367" s="46" t="s">
        <v>1052</v>
      </c>
      <c r="H367" s="46" t="s">
        <v>1020</v>
      </c>
      <c r="I367" s="46" t="s">
        <v>999</v>
      </c>
      <c r="J367" s="46" t="s">
        <v>71</v>
      </c>
      <c r="K367" s="47">
        <v>250</v>
      </c>
      <c r="L367" s="47">
        <v>480</v>
      </c>
      <c r="M367" s="47">
        <f t="shared" si="8"/>
        <v>730</v>
      </c>
      <c r="N367" s="46" t="s">
        <v>1021</v>
      </c>
      <c r="O367" s="71" t="s">
        <v>1055</v>
      </c>
    </row>
    <row r="368" spans="1:15" ht="63.75" x14ac:dyDescent="0.2">
      <c r="A368" s="45" t="s">
        <v>1056</v>
      </c>
      <c r="B368" s="46" t="s">
        <v>1015</v>
      </c>
      <c r="C368" s="46" t="s">
        <v>1015</v>
      </c>
      <c r="D368" s="46" t="s">
        <v>1016</v>
      </c>
      <c r="E368" s="46" t="s">
        <v>1017</v>
      </c>
      <c r="F368" s="46" t="s">
        <v>1040</v>
      </c>
      <c r="G368" s="46" t="s">
        <v>1057</v>
      </c>
      <c r="H368" s="46" t="s">
        <v>1020</v>
      </c>
      <c r="I368" s="46" t="s">
        <v>445</v>
      </c>
      <c r="J368" s="46" t="s">
        <v>71</v>
      </c>
      <c r="K368" s="47">
        <v>250</v>
      </c>
      <c r="L368" s="47">
        <v>505</v>
      </c>
      <c r="M368" s="47">
        <f t="shared" si="8"/>
        <v>755</v>
      </c>
      <c r="N368" s="46" t="s">
        <v>1021</v>
      </c>
      <c r="O368" s="71" t="s">
        <v>1058</v>
      </c>
    </row>
    <row r="369" spans="1:15" ht="63.75" x14ac:dyDescent="0.2">
      <c r="A369" s="45" t="s">
        <v>1059</v>
      </c>
      <c r="B369" s="46" t="s">
        <v>1015</v>
      </c>
      <c r="C369" s="46" t="s">
        <v>1015</v>
      </c>
      <c r="D369" s="46" t="s">
        <v>1016</v>
      </c>
      <c r="E369" s="46" t="s">
        <v>1017</v>
      </c>
      <c r="F369" s="46" t="s">
        <v>1040</v>
      </c>
      <c r="G369" s="46" t="s">
        <v>1057</v>
      </c>
      <c r="H369" s="46" t="s">
        <v>1020</v>
      </c>
      <c r="I369" s="46" t="s">
        <v>999</v>
      </c>
      <c r="J369" s="46" t="s">
        <v>71</v>
      </c>
      <c r="K369" s="47">
        <v>285</v>
      </c>
      <c r="L369" s="47">
        <v>715</v>
      </c>
      <c r="M369" s="47">
        <f t="shared" si="8"/>
        <v>1000</v>
      </c>
      <c r="N369" s="46" t="s">
        <v>1021</v>
      </c>
      <c r="O369" s="71" t="s">
        <v>1060</v>
      </c>
    </row>
    <row r="370" spans="1:15" ht="51" x14ac:dyDescent="0.2">
      <c r="A370" s="45" t="s">
        <v>1061</v>
      </c>
      <c r="B370" s="46" t="s">
        <v>1062</v>
      </c>
      <c r="C370" s="46" t="s">
        <v>1062</v>
      </c>
      <c r="D370" s="46" t="s">
        <v>1063</v>
      </c>
      <c r="E370" s="46" t="s">
        <v>1064</v>
      </c>
      <c r="F370" s="46" t="s">
        <v>68</v>
      </c>
      <c r="G370" s="46" t="s">
        <v>1065</v>
      </c>
      <c r="H370" s="46" t="s">
        <v>68</v>
      </c>
      <c r="I370" s="46" t="s">
        <v>454</v>
      </c>
      <c r="J370" s="46" t="s">
        <v>71</v>
      </c>
      <c r="K370" s="47">
        <v>180</v>
      </c>
      <c r="L370" s="47">
        <v>90</v>
      </c>
      <c r="M370" s="47">
        <f t="shared" si="8"/>
        <v>270</v>
      </c>
      <c r="N370" s="46" t="s">
        <v>1021</v>
      </c>
      <c r="O370" s="71" t="s">
        <v>1066</v>
      </c>
    </row>
    <row r="371" spans="1:15" ht="51" x14ac:dyDescent="0.2">
      <c r="A371" s="45" t="s">
        <v>1067</v>
      </c>
      <c r="B371" s="46" t="s">
        <v>1062</v>
      </c>
      <c r="C371" s="46" t="s">
        <v>1062</v>
      </c>
      <c r="D371" s="46" t="s">
        <v>1063</v>
      </c>
      <c r="E371" s="46" t="s">
        <v>1064</v>
      </c>
      <c r="F371" s="46" t="s">
        <v>68</v>
      </c>
      <c r="G371" s="46" t="s">
        <v>1065</v>
      </c>
      <c r="H371" s="46" t="s">
        <v>68</v>
      </c>
      <c r="I371" s="46" t="s">
        <v>445</v>
      </c>
      <c r="J371" s="46" t="s">
        <v>71</v>
      </c>
      <c r="K371" s="47">
        <v>180</v>
      </c>
      <c r="L371" s="47">
        <v>130</v>
      </c>
      <c r="M371" s="47">
        <f t="shared" si="8"/>
        <v>310</v>
      </c>
      <c r="N371" s="46" t="s">
        <v>1021</v>
      </c>
      <c r="O371" s="71" t="s">
        <v>1068</v>
      </c>
    </row>
    <row r="372" spans="1:15" ht="51" x14ac:dyDescent="0.2">
      <c r="A372" s="45" t="s">
        <v>1069</v>
      </c>
      <c r="B372" s="46" t="s">
        <v>1062</v>
      </c>
      <c r="C372" s="46" t="s">
        <v>1062</v>
      </c>
      <c r="D372" s="46" t="s">
        <v>1063</v>
      </c>
      <c r="E372" s="46" t="s">
        <v>1064</v>
      </c>
      <c r="F372" s="46" t="s">
        <v>68</v>
      </c>
      <c r="G372" s="46" t="s">
        <v>1065</v>
      </c>
      <c r="H372" s="46" t="s">
        <v>68</v>
      </c>
      <c r="I372" s="46" t="s">
        <v>999</v>
      </c>
      <c r="J372" s="46" t="s">
        <v>71</v>
      </c>
      <c r="K372" s="47">
        <v>180</v>
      </c>
      <c r="L372" s="47">
        <v>210</v>
      </c>
      <c r="M372" s="47">
        <f t="shared" si="8"/>
        <v>390</v>
      </c>
      <c r="N372" s="46" t="s">
        <v>1021</v>
      </c>
      <c r="O372" s="71" t="s">
        <v>1070</v>
      </c>
    </row>
    <row r="373" spans="1:15" ht="51" x14ac:dyDescent="0.2">
      <c r="A373" s="45" t="s">
        <v>1071</v>
      </c>
      <c r="B373" s="46" t="s">
        <v>1062</v>
      </c>
      <c r="C373" s="46" t="s">
        <v>1062</v>
      </c>
      <c r="D373" s="46" t="s">
        <v>1072</v>
      </c>
      <c r="E373" s="46" t="s">
        <v>1064</v>
      </c>
      <c r="F373" s="46" t="s">
        <v>68</v>
      </c>
      <c r="G373" s="46" t="s">
        <v>1065</v>
      </c>
      <c r="H373" s="46" t="s">
        <v>68</v>
      </c>
      <c r="I373" s="46" t="s">
        <v>454</v>
      </c>
      <c r="J373" s="46" t="s">
        <v>71</v>
      </c>
      <c r="K373" s="47">
        <v>180</v>
      </c>
      <c r="L373" s="47">
        <v>90</v>
      </c>
      <c r="M373" s="47">
        <f t="shared" si="8"/>
        <v>270</v>
      </c>
      <c r="N373" s="46" t="s">
        <v>1021</v>
      </c>
      <c r="O373" s="71" t="s">
        <v>1073</v>
      </c>
    </row>
    <row r="374" spans="1:15" ht="51" x14ac:dyDescent="0.2">
      <c r="A374" s="45" t="s">
        <v>1074</v>
      </c>
      <c r="B374" s="46" t="s">
        <v>1062</v>
      </c>
      <c r="C374" s="46" t="s">
        <v>1062</v>
      </c>
      <c r="D374" s="46" t="s">
        <v>1072</v>
      </c>
      <c r="E374" s="46" t="s">
        <v>1064</v>
      </c>
      <c r="F374" s="46" t="s">
        <v>68</v>
      </c>
      <c r="G374" s="46" t="s">
        <v>1065</v>
      </c>
      <c r="H374" s="46" t="s">
        <v>68</v>
      </c>
      <c r="I374" s="46" t="s">
        <v>445</v>
      </c>
      <c r="J374" s="46" t="s">
        <v>71</v>
      </c>
      <c r="K374" s="47">
        <v>180</v>
      </c>
      <c r="L374" s="47">
        <v>130</v>
      </c>
      <c r="M374" s="47">
        <f t="shared" si="8"/>
        <v>310</v>
      </c>
      <c r="N374" s="46" t="s">
        <v>1021</v>
      </c>
      <c r="O374" s="71" t="s">
        <v>1075</v>
      </c>
    </row>
    <row r="375" spans="1:15" ht="51" x14ac:dyDescent="0.2">
      <c r="A375" s="45" t="s">
        <v>1076</v>
      </c>
      <c r="B375" s="46" t="s">
        <v>1062</v>
      </c>
      <c r="C375" s="46" t="s">
        <v>1062</v>
      </c>
      <c r="D375" s="46" t="s">
        <v>1072</v>
      </c>
      <c r="E375" s="46" t="s">
        <v>1064</v>
      </c>
      <c r="F375" s="46" t="s">
        <v>68</v>
      </c>
      <c r="G375" s="46" t="s">
        <v>1065</v>
      </c>
      <c r="H375" s="46" t="s">
        <v>68</v>
      </c>
      <c r="I375" s="46" t="s">
        <v>999</v>
      </c>
      <c r="J375" s="46" t="s">
        <v>71</v>
      </c>
      <c r="K375" s="47">
        <v>180</v>
      </c>
      <c r="L375" s="47">
        <v>210</v>
      </c>
      <c r="M375" s="47">
        <f t="shared" si="8"/>
        <v>390</v>
      </c>
      <c r="N375" s="46" t="s">
        <v>1021</v>
      </c>
      <c r="O375" s="71" t="s">
        <v>1077</v>
      </c>
    </row>
    <row r="376" spans="1:15" ht="51" x14ac:dyDescent="0.2">
      <c r="A376" s="45" t="s">
        <v>1078</v>
      </c>
      <c r="B376" s="46" t="s">
        <v>1062</v>
      </c>
      <c r="C376" s="46" t="s">
        <v>1062</v>
      </c>
      <c r="D376" s="46" t="s">
        <v>1016</v>
      </c>
      <c r="E376" s="46" t="s">
        <v>1064</v>
      </c>
      <c r="F376" s="46" t="s">
        <v>1079</v>
      </c>
      <c r="G376" s="46" t="s">
        <v>1079</v>
      </c>
      <c r="H376" s="46"/>
      <c r="I376" s="46" t="s">
        <v>454</v>
      </c>
      <c r="J376" s="46" t="s">
        <v>71</v>
      </c>
      <c r="K376" s="47">
        <v>270</v>
      </c>
      <c r="L376" s="47">
        <v>100</v>
      </c>
      <c r="M376" s="47">
        <f t="shared" si="8"/>
        <v>370</v>
      </c>
      <c r="N376" s="46" t="s">
        <v>1021</v>
      </c>
      <c r="O376" s="71" t="s">
        <v>1080</v>
      </c>
    </row>
    <row r="377" spans="1:15" ht="51" x14ac:dyDescent="0.2">
      <c r="A377" s="45" t="s">
        <v>1081</v>
      </c>
      <c r="B377" s="46" t="s">
        <v>1062</v>
      </c>
      <c r="C377" s="46" t="s">
        <v>1062</v>
      </c>
      <c r="D377" s="46" t="s">
        <v>1016</v>
      </c>
      <c r="E377" s="46" t="s">
        <v>1064</v>
      </c>
      <c r="F377" s="46" t="s">
        <v>1079</v>
      </c>
      <c r="G377" s="46" t="s">
        <v>1079</v>
      </c>
      <c r="H377" s="46"/>
      <c r="I377" s="46" t="s">
        <v>445</v>
      </c>
      <c r="J377" s="46" t="s">
        <v>71</v>
      </c>
      <c r="K377" s="47">
        <v>270</v>
      </c>
      <c r="L377" s="47">
        <v>150</v>
      </c>
      <c r="M377" s="47">
        <f t="shared" si="8"/>
        <v>420</v>
      </c>
      <c r="N377" s="46" t="s">
        <v>1021</v>
      </c>
      <c r="O377" s="71" t="s">
        <v>1082</v>
      </c>
    </row>
    <row r="378" spans="1:15" ht="51" x14ac:dyDescent="0.2">
      <c r="A378" s="45" t="s">
        <v>1083</v>
      </c>
      <c r="B378" s="46" t="s">
        <v>1062</v>
      </c>
      <c r="C378" s="46" t="s">
        <v>1062</v>
      </c>
      <c r="D378" s="46" t="s">
        <v>1016</v>
      </c>
      <c r="E378" s="46" t="s">
        <v>1064</v>
      </c>
      <c r="F378" s="46" t="s">
        <v>1079</v>
      </c>
      <c r="G378" s="46" t="s">
        <v>1079</v>
      </c>
      <c r="H378" s="46"/>
      <c r="I378" s="46" t="s">
        <v>999</v>
      </c>
      <c r="J378" s="46" t="s">
        <v>71</v>
      </c>
      <c r="K378" s="47">
        <v>270</v>
      </c>
      <c r="L378" s="47">
        <v>410</v>
      </c>
      <c r="M378" s="47">
        <f t="shared" si="8"/>
        <v>680</v>
      </c>
      <c r="N378" s="46" t="s">
        <v>1021</v>
      </c>
      <c r="O378" s="71" t="s">
        <v>1084</v>
      </c>
    </row>
    <row r="379" spans="1:15" ht="51" x14ac:dyDescent="0.2">
      <c r="A379" s="45" t="s">
        <v>1085</v>
      </c>
      <c r="B379" s="46" t="s">
        <v>1086</v>
      </c>
      <c r="C379" s="46" t="s">
        <v>1086</v>
      </c>
      <c r="D379" s="46" t="s">
        <v>1087</v>
      </c>
      <c r="E379" s="46" t="s">
        <v>1088</v>
      </c>
      <c r="F379" s="46" t="s">
        <v>1089</v>
      </c>
      <c r="G379" s="46" t="s">
        <v>68</v>
      </c>
      <c r="H379" s="46" t="s">
        <v>68</v>
      </c>
      <c r="I379" s="46" t="s">
        <v>68</v>
      </c>
      <c r="J379" s="46" t="s">
        <v>71</v>
      </c>
      <c r="K379" s="47">
        <v>230</v>
      </c>
      <c r="L379" s="47">
        <v>180</v>
      </c>
      <c r="M379" s="47">
        <f t="shared" si="8"/>
        <v>410</v>
      </c>
      <c r="N379" s="46" t="s">
        <v>1090</v>
      </c>
      <c r="O379" s="71" t="s">
        <v>1091</v>
      </c>
    </row>
    <row r="380" spans="1:15" ht="51" x14ac:dyDescent="0.2">
      <c r="A380" s="45" t="s">
        <v>1092</v>
      </c>
      <c r="B380" s="46" t="s">
        <v>1086</v>
      </c>
      <c r="C380" s="46" t="s">
        <v>1086</v>
      </c>
      <c r="D380" s="46" t="s">
        <v>1087</v>
      </c>
      <c r="E380" s="46" t="s">
        <v>1093</v>
      </c>
      <c r="F380" s="46" t="s">
        <v>1089</v>
      </c>
      <c r="G380" s="46" t="s">
        <v>68</v>
      </c>
      <c r="H380" s="46" t="s">
        <v>68</v>
      </c>
      <c r="I380" s="46" t="s">
        <v>68</v>
      </c>
      <c r="J380" s="46" t="s">
        <v>71</v>
      </c>
      <c r="K380" s="47">
        <v>245</v>
      </c>
      <c r="L380" s="47">
        <v>275</v>
      </c>
      <c r="M380" s="47">
        <f t="shared" si="8"/>
        <v>520</v>
      </c>
      <c r="N380" s="46" t="s">
        <v>1090</v>
      </c>
      <c r="O380" s="71" t="s">
        <v>1094</v>
      </c>
    </row>
    <row r="381" spans="1:15" ht="51" x14ac:dyDescent="0.2">
      <c r="A381" s="45" t="s">
        <v>1095</v>
      </c>
      <c r="B381" s="46" t="s">
        <v>1086</v>
      </c>
      <c r="C381" s="46" t="s">
        <v>1086</v>
      </c>
      <c r="D381" s="46" t="s">
        <v>1087</v>
      </c>
      <c r="E381" s="46" t="s">
        <v>1096</v>
      </c>
      <c r="F381" s="46" t="s">
        <v>1089</v>
      </c>
      <c r="G381" s="46" t="s">
        <v>68</v>
      </c>
      <c r="H381" s="46" t="s">
        <v>68</v>
      </c>
      <c r="I381" s="46" t="s">
        <v>68</v>
      </c>
      <c r="J381" s="46" t="s">
        <v>71</v>
      </c>
      <c r="K381" s="47">
        <v>250</v>
      </c>
      <c r="L381" s="47">
        <v>300</v>
      </c>
      <c r="M381" s="47">
        <f t="shared" si="8"/>
        <v>550</v>
      </c>
      <c r="N381" s="46" t="s">
        <v>1090</v>
      </c>
      <c r="O381" s="71" t="s">
        <v>1097</v>
      </c>
    </row>
    <row r="382" spans="1:15" ht="51" x14ac:dyDescent="0.2">
      <c r="A382" s="45" t="s">
        <v>1098</v>
      </c>
      <c r="B382" s="46" t="s">
        <v>1086</v>
      </c>
      <c r="C382" s="46" t="s">
        <v>1086</v>
      </c>
      <c r="D382" s="46" t="s">
        <v>1087</v>
      </c>
      <c r="E382" s="46" t="s">
        <v>1093</v>
      </c>
      <c r="F382" s="46" t="s">
        <v>1099</v>
      </c>
      <c r="G382" s="46" t="s">
        <v>68</v>
      </c>
      <c r="H382" s="46" t="s">
        <v>68</v>
      </c>
      <c r="I382" s="46" t="s">
        <v>68</v>
      </c>
      <c r="J382" s="46" t="s">
        <v>71</v>
      </c>
      <c r="K382" s="47">
        <v>250</v>
      </c>
      <c r="L382" s="47">
        <v>300</v>
      </c>
      <c r="M382" s="47">
        <f t="shared" si="8"/>
        <v>550</v>
      </c>
      <c r="N382" s="46" t="s">
        <v>1090</v>
      </c>
      <c r="O382" s="71" t="s">
        <v>1100</v>
      </c>
    </row>
    <row r="383" spans="1:15" ht="51" x14ac:dyDescent="0.2">
      <c r="A383" s="45" t="s">
        <v>1101</v>
      </c>
      <c r="B383" s="46" t="s">
        <v>1086</v>
      </c>
      <c r="C383" s="46" t="s">
        <v>1086</v>
      </c>
      <c r="D383" s="46" t="s">
        <v>1087</v>
      </c>
      <c r="E383" s="46" t="s">
        <v>1096</v>
      </c>
      <c r="F383" s="46" t="s">
        <v>1099</v>
      </c>
      <c r="G383" s="46" t="s">
        <v>68</v>
      </c>
      <c r="H383" s="46" t="s">
        <v>68</v>
      </c>
      <c r="I383" s="46" t="s">
        <v>68</v>
      </c>
      <c r="J383" s="46" t="s">
        <v>71</v>
      </c>
      <c r="K383" s="47">
        <v>260</v>
      </c>
      <c r="L383" s="47">
        <v>385</v>
      </c>
      <c r="M383" s="47">
        <f t="shared" si="8"/>
        <v>645</v>
      </c>
      <c r="N383" s="46" t="s">
        <v>1090</v>
      </c>
      <c r="O383" s="71" t="s">
        <v>1102</v>
      </c>
    </row>
    <row r="384" spans="1:15" ht="51" x14ac:dyDescent="0.2">
      <c r="A384" s="45" t="s">
        <v>1103</v>
      </c>
      <c r="B384" s="46" t="s">
        <v>1086</v>
      </c>
      <c r="C384" s="46" t="s">
        <v>1086</v>
      </c>
      <c r="D384" s="46" t="s">
        <v>1017</v>
      </c>
      <c r="E384" s="46" t="s">
        <v>1104</v>
      </c>
      <c r="F384" s="46" t="s">
        <v>1099</v>
      </c>
      <c r="G384" s="46" t="s">
        <v>68</v>
      </c>
      <c r="H384" s="46" t="s">
        <v>68</v>
      </c>
      <c r="I384" s="46" t="s">
        <v>68</v>
      </c>
      <c r="J384" s="46" t="s">
        <v>71</v>
      </c>
      <c r="K384" s="47">
        <v>250</v>
      </c>
      <c r="L384" s="47">
        <v>315</v>
      </c>
      <c r="M384" s="47">
        <f t="shared" si="8"/>
        <v>565</v>
      </c>
      <c r="N384" s="46" t="s">
        <v>1090</v>
      </c>
      <c r="O384" s="71" t="s">
        <v>1105</v>
      </c>
    </row>
    <row r="385" spans="1:15" ht="51" x14ac:dyDescent="0.2">
      <c r="A385" s="45" t="s">
        <v>1106</v>
      </c>
      <c r="B385" s="46" t="s">
        <v>1086</v>
      </c>
      <c r="C385" s="46" t="s">
        <v>1086</v>
      </c>
      <c r="D385" s="46" t="s">
        <v>1017</v>
      </c>
      <c r="E385" s="46" t="s">
        <v>1107</v>
      </c>
      <c r="F385" s="46" t="s">
        <v>1099</v>
      </c>
      <c r="G385" s="46" t="s">
        <v>68</v>
      </c>
      <c r="H385" s="46" t="s">
        <v>68</v>
      </c>
      <c r="I385" s="46" t="s">
        <v>68</v>
      </c>
      <c r="J385" s="46" t="s">
        <v>71</v>
      </c>
      <c r="K385" s="47">
        <v>260</v>
      </c>
      <c r="L385" s="47">
        <v>360</v>
      </c>
      <c r="M385" s="47">
        <f t="shared" si="8"/>
        <v>620</v>
      </c>
      <c r="N385" s="46" t="s">
        <v>1090</v>
      </c>
      <c r="O385" s="71" t="s">
        <v>1108</v>
      </c>
    </row>
    <row r="386" spans="1:15" ht="51" x14ac:dyDescent="0.2">
      <c r="A386" s="45" t="s">
        <v>1109</v>
      </c>
      <c r="B386" s="46" t="s">
        <v>1086</v>
      </c>
      <c r="C386" s="46" t="s">
        <v>1086</v>
      </c>
      <c r="D386" s="46" t="s">
        <v>1017</v>
      </c>
      <c r="E386" s="46" t="s">
        <v>1110</v>
      </c>
      <c r="F386" s="46" t="s">
        <v>1099</v>
      </c>
      <c r="G386" s="46" t="s">
        <v>68</v>
      </c>
      <c r="H386" s="46" t="s">
        <v>68</v>
      </c>
      <c r="I386" s="46" t="s">
        <v>68</v>
      </c>
      <c r="J386" s="46" t="s">
        <v>71</v>
      </c>
      <c r="K386" s="47">
        <v>270</v>
      </c>
      <c r="L386" s="47">
        <v>400</v>
      </c>
      <c r="M386" s="47">
        <f t="shared" si="8"/>
        <v>670</v>
      </c>
      <c r="N386" s="46" t="s">
        <v>1090</v>
      </c>
      <c r="O386" s="71" t="s">
        <v>1111</v>
      </c>
    </row>
    <row r="387" spans="1:15" ht="51" x14ac:dyDescent="0.2">
      <c r="A387" s="45" t="s">
        <v>1112</v>
      </c>
      <c r="B387" s="46" t="s">
        <v>1086</v>
      </c>
      <c r="C387" s="46" t="s">
        <v>1086</v>
      </c>
      <c r="D387" s="46" t="s">
        <v>1017</v>
      </c>
      <c r="E387" s="46" t="s">
        <v>1113</v>
      </c>
      <c r="F387" s="46" t="s">
        <v>1099</v>
      </c>
      <c r="G387" s="46" t="s">
        <v>68</v>
      </c>
      <c r="H387" s="46" t="s">
        <v>68</v>
      </c>
      <c r="I387" s="46" t="s">
        <v>68</v>
      </c>
      <c r="J387" s="46" t="s">
        <v>71</v>
      </c>
      <c r="K387" s="47">
        <v>400</v>
      </c>
      <c r="L387" s="47">
        <v>910</v>
      </c>
      <c r="M387" s="47">
        <f t="shared" si="8"/>
        <v>1310</v>
      </c>
      <c r="N387" s="46" t="s">
        <v>1090</v>
      </c>
      <c r="O387" s="71" t="s">
        <v>1114</v>
      </c>
    </row>
    <row r="388" spans="1:15" ht="63.75" x14ac:dyDescent="0.2">
      <c r="A388" s="45" t="s">
        <v>1115</v>
      </c>
      <c r="B388" s="46" t="s">
        <v>1086</v>
      </c>
      <c r="C388" s="46" t="s">
        <v>1086</v>
      </c>
      <c r="D388" s="46" t="s">
        <v>1116</v>
      </c>
      <c r="E388" s="46" t="s">
        <v>1117</v>
      </c>
      <c r="F388" s="46" t="s">
        <v>1093</v>
      </c>
      <c r="G388" s="46" t="s">
        <v>1099</v>
      </c>
      <c r="H388" s="46" t="s">
        <v>68</v>
      </c>
      <c r="I388" s="46" t="s">
        <v>68</v>
      </c>
      <c r="J388" s="46" t="s">
        <v>71</v>
      </c>
      <c r="K388" s="47">
        <v>435</v>
      </c>
      <c r="L388" s="47">
        <v>810</v>
      </c>
      <c r="M388" s="47">
        <f t="shared" si="8"/>
        <v>1245</v>
      </c>
      <c r="N388" s="46" t="s">
        <v>1090</v>
      </c>
      <c r="O388" s="71" t="s">
        <v>1118</v>
      </c>
    </row>
    <row r="389" spans="1:15" ht="63.75" x14ac:dyDescent="0.2">
      <c r="A389" s="45" t="s">
        <v>1119</v>
      </c>
      <c r="B389" s="46" t="s">
        <v>1086</v>
      </c>
      <c r="C389" s="46" t="s">
        <v>1086</v>
      </c>
      <c r="D389" s="46" t="s">
        <v>1116</v>
      </c>
      <c r="E389" s="46" t="s">
        <v>1117</v>
      </c>
      <c r="F389" s="46" t="s">
        <v>1096</v>
      </c>
      <c r="G389" s="46" t="s">
        <v>1099</v>
      </c>
      <c r="H389" s="46" t="s">
        <v>68</v>
      </c>
      <c r="I389" s="46" t="s">
        <v>68</v>
      </c>
      <c r="J389" s="46" t="s">
        <v>71</v>
      </c>
      <c r="K389" s="47">
        <v>460</v>
      </c>
      <c r="L389" s="47">
        <v>960</v>
      </c>
      <c r="M389" s="47">
        <f t="shared" si="8"/>
        <v>1420</v>
      </c>
      <c r="N389" s="46" t="s">
        <v>1090</v>
      </c>
      <c r="O389" s="71" t="s">
        <v>1120</v>
      </c>
    </row>
    <row r="390" spans="1:15" ht="63.75" x14ac:dyDescent="0.2">
      <c r="A390" s="45" t="s">
        <v>1121</v>
      </c>
      <c r="B390" s="46" t="s">
        <v>1086</v>
      </c>
      <c r="C390" s="46" t="s">
        <v>1086</v>
      </c>
      <c r="D390" s="46" t="s">
        <v>1116</v>
      </c>
      <c r="E390" s="46" t="s">
        <v>1117</v>
      </c>
      <c r="F390" s="46" t="s">
        <v>1122</v>
      </c>
      <c r="G390" s="46" t="s">
        <v>1099</v>
      </c>
      <c r="H390" s="46" t="s">
        <v>68</v>
      </c>
      <c r="I390" s="46" t="s">
        <v>68</v>
      </c>
      <c r="J390" s="46" t="s">
        <v>71</v>
      </c>
      <c r="K390" s="47">
        <v>520</v>
      </c>
      <c r="L390" s="47">
        <v>1160</v>
      </c>
      <c r="M390" s="47">
        <f t="shared" si="8"/>
        <v>1680</v>
      </c>
      <c r="N390" s="46" t="s">
        <v>1090</v>
      </c>
      <c r="O390" s="71" t="s">
        <v>1123</v>
      </c>
    </row>
    <row r="391" spans="1:15" ht="63.75" x14ac:dyDescent="0.2">
      <c r="A391" s="45" t="s">
        <v>1124</v>
      </c>
      <c r="B391" s="46" t="s">
        <v>1086</v>
      </c>
      <c r="C391" s="46" t="s">
        <v>1086</v>
      </c>
      <c r="D391" s="46" t="s">
        <v>1116</v>
      </c>
      <c r="E391" s="46" t="s">
        <v>1117</v>
      </c>
      <c r="F391" s="46" t="s">
        <v>1125</v>
      </c>
      <c r="G391" s="46" t="s">
        <v>1099</v>
      </c>
      <c r="H391" s="46" t="s">
        <v>68</v>
      </c>
      <c r="I391" s="46" t="s">
        <v>68</v>
      </c>
      <c r="J391" s="46" t="s">
        <v>71</v>
      </c>
      <c r="K391" s="47">
        <v>570</v>
      </c>
      <c r="L391" s="47">
        <v>1360</v>
      </c>
      <c r="M391" s="47">
        <f t="shared" si="8"/>
        <v>1930</v>
      </c>
      <c r="N391" s="46" t="s">
        <v>1090</v>
      </c>
      <c r="O391" s="71" t="s">
        <v>1126</v>
      </c>
    </row>
    <row r="392" spans="1:15" ht="63.75" x14ac:dyDescent="0.2">
      <c r="A392" s="45" t="s">
        <v>1127</v>
      </c>
      <c r="B392" s="46" t="s">
        <v>1086</v>
      </c>
      <c r="C392" s="46" t="s">
        <v>1086</v>
      </c>
      <c r="D392" s="46" t="s">
        <v>1116</v>
      </c>
      <c r="E392" s="46" t="s">
        <v>1128</v>
      </c>
      <c r="F392" s="46" t="s">
        <v>1093</v>
      </c>
      <c r="G392" s="46" t="s">
        <v>1099</v>
      </c>
      <c r="H392" s="46" t="s">
        <v>68</v>
      </c>
      <c r="I392" s="46" t="s">
        <v>68</v>
      </c>
      <c r="J392" s="46" t="s">
        <v>71</v>
      </c>
      <c r="K392" s="47">
        <v>415</v>
      </c>
      <c r="L392" s="47">
        <v>660</v>
      </c>
      <c r="M392" s="47">
        <f t="shared" si="8"/>
        <v>1075</v>
      </c>
      <c r="N392" s="46" t="s">
        <v>1090</v>
      </c>
      <c r="O392" s="71" t="s">
        <v>1129</v>
      </c>
    </row>
    <row r="393" spans="1:15" ht="63.75" x14ac:dyDescent="0.2">
      <c r="A393" s="45" t="s">
        <v>1130</v>
      </c>
      <c r="B393" s="46" t="s">
        <v>1086</v>
      </c>
      <c r="C393" s="46" t="s">
        <v>1086</v>
      </c>
      <c r="D393" s="46" t="s">
        <v>1116</v>
      </c>
      <c r="E393" s="46" t="s">
        <v>1128</v>
      </c>
      <c r="F393" s="46" t="s">
        <v>1096</v>
      </c>
      <c r="G393" s="46" t="s">
        <v>1099</v>
      </c>
      <c r="H393" s="46" t="s">
        <v>68</v>
      </c>
      <c r="I393" s="46" t="s">
        <v>68</v>
      </c>
      <c r="J393" s="46" t="s">
        <v>71</v>
      </c>
      <c r="K393" s="47">
        <v>430</v>
      </c>
      <c r="L393" s="47">
        <v>730</v>
      </c>
      <c r="M393" s="47">
        <f t="shared" si="8"/>
        <v>1160</v>
      </c>
      <c r="N393" s="46" t="s">
        <v>1090</v>
      </c>
      <c r="O393" s="71" t="s">
        <v>1131</v>
      </c>
    </row>
    <row r="394" spans="1:15" ht="63.75" x14ac:dyDescent="0.2">
      <c r="A394" s="45" t="s">
        <v>1132</v>
      </c>
      <c r="B394" s="46" t="s">
        <v>1086</v>
      </c>
      <c r="C394" s="46" t="s">
        <v>1086</v>
      </c>
      <c r="D394" s="46" t="s">
        <v>1116</v>
      </c>
      <c r="E394" s="46" t="s">
        <v>1128</v>
      </c>
      <c r="F394" s="46" t="s">
        <v>1122</v>
      </c>
      <c r="G394" s="46" t="s">
        <v>1099</v>
      </c>
      <c r="H394" s="46" t="s">
        <v>68</v>
      </c>
      <c r="I394" s="46" t="s">
        <v>68</v>
      </c>
      <c r="J394" s="46" t="s">
        <v>71</v>
      </c>
      <c r="K394" s="47">
        <v>450</v>
      </c>
      <c r="L394" s="47">
        <v>810</v>
      </c>
      <c r="M394" s="47">
        <f t="shared" si="8"/>
        <v>1260</v>
      </c>
      <c r="N394" s="46" t="s">
        <v>1090</v>
      </c>
      <c r="O394" s="71" t="s">
        <v>1133</v>
      </c>
    </row>
    <row r="395" spans="1:15" ht="63.75" x14ac:dyDescent="0.2">
      <c r="A395" s="45" t="s">
        <v>1134</v>
      </c>
      <c r="B395" s="46" t="s">
        <v>1086</v>
      </c>
      <c r="C395" s="46" t="s">
        <v>1086</v>
      </c>
      <c r="D395" s="46" t="s">
        <v>1116</v>
      </c>
      <c r="E395" s="46" t="s">
        <v>1128</v>
      </c>
      <c r="F395" s="46" t="s">
        <v>1125</v>
      </c>
      <c r="G395" s="46" t="s">
        <v>1099</v>
      </c>
      <c r="H395" s="46" t="s">
        <v>68</v>
      </c>
      <c r="I395" s="46" t="s">
        <v>68</v>
      </c>
      <c r="J395" s="46" t="s">
        <v>71</v>
      </c>
      <c r="K395" s="47">
        <v>500</v>
      </c>
      <c r="L395" s="47">
        <v>910</v>
      </c>
      <c r="M395" s="47">
        <f t="shared" si="8"/>
        <v>1410</v>
      </c>
      <c r="N395" s="46" t="s">
        <v>1090</v>
      </c>
      <c r="O395" s="71" t="s">
        <v>1135</v>
      </c>
    </row>
    <row r="396" spans="1:15" ht="63.75" x14ac:dyDescent="0.2">
      <c r="A396" s="45" t="s">
        <v>1136</v>
      </c>
      <c r="B396" s="46" t="s">
        <v>1086</v>
      </c>
      <c r="C396" s="46" t="s">
        <v>1086</v>
      </c>
      <c r="D396" s="46" t="s">
        <v>1116</v>
      </c>
      <c r="E396" s="46" t="s">
        <v>1137</v>
      </c>
      <c r="F396" s="46" t="s">
        <v>1093</v>
      </c>
      <c r="G396" s="46" t="s">
        <v>1099</v>
      </c>
      <c r="H396" s="46" t="s">
        <v>68</v>
      </c>
      <c r="I396" s="46" t="s">
        <v>68</v>
      </c>
      <c r="J396" s="46" t="s">
        <v>71</v>
      </c>
      <c r="K396" s="47">
        <v>430</v>
      </c>
      <c r="L396" s="47">
        <v>750</v>
      </c>
      <c r="M396" s="47">
        <f t="shared" si="8"/>
        <v>1180</v>
      </c>
      <c r="N396" s="46" t="s">
        <v>1090</v>
      </c>
      <c r="O396" s="71" t="s">
        <v>1138</v>
      </c>
    </row>
    <row r="397" spans="1:15" ht="63.75" x14ac:dyDescent="0.2">
      <c r="A397" s="45" t="s">
        <v>1139</v>
      </c>
      <c r="B397" s="46" t="s">
        <v>1086</v>
      </c>
      <c r="C397" s="46" t="s">
        <v>1086</v>
      </c>
      <c r="D397" s="46" t="s">
        <v>1116</v>
      </c>
      <c r="E397" s="46" t="s">
        <v>1137</v>
      </c>
      <c r="F397" s="46" t="s">
        <v>1096</v>
      </c>
      <c r="G397" s="46" t="s">
        <v>1099</v>
      </c>
      <c r="H397" s="46" t="s">
        <v>68</v>
      </c>
      <c r="I397" s="46" t="s">
        <v>68</v>
      </c>
      <c r="J397" s="46" t="s">
        <v>71</v>
      </c>
      <c r="K397" s="47">
        <v>450</v>
      </c>
      <c r="L397" s="47">
        <v>795</v>
      </c>
      <c r="M397" s="47">
        <f t="shared" si="8"/>
        <v>1245</v>
      </c>
      <c r="N397" s="46" t="s">
        <v>1090</v>
      </c>
      <c r="O397" s="71" t="s">
        <v>1140</v>
      </c>
    </row>
    <row r="398" spans="1:15" ht="63.75" x14ac:dyDescent="0.2">
      <c r="A398" s="45" t="s">
        <v>1141</v>
      </c>
      <c r="B398" s="46" t="s">
        <v>1086</v>
      </c>
      <c r="C398" s="46" t="s">
        <v>1086</v>
      </c>
      <c r="D398" s="46" t="s">
        <v>1116</v>
      </c>
      <c r="E398" s="46" t="s">
        <v>1137</v>
      </c>
      <c r="F398" s="46" t="s">
        <v>1122</v>
      </c>
      <c r="G398" s="46" t="s">
        <v>1099</v>
      </c>
      <c r="H398" s="46" t="s">
        <v>68</v>
      </c>
      <c r="I398" s="46" t="s">
        <v>68</v>
      </c>
      <c r="J398" s="46" t="s">
        <v>71</v>
      </c>
      <c r="K398" s="47">
        <v>480</v>
      </c>
      <c r="L398" s="47">
        <v>945</v>
      </c>
      <c r="M398" s="47">
        <f t="shared" si="8"/>
        <v>1425</v>
      </c>
      <c r="N398" s="46" t="s">
        <v>1090</v>
      </c>
      <c r="O398" s="71" t="s">
        <v>1142</v>
      </c>
    </row>
    <row r="399" spans="1:15" ht="63.75" x14ac:dyDescent="0.2">
      <c r="A399" s="45" t="s">
        <v>1143</v>
      </c>
      <c r="B399" s="46" t="s">
        <v>1086</v>
      </c>
      <c r="C399" s="46" t="s">
        <v>1086</v>
      </c>
      <c r="D399" s="46" t="s">
        <v>1116</v>
      </c>
      <c r="E399" s="46" t="s">
        <v>1137</v>
      </c>
      <c r="F399" s="46" t="s">
        <v>1125</v>
      </c>
      <c r="G399" s="46" t="s">
        <v>1099</v>
      </c>
      <c r="H399" s="46" t="s">
        <v>68</v>
      </c>
      <c r="I399" s="46" t="s">
        <v>68</v>
      </c>
      <c r="J399" s="46" t="s">
        <v>71</v>
      </c>
      <c r="K399" s="47">
        <v>520</v>
      </c>
      <c r="L399" s="47">
        <v>1000</v>
      </c>
      <c r="M399" s="47">
        <f t="shared" si="8"/>
        <v>1520</v>
      </c>
      <c r="N399" s="46" t="s">
        <v>1090</v>
      </c>
      <c r="O399" s="71" t="s">
        <v>1144</v>
      </c>
    </row>
    <row r="400" spans="1:15" ht="63.75" x14ac:dyDescent="0.2">
      <c r="A400" s="45" t="s">
        <v>1145</v>
      </c>
      <c r="B400" s="46" t="s">
        <v>1086</v>
      </c>
      <c r="C400" s="46" t="s">
        <v>1086</v>
      </c>
      <c r="D400" s="46" t="s">
        <v>1116</v>
      </c>
      <c r="E400" s="46" t="s">
        <v>1146</v>
      </c>
      <c r="F400" s="46" t="s">
        <v>1093</v>
      </c>
      <c r="G400" s="46" t="s">
        <v>1099</v>
      </c>
      <c r="H400" s="46" t="s">
        <v>68</v>
      </c>
      <c r="I400" s="46" t="s">
        <v>68</v>
      </c>
      <c r="J400" s="46" t="s">
        <v>71</v>
      </c>
      <c r="K400" s="47">
        <v>415</v>
      </c>
      <c r="L400" s="47">
        <v>650</v>
      </c>
      <c r="M400" s="47">
        <f t="shared" si="8"/>
        <v>1065</v>
      </c>
      <c r="N400" s="46" t="s">
        <v>1090</v>
      </c>
      <c r="O400" s="71" t="s">
        <v>1147</v>
      </c>
    </row>
    <row r="401" spans="1:15" ht="63.75" x14ac:dyDescent="0.2">
      <c r="A401" s="45" t="s">
        <v>1148</v>
      </c>
      <c r="B401" s="46" t="s">
        <v>1086</v>
      </c>
      <c r="C401" s="46" t="s">
        <v>1086</v>
      </c>
      <c r="D401" s="46" t="s">
        <v>1116</v>
      </c>
      <c r="E401" s="46" t="s">
        <v>1146</v>
      </c>
      <c r="F401" s="46" t="s">
        <v>1096</v>
      </c>
      <c r="G401" s="46" t="s">
        <v>1099</v>
      </c>
      <c r="H401" s="46" t="s">
        <v>68</v>
      </c>
      <c r="I401" s="46" t="s">
        <v>68</v>
      </c>
      <c r="J401" s="46" t="s">
        <v>71</v>
      </c>
      <c r="K401" s="47">
        <v>440</v>
      </c>
      <c r="L401" s="47">
        <v>730</v>
      </c>
      <c r="M401" s="47">
        <f t="shared" si="8"/>
        <v>1170</v>
      </c>
      <c r="N401" s="46" t="s">
        <v>1090</v>
      </c>
      <c r="O401" s="71" t="s">
        <v>1149</v>
      </c>
    </row>
    <row r="402" spans="1:15" ht="63.75" x14ac:dyDescent="0.2">
      <c r="A402" s="45" t="s">
        <v>1150</v>
      </c>
      <c r="B402" s="46" t="s">
        <v>1086</v>
      </c>
      <c r="C402" s="46" t="s">
        <v>1086</v>
      </c>
      <c r="D402" s="46" t="s">
        <v>1116</v>
      </c>
      <c r="E402" s="46" t="s">
        <v>1146</v>
      </c>
      <c r="F402" s="46" t="s">
        <v>1122</v>
      </c>
      <c r="G402" s="46" t="s">
        <v>1099</v>
      </c>
      <c r="H402" s="46" t="s">
        <v>68</v>
      </c>
      <c r="I402" s="46" t="s">
        <v>68</v>
      </c>
      <c r="J402" s="46" t="s">
        <v>71</v>
      </c>
      <c r="K402" s="47">
        <v>480</v>
      </c>
      <c r="L402" s="47">
        <v>830</v>
      </c>
      <c r="M402" s="47">
        <f t="shared" ref="M402:M457" si="9">SUM(K402:L402)</f>
        <v>1310</v>
      </c>
      <c r="N402" s="46" t="s">
        <v>1090</v>
      </c>
      <c r="O402" s="71" t="s">
        <v>1151</v>
      </c>
    </row>
    <row r="403" spans="1:15" ht="63.75" x14ac:dyDescent="0.2">
      <c r="A403" s="45" t="s">
        <v>1152</v>
      </c>
      <c r="B403" s="46" t="s">
        <v>1086</v>
      </c>
      <c r="C403" s="46" t="s">
        <v>1086</v>
      </c>
      <c r="D403" s="46" t="s">
        <v>1116</v>
      </c>
      <c r="E403" s="46" t="s">
        <v>1146</v>
      </c>
      <c r="F403" s="46" t="s">
        <v>1125</v>
      </c>
      <c r="G403" s="46" t="s">
        <v>1099</v>
      </c>
      <c r="H403" s="46" t="s">
        <v>68</v>
      </c>
      <c r="I403" s="46" t="s">
        <v>68</v>
      </c>
      <c r="J403" s="46" t="s">
        <v>71</v>
      </c>
      <c r="K403" s="47">
        <v>510</v>
      </c>
      <c r="L403" s="47">
        <v>940</v>
      </c>
      <c r="M403" s="47">
        <f t="shared" si="9"/>
        <v>1450</v>
      </c>
      <c r="N403" s="46" t="s">
        <v>1090</v>
      </c>
      <c r="O403" s="71" t="s">
        <v>1153</v>
      </c>
    </row>
    <row r="404" spans="1:15" ht="38.25" x14ac:dyDescent="0.2">
      <c r="A404" s="45" t="s">
        <v>1154</v>
      </c>
      <c r="B404" s="81" t="s">
        <v>1155</v>
      </c>
      <c r="C404" s="81" t="s">
        <v>1155</v>
      </c>
      <c r="D404" s="81" t="s">
        <v>257</v>
      </c>
      <c r="E404" s="81" t="s">
        <v>68</v>
      </c>
      <c r="F404" s="81" t="s">
        <v>68</v>
      </c>
      <c r="G404" s="81" t="s">
        <v>68</v>
      </c>
      <c r="H404" s="81" t="s">
        <v>68</v>
      </c>
      <c r="I404" s="81" t="s">
        <v>68</v>
      </c>
      <c r="J404" s="81" t="s">
        <v>1156</v>
      </c>
      <c r="K404" s="47">
        <v>150</v>
      </c>
      <c r="L404" s="47">
        <v>70</v>
      </c>
      <c r="M404" s="47">
        <f t="shared" si="9"/>
        <v>220</v>
      </c>
      <c r="N404" s="46" t="s">
        <v>1157</v>
      </c>
      <c r="O404" s="71" t="s">
        <v>1158</v>
      </c>
    </row>
    <row r="405" spans="1:15" ht="25.5" x14ac:dyDescent="0.2">
      <c r="A405" s="45" t="s">
        <v>1159</v>
      </c>
      <c r="B405" s="81" t="s">
        <v>1160</v>
      </c>
      <c r="C405" s="81" t="s">
        <v>1160</v>
      </c>
      <c r="D405" s="81" t="s">
        <v>254</v>
      </c>
      <c r="E405" s="81" t="s">
        <v>68</v>
      </c>
      <c r="F405" s="81" t="s">
        <v>68</v>
      </c>
      <c r="G405" s="81" t="s">
        <v>68</v>
      </c>
      <c r="H405" s="81" t="s">
        <v>68</v>
      </c>
      <c r="I405" s="81" t="s">
        <v>68</v>
      </c>
      <c r="J405" s="81" t="s">
        <v>71</v>
      </c>
      <c r="K405" s="47">
        <v>160</v>
      </c>
      <c r="L405" s="47">
        <v>70</v>
      </c>
      <c r="M405" s="47">
        <f t="shared" si="9"/>
        <v>230</v>
      </c>
      <c r="N405" s="46" t="s">
        <v>1161</v>
      </c>
      <c r="O405" s="71" t="s">
        <v>1162</v>
      </c>
    </row>
    <row r="406" spans="1:15" ht="25.5" x14ac:dyDescent="0.2">
      <c r="A406" s="45" t="s">
        <v>1163</v>
      </c>
      <c r="B406" s="81" t="s">
        <v>1160</v>
      </c>
      <c r="C406" s="81" t="s">
        <v>1160</v>
      </c>
      <c r="D406" s="81" t="s">
        <v>1164</v>
      </c>
      <c r="E406" s="81" t="s">
        <v>68</v>
      </c>
      <c r="F406" s="81" t="s">
        <v>68</v>
      </c>
      <c r="G406" s="81" t="s">
        <v>68</v>
      </c>
      <c r="H406" s="81" t="s">
        <v>68</v>
      </c>
      <c r="I406" s="81" t="s">
        <v>68</v>
      </c>
      <c r="J406" s="81" t="s">
        <v>71</v>
      </c>
      <c r="K406" s="47">
        <v>180</v>
      </c>
      <c r="L406" s="47">
        <v>150</v>
      </c>
      <c r="M406" s="47">
        <f t="shared" si="9"/>
        <v>330</v>
      </c>
      <c r="N406" s="46" t="s">
        <v>1161</v>
      </c>
      <c r="O406" s="71" t="s">
        <v>1165</v>
      </c>
    </row>
    <row r="407" spans="1:15" ht="25.5" x14ac:dyDescent="0.2">
      <c r="A407" s="45" t="s">
        <v>1166</v>
      </c>
      <c r="B407" s="81" t="s">
        <v>1160</v>
      </c>
      <c r="C407" s="81" t="s">
        <v>1160</v>
      </c>
      <c r="D407" s="81" t="s">
        <v>1017</v>
      </c>
      <c r="E407" s="81" t="s">
        <v>68</v>
      </c>
      <c r="F407" s="81" t="s">
        <v>68</v>
      </c>
      <c r="G407" s="81" t="s">
        <v>68</v>
      </c>
      <c r="H407" s="81" t="s">
        <v>68</v>
      </c>
      <c r="I407" s="81" t="s">
        <v>68</v>
      </c>
      <c r="J407" s="81" t="s">
        <v>71</v>
      </c>
      <c r="K407" s="47">
        <v>200</v>
      </c>
      <c r="L407" s="47">
        <v>260</v>
      </c>
      <c r="M407" s="47">
        <f t="shared" si="9"/>
        <v>460</v>
      </c>
      <c r="N407" s="46" t="s">
        <v>1161</v>
      </c>
      <c r="O407" s="71" t="s">
        <v>1167</v>
      </c>
    </row>
    <row r="408" spans="1:15" ht="38.25" x14ac:dyDescent="0.2">
      <c r="A408" s="45" t="s">
        <v>1168</v>
      </c>
      <c r="B408" s="46" t="s">
        <v>1169</v>
      </c>
      <c r="C408" s="46" t="s">
        <v>1169</v>
      </c>
      <c r="D408" s="46" t="s">
        <v>1170</v>
      </c>
      <c r="E408" s="46" t="s">
        <v>1171</v>
      </c>
      <c r="F408" s="46" t="s">
        <v>68</v>
      </c>
      <c r="G408" s="46" t="s">
        <v>68</v>
      </c>
      <c r="H408" s="46" t="s">
        <v>68</v>
      </c>
      <c r="I408" s="46" t="s">
        <v>454</v>
      </c>
      <c r="J408" s="46" t="s">
        <v>71</v>
      </c>
      <c r="K408" s="47">
        <v>300</v>
      </c>
      <c r="L408" s="47">
        <v>510</v>
      </c>
      <c r="M408" s="47">
        <f t="shared" si="9"/>
        <v>810</v>
      </c>
      <c r="N408" s="46" t="s">
        <v>1172</v>
      </c>
      <c r="O408" s="71" t="s">
        <v>1173</v>
      </c>
    </row>
    <row r="409" spans="1:15" ht="38.25" x14ac:dyDescent="0.2">
      <c r="A409" s="45" t="s">
        <v>1174</v>
      </c>
      <c r="B409" s="46" t="s">
        <v>1169</v>
      </c>
      <c r="C409" s="46" t="s">
        <v>1169</v>
      </c>
      <c r="D409" s="46" t="s">
        <v>1170</v>
      </c>
      <c r="E409" s="46" t="s">
        <v>1171</v>
      </c>
      <c r="F409" s="46"/>
      <c r="G409" s="46"/>
      <c r="H409" s="46"/>
      <c r="I409" s="46" t="s">
        <v>445</v>
      </c>
      <c r="J409" s="46" t="s">
        <v>71</v>
      </c>
      <c r="K409" s="47">
        <v>300</v>
      </c>
      <c r="L409" s="47">
        <v>910</v>
      </c>
      <c r="M409" s="47">
        <f t="shared" si="9"/>
        <v>1210</v>
      </c>
      <c r="N409" s="46" t="s">
        <v>1172</v>
      </c>
      <c r="O409" s="71" t="s">
        <v>1175</v>
      </c>
    </row>
    <row r="410" spans="1:15" ht="38.25" x14ac:dyDescent="0.2">
      <c r="A410" s="45" t="s">
        <v>1176</v>
      </c>
      <c r="B410" s="46" t="s">
        <v>1177</v>
      </c>
      <c r="C410" s="46" t="s">
        <v>1177</v>
      </c>
      <c r="D410" s="46" t="s">
        <v>1178</v>
      </c>
      <c r="E410" s="46" t="s">
        <v>68</v>
      </c>
      <c r="F410" s="46" t="s">
        <v>68</v>
      </c>
      <c r="G410" s="46" t="s">
        <v>68</v>
      </c>
      <c r="H410" s="46" t="s">
        <v>68</v>
      </c>
      <c r="I410" s="46" t="s">
        <v>68</v>
      </c>
      <c r="J410" s="46" t="s">
        <v>71</v>
      </c>
      <c r="K410" s="47">
        <v>130</v>
      </c>
      <c r="L410" s="47">
        <v>30</v>
      </c>
      <c r="M410" s="47">
        <f t="shared" si="9"/>
        <v>160</v>
      </c>
      <c r="N410" s="46"/>
      <c r="O410" s="71" t="s">
        <v>1179</v>
      </c>
    </row>
    <row r="411" spans="1:15" ht="25.5" x14ac:dyDescent="0.2">
      <c r="A411" s="45" t="s">
        <v>1180</v>
      </c>
      <c r="B411" s="46" t="s">
        <v>1181</v>
      </c>
      <c r="C411" s="46" t="s">
        <v>1181</v>
      </c>
      <c r="D411" s="82" t="s">
        <v>1182</v>
      </c>
      <c r="E411" s="46" t="s">
        <v>1183</v>
      </c>
      <c r="F411" s="46" t="s">
        <v>68</v>
      </c>
      <c r="G411" s="46" t="s">
        <v>68</v>
      </c>
      <c r="H411" s="46" t="s">
        <v>68</v>
      </c>
      <c r="I411" s="46" t="s">
        <v>68</v>
      </c>
      <c r="J411" s="46" t="s">
        <v>71</v>
      </c>
      <c r="K411" s="47">
        <v>65</v>
      </c>
      <c r="L411" s="47">
        <v>0</v>
      </c>
      <c r="M411" s="47">
        <f t="shared" si="9"/>
        <v>65</v>
      </c>
      <c r="N411" s="46"/>
      <c r="O411" s="71" t="s">
        <v>68</v>
      </c>
    </row>
    <row r="412" spans="1:15" ht="12.75" x14ac:dyDescent="0.2">
      <c r="A412" s="34" t="s">
        <v>1184</v>
      </c>
      <c r="B412" s="35" t="s">
        <v>68</v>
      </c>
      <c r="C412" s="35" t="s">
        <v>68</v>
      </c>
      <c r="D412" s="35" t="s">
        <v>68</v>
      </c>
      <c r="E412" s="35" t="s">
        <v>68</v>
      </c>
      <c r="F412" s="35" t="s">
        <v>68</v>
      </c>
      <c r="G412" s="35" t="s">
        <v>68</v>
      </c>
      <c r="H412" s="35" t="s">
        <v>68</v>
      </c>
      <c r="I412" s="35" t="s">
        <v>68</v>
      </c>
      <c r="J412" s="35" t="s">
        <v>68</v>
      </c>
      <c r="K412" s="36" t="s">
        <v>68</v>
      </c>
      <c r="L412" s="36" t="s">
        <v>68</v>
      </c>
      <c r="M412" s="47">
        <f t="shared" si="9"/>
        <v>0</v>
      </c>
      <c r="N412" s="35"/>
      <c r="O412" s="35" t="s">
        <v>68</v>
      </c>
    </row>
    <row r="413" spans="1:15" ht="25.5" x14ac:dyDescent="0.2">
      <c r="A413" s="45" t="s">
        <v>1185</v>
      </c>
      <c r="B413" s="46" t="s">
        <v>1186</v>
      </c>
      <c r="C413" s="46" t="s">
        <v>1186</v>
      </c>
      <c r="D413" s="46" t="s">
        <v>68</v>
      </c>
      <c r="E413" s="46" t="s">
        <v>68</v>
      </c>
      <c r="F413" s="46" t="s">
        <v>68</v>
      </c>
      <c r="G413" s="46" t="s">
        <v>68</v>
      </c>
      <c r="H413" s="46" t="s">
        <v>68</v>
      </c>
      <c r="I413" s="46" t="s">
        <v>68</v>
      </c>
      <c r="J413" s="46" t="s">
        <v>68</v>
      </c>
      <c r="K413" s="47" t="s">
        <v>68</v>
      </c>
      <c r="L413" s="47" t="s">
        <v>68</v>
      </c>
      <c r="M413" s="47">
        <f t="shared" si="9"/>
        <v>0</v>
      </c>
      <c r="N413" s="46"/>
      <c r="O413" s="71" t="s">
        <v>1187</v>
      </c>
    </row>
    <row r="414" spans="1:15" ht="25.5" x14ac:dyDescent="0.2">
      <c r="A414" s="45" t="s">
        <v>1188</v>
      </c>
      <c r="B414" s="46" t="s">
        <v>1189</v>
      </c>
      <c r="C414" s="46" t="s">
        <v>1189</v>
      </c>
      <c r="D414" s="46" t="s">
        <v>68</v>
      </c>
      <c r="E414" s="46" t="s">
        <v>68</v>
      </c>
      <c r="F414" s="46" t="s">
        <v>68</v>
      </c>
      <c r="G414" s="46" t="s">
        <v>68</v>
      </c>
      <c r="H414" s="46" t="s">
        <v>68</v>
      </c>
      <c r="I414" s="46" t="s">
        <v>68</v>
      </c>
      <c r="J414" s="46" t="s">
        <v>68</v>
      </c>
      <c r="K414" s="47" t="s">
        <v>68</v>
      </c>
      <c r="L414" s="47" t="s">
        <v>68</v>
      </c>
      <c r="M414" s="47">
        <f t="shared" si="9"/>
        <v>0</v>
      </c>
      <c r="N414" s="46"/>
      <c r="O414" s="71" t="s">
        <v>1190</v>
      </c>
    </row>
    <row r="415" spans="1:15" ht="25.5" x14ac:dyDescent="0.2">
      <c r="A415" s="45" t="s">
        <v>1191</v>
      </c>
      <c r="B415" s="46" t="s">
        <v>1192</v>
      </c>
      <c r="C415" s="46" t="s">
        <v>1192</v>
      </c>
      <c r="D415" s="46" t="s">
        <v>68</v>
      </c>
      <c r="E415" s="46" t="s">
        <v>68</v>
      </c>
      <c r="F415" s="46" t="s">
        <v>68</v>
      </c>
      <c r="G415" s="46" t="s">
        <v>68</v>
      </c>
      <c r="H415" s="46" t="s">
        <v>68</v>
      </c>
      <c r="I415" s="46" t="s">
        <v>68</v>
      </c>
      <c r="J415" s="46" t="s">
        <v>68</v>
      </c>
      <c r="K415" s="47" t="s">
        <v>68</v>
      </c>
      <c r="L415" s="47" t="s">
        <v>68</v>
      </c>
      <c r="M415" s="47">
        <f t="shared" si="9"/>
        <v>0</v>
      </c>
      <c r="N415" s="46"/>
      <c r="O415" s="71" t="s">
        <v>1193</v>
      </c>
    </row>
    <row r="416" spans="1:15" ht="25.5" x14ac:dyDescent="0.2">
      <c r="A416" s="45" t="s">
        <v>1194</v>
      </c>
      <c r="B416" s="46" t="s">
        <v>1195</v>
      </c>
      <c r="C416" s="46" t="s">
        <v>1195</v>
      </c>
      <c r="D416" s="46" t="s">
        <v>68</v>
      </c>
      <c r="E416" s="46" t="s">
        <v>68</v>
      </c>
      <c r="F416" s="46" t="s">
        <v>68</v>
      </c>
      <c r="G416" s="46" t="s">
        <v>68</v>
      </c>
      <c r="H416" s="46" t="s">
        <v>68</v>
      </c>
      <c r="I416" s="46" t="s">
        <v>68</v>
      </c>
      <c r="J416" s="46" t="s">
        <v>68</v>
      </c>
      <c r="K416" s="47" t="s">
        <v>68</v>
      </c>
      <c r="L416" s="47" t="s">
        <v>68</v>
      </c>
      <c r="M416" s="47">
        <f t="shared" si="9"/>
        <v>0</v>
      </c>
      <c r="N416" s="46"/>
      <c r="O416" s="71" t="s">
        <v>1196</v>
      </c>
    </row>
    <row r="417" spans="1:15" ht="12.75" x14ac:dyDescent="0.2">
      <c r="A417" s="34" t="s">
        <v>1197</v>
      </c>
      <c r="B417" s="35" t="s">
        <v>68</v>
      </c>
      <c r="C417" s="35" t="s">
        <v>68</v>
      </c>
      <c r="D417" s="35" t="s">
        <v>68</v>
      </c>
      <c r="E417" s="35" t="s">
        <v>68</v>
      </c>
      <c r="F417" s="35" t="s">
        <v>68</v>
      </c>
      <c r="G417" s="35" t="s">
        <v>68</v>
      </c>
      <c r="H417" s="35" t="s">
        <v>68</v>
      </c>
      <c r="I417" s="35" t="s">
        <v>68</v>
      </c>
      <c r="J417" s="35" t="s">
        <v>68</v>
      </c>
      <c r="K417" s="36" t="s">
        <v>68</v>
      </c>
      <c r="L417" s="36" t="s">
        <v>68</v>
      </c>
      <c r="M417" s="47">
        <f t="shared" si="9"/>
        <v>0</v>
      </c>
      <c r="N417" s="35"/>
      <c r="O417" s="35" t="s">
        <v>68</v>
      </c>
    </row>
    <row r="418" spans="1:15" ht="38.25" x14ac:dyDescent="0.2">
      <c r="A418" s="45" t="s">
        <v>1198</v>
      </c>
      <c r="B418" s="46" t="s">
        <v>1199</v>
      </c>
      <c r="C418" s="46" t="s">
        <v>1199</v>
      </c>
      <c r="D418" s="46" t="s">
        <v>1200</v>
      </c>
      <c r="E418" s="46" t="s">
        <v>68</v>
      </c>
      <c r="F418" s="46" t="s">
        <v>68</v>
      </c>
      <c r="G418" s="46" t="s">
        <v>68</v>
      </c>
      <c r="H418" s="46" t="s">
        <v>1201</v>
      </c>
      <c r="I418" s="46" t="s">
        <v>68</v>
      </c>
      <c r="J418" s="46" t="s">
        <v>71</v>
      </c>
      <c r="K418" s="47">
        <v>900</v>
      </c>
      <c r="L418" s="47">
        <v>1800</v>
      </c>
      <c r="M418" s="47">
        <f t="shared" si="9"/>
        <v>2700</v>
      </c>
      <c r="N418" s="46" t="s">
        <v>1202</v>
      </c>
      <c r="O418" s="71" t="s">
        <v>1203</v>
      </c>
    </row>
    <row r="419" spans="1:15" ht="51" x14ac:dyDescent="0.2">
      <c r="A419" s="45" t="s">
        <v>1204</v>
      </c>
      <c r="B419" s="46" t="s">
        <v>1205</v>
      </c>
      <c r="C419" s="46" t="s">
        <v>1205</v>
      </c>
      <c r="D419" s="46" t="s">
        <v>1200</v>
      </c>
      <c r="E419" s="46" t="s">
        <v>68</v>
      </c>
      <c r="F419" s="46" t="s">
        <v>68</v>
      </c>
      <c r="G419" s="46" t="s">
        <v>1206</v>
      </c>
      <c r="H419" s="46" t="s">
        <v>68</v>
      </c>
      <c r="I419" s="46" t="s">
        <v>68</v>
      </c>
      <c r="J419" s="46" t="s">
        <v>71</v>
      </c>
      <c r="K419" s="47">
        <v>300</v>
      </c>
      <c r="L419" s="47">
        <v>500</v>
      </c>
      <c r="M419" s="47">
        <f t="shared" si="9"/>
        <v>800</v>
      </c>
      <c r="N419" s="46" t="s">
        <v>1207</v>
      </c>
      <c r="O419" s="71" t="s">
        <v>1208</v>
      </c>
    </row>
    <row r="420" spans="1:15" ht="51" x14ac:dyDescent="0.2">
      <c r="A420" s="45" t="s">
        <v>1209</v>
      </c>
      <c r="B420" s="46" t="s">
        <v>1210</v>
      </c>
      <c r="C420" s="46" t="s">
        <v>1210</v>
      </c>
      <c r="D420" s="46" t="s">
        <v>1200</v>
      </c>
      <c r="E420" s="46" t="s">
        <v>68</v>
      </c>
      <c r="F420" s="46" t="s">
        <v>68</v>
      </c>
      <c r="G420" s="46" t="s">
        <v>68</v>
      </c>
      <c r="H420" s="46" t="s">
        <v>68</v>
      </c>
      <c r="I420" s="46" t="s">
        <v>68</v>
      </c>
      <c r="J420" s="46" t="s">
        <v>71</v>
      </c>
      <c r="K420" s="47">
        <v>200</v>
      </c>
      <c r="L420" s="47">
        <v>200</v>
      </c>
      <c r="M420" s="47">
        <f t="shared" si="9"/>
        <v>400</v>
      </c>
      <c r="N420" s="46" t="s">
        <v>1211</v>
      </c>
      <c r="O420" s="71" t="s">
        <v>1212</v>
      </c>
    </row>
    <row r="421" spans="1:15" ht="12.75" x14ac:dyDescent="0.2">
      <c r="A421" s="34" t="s">
        <v>1213</v>
      </c>
      <c r="B421" s="35" t="s">
        <v>68</v>
      </c>
      <c r="C421" s="35" t="s">
        <v>68</v>
      </c>
      <c r="D421" s="35" t="s">
        <v>68</v>
      </c>
      <c r="E421" s="35" t="s">
        <v>68</v>
      </c>
      <c r="F421" s="35" t="s">
        <v>68</v>
      </c>
      <c r="G421" s="35" t="s">
        <v>68</v>
      </c>
      <c r="H421" s="35" t="s">
        <v>68</v>
      </c>
      <c r="I421" s="35" t="s">
        <v>68</v>
      </c>
      <c r="J421" s="35" t="s">
        <v>68</v>
      </c>
      <c r="K421" s="36" t="s">
        <v>68</v>
      </c>
      <c r="L421" s="36" t="s">
        <v>68</v>
      </c>
      <c r="M421" s="47">
        <f t="shared" si="9"/>
        <v>0</v>
      </c>
      <c r="N421" s="35"/>
      <c r="O421" s="35" t="s">
        <v>68</v>
      </c>
    </row>
    <row r="422" spans="1:15" ht="51" x14ac:dyDescent="0.2">
      <c r="A422" s="45" t="s">
        <v>1214</v>
      </c>
      <c r="B422" s="46" t="s">
        <v>1215</v>
      </c>
      <c r="C422" s="46" t="s">
        <v>1215</v>
      </c>
      <c r="D422" s="46" t="s">
        <v>1216</v>
      </c>
      <c r="E422" s="46" t="s">
        <v>1217</v>
      </c>
      <c r="F422" s="46"/>
      <c r="G422" s="46"/>
      <c r="H422" s="46" t="s">
        <v>68</v>
      </c>
      <c r="I422" s="46" t="s">
        <v>68</v>
      </c>
      <c r="J422" s="46" t="s">
        <v>71</v>
      </c>
      <c r="K422" s="47">
        <v>600</v>
      </c>
      <c r="L422" s="47">
        <v>0</v>
      </c>
      <c r="M422" s="47">
        <f t="shared" si="9"/>
        <v>600</v>
      </c>
      <c r="N422" s="46" t="s">
        <v>1218</v>
      </c>
      <c r="O422" s="71" t="s">
        <v>1219</v>
      </c>
    </row>
    <row r="423" spans="1:15" ht="51" x14ac:dyDescent="0.2">
      <c r="A423" s="45" t="s">
        <v>1220</v>
      </c>
      <c r="B423" s="46" t="s">
        <v>1221</v>
      </c>
      <c r="C423" s="46" t="s">
        <v>1221</v>
      </c>
      <c r="D423" s="46" t="s">
        <v>1216</v>
      </c>
      <c r="E423" s="46" t="s">
        <v>1222</v>
      </c>
      <c r="F423" s="46"/>
      <c r="G423" s="46"/>
      <c r="H423" s="46" t="s">
        <v>68</v>
      </c>
      <c r="I423" s="46" t="s">
        <v>68</v>
      </c>
      <c r="J423" s="46" t="s">
        <v>71</v>
      </c>
      <c r="K423" s="47">
        <v>800</v>
      </c>
      <c r="L423" s="47">
        <v>0</v>
      </c>
      <c r="M423" s="47">
        <f t="shared" si="9"/>
        <v>800</v>
      </c>
      <c r="N423" s="46" t="s">
        <v>1218</v>
      </c>
      <c r="O423" s="71" t="s">
        <v>1223</v>
      </c>
    </row>
    <row r="424" spans="1:15" ht="51" x14ac:dyDescent="0.2">
      <c r="A424" s="45" t="s">
        <v>1224</v>
      </c>
      <c r="B424" s="46" t="s">
        <v>1225</v>
      </c>
      <c r="C424" s="46" t="s">
        <v>1225</v>
      </c>
      <c r="D424" s="46" t="s">
        <v>1226</v>
      </c>
      <c r="E424" s="46"/>
      <c r="F424" s="46"/>
      <c r="G424" s="46" t="s">
        <v>68</v>
      </c>
      <c r="H424" s="46" t="s">
        <v>68</v>
      </c>
      <c r="I424" s="46" t="s">
        <v>68</v>
      </c>
      <c r="J424" s="46" t="s">
        <v>71</v>
      </c>
      <c r="K424" s="47">
        <v>250</v>
      </c>
      <c r="L424" s="47">
        <v>0</v>
      </c>
      <c r="M424" s="47">
        <f t="shared" si="9"/>
        <v>250</v>
      </c>
      <c r="N424" s="46" t="s">
        <v>1218</v>
      </c>
      <c r="O424" s="71" t="s">
        <v>1227</v>
      </c>
    </row>
    <row r="425" spans="1:15" ht="38.25" x14ac:dyDescent="0.2">
      <c r="A425" s="45" t="s">
        <v>1228</v>
      </c>
      <c r="B425" s="46" t="s">
        <v>1229</v>
      </c>
      <c r="C425" s="46" t="s">
        <v>1229</v>
      </c>
      <c r="D425" s="46" t="s">
        <v>1230</v>
      </c>
      <c r="E425" s="46" t="s">
        <v>68</v>
      </c>
      <c r="F425" s="46" t="s">
        <v>68</v>
      </c>
      <c r="G425" s="46" t="s">
        <v>68</v>
      </c>
      <c r="H425" s="46" t="s">
        <v>68</v>
      </c>
      <c r="I425" s="46" t="s">
        <v>68</v>
      </c>
      <c r="J425" s="46" t="s">
        <v>71</v>
      </c>
      <c r="K425" s="47">
        <v>250</v>
      </c>
      <c r="L425" s="47">
        <v>0</v>
      </c>
      <c r="M425" s="47">
        <f t="shared" si="9"/>
        <v>250</v>
      </c>
      <c r="N425" s="46" t="s">
        <v>1218</v>
      </c>
      <c r="O425" s="71" t="s">
        <v>1231</v>
      </c>
    </row>
    <row r="426" spans="1:15" ht="63.75" x14ac:dyDescent="0.2">
      <c r="A426" s="45" t="s">
        <v>1232</v>
      </c>
      <c r="B426" s="46" t="s">
        <v>1229</v>
      </c>
      <c r="C426" s="46" t="s">
        <v>1229</v>
      </c>
      <c r="D426" s="46" t="s">
        <v>1226</v>
      </c>
      <c r="E426" s="46" t="s">
        <v>1233</v>
      </c>
      <c r="F426" s="46"/>
      <c r="G426" s="46"/>
      <c r="H426" s="46" t="s">
        <v>68</v>
      </c>
      <c r="I426" s="46" t="s">
        <v>68</v>
      </c>
      <c r="J426" s="46" t="s">
        <v>71</v>
      </c>
      <c r="K426" s="47">
        <v>400</v>
      </c>
      <c r="L426" s="47">
        <v>20</v>
      </c>
      <c r="M426" s="47">
        <f t="shared" si="9"/>
        <v>420</v>
      </c>
      <c r="N426" s="46" t="s">
        <v>1218</v>
      </c>
      <c r="O426" s="71" t="s">
        <v>1234</v>
      </c>
    </row>
    <row r="427" spans="1:15" ht="51" x14ac:dyDescent="0.2">
      <c r="A427" s="45" t="s">
        <v>1235</v>
      </c>
      <c r="B427" s="46" t="s">
        <v>1229</v>
      </c>
      <c r="C427" s="46" t="s">
        <v>1229</v>
      </c>
      <c r="D427" s="46" t="s">
        <v>1216</v>
      </c>
      <c r="E427" s="46" t="s">
        <v>1233</v>
      </c>
      <c r="F427" s="46"/>
      <c r="G427" s="46"/>
      <c r="H427" s="46" t="s">
        <v>68</v>
      </c>
      <c r="I427" s="46" t="s">
        <v>68</v>
      </c>
      <c r="J427" s="46" t="s">
        <v>71</v>
      </c>
      <c r="K427" s="47">
        <v>800</v>
      </c>
      <c r="L427" s="47">
        <v>0</v>
      </c>
      <c r="M427" s="47">
        <f t="shared" si="9"/>
        <v>800</v>
      </c>
      <c r="N427" s="46" t="s">
        <v>1218</v>
      </c>
      <c r="O427" s="71" t="s">
        <v>1236</v>
      </c>
    </row>
    <row r="428" spans="1:15" ht="51" x14ac:dyDescent="0.2">
      <c r="A428" s="45" t="s">
        <v>1237</v>
      </c>
      <c r="B428" s="46" t="s">
        <v>1238</v>
      </c>
      <c r="C428" s="46" t="s">
        <v>1238</v>
      </c>
      <c r="D428" s="46" t="s">
        <v>1239</v>
      </c>
      <c r="E428" s="46"/>
      <c r="F428" s="46"/>
      <c r="G428" s="46"/>
      <c r="H428" s="46"/>
      <c r="I428" s="46"/>
      <c r="J428" s="46" t="s">
        <v>71</v>
      </c>
      <c r="K428" s="47">
        <v>180</v>
      </c>
      <c r="L428" s="47">
        <v>0</v>
      </c>
      <c r="M428" s="47">
        <f t="shared" si="9"/>
        <v>180</v>
      </c>
      <c r="N428" s="46" t="s">
        <v>1218</v>
      </c>
      <c r="O428" s="71" t="s">
        <v>1240</v>
      </c>
    </row>
    <row r="429" spans="1:15" ht="51" x14ac:dyDescent="0.2">
      <c r="A429" s="45" t="s">
        <v>1241</v>
      </c>
      <c r="B429" s="46" t="s">
        <v>1238</v>
      </c>
      <c r="C429" s="46" t="s">
        <v>1238</v>
      </c>
      <c r="D429" s="46" t="s">
        <v>1226</v>
      </c>
      <c r="E429" s="46" t="s">
        <v>1242</v>
      </c>
      <c r="F429" s="46" t="s">
        <v>68</v>
      </c>
      <c r="G429" s="46" t="s">
        <v>68</v>
      </c>
      <c r="H429" s="46" t="s">
        <v>68</v>
      </c>
      <c r="I429" s="46" t="s">
        <v>68</v>
      </c>
      <c r="J429" s="46" t="s">
        <v>71</v>
      </c>
      <c r="K429" s="47">
        <v>250</v>
      </c>
      <c r="L429" s="47">
        <v>0</v>
      </c>
      <c r="M429" s="47">
        <f t="shared" si="9"/>
        <v>250</v>
      </c>
      <c r="N429" s="46" t="s">
        <v>1218</v>
      </c>
      <c r="O429" s="71" t="s">
        <v>1243</v>
      </c>
    </row>
    <row r="430" spans="1:15" ht="38.25" x14ac:dyDescent="0.2">
      <c r="A430" s="45" t="s">
        <v>1244</v>
      </c>
      <c r="B430" s="46" t="s">
        <v>1245</v>
      </c>
      <c r="C430" s="46" t="s">
        <v>1245</v>
      </c>
      <c r="D430" s="46" t="s">
        <v>1216</v>
      </c>
      <c r="E430" s="46" t="s">
        <v>1242</v>
      </c>
      <c r="F430" s="46"/>
      <c r="G430" s="46" t="s">
        <v>68</v>
      </c>
      <c r="H430" s="46" t="s">
        <v>68</v>
      </c>
      <c r="I430" s="46" t="s">
        <v>68</v>
      </c>
      <c r="J430" s="46" t="s">
        <v>71</v>
      </c>
      <c r="K430" s="47">
        <v>500</v>
      </c>
      <c r="L430" s="47">
        <v>0</v>
      </c>
      <c r="M430" s="47">
        <f t="shared" si="9"/>
        <v>500</v>
      </c>
      <c r="N430" s="46" t="s">
        <v>1218</v>
      </c>
      <c r="O430" s="71" t="s">
        <v>1246</v>
      </c>
    </row>
    <row r="431" spans="1:15" ht="51" x14ac:dyDescent="0.2">
      <c r="A431" s="45" t="s">
        <v>1247</v>
      </c>
      <c r="B431" s="46" t="s">
        <v>1248</v>
      </c>
      <c r="C431" s="46" t="s">
        <v>1248</v>
      </c>
      <c r="D431" s="46" t="s">
        <v>1239</v>
      </c>
      <c r="E431" s="46"/>
      <c r="F431" s="46"/>
      <c r="G431" s="46"/>
      <c r="H431" s="46"/>
      <c r="I431" s="46"/>
      <c r="J431" s="46" t="s">
        <v>71</v>
      </c>
      <c r="K431" s="47">
        <v>180</v>
      </c>
      <c r="L431" s="47">
        <v>0</v>
      </c>
      <c r="M431" s="47">
        <f t="shared" si="9"/>
        <v>180</v>
      </c>
      <c r="N431" s="46" t="s">
        <v>1218</v>
      </c>
      <c r="O431" s="71" t="s">
        <v>1249</v>
      </c>
    </row>
    <row r="432" spans="1:15" ht="51" x14ac:dyDescent="0.2">
      <c r="A432" s="45" t="s">
        <v>1250</v>
      </c>
      <c r="B432" s="46" t="s">
        <v>1248</v>
      </c>
      <c r="C432" s="46" t="s">
        <v>1248</v>
      </c>
      <c r="D432" s="46" t="s">
        <v>1226</v>
      </c>
      <c r="E432" s="46" t="s">
        <v>1233</v>
      </c>
      <c r="F432" s="46"/>
      <c r="G432" s="46" t="s">
        <v>68</v>
      </c>
      <c r="H432" s="46" t="s">
        <v>68</v>
      </c>
      <c r="I432" s="46" t="s">
        <v>68</v>
      </c>
      <c r="J432" s="46" t="s">
        <v>71</v>
      </c>
      <c r="K432" s="47">
        <v>250</v>
      </c>
      <c r="L432" s="47">
        <v>0</v>
      </c>
      <c r="M432" s="47">
        <f t="shared" si="9"/>
        <v>250</v>
      </c>
      <c r="N432" s="46" t="s">
        <v>1218</v>
      </c>
      <c r="O432" s="71" t="s">
        <v>1251</v>
      </c>
    </row>
    <row r="433" spans="1:15" ht="38.25" x14ac:dyDescent="0.2">
      <c r="A433" s="45" t="s">
        <v>1252</v>
      </c>
      <c r="B433" s="46" t="s">
        <v>1248</v>
      </c>
      <c r="C433" s="46" t="s">
        <v>1248</v>
      </c>
      <c r="D433" s="46" t="s">
        <v>1216</v>
      </c>
      <c r="E433" s="46" t="s">
        <v>1233</v>
      </c>
      <c r="F433" s="46"/>
      <c r="G433" s="46"/>
      <c r="H433" s="46"/>
      <c r="I433" s="46"/>
      <c r="J433" s="46" t="s">
        <v>71</v>
      </c>
      <c r="K433" s="47">
        <v>500</v>
      </c>
      <c r="L433" s="47">
        <v>0</v>
      </c>
      <c r="M433" s="47">
        <f t="shared" si="9"/>
        <v>500</v>
      </c>
      <c r="N433" s="46" t="s">
        <v>1218</v>
      </c>
      <c r="O433" s="71" t="s">
        <v>1253</v>
      </c>
    </row>
    <row r="434" spans="1:15" ht="38.25" x14ac:dyDescent="0.2">
      <c r="A434" s="45" t="s">
        <v>1254</v>
      </c>
      <c r="B434" s="46" t="s">
        <v>1255</v>
      </c>
      <c r="C434" s="46" t="s">
        <v>1255</v>
      </c>
      <c r="D434" s="46" t="s">
        <v>1256</v>
      </c>
      <c r="E434" s="46" t="s">
        <v>1233</v>
      </c>
      <c r="F434" s="46"/>
      <c r="G434" s="46" t="s">
        <v>68</v>
      </c>
      <c r="H434" s="46" t="s">
        <v>68</v>
      </c>
      <c r="I434" s="46" t="s">
        <v>68</v>
      </c>
      <c r="J434" s="46" t="s">
        <v>71</v>
      </c>
      <c r="K434" s="47">
        <v>200</v>
      </c>
      <c r="L434" s="47">
        <v>0</v>
      </c>
      <c r="M434" s="47">
        <f t="shared" si="9"/>
        <v>200</v>
      </c>
      <c r="N434" s="46" t="s">
        <v>1218</v>
      </c>
      <c r="O434" s="71" t="s">
        <v>1257</v>
      </c>
    </row>
    <row r="435" spans="1:15" ht="12.75" x14ac:dyDescent="0.2">
      <c r="A435" s="34" t="s">
        <v>1258</v>
      </c>
      <c r="B435" s="35" t="s">
        <v>68</v>
      </c>
      <c r="C435" s="35" t="s">
        <v>68</v>
      </c>
      <c r="D435" s="35" t="s">
        <v>68</v>
      </c>
      <c r="E435" s="35" t="s">
        <v>68</v>
      </c>
      <c r="F435" s="35" t="s">
        <v>68</v>
      </c>
      <c r="G435" s="35" t="s">
        <v>68</v>
      </c>
      <c r="H435" s="35" t="s">
        <v>68</v>
      </c>
      <c r="I435" s="35" t="s">
        <v>68</v>
      </c>
      <c r="J435" s="35" t="s">
        <v>68</v>
      </c>
      <c r="K435" s="36" t="s">
        <v>68</v>
      </c>
      <c r="L435" s="36" t="s">
        <v>68</v>
      </c>
      <c r="M435" s="47">
        <f t="shared" si="9"/>
        <v>0</v>
      </c>
      <c r="N435" s="35"/>
      <c r="O435" s="35" t="s">
        <v>68</v>
      </c>
    </row>
    <row r="436" spans="1:15" ht="25.5" x14ac:dyDescent="0.2">
      <c r="A436" s="45" t="s">
        <v>1259</v>
      </c>
      <c r="B436" s="46" t="s">
        <v>1260</v>
      </c>
      <c r="C436" s="46" t="s">
        <v>1260</v>
      </c>
      <c r="D436" s="46" t="s">
        <v>676</v>
      </c>
      <c r="E436" s="46" t="s">
        <v>254</v>
      </c>
      <c r="F436" s="46" t="s">
        <v>68</v>
      </c>
      <c r="G436" s="46" t="s">
        <v>68</v>
      </c>
      <c r="H436" s="46" t="s">
        <v>68</v>
      </c>
      <c r="I436" s="46" t="s">
        <v>68</v>
      </c>
      <c r="J436" s="46" t="s">
        <v>71</v>
      </c>
      <c r="K436" s="47">
        <v>130</v>
      </c>
      <c r="L436" s="47">
        <v>10</v>
      </c>
      <c r="M436" s="47">
        <f t="shared" si="9"/>
        <v>140</v>
      </c>
      <c r="N436" s="46" t="s">
        <v>1261</v>
      </c>
      <c r="O436" s="71" t="s">
        <v>1262</v>
      </c>
    </row>
    <row r="437" spans="1:15" ht="25.5" x14ac:dyDescent="0.2">
      <c r="A437" s="45" t="s">
        <v>1263</v>
      </c>
      <c r="B437" s="46" t="s">
        <v>1260</v>
      </c>
      <c r="C437" s="46" t="s">
        <v>1260</v>
      </c>
      <c r="D437" s="46" t="s">
        <v>676</v>
      </c>
      <c r="E437" s="46" t="s">
        <v>1017</v>
      </c>
      <c r="F437" s="46" t="s">
        <v>68</v>
      </c>
      <c r="G437" s="46" t="s">
        <v>68</v>
      </c>
      <c r="H437" s="46" t="s">
        <v>68</v>
      </c>
      <c r="I437" s="46" t="s">
        <v>68</v>
      </c>
      <c r="J437" s="46" t="s">
        <v>71</v>
      </c>
      <c r="K437" s="47">
        <v>130</v>
      </c>
      <c r="L437" s="47">
        <v>20</v>
      </c>
      <c r="M437" s="47">
        <f t="shared" si="9"/>
        <v>150</v>
      </c>
      <c r="N437" s="46" t="s">
        <v>1261</v>
      </c>
      <c r="O437" s="71" t="s">
        <v>1264</v>
      </c>
    </row>
    <row r="438" spans="1:15" ht="25.5" x14ac:dyDescent="0.2">
      <c r="A438" s="45" t="s">
        <v>1265</v>
      </c>
      <c r="B438" s="46" t="s">
        <v>1260</v>
      </c>
      <c r="C438" s="46" t="s">
        <v>1260</v>
      </c>
      <c r="D438" s="46" t="s">
        <v>692</v>
      </c>
      <c r="E438" s="46" t="s">
        <v>1266</v>
      </c>
      <c r="F438" s="46" t="s">
        <v>1267</v>
      </c>
      <c r="G438" s="46" t="s">
        <v>68</v>
      </c>
      <c r="H438" s="46" t="s">
        <v>68</v>
      </c>
      <c r="I438" s="46" t="s">
        <v>68</v>
      </c>
      <c r="J438" s="46" t="s">
        <v>71</v>
      </c>
      <c r="K438" s="47">
        <v>140</v>
      </c>
      <c r="L438" s="47">
        <v>50</v>
      </c>
      <c r="M438" s="47">
        <f t="shared" si="9"/>
        <v>190</v>
      </c>
      <c r="N438" s="46" t="s">
        <v>1261</v>
      </c>
      <c r="O438" s="71" t="s">
        <v>1268</v>
      </c>
    </row>
    <row r="439" spans="1:15" ht="38.25" x14ac:dyDescent="0.2">
      <c r="A439" s="45" t="s">
        <v>1269</v>
      </c>
      <c r="B439" s="46" t="s">
        <v>1260</v>
      </c>
      <c r="C439" s="46" t="s">
        <v>1260</v>
      </c>
      <c r="D439" s="46" t="s">
        <v>692</v>
      </c>
      <c r="E439" s="46" t="s">
        <v>1266</v>
      </c>
      <c r="F439" s="46" t="s">
        <v>1270</v>
      </c>
      <c r="G439" s="46" t="s">
        <v>1271</v>
      </c>
      <c r="H439" s="46" t="s">
        <v>68</v>
      </c>
      <c r="I439" s="46" t="s">
        <v>68</v>
      </c>
      <c r="J439" s="46" t="s">
        <v>71</v>
      </c>
      <c r="K439" s="47">
        <v>145</v>
      </c>
      <c r="L439" s="47">
        <v>55</v>
      </c>
      <c r="M439" s="47">
        <f t="shared" si="9"/>
        <v>200</v>
      </c>
      <c r="N439" s="46" t="s">
        <v>1261</v>
      </c>
      <c r="O439" s="71" t="s">
        <v>1272</v>
      </c>
    </row>
    <row r="440" spans="1:15" ht="12.75" x14ac:dyDescent="0.2">
      <c r="A440" s="34" t="s">
        <v>1273</v>
      </c>
      <c r="B440" s="35" t="s">
        <v>68</v>
      </c>
      <c r="C440" s="35" t="s">
        <v>68</v>
      </c>
      <c r="D440" s="35" t="s">
        <v>68</v>
      </c>
      <c r="E440" s="35" t="s">
        <v>68</v>
      </c>
      <c r="F440" s="35" t="s">
        <v>68</v>
      </c>
      <c r="G440" s="35" t="s">
        <v>68</v>
      </c>
      <c r="H440" s="35" t="s">
        <v>68</v>
      </c>
      <c r="I440" s="35" t="s">
        <v>68</v>
      </c>
      <c r="J440" s="35" t="s">
        <v>68</v>
      </c>
      <c r="K440" s="36" t="s">
        <v>68</v>
      </c>
      <c r="L440" s="36" t="s">
        <v>68</v>
      </c>
      <c r="M440" s="47">
        <f t="shared" si="9"/>
        <v>0</v>
      </c>
      <c r="N440" s="35"/>
      <c r="O440" s="35" t="s">
        <v>68</v>
      </c>
    </row>
    <row r="441" spans="1:15" ht="89.25" x14ac:dyDescent="0.2">
      <c r="A441" s="45" t="s">
        <v>1274</v>
      </c>
      <c r="B441" s="46" t="s">
        <v>1275</v>
      </c>
      <c r="C441" s="46" t="s">
        <v>1275</v>
      </c>
      <c r="D441" s="46" t="s">
        <v>1276</v>
      </c>
      <c r="E441" s="46" t="s">
        <v>1277</v>
      </c>
      <c r="F441" s="46" t="s">
        <v>68</v>
      </c>
      <c r="G441" s="46" t="s">
        <v>68</v>
      </c>
      <c r="H441" s="46" t="s">
        <v>68</v>
      </c>
      <c r="I441" s="46" t="s">
        <v>68</v>
      </c>
      <c r="J441" s="46" t="s">
        <v>71</v>
      </c>
      <c r="K441" s="47">
        <v>400</v>
      </c>
      <c r="L441" s="47">
        <v>0</v>
      </c>
      <c r="M441" s="47">
        <f t="shared" si="9"/>
        <v>400</v>
      </c>
      <c r="N441" s="46" t="s">
        <v>1278</v>
      </c>
      <c r="O441" s="71" t="s">
        <v>1279</v>
      </c>
    </row>
    <row r="442" spans="1:15" ht="89.25" x14ac:dyDescent="0.2">
      <c r="A442" s="45" t="s">
        <v>1280</v>
      </c>
      <c r="B442" s="46" t="s">
        <v>1275</v>
      </c>
      <c r="C442" s="46" t="s">
        <v>1275</v>
      </c>
      <c r="D442" s="46" t="s">
        <v>1281</v>
      </c>
      <c r="E442" s="46" t="s">
        <v>1277</v>
      </c>
      <c r="F442" s="46" t="s">
        <v>68</v>
      </c>
      <c r="G442" s="46" t="s">
        <v>68</v>
      </c>
      <c r="H442" s="46" t="s">
        <v>68</v>
      </c>
      <c r="I442" s="46" t="s">
        <v>68</v>
      </c>
      <c r="J442" s="46" t="s">
        <v>71</v>
      </c>
      <c r="K442" s="47">
        <v>400</v>
      </c>
      <c r="L442" s="47">
        <v>0</v>
      </c>
      <c r="M442" s="47">
        <f t="shared" si="9"/>
        <v>400</v>
      </c>
      <c r="N442" s="46" t="s">
        <v>1278</v>
      </c>
      <c r="O442" s="71" t="s">
        <v>1282</v>
      </c>
    </row>
    <row r="443" spans="1:15" ht="89.25" x14ac:dyDescent="0.2">
      <c r="A443" s="45" t="s">
        <v>1283</v>
      </c>
      <c r="B443" s="46" t="s">
        <v>1275</v>
      </c>
      <c r="C443" s="46" t="s">
        <v>1275</v>
      </c>
      <c r="D443" s="46" t="s">
        <v>1284</v>
      </c>
      <c r="E443" s="46" t="s">
        <v>1277</v>
      </c>
      <c r="F443" s="46" t="s">
        <v>68</v>
      </c>
      <c r="G443" s="46" t="s">
        <v>68</v>
      </c>
      <c r="H443" s="46" t="s">
        <v>68</v>
      </c>
      <c r="I443" s="46" t="s">
        <v>68</v>
      </c>
      <c r="J443" s="46" t="s">
        <v>71</v>
      </c>
      <c r="K443" s="47">
        <v>800</v>
      </c>
      <c r="L443" s="47">
        <v>0</v>
      </c>
      <c r="M443" s="47">
        <f t="shared" si="9"/>
        <v>800</v>
      </c>
      <c r="N443" s="46" t="s">
        <v>1278</v>
      </c>
      <c r="O443" s="71" t="s">
        <v>1285</v>
      </c>
    </row>
    <row r="444" spans="1:15" ht="12.75" x14ac:dyDescent="0.2">
      <c r="A444" s="34" t="s">
        <v>1286</v>
      </c>
      <c r="B444" s="35" t="s">
        <v>68</v>
      </c>
      <c r="C444" s="35" t="s">
        <v>68</v>
      </c>
      <c r="D444" s="35" t="s">
        <v>68</v>
      </c>
      <c r="E444" s="35" t="s">
        <v>68</v>
      </c>
      <c r="F444" s="35" t="s">
        <v>68</v>
      </c>
      <c r="G444" s="35" t="s">
        <v>68</v>
      </c>
      <c r="H444" s="35" t="s">
        <v>68</v>
      </c>
      <c r="I444" s="35" t="s">
        <v>68</v>
      </c>
      <c r="J444" s="35" t="s">
        <v>68</v>
      </c>
      <c r="K444" s="36" t="s">
        <v>68</v>
      </c>
      <c r="L444" s="36" t="s">
        <v>68</v>
      </c>
      <c r="M444" s="47">
        <f t="shared" si="9"/>
        <v>0</v>
      </c>
      <c r="N444" s="35"/>
      <c r="O444" s="35" t="s">
        <v>68</v>
      </c>
    </row>
    <row r="445" spans="1:15" ht="38.25" x14ac:dyDescent="0.2">
      <c r="A445" s="45" t="s">
        <v>1287</v>
      </c>
      <c r="B445" s="46" t="s">
        <v>1288</v>
      </c>
      <c r="C445" s="46" t="s">
        <v>1288</v>
      </c>
      <c r="D445" s="46" t="s">
        <v>1289</v>
      </c>
      <c r="E445" s="46" t="s">
        <v>257</v>
      </c>
      <c r="F445" s="46" t="s">
        <v>68</v>
      </c>
      <c r="G445" s="46" t="s">
        <v>68</v>
      </c>
      <c r="H445" s="46" t="s">
        <v>68</v>
      </c>
      <c r="I445" s="46" t="s">
        <v>68</v>
      </c>
      <c r="J445" s="46" t="s">
        <v>71</v>
      </c>
      <c r="K445" s="47">
        <v>150</v>
      </c>
      <c r="L445" s="47">
        <v>90</v>
      </c>
      <c r="M445" s="47">
        <f t="shared" si="9"/>
        <v>240</v>
      </c>
      <c r="N445" s="46" t="s">
        <v>1290</v>
      </c>
      <c r="O445" s="71" t="s">
        <v>1291</v>
      </c>
    </row>
    <row r="446" spans="1:15" ht="38.25" x14ac:dyDescent="0.2">
      <c r="A446" s="45" t="s">
        <v>1292</v>
      </c>
      <c r="B446" s="46" t="s">
        <v>1293</v>
      </c>
      <c r="C446" s="46" t="s">
        <v>1293</v>
      </c>
      <c r="D446" s="46" t="s">
        <v>1289</v>
      </c>
      <c r="E446" s="46" t="s">
        <v>257</v>
      </c>
      <c r="F446" s="46" t="s">
        <v>68</v>
      </c>
      <c r="G446" s="46" t="s">
        <v>68</v>
      </c>
      <c r="H446" s="46" t="s">
        <v>68</v>
      </c>
      <c r="I446" s="46" t="s">
        <v>68</v>
      </c>
      <c r="J446" s="46" t="s">
        <v>71</v>
      </c>
      <c r="K446" s="47">
        <v>150</v>
      </c>
      <c r="L446" s="47">
        <v>80</v>
      </c>
      <c r="M446" s="47">
        <f t="shared" si="9"/>
        <v>230</v>
      </c>
      <c r="N446" s="46" t="s">
        <v>1294</v>
      </c>
      <c r="O446" s="71" t="s">
        <v>1295</v>
      </c>
    </row>
    <row r="447" spans="1:15" ht="38.25" x14ac:dyDescent="0.2">
      <c r="A447" s="45" t="s">
        <v>1296</v>
      </c>
      <c r="B447" s="46" t="s">
        <v>1297</v>
      </c>
      <c r="C447" s="46" t="s">
        <v>1297</v>
      </c>
      <c r="D447" s="46" t="s">
        <v>1289</v>
      </c>
      <c r="E447" s="46" t="s">
        <v>257</v>
      </c>
      <c r="F447" s="46" t="s">
        <v>68</v>
      </c>
      <c r="G447" s="46" t="s">
        <v>68</v>
      </c>
      <c r="H447" s="46" t="s">
        <v>68</v>
      </c>
      <c r="I447" s="46" t="s">
        <v>68</v>
      </c>
      <c r="J447" s="46" t="s">
        <v>71</v>
      </c>
      <c r="K447" s="47">
        <v>150</v>
      </c>
      <c r="L447" s="47">
        <v>85</v>
      </c>
      <c r="M447" s="47">
        <f t="shared" si="9"/>
        <v>235</v>
      </c>
      <c r="N447" s="46" t="s">
        <v>1298</v>
      </c>
      <c r="O447" s="71" t="s">
        <v>1299</v>
      </c>
    </row>
    <row r="448" spans="1:15" ht="25.5" x14ac:dyDescent="0.2">
      <c r="A448" s="45" t="s">
        <v>1300</v>
      </c>
      <c r="B448" s="46" t="s">
        <v>1301</v>
      </c>
      <c r="C448" s="46" t="s">
        <v>1301</v>
      </c>
      <c r="D448" s="46" t="s">
        <v>1289</v>
      </c>
      <c r="E448" s="46" t="s">
        <v>257</v>
      </c>
      <c r="F448" s="46" t="s">
        <v>68</v>
      </c>
      <c r="G448" s="46" t="s">
        <v>68</v>
      </c>
      <c r="H448" s="46" t="s">
        <v>68</v>
      </c>
      <c r="I448" s="46" t="s">
        <v>68</v>
      </c>
      <c r="J448" s="46" t="s">
        <v>71</v>
      </c>
      <c r="K448" s="47">
        <v>150</v>
      </c>
      <c r="L448" s="47">
        <v>25</v>
      </c>
      <c r="M448" s="47">
        <f t="shared" si="9"/>
        <v>175</v>
      </c>
      <c r="N448" s="46" t="s">
        <v>1302</v>
      </c>
      <c r="O448" s="71" t="s">
        <v>1303</v>
      </c>
    </row>
    <row r="449" spans="1:15" ht="12.75" x14ac:dyDescent="0.2">
      <c r="A449" s="34" t="s">
        <v>1304</v>
      </c>
      <c r="B449" s="35" t="s">
        <v>68</v>
      </c>
      <c r="C449" s="35" t="s">
        <v>68</v>
      </c>
      <c r="D449" s="35" t="s">
        <v>68</v>
      </c>
      <c r="E449" s="35" t="s">
        <v>68</v>
      </c>
      <c r="F449" s="35" t="s">
        <v>68</v>
      </c>
      <c r="G449" s="35" t="s">
        <v>68</v>
      </c>
      <c r="H449" s="35" t="s">
        <v>68</v>
      </c>
      <c r="I449" s="35" t="s">
        <v>68</v>
      </c>
      <c r="J449" s="35" t="s">
        <v>68</v>
      </c>
      <c r="K449" s="36" t="s">
        <v>68</v>
      </c>
      <c r="L449" s="36" t="s">
        <v>68</v>
      </c>
      <c r="M449" s="47">
        <f t="shared" si="9"/>
        <v>0</v>
      </c>
      <c r="N449" s="35"/>
      <c r="O449" s="35" t="s">
        <v>68</v>
      </c>
    </row>
    <row r="450" spans="1:15" ht="38.25" x14ac:dyDescent="0.2">
      <c r="A450" s="45" t="s">
        <v>1305</v>
      </c>
      <c r="B450" s="46" t="s">
        <v>1306</v>
      </c>
      <c r="C450" s="46" t="s">
        <v>1306</v>
      </c>
      <c r="D450" s="46" t="s">
        <v>1307</v>
      </c>
      <c r="E450" s="46" t="s">
        <v>1308</v>
      </c>
      <c r="F450" s="46" t="s">
        <v>68</v>
      </c>
      <c r="G450" s="46" t="s">
        <v>68</v>
      </c>
      <c r="H450" s="46" t="s">
        <v>68</v>
      </c>
      <c r="I450" s="46" t="s">
        <v>68</v>
      </c>
      <c r="J450" s="46" t="s">
        <v>71</v>
      </c>
      <c r="K450" s="47">
        <v>150</v>
      </c>
      <c r="L450" s="47">
        <v>50</v>
      </c>
      <c r="M450" s="47">
        <f t="shared" si="9"/>
        <v>200</v>
      </c>
      <c r="N450" s="46" t="s">
        <v>1309</v>
      </c>
      <c r="O450" s="71" t="s">
        <v>1310</v>
      </c>
    </row>
    <row r="451" spans="1:15" ht="38.25" x14ac:dyDescent="0.2">
      <c r="A451" s="45" t="s">
        <v>1311</v>
      </c>
      <c r="B451" s="46" t="s">
        <v>1306</v>
      </c>
      <c r="C451" s="46" t="s">
        <v>1306</v>
      </c>
      <c r="D451" s="46" t="s">
        <v>1312</v>
      </c>
      <c r="E451" s="46" t="s">
        <v>68</v>
      </c>
      <c r="F451" s="46" t="s">
        <v>68</v>
      </c>
      <c r="G451" s="46" t="s">
        <v>68</v>
      </c>
      <c r="H451" s="46" t="s">
        <v>68</v>
      </c>
      <c r="I451" s="46" t="s">
        <v>68</v>
      </c>
      <c r="J451" s="46" t="s">
        <v>71</v>
      </c>
      <c r="K451" s="47">
        <v>180</v>
      </c>
      <c r="L451" s="47">
        <v>120</v>
      </c>
      <c r="M451" s="47">
        <f t="shared" si="9"/>
        <v>300</v>
      </c>
      <c r="N451" s="46" t="s">
        <v>1313</v>
      </c>
      <c r="O451" s="71" t="s">
        <v>1314</v>
      </c>
    </row>
    <row r="452" spans="1:15" ht="51" x14ac:dyDescent="0.2">
      <c r="A452" s="45" t="s">
        <v>1315</v>
      </c>
      <c r="B452" s="46" t="s">
        <v>1316</v>
      </c>
      <c r="C452" s="46" t="s">
        <v>1316</v>
      </c>
      <c r="D452" s="46" t="s">
        <v>257</v>
      </c>
      <c r="E452" s="46" t="s">
        <v>1317</v>
      </c>
      <c r="F452" s="46" t="s">
        <v>68</v>
      </c>
      <c r="G452" s="46" t="s">
        <v>68</v>
      </c>
      <c r="H452" s="46" t="s">
        <v>68</v>
      </c>
      <c r="I452" s="46" t="s">
        <v>68</v>
      </c>
      <c r="J452" s="46" t="s">
        <v>71</v>
      </c>
      <c r="K452" s="47">
        <v>150</v>
      </c>
      <c r="L452" s="47">
        <v>80</v>
      </c>
      <c r="M452" s="47">
        <f t="shared" si="9"/>
        <v>230</v>
      </c>
      <c r="N452" s="46" t="s">
        <v>1318</v>
      </c>
      <c r="O452" s="71" t="s">
        <v>1319</v>
      </c>
    </row>
    <row r="453" spans="1:15" ht="51" x14ac:dyDescent="0.2">
      <c r="A453" s="45" t="s">
        <v>1320</v>
      </c>
      <c r="B453" s="46" t="s">
        <v>1316</v>
      </c>
      <c r="C453" s="46" t="s">
        <v>1316</v>
      </c>
      <c r="D453" s="46" t="s">
        <v>257</v>
      </c>
      <c r="E453" s="46" t="s">
        <v>1321</v>
      </c>
      <c r="F453" s="46" t="s">
        <v>68</v>
      </c>
      <c r="G453" s="46" t="s">
        <v>68</v>
      </c>
      <c r="H453" s="46" t="s">
        <v>68</v>
      </c>
      <c r="I453" s="46" t="s">
        <v>68</v>
      </c>
      <c r="J453" s="46" t="s">
        <v>71</v>
      </c>
      <c r="K453" s="47">
        <v>170</v>
      </c>
      <c r="L453" s="47">
        <v>150</v>
      </c>
      <c r="M453" s="47">
        <f t="shared" si="9"/>
        <v>320</v>
      </c>
      <c r="N453" s="46" t="s">
        <v>1318</v>
      </c>
      <c r="O453" s="71" t="s">
        <v>1322</v>
      </c>
    </row>
    <row r="454" spans="1:15" ht="38.25" x14ac:dyDescent="0.2">
      <c r="A454" s="45" t="s">
        <v>1323</v>
      </c>
      <c r="B454" s="46" t="s">
        <v>1324</v>
      </c>
      <c r="C454" s="46" t="s">
        <v>1324</v>
      </c>
      <c r="D454" s="46" t="s">
        <v>1325</v>
      </c>
      <c r="E454" s="46" t="s">
        <v>68</v>
      </c>
      <c r="F454" s="46" t="s">
        <v>68</v>
      </c>
      <c r="G454" s="46" t="s">
        <v>68</v>
      </c>
      <c r="H454" s="46" t="s">
        <v>68</v>
      </c>
      <c r="I454" s="46" t="s">
        <v>68</v>
      </c>
      <c r="J454" s="46" t="s">
        <v>71</v>
      </c>
      <c r="K454" s="47">
        <v>150</v>
      </c>
      <c r="L454" s="47">
        <v>50</v>
      </c>
      <c r="M454" s="47">
        <f t="shared" si="9"/>
        <v>200</v>
      </c>
      <c r="N454" s="46" t="s">
        <v>1326</v>
      </c>
      <c r="O454" s="71" t="s">
        <v>1327</v>
      </c>
    </row>
    <row r="455" spans="1:15" ht="63.75" x14ac:dyDescent="0.2">
      <c r="A455" s="45" t="s">
        <v>1328</v>
      </c>
      <c r="B455" s="46" t="s">
        <v>1329</v>
      </c>
      <c r="C455" s="46" t="s">
        <v>1329</v>
      </c>
      <c r="D455" s="46" t="s">
        <v>68</v>
      </c>
      <c r="E455" s="46" t="s">
        <v>68</v>
      </c>
      <c r="F455" s="46" t="s">
        <v>68</v>
      </c>
      <c r="G455" s="46" t="s">
        <v>68</v>
      </c>
      <c r="H455" s="46" t="s">
        <v>68</v>
      </c>
      <c r="I455" s="46" t="s">
        <v>68</v>
      </c>
      <c r="J455" s="46" t="s">
        <v>71</v>
      </c>
      <c r="K455" s="47">
        <v>900</v>
      </c>
      <c r="L455" s="47">
        <v>0</v>
      </c>
      <c r="M455" s="47">
        <f t="shared" si="9"/>
        <v>900</v>
      </c>
      <c r="N455" s="46" t="s">
        <v>1278</v>
      </c>
      <c r="O455" s="71" t="s">
        <v>1330</v>
      </c>
    </row>
    <row r="456" spans="1:15" ht="51" x14ac:dyDescent="0.2">
      <c r="A456" s="45" t="s">
        <v>1331</v>
      </c>
      <c r="B456" s="46" t="s">
        <v>1332</v>
      </c>
      <c r="C456" s="46" t="s">
        <v>1332</v>
      </c>
      <c r="D456" s="46" t="s">
        <v>1333</v>
      </c>
      <c r="E456" s="46" t="s">
        <v>1334</v>
      </c>
      <c r="F456" s="46" t="s">
        <v>1335</v>
      </c>
      <c r="G456" s="46"/>
      <c r="H456" s="46" t="s">
        <v>68</v>
      </c>
      <c r="I456" s="46" t="s">
        <v>68</v>
      </c>
      <c r="J456" s="46" t="s">
        <v>71</v>
      </c>
      <c r="K456" s="47">
        <v>210</v>
      </c>
      <c r="L456" s="47">
        <v>400</v>
      </c>
      <c r="M456" s="47">
        <f t="shared" si="9"/>
        <v>610</v>
      </c>
      <c r="N456" s="46" t="s">
        <v>1336</v>
      </c>
      <c r="O456" s="71" t="s">
        <v>1337</v>
      </c>
    </row>
    <row r="457" spans="1:15" ht="51" x14ac:dyDescent="0.2">
      <c r="A457" s="45" t="s">
        <v>1338</v>
      </c>
      <c r="B457" s="46" t="s">
        <v>1339</v>
      </c>
      <c r="C457" s="46" t="s">
        <v>1339</v>
      </c>
      <c r="D457" s="46" t="s">
        <v>1333</v>
      </c>
      <c r="E457" s="46" t="s">
        <v>1334</v>
      </c>
      <c r="F457" s="46" t="s">
        <v>1335</v>
      </c>
      <c r="G457" s="46" t="s">
        <v>68</v>
      </c>
      <c r="H457" s="46" t="s">
        <v>68</v>
      </c>
      <c r="I457" s="46" t="s">
        <v>68</v>
      </c>
      <c r="J457" s="46" t="s">
        <v>71</v>
      </c>
      <c r="K457" s="47">
        <v>230</v>
      </c>
      <c r="L457" s="47">
        <v>530</v>
      </c>
      <c r="M457" s="47">
        <f t="shared" si="9"/>
        <v>760</v>
      </c>
      <c r="N457" s="46" t="s">
        <v>1340</v>
      </c>
      <c r="O457" s="71" t="s">
        <v>1341</v>
      </c>
    </row>
  </sheetData>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446"/>
  <sheetViews>
    <sheetView workbookViewId="0">
      <pane xSplit="3" topLeftCell="D1" activePane="topRight" state="frozen"/>
      <selection pane="topRight" activeCell="G6" sqref="G6"/>
    </sheetView>
  </sheetViews>
  <sheetFormatPr defaultColWidth="12.5703125" defaultRowHeight="15.75" customHeight="1" x14ac:dyDescent="0.2"/>
  <cols>
    <col min="1" max="1" width="18.7109375" customWidth="1"/>
    <col min="2" max="2" width="25.7109375" customWidth="1"/>
    <col min="3" max="3" width="38.5703125" customWidth="1"/>
    <col min="11" max="11" width="32.28515625" customWidth="1"/>
    <col min="12" max="13" width="34.140625" customWidth="1"/>
    <col min="14" max="14" width="39.42578125" customWidth="1"/>
    <col min="15" max="15" width="57.28515625" customWidth="1"/>
  </cols>
  <sheetData>
    <row r="1" spans="1:15" ht="25.5" x14ac:dyDescent="0.2">
      <c r="A1" s="7" t="s">
        <v>12</v>
      </c>
      <c r="B1" s="9" t="s">
        <v>13</v>
      </c>
      <c r="C1" s="9" t="s">
        <v>6552</v>
      </c>
      <c r="D1" s="9" t="s">
        <v>6543</v>
      </c>
      <c r="E1" s="9" t="s">
        <v>6544</v>
      </c>
      <c r="F1" s="9" t="s">
        <v>6545</v>
      </c>
      <c r="G1" s="9" t="s">
        <v>6546</v>
      </c>
      <c r="H1" s="9" t="s">
        <v>6547</v>
      </c>
      <c r="I1" s="9" t="s">
        <v>6548</v>
      </c>
      <c r="J1" s="9" t="s">
        <v>21</v>
      </c>
      <c r="K1" s="10" t="s">
        <v>6549</v>
      </c>
      <c r="L1" s="10" t="s">
        <v>6550</v>
      </c>
      <c r="M1" s="10" t="s">
        <v>6551</v>
      </c>
      <c r="N1" s="9" t="s">
        <v>25</v>
      </c>
      <c r="O1" s="9" t="s">
        <v>26</v>
      </c>
    </row>
    <row r="2" spans="1:15" ht="12.75" x14ac:dyDescent="0.2">
      <c r="A2" s="23" t="s">
        <v>67</v>
      </c>
      <c r="B2" s="24"/>
      <c r="C2" s="24" t="s">
        <v>68</v>
      </c>
      <c r="D2" s="24" t="s">
        <v>68</v>
      </c>
      <c r="E2" s="24" t="s">
        <v>68</v>
      </c>
      <c r="F2" s="24" t="s">
        <v>68</v>
      </c>
      <c r="G2" s="24" t="s">
        <v>68</v>
      </c>
      <c r="H2" s="24" t="s">
        <v>68</v>
      </c>
      <c r="I2" s="24" t="s">
        <v>68</v>
      </c>
      <c r="J2" s="24" t="s">
        <v>68</v>
      </c>
      <c r="K2" s="25" t="s">
        <v>68</v>
      </c>
      <c r="L2" s="25" t="s">
        <v>68</v>
      </c>
      <c r="M2" s="25"/>
      <c r="N2" s="24"/>
      <c r="O2" s="24" t="s">
        <v>68</v>
      </c>
    </row>
    <row r="3" spans="1:15" ht="12.75" x14ac:dyDescent="0.2">
      <c r="A3" s="34" t="s">
        <v>69</v>
      </c>
      <c r="B3" s="35"/>
      <c r="C3" s="35" t="s">
        <v>68</v>
      </c>
      <c r="D3" s="35" t="s">
        <v>68</v>
      </c>
      <c r="E3" s="35" t="s">
        <v>68</v>
      </c>
      <c r="F3" s="35" t="s">
        <v>68</v>
      </c>
      <c r="G3" s="35" t="s">
        <v>68</v>
      </c>
      <c r="H3" s="35" t="s">
        <v>68</v>
      </c>
      <c r="I3" s="35" t="s">
        <v>68</v>
      </c>
      <c r="J3" s="35" t="s">
        <v>68</v>
      </c>
      <c r="K3" s="36" t="s">
        <v>68</v>
      </c>
      <c r="L3" s="36" t="s">
        <v>68</v>
      </c>
      <c r="M3" s="36"/>
      <c r="N3" s="35"/>
      <c r="O3" s="35" t="s">
        <v>68</v>
      </c>
    </row>
    <row r="4" spans="1:15" ht="25.5" x14ac:dyDescent="0.2">
      <c r="A4" s="45" t="s">
        <v>70</v>
      </c>
      <c r="B4" s="105" t="s">
        <v>6581</v>
      </c>
      <c r="C4" s="105" t="s">
        <v>6576</v>
      </c>
      <c r="D4" s="105" t="s">
        <v>6563</v>
      </c>
      <c r="E4" s="105" t="s">
        <v>6568</v>
      </c>
      <c r="F4" s="46" t="s">
        <v>6554</v>
      </c>
      <c r="G4" s="46" t="s">
        <v>68</v>
      </c>
      <c r="H4" s="46" t="s">
        <v>68</v>
      </c>
      <c r="I4" s="46" t="s">
        <v>68</v>
      </c>
      <c r="J4" s="46" t="s">
        <v>71</v>
      </c>
      <c r="K4" s="47">
        <v>130</v>
      </c>
      <c r="L4" s="47">
        <v>10</v>
      </c>
      <c r="M4" s="47">
        <f>SUM(K4:L4)</f>
        <v>140</v>
      </c>
      <c r="N4" s="106" t="s">
        <v>6567</v>
      </c>
      <c r="O4" s="106" t="s">
        <v>6584</v>
      </c>
    </row>
    <row r="5" spans="1:15" ht="25.5" x14ac:dyDescent="0.2">
      <c r="A5" s="45" t="s">
        <v>70</v>
      </c>
      <c r="B5" s="105" t="s">
        <v>6581</v>
      </c>
      <c r="C5" s="105" t="s">
        <v>6576</v>
      </c>
      <c r="D5" s="105" t="s">
        <v>6563</v>
      </c>
      <c r="E5" s="105" t="s">
        <v>6568</v>
      </c>
      <c r="F5" s="46" t="s">
        <v>6582</v>
      </c>
      <c r="G5" s="46" t="s">
        <v>68</v>
      </c>
      <c r="H5" s="46" t="s">
        <v>68</v>
      </c>
      <c r="I5" s="46" t="s">
        <v>68</v>
      </c>
      <c r="J5" s="46" t="s">
        <v>71</v>
      </c>
      <c r="K5" s="47">
        <v>130</v>
      </c>
      <c r="L5" s="47">
        <v>10</v>
      </c>
      <c r="M5" s="47">
        <f>SUM(K5:L5)</f>
        <v>140</v>
      </c>
      <c r="N5" s="106" t="s">
        <v>6567</v>
      </c>
      <c r="O5" s="106" t="s">
        <v>6585</v>
      </c>
    </row>
    <row r="6" spans="1:15" ht="25.5" x14ac:dyDescent="0.2">
      <c r="A6" s="45" t="s">
        <v>70</v>
      </c>
      <c r="B6" s="105" t="s">
        <v>6581</v>
      </c>
      <c r="C6" s="105" t="s">
        <v>6576</v>
      </c>
      <c r="D6" s="105" t="s">
        <v>6563</v>
      </c>
      <c r="E6" s="105" t="s">
        <v>6568</v>
      </c>
      <c r="F6" s="46" t="s">
        <v>6583</v>
      </c>
      <c r="G6" s="46" t="s">
        <v>68</v>
      </c>
      <c r="H6" s="46" t="s">
        <v>68</v>
      </c>
      <c r="I6" s="46" t="s">
        <v>68</v>
      </c>
      <c r="J6" s="46" t="s">
        <v>71</v>
      </c>
      <c r="K6" s="47">
        <v>130</v>
      </c>
      <c r="L6" s="47">
        <v>10</v>
      </c>
      <c r="M6" s="47">
        <f>SUM(K6:L6)</f>
        <v>140</v>
      </c>
      <c r="N6" s="106" t="s">
        <v>6567</v>
      </c>
      <c r="O6" s="106" t="s">
        <v>6586</v>
      </c>
    </row>
    <row r="7" spans="1:15" ht="25.5" x14ac:dyDescent="0.2">
      <c r="A7" s="45" t="s">
        <v>76</v>
      </c>
      <c r="B7" s="105" t="s">
        <v>6581</v>
      </c>
      <c r="C7" s="105" t="s">
        <v>6577</v>
      </c>
      <c r="D7" s="105" t="s">
        <v>6559</v>
      </c>
      <c r="E7" s="105" t="s">
        <v>6568</v>
      </c>
      <c r="F7" s="46" t="s">
        <v>68</v>
      </c>
      <c r="G7" s="46" t="s">
        <v>68</v>
      </c>
      <c r="H7" s="46" t="s">
        <v>68</v>
      </c>
      <c r="I7" s="46" t="s">
        <v>68</v>
      </c>
      <c r="J7" s="46" t="s">
        <v>71</v>
      </c>
      <c r="K7" s="47">
        <v>130</v>
      </c>
      <c r="L7" s="47">
        <v>20</v>
      </c>
      <c r="M7" s="47">
        <f t="shared" ref="M7:M70" si="0">SUM(K7:L7)</f>
        <v>150</v>
      </c>
      <c r="N7" s="106" t="s">
        <v>6567</v>
      </c>
      <c r="O7" s="106" t="s">
        <v>6569</v>
      </c>
    </row>
    <row r="8" spans="1:15" ht="25.5" x14ac:dyDescent="0.2">
      <c r="A8" s="45" t="s">
        <v>80</v>
      </c>
      <c r="B8" s="105" t="s">
        <v>6581</v>
      </c>
      <c r="C8" s="105" t="s">
        <v>6578</v>
      </c>
      <c r="D8" s="105" t="s">
        <v>6564</v>
      </c>
      <c r="E8" s="46" t="s">
        <v>68</v>
      </c>
      <c r="F8" s="46" t="s">
        <v>68</v>
      </c>
      <c r="G8" s="46" t="s">
        <v>68</v>
      </c>
      <c r="H8" s="46" t="s">
        <v>68</v>
      </c>
      <c r="I8" s="46" t="s">
        <v>68</v>
      </c>
      <c r="J8" s="46" t="s">
        <v>71</v>
      </c>
      <c r="K8" s="47">
        <v>130</v>
      </c>
      <c r="L8" s="47">
        <v>55</v>
      </c>
      <c r="M8" s="47">
        <f t="shared" si="0"/>
        <v>185</v>
      </c>
      <c r="N8" s="106" t="s">
        <v>6567</v>
      </c>
      <c r="O8" s="106" t="s">
        <v>6570</v>
      </c>
    </row>
    <row r="9" spans="1:15" ht="12.75" x14ac:dyDescent="0.2">
      <c r="A9" s="34" t="s">
        <v>81</v>
      </c>
      <c r="B9" s="35" t="s">
        <v>68</v>
      </c>
      <c r="C9" s="35" t="s">
        <v>68</v>
      </c>
      <c r="D9" s="35" t="s">
        <v>68</v>
      </c>
      <c r="E9" s="35" t="s">
        <v>68</v>
      </c>
      <c r="F9" s="35" t="s">
        <v>68</v>
      </c>
      <c r="G9" s="35" t="s">
        <v>68</v>
      </c>
      <c r="H9" s="35" t="s">
        <v>68</v>
      </c>
      <c r="I9" s="35" t="s">
        <v>68</v>
      </c>
      <c r="J9" s="35" t="s">
        <v>68</v>
      </c>
      <c r="K9" s="36" t="s">
        <v>68</v>
      </c>
      <c r="L9" s="36" t="s">
        <v>68</v>
      </c>
      <c r="M9" s="47">
        <f t="shared" si="0"/>
        <v>0</v>
      </c>
      <c r="N9" s="35"/>
      <c r="O9" s="35" t="s">
        <v>68</v>
      </c>
    </row>
    <row r="10" spans="1:15" ht="25.5" x14ac:dyDescent="0.2">
      <c r="A10" s="45" t="s">
        <v>82</v>
      </c>
      <c r="B10" s="105" t="s">
        <v>6581</v>
      </c>
      <c r="C10" s="105" t="s">
        <v>6579</v>
      </c>
      <c r="D10" s="105" t="s">
        <v>6565</v>
      </c>
      <c r="E10" s="105" t="s">
        <v>6566</v>
      </c>
      <c r="F10" s="46"/>
      <c r="G10" s="46"/>
      <c r="H10" s="46"/>
      <c r="I10" s="46" t="s">
        <v>68</v>
      </c>
      <c r="J10" s="46" t="s">
        <v>71</v>
      </c>
      <c r="K10" s="47">
        <v>130</v>
      </c>
      <c r="L10" s="47">
        <v>18</v>
      </c>
      <c r="M10" s="47">
        <f t="shared" si="0"/>
        <v>148</v>
      </c>
      <c r="N10" s="106" t="s">
        <v>6567</v>
      </c>
      <c r="O10" s="106" t="s">
        <v>6571</v>
      </c>
    </row>
    <row r="11" spans="1:15" ht="25.5" x14ac:dyDescent="0.2">
      <c r="A11" s="45" t="s">
        <v>89</v>
      </c>
      <c r="B11" s="105" t="s">
        <v>6581</v>
      </c>
      <c r="C11" s="105" t="s">
        <v>6580</v>
      </c>
      <c r="D11" s="105" t="s">
        <v>6565</v>
      </c>
      <c r="E11" s="105" t="s">
        <v>6559</v>
      </c>
      <c r="F11" s="46"/>
      <c r="G11" s="46"/>
      <c r="H11" s="46"/>
      <c r="I11" s="46"/>
      <c r="J11" s="46" t="s">
        <v>71</v>
      </c>
      <c r="K11" s="47">
        <v>130</v>
      </c>
      <c r="L11" s="47">
        <v>190</v>
      </c>
      <c r="M11" s="47">
        <f t="shared" si="0"/>
        <v>320</v>
      </c>
      <c r="N11" s="106" t="s">
        <v>6567</v>
      </c>
      <c r="O11" s="106" t="s">
        <v>6572</v>
      </c>
    </row>
    <row r="12" spans="1:15" ht="63.75" x14ac:dyDescent="0.2">
      <c r="A12" s="45" t="s">
        <v>92</v>
      </c>
      <c r="B12" s="46" t="s">
        <v>90</v>
      </c>
      <c r="C12" s="46" t="s">
        <v>90</v>
      </c>
      <c r="D12" s="46" t="s">
        <v>84</v>
      </c>
      <c r="E12" s="46" t="s">
        <v>85</v>
      </c>
      <c r="F12" s="46" t="s">
        <v>86</v>
      </c>
      <c r="G12" s="46" t="s">
        <v>93</v>
      </c>
      <c r="H12" s="46" t="s">
        <v>91</v>
      </c>
      <c r="I12" s="46"/>
      <c r="J12" s="46" t="s">
        <v>71</v>
      </c>
      <c r="K12" s="47">
        <f>K10*1.5</f>
        <v>195</v>
      </c>
      <c r="L12" s="47">
        <f>30+(L10*2)</f>
        <v>66</v>
      </c>
      <c r="M12" s="47">
        <f t="shared" si="0"/>
        <v>261</v>
      </c>
      <c r="N12" s="48" t="s">
        <v>88</v>
      </c>
      <c r="O12" s="71" t="s">
        <v>94</v>
      </c>
    </row>
    <row r="13" spans="1:15" ht="63.75" x14ac:dyDescent="0.2">
      <c r="A13" s="45" t="s">
        <v>96</v>
      </c>
      <c r="B13" s="46" t="s">
        <v>83</v>
      </c>
      <c r="C13" s="46" t="s">
        <v>83</v>
      </c>
      <c r="D13" s="46" t="s">
        <v>84</v>
      </c>
      <c r="E13" s="46" t="s">
        <v>85</v>
      </c>
      <c r="F13" s="46" t="s">
        <v>97</v>
      </c>
      <c r="G13" s="46" t="s">
        <v>87</v>
      </c>
      <c r="H13" s="46"/>
      <c r="I13" s="46"/>
      <c r="J13" s="46" t="s">
        <v>71</v>
      </c>
      <c r="K13" s="47">
        <v>150</v>
      </c>
      <c r="L13" s="47">
        <f>2*40</f>
        <v>80</v>
      </c>
      <c r="M13" s="47">
        <f t="shared" si="0"/>
        <v>230</v>
      </c>
      <c r="N13" s="48" t="s">
        <v>88</v>
      </c>
      <c r="O13" s="71" t="s">
        <v>98</v>
      </c>
    </row>
    <row r="14" spans="1:15" ht="63.75" x14ac:dyDescent="0.2">
      <c r="A14" s="45" t="s">
        <v>99</v>
      </c>
      <c r="B14" s="46" t="s">
        <v>90</v>
      </c>
      <c r="C14" s="46" t="s">
        <v>90</v>
      </c>
      <c r="D14" s="46" t="s">
        <v>84</v>
      </c>
      <c r="E14" s="46" t="s">
        <v>85</v>
      </c>
      <c r="F14" s="46" t="s">
        <v>97</v>
      </c>
      <c r="G14" s="46" t="s">
        <v>87</v>
      </c>
      <c r="H14" s="46" t="s">
        <v>91</v>
      </c>
      <c r="I14" s="46"/>
      <c r="J14" s="46" t="s">
        <v>71</v>
      </c>
      <c r="K14" s="47">
        <f>K13*1.25</f>
        <v>187.5</v>
      </c>
      <c r="L14" s="47">
        <f>110+L13</f>
        <v>190</v>
      </c>
      <c r="M14" s="47">
        <f t="shared" si="0"/>
        <v>377.5</v>
      </c>
      <c r="N14" s="48" t="s">
        <v>88</v>
      </c>
      <c r="O14" s="71" t="s">
        <v>100</v>
      </c>
    </row>
    <row r="15" spans="1:15" ht="63.75" x14ac:dyDescent="0.2">
      <c r="A15" s="45" t="s">
        <v>101</v>
      </c>
      <c r="B15" s="46" t="s">
        <v>90</v>
      </c>
      <c r="C15" s="46" t="s">
        <v>90</v>
      </c>
      <c r="D15" s="46" t="s">
        <v>84</v>
      </c>
      <c r="E15" s="46" t="s">
        <v>85</v>
      </c>
      <c r="F15" s="46" t="s">
        <v>97</v>
      </c>
      <c r="G15" s="46" t="s">
        <v>93</v>
      </c>
      <c r="H15" s="46" t="s">
        <v>91</v>
      </c>
      <c r="I15" s="46"/>
      <c r="J15" s="46" t="s">
        <v>71</v>
      </c>
      <c r="K15" s="47">
        <f>K13*1.5</f>
        <v>225</v>
      </c>
      <c r="L15" s="47">
        <f>110+(L13*2)</f>
        <v>270</v>
      </c>
      <c r="M15" s="47">
        <f t="shared" si="0"/>
        <v>495</v>
      </c>
      <c r="N15" s="48" t="s">
        <v>88</v>
      </c>
      <c r="O15" s="71" t="s">
        <v>102</v>
      </c>
    </row>
    <row r="16" spans="1:15" ht="63.75" x14ac:dyDescent="0.2">
      <c r="A16" s="45" t="s">
        <v>103</v>
      </c>
      <c r="B16" s="46" t="s">
        <v>83</v>
      </c>
      <c r="C16" s="46" t="s">
        <v>83</v>
      </c>
      <c r="D16" s="46" t="s">
        <v>84</v>
      </c>
      <c r="E16" s="46" t="s">
        <v>104</v>
      </c>
      <c r="F16" s="46" t="s">
        <v>105</v>
      </c>
      <c r="G16" s="46" t="s">
        <v>87</v>
      </c>
      <c r="H16" s="46"/>
      <c r="I16" s="46"/>
      <c r="J16" s="46" t="s">
        <v>71</v>
      </c>
      <c r="K16" s="47">
        <v>300</v>
      </c>
      <c r="L16" s="47">
        <f>50+(3*25)</f>
        <v>125</v>
      </c>
      <c r="M16" s="47">
        <f t="shared" si="0"/>
        <v>425</v>
      </c>
      <c r="N16" s="48" t="s">
        <v>88</v>
      </c>
      <c r="O16" s="71" t="s">
        <v>106</v>
      </c>
    </row>
    <row r="17" spans="1:15" ht="38.25" x14ac:dyDescent="0.2">
      <c r="A17" s="45" t="s">
        <v>108</v>
      </c>
      <c r="B17" s="46" t="s">
        <v>109</v>
      </c>
      <c r="C17" s="46" t="s">
        <v>109</v>
      </c>
      <c r="D17" s="46" t="s">
        <v>84</v>
      </c>
      <c r="E17" s="46" t="s">
        <v>104</v>
      </c>
      <c r="F17" s="46" t="s">
        <v>105</v>
      </c>
      <c r="G17" s="46" t="s">
        <v>87</v>
      </c>
      <c r="H17" s="46" t="s">
        <v>110</v>
      </c>
      <c r="I17" s="46"/>
      <c r="J17" s="46" t="s">
        <v>71</v>
      </c>
      <c r="K17" s="47">
        <v>350</v>
      </c>
      <c r="L17" s="47">
        <f>200+L16</f>
        <v>325</v>
      </c>
      <c r="M17" s="47">
        <f t="shared" si="0"/>
        <v>675</v>
      </c>
      <c r="N17" s="46"/>
      <c r="O17" s="71" t="s">
        <v>68</v>
      </c>
    </row>
    <row r="18" spans="1:15" ht="63.75" x14ac:dyDescent="0.2">
      <c r="A18" s="45" t="s">
        <v>111</v>
      </c>
      <c r="B18" s="46" t="s">
        <v>109</v>
      </c>
      <c r="C18" s="46" t="s">
        <v>109</v>
      </c>
      <c r="D18" s="46" t="s">
        <v>84</v>
      </c>
      <c r="E18" s="46" t="s">
        <v>104</v>
      </c>
      <c r="F18" s="46" t="s">
        <v>105</v>
      </c>
      <c r="G18" s="46" t="s">
        <v>93</v>
      </c>
      <c r="H18" s="46" t="s">
        <v>110</v>
      </c>
      <c r="I18" s="46"/>
      <c r="J18" s="46" t="s">
        <v>71</v>
      </c>
      <c r="K18" s="47">
        <v>450</v>
      </c>
      <c r="L18" s="47">
        <f>200+(L16*2)</f>
        <v>450</v>
      </c>
      <c r="M18" s="47">
        <f t="shared" si="0"/>
        <v>900</v>
      </c>
      <c r="N18" s="48" t="s">
        <v>88</v>
      </c>
      <c r="O18" s="71" t="s">
        <v>112</v>
      </c>
    </row>
    <row r="19" spans="1:15" ht="63.75" x14ac:dyDescent="0.2">
      <c r="A19" s="45" t="s">
        <v>113</v>
      </c>
      <c r="B19" s="46" t="s">
        <v>83</v>
      </c>
      <c r="C19" s="46" t="s">
        <v>83</v>
      </c>
      <c r="D19" s="46" t="s">
        <v>84</v>
      </c>
      <c r="E19" s="46" t="s">
        <v>104</v>
      </c>
      <c r="F19" s="46" t="s">
        <v>114</v>
      </c>
      <c r="G19" s="46" t="s">
        <v>87</v>
      </c>
      <c r="H19" s="46"/>
      <c r="I19" s="46"/>
      <c r="J19" s="46" t="s">
        <v>71</v>
      </c>
      <c r="K19" s="47">
        <v>300</v>
      </c>
      <c r="L19" s="47">
        <f>50+(3*50)</f>
        <v>200</v>
      </c>
      <c r="M19" s="47">
        <f t="shared" si="0"/>
        <v>500</v>
      </c>
      <c r="N19" s="48" t="s">
        <v>88</v>
      </c>
      <c r="O19" s="71" t="s">
        <v>115</v>
      </c>
    </row>
    <row r="20" spans="1:15" ht="63.75" x14ac:dyDescent="0.2">
      <c r="A20" s="45" t="s">
        <v>116</v>
      </c>
      <c r="B20" s="46" t="s">
        <v>109</v>
      </c>
      <c r="C20" s="46" t="s">
        <v>109</v>
      </c>
      <c r="D20" s="46" t="s">
        <v>84</v>
      </c>
      <c r="E20" s="46" t="s">
        <v>104</v>
      </c>
      <c r="F20" s="46" t="s">
        <v>114</v>
      </c>
      <c r="G20" s="46" t="s">
        <v>93</v>
      </c>
      <c r="H20" s="46" t="s">
        <v>110</v>
      </c>
      <c r="I20" s="46"/>
      <c r="J20" s="46" t="s">
        <v>71</v>
      </c>
      <c r="K20" s="47">
        <v>450</v>
      </c>
      <c r="L20" s="47">
        <f>300+50+(6*50)</f>
        <v>650</v>
      </c>
      <c r="M20" s="47">
        <f t="shared" si="0"/>
        <v>1100</v>
      </c>
      <c r="N20" s="48" t="s">
        <v>88</v>
      </c>
      <c r="O20" s="71" t="s">
        <v>117</v>
      </c>
    </row>
    <row r="21" spans="1:15" ht="51" x14ac:dyDescent="0.2">
      <c r="A21" s="45" t="s">
        <v>118</v>
      </c>
      <c r="B21" s="46" t="s">
        <v>119</v>
      </c>
      <c r="C21" s="46" t="s">
        <v>119</v>
      </c>
      <c r="D21" s="46" t="s">
        <v>120</v>
      </c>
      <c r="E21" s="46" t="s">
        <v>85</v>
      </c>
      <c r="F21" s="46" t="s">
        <v>84</v>
      </c>
      <c r="G21" s="46" t="s">
        <v>68</v>
      </c>
      <c r="H21" s="46" t="s">
        <v>68</v>
      </c>
      <c r="I21" s="46" t="s">
        <v>68</v>
      </c>
      <c r="J21" s="46" t="s">
        <v>71</v>
      </c>
      <c r="K21" s="47">
        <v>130</v>
      </c>
      <c r="L21" s="47">
        <v>60</v>
      </c>
      <c r="M21" s="47">
        <f t="shared" si="0"/>
        <v>190</v>
      </c>
      <c r="N21" s="48" t="s">
        <v>88</v>
      </c>
      <c r="O21" s="71" t="s">
        <v>121</v>
      </c>
    </row>
    <row r="22" spans="1:15" ht="76.5" x14ac:dyDescent="0.2">
      <c r="A22" s="45" t="s">
        <v>122</v>
      </c>
      <c r="B22" s="46" t="s">
        <v>119</v>
      </c>
      <c r="C22" s="46" t="s">
        <v>119</v>
      </c>
      <c r="D22" s="46" t="s">
        <v>120</v>
      </c>
      <c r="E22" s="46" t="s">
        <v>85</v>
      </c>
      <c r="F22" s="46" t="s">
        <v>123</v>
      </c>
      <c r="G22" s="46" t="s">
        <v>124</v>
      </c>
      <c r="H22" s="46" t="s">
        <v>68</v>
      </c>
      <c r="I22" s="46" t="s">
        <v>68</v>
      </c>
      <c r="J22" s="46" t="s">
        <v>71</v>
      </c>
      <c r="K22" s="47">
        <f>ROUND($K$21*2,0)</f>
        <v>260</v>
      </c>
      <c r="L22" s="47">
        <f>L21+60</f>
        <v>120</v>
      </c>
      <c r="M22" s="47">
        <f t="shared" si="0"/>
        <v>380</v>
      </c>
      <c r="N22" s="48" t="s">
        <v>125</v>
      </c>
      <c r="O22" s="71" t="s">
        <v>126</v>
      </c>
    </row>
    <row r="23" spans="1:15" ht="76.5" x14ac:dyDescent="0.2">
      <c r="A23" s="45" t="s">
        <v>127</v>
      </c>
      <c r="B23" s="46" t="s">
        <v>119</v>
      </c>
      <c r="C23" s="46" t="s">
        <v>119</v>
      </c>
      <c r="D23" s="46" t="s">
        <v>120</v>
      </c>
      <c r="E23" s="46" t="s">
        <v>85</v>
      </c>
      <c r="F23" s="46" t="s">
        <v>123</v>
      </c>
      <c r="G23" s="46" t="s">
        <v>128</v>
      </c>
      <c r="H23" s="46" t="s">
        <v>129</v>
      </c>
      <c r="I23" s="46" t="s">
        <v>68</v>
      </c>
      <c r="J23" s="46" t="s">
        <v>71</v>
      </c>
      <c r="K23" s="47">
        <f>ROUND($K$21*2.5,0)</f>
        <v>325</v>
      </c>
      <c r="L23" s="47">
        <f>L21+60+(5*2)</f>
        <v>130</v>
      </c>
      <c r="M23" s="47">
        <f t="shared" si="0"/>
        <v>455</v>
      </c>
      <c r="N23" s="48" t="s">
        <v>125</v>
      </c>
      <c r="O23" s="71" t="s">
        <v>130</v>
      </c>
    </row>
    <row r="24" spans="1:15" ht="76.5" x14ac:dyDescent="0.2">
      <c r="A24" s="45" t="s">
        <v>131</v>
      </c>
      <c r="B24" s="46" t="s">
        <v>119</v>
      </c>
      <c r="C24" s="46" t="s">
        <v>119</v>
      </c>
      <c r="D24" s="46" t="s">
        <v>120</v>
      </c>
      <c r="E24" s="46" t="s">
        <v>85</v>
      </c>
      <c r="F24" s="46" t="s">
        <v>123</v>
      </c>
      <c r="G24" s="46" t="s">
        <v>128</v>
      </c>
      <c r="H24" s="46" t="s">
        <v>132</v>
      </c>
      <c r="I24" s="46" t="s">
        <v>68</v>
      </c>
      <c r="J24" s="46" t="s">
        <v>71</v>
      </c>
      <c r="K24" s="47">
        <f>ROUND($K$21*3,0)</f>
        <v>390</v>
      </c>
      <c r="L24" s="47">
        <f>L21+60+(5*4)</f>
        <v>140</v>
      </c>
      <c r="M24" s="47">
        <f t="shared" si="0"/>
        <v>530</v>
      </c>
      <c r="N24" s="48" t="s">
        <v>125</v>
      </c>
      <c r="O24" s="71" t="s">
        <v>133</v>
      </c>
    </row>
    <row r="25" spans="1:15" ht="89.25" x14ac:dyDescent="0.2">
      <c r="A25" s="45" t="s">
        <v>134</v>
      </c>
      <c r="B25" s="46" t="s">
        <v>119</v>
      </c>
      <c r="C25" s="46" t="s">
        <v>119</v>
      </c>
      <c r="D25" s="46" t="s">
        <v>120</v>
      </c>
      <c r="E25" s="46" t="s">
        <v>85</v>
      </c>
      <c r="F25" s="46" t="s">
        <v>123</v>
      </c>
      <c r="G25" s="46" t="s">
        <v>135</v>
      </c>
      <c r="H25" s="46" t="s">
        <v>136</v>
      </c>
      <c r="I25" s="46" t="s">
        <v>129</v>
      </c>
      <c r="J25" s="46" t="s">
        <v>71</v>
      </c>
      <c r="K25" s="47">
        <f>ROUND($K$21*2.5,0)</f>
        <v>325</v>
      </c>
      <c r="L25" s="47">
        <f>L21+60+(25*2)</f>
        <v>170</v>
      </c>
      <c r="M25" s="47">
        <f t="shared" si="0"/>
        <v>495</v>
      </c>
      <c r="N25" s="48" t="s">
        <v>125</v>
      </c>
      <c r="O25" s="71" t="s">
        <v>137</v>
      </c>
    </row>
    <row r="26" spans="1:15" ht="89.25" x14ac:dyDescent="0.2">
      <c r="A26" s="45" t="s">
        <v>138</v>
      </c>
      <c r="B26" s="46" t="s">
        <v>119</v>
      </c>
      <c r="C26" s="46" t="s">
        <v>119</v>
      </c>
      <c r="D26" s="46" t="s">
        <v>120</v>
      </c>
      <c r="E26" s="46" t="s">
        <v>85</v>
      </c>
      <c r="F26" s="46" t="s">
        <v>123</v>
      </c>
      <c r="G26" s="46" t="s">
        <v>135</v>
      </c>
      <c r="H26" s="46" t="s">
        <v>136</v>
      </c>
      <c r="I26" s="46" t="s">
        <v>132</v>
      </c>
      <c r="J26" s="46" t="s">
        <v>71</v>
      </c>
      <c r="K26" s="47">
        <f>ROUND($K$21*3,0)</f>
        <v>390</v>
      </c>
      <c r="L26" s="47">
        <f>L21+80+(25*4)</f>
        <v>240</v>
      </c>
      <c r="M26" s="47">
        <f t="shared" si="0"/>
        <v>630</v>
      </c>
      <c r="N26" s="48" t="s">
        <v>125</v>
      </c>
      <c r="O26" s="71" t="s">
        <v>139</v>
      </c>
    </row>
    <row r="27" spans="1:15" ht="89.25" x14ac:dyDescent="0.2">
      <c r="A27" s="45" t="s">
        <v>140</v>
      </c>
      <c r="B27" s="46" t="s">
        <v>119</v>
      </c>
      <c r="C27" s="46" t="s">
        <v>119</v>
      </c>
      <c r="D27" s="46" t="s">
        <v>120</v>
      </c>
      <c r="E27" s="46" t="s">
        <v>85</v>
      </c>
      <c r="F27" s="46" t="s">
        <v>123</v>
      </c>
      <c r="G27" s="46" t="s">
        <v>135</v>
      </c>
      <c r="H27" s="46" t="s">
        <v>136</v>
      </c>
      <c r="I27" s="46" t="s">
        <v>141</v>
      </c>
      <c r="J27" s="46" t="s">
        <v>71</v>
      </c>
      <c r="K27" s="47">
        <f>ROUND($K$21*3.5,0)</f>
        <v>455</v>
      </c>
      <c r="L27" s="47">
        <f>L21+100+(25*6)</f>
        <v>310</v>
      </c>
      <c r="M27" s="47">
        <f t="shared" si="0"/>
        <v>765</v>
      </c>
      <c r="N27" s="48" t="s">
        <v>125</v>
      </c>
      <c r="O27" s="71" t="s">
        <v>142</v>
      </c>
    </row>
    <row r="28" spans="1:15" ht="89.25" x14ac:dyDescent="0.2">
      <c r="A28" s="45" t="s">
        <v>143</v>
      </c>
      <c r="B28" s="46" t="s">
        <v>119</v>
      </c>
      <c r="C28" s="46" t="s">
        <v>119</v>
      </c>
      <c r="D28" s="46" t="s">
        <v>120</v>
      </c>
      <c r="E28" s="46" t="s">
        <v>85</v>
      </c>
      <c r="F28" s="46" t="s">
        <v>123</v>
      </c>
      <c r="G28" s="46" t="s">
        <v>135</v>
      </c>
      <c r="H28" s="46" t="s">
        <v>144</v>
      </c>
      <c r="I28" s="46" t="s">
        <v>129</v>
      </c>
      <c r="J28" s="46" t="s">
        <v>71</v>
      </c>
      <c r="K28" s="47">
        <f>ROUND($K$21*3,0)</f>
        <v>390</v>
      </c>
      <c r="L28" s="47">
        <f>L21+60+(50*2)</f>
        <v>220</v>
      </c>
      <c r="M28" s="47">
        <f t="shared" si="0"/>
        <v>610</v>
      </c>
      <c r="N28" s="48" t="s">
        <v>125</v>
      </c>
      <c r="O28" s="71" t="s">
        <v>145</v>
      </c>
    </row>
    <row r="29" spans="1:15" ht="89.25" x14ac:dyDescent="0.2">
      <c r="A29" s="45" t="s">
        <v>146</v>
      </c>
      <c r="B29" s="46" t="s">
        <v>119</v>
      </c>
      <c r="C29" s="46" t="s">
        <v>119</v>
      </c>
      <c r="D29" s="46" t="s">
        <v>120</v>
      </c>
      <c r="E29" s="46" t="s">
        <v>85</v>
      </c>
      <c r="F29" s="46" t="s">
        <v>123</v>
      </c>
      <c r="G29" s="46" t="s">
        <v>135</v>
      </c>
      <c r="H29" s="46" t="s">
        <v>144</v>
      </c>
      <c r="I29" s="46" t="s">
        <v>132</v>
      </c>
      <c r="J29" s="46" t="s">
        <v>71</v>
      </c>
      <c r="K29" s="47">
        <f>ROUND($K$21*3.5,0)</f>
        <v>455</v>
      </c>
      <c r="L29" s="47">
        <f>L21+80+(50*4)</f>
        <v>340</v>
      </c>
      <c r="M29" s="47">
        <f t="shared" si="0"/>
        <v>795</v>
      </c>
      <c r="N29" s="48" t="s">
        <v>125</v>
      </c>
      <c r="O29" s="71" t="s">
        <v>147</v>
      </c>
    </row>
    <row r="30" spans="1:15" ht="89.25" x14ac:dyDescent="0.2">
      <c r="A30" s="45" t="s">
        <v>148</v>
      </c>
      <c r="B30" s="46" t="s">
        <v>119</v>
      </c>
      <c r="C30" s="46" t="s">
        <v>119</v>
      </c>
      <c r="D30" s="46" t="s">
        <v>120</v>
      </c>
      <c r="E30" s="46" t="s">
        <v>85</v>
      </c>
      <c r="F30" s="46" t="s">
        <v>123</v>
      </c>
      <c r="G30" s="46" t="s">
        <v>135</v>
      </c>
      <c r="H30" s="46" t="s">
        <v>149</v>
      </c>
      <c r="I30" s="46" t="s">
        <v>129</v>
      </c>
      <c r="J30" s="46" t="s">
        <v>71</v>
      </c>
      <c r="K30" s="47">
        <f>ROUND($K$21*3,0)</f>
        <v>390</v>
      </c>
      <c r="L30" s="47">
        <f>L21+80+(75*2)</f>
        <v>290</v>
      </c>
      <c r="M30" s="47">
        <f t="shared" si="0"/>
        <v>680</v>
      </c>
      <c r="N30" s="48" t="s">
        <v>125</v>
      </c>
      <c r="O30" s="71" t="s">
        <v>150</v>
      </c>
    </row>
    <row r="31" spans="1:15" ht="89.25" x14ac:dyDescent="0.2">
      <c r="A31" s="45" t="s">
        <v>151</v>
      </c>
      <c r="B31" s="46" t="s">
        <v>119</v>
      </c>
      <c r="C31" s="46" t="s">
        <v>119</v>
      </c>
      <c r="D31" s="46" t="s">
        <v>120</v>
      </c>
      <c r="E31" s="46" t="s">
        <v>85</v>
      </c>
      <c r="F31" s="46" t="s">
        <v>123</v>
      </c>
      <c r="G31" s="46" t="s">
        <v>135</v>
      </c>
      <c r="H31" s="46" t="s">
        <v>149</v>
      </c>
      <c r="I31" s="46" t="s">
        <v>132</v>
      </c>
      <c r="J31" s="46" t="s">
        <v>71</v>
      </c>
      <c r="K31" s="47">
        <f>ROUND($K$21*3.5,0)</f>
        <v>455</v>
      </c>
      <c r="L31" s="47">
        <f>L21+100+(75*4)</f>
        <v>460</v>
      </c>
      <c r="M31" s="47">
        <f t="shared" si="0"/>
        <v>915</v>
      </c>
      <c r="N31" s="48" t="s">
        <v>125</v>
      </c>
      <c r="O31" s="71" t="s">
        <v>152</v>
      </c>
    </row>
    <row r="32" spans="1:15" ht="89.25" x14ac:dyDescent="0.2">
      <c r="A32" s="45" t="s">
        <v>153</v>
      </c>
      <c r="B32" s="46" t="s">
        <v>119</v>
      </c>
      <c r="C32" s="46" t="s">
        <v>119</v>
      </c>
      <c r="D32" s="46" t="s">
        <v>120</v>
      </c>
      <c r="E32" s="46" t="s">
        <v>85</v>
      </c>
      <c r="F32" s="46" t="s">
        <v>123</v>
      </c>
      <c r="G32" s="46" t="s">
        <v>135</v>
      </c>
      <c r="H32" s="46" t="s">
        <v>154</v>
      </c>
      <c r="I32" s="46" t="s">
        <v>129</v>
      </c>
      <c r="J32" s="46" t="s">
        <v>71</v>
      </c>
      <c r="K32" s="47">
        <f>ROUND($K$21*3,0)</f>
        <v>390</v>
      </c>
      <c r="L32" s="47">
        <f>L21+100+(100*2)</f>
        <v>360</v>
      </c>
      <c r="M32" s="47">
        <f t="shared" si="0"/>
        <v>750</v>
      </c>
      <c r="N32" s="48" t="s">
        <v>125</v>
      </c>
      <c r="O32" s="71" t="s">
        <v>155</v>
      </c>
    </row>
    <row r="33" spans="1:15" ht="89.25" x14ac:dyDescent="0.2">
      <c r="A33" s="45" t="s">
        <v>156</v>
      </c>
      <c r="B33" s="46" t="s">
        <v>119</v>
      </c>
      <c r="C33" s="46" t="s">
        <v>119</v>
      </c>
      <c r="D33" s="46" t="s">
        <v>120</v>
      </c>
      <c r="E33" s="46" t="s">
        <v>85</v>
      </c>
      <c r="F33" s="46" t="s">
        <v>123</v>
      </c>
      <c r="G33" s="46" t="s">
        <v>135</v>
      </c>
      <c r="H33" s="46" t="s">
        <v>154</v>
      </c>
      <c r="I33" s="46" t="s">
        <v>132</v>
      </c>
      <c r="J33" s="46" t="s">
        <v>71</v>
      </c>
      <c r="K33" s="47">
        <f>ROUND($K$21*3.5,0)</f>
        <v>455</v>
      </c>
      <c r="L33" s="47">
        <f>L21+120+(100*4)</f>
        <v>580</v>
      </c>
      <c r="M33" s="47">
        <f t="shared" si="0"/>
        <v>1035</v>
      </c>
      <c r="N33" s="48" t="s">
        <v>125</v>
      </c>
      <c r="O33" s="71" t="s">
        <v>157</v>
      </c>
    </row>
    <row r="34" spans="1:15" ht="89.25" x14ac:dyDescent="0.2">
      <c r="A34" s="45" t="s">
        <v>158</v>
      </c>
      <c r="B34" s="46" t="s">
        <v>119</v>
      </c>
      <c r="C34" s="46" t="s">
        <v>119</v>
      </c>
      <c r="D34" s="46" t="s">
        <v>120</v>
      </c>
      <c r="E34" s="46" t="s">
        <v>85</v>
      </c>
      <c r="F34" s="46" t="s">
        <v>123</v>
      </c>
      <c r="G34" s="46" t="s">
        <v>159</v>
      </c>
      <c r="H34" s="46" t="s">
        <v>132</v>
      </c>
      <c r="I34" s="46" t="s">
        <v>68</v>
      </c>
      <c r="J34" s="46" t="s">
        <v>71</v>
      </c>
      <c r="K34" s="47">
        <v>260</v>
      </c>
      <c r="L34" s="47">
        <f>L21+60</f>
        <v>120</v>
      </c>
      <c r="M34" s="47">
        <f t="shared" si="0"/>
        <v>380</v>
      </c>
      <c r="N34" s="48" t="s">
        <v>125</v>
      </c>
      <c r="O34" s="71" t="s">
        <v>160</v>
      </c>
    </row>
    <row r="35" spans="1:15" ht="51" x14ac:dyDescent="0.2">
      <c r="A35" s="45" t="s">
        <v>161</v>
      </c>
      <c r="B35" s="46" t="s">
        <v>162</v>
      </c>
      <c r="C35" s="46" t="s">
        <v>162</v>
      </c>
      <c r="D35" s="46" t="s">
        <v>163</v>
      </c>
      <c r="E35" s="46" t="s">
        <v>85</v>
      </c>
      <c r="F35" s="46" t="s">
        <v>68</v>
      </c>
      <c r="G35" s="46" t="s">
        <v>68</v>
      </c>
      <c r="H35" s="46" t="s">
        <v>68</v>
      </c>
      <c r="I35" s="46" t="s">
        <v>68</v>
      </c>
      <c r="J35" s="46" t="s">
        <v>71</v>
      </c>
      <c r="K35" s="47">
        <v>130</v>
      </c>
      <c r="L35" s="47">
        <v>60</v>
      </c>
      <c r="M35" s="47">
        <f t="shared" si="0"/>
        <v>190</v>
      </c>
      <c r="N35" s="48" t="s">
        <v>125</v>
      </c>
      <c r="O35" s="71" t="s">
        <v>164</v>
      </c>
    </row>
    <row r="36" spans="1:15" ht="76.5" x14ac:dyDescent="0.2">
      <c r="A36" s="45" t="s">
        <v>165</v>
      </c>
      <c r="B36" s="46" t="s">
        <v>162</v>
      </c>
      <c r="C36" s="46" t="s">
        <v>162</v>
      </c>
      <c r="D36" s="46" t="s">
        <v>163</v>
      </c>
      <c r="E36" s="46" t="s">
        <v>85</v>
      </c>
      <c r="F36" s="46" t="s">
        <v>123</v>
      </c>
      <c r="G36" s="46" t="s">
        <v>124</v>
      </c>
      <c r="H36" s="46" t="s">
        <v>68</v>
      </c>
      <c r="I36" s="46" t="s">
        <v>68</v>
      </c>
      <c r="J36" s="46" t="s">
        <v>71</v>
      </c>
      <c r="K36" s="47">
        <f>ROUND($K$35*2,0)</f>
        <v>260</v>
      </c>
      <c r="L36" s="47">
        <f>L35+60</f>
        <v>120</v>
      </c>
      <c r="M36" s="47">
        <f t="shared" si="0"/>
        <v>380</v>
      </c>
      <c r="N36" s="48" t="s">
        <v>125</v>
      </c>
      <c r="O36" s="71" t="s">
        <v>166</v>
      </c>
    </row>
    <row r="37" spans="1:15" ht="89.25" x14ac:dyDescent="0.2">
      <c r="A37" s="45" t="s">
        <v>167</v>
      </c>
      <c r="B37" s="46" t="s">
        <v>162</v>
      </c>
      <c r="C37" s="46" t="s">
        <v>162</v>
      </c>
      <c r="D37" s="46" t="s">
        <v>163</v>
      </c>
      <c r="E37" s="46" t="s">
        <v>85</v>
      </c>
      <c r="F37" s="46" t="s">
        <v>123</v>
      </c>
      <c r="G37" s="46" t="s">
        <v>128</v>
      </c>
      <c r="H37" s="46" t="s">
        <v>129</v>
      </c>
      <c r="I37" s="46" t="s">
        <v>68</v>
      </c>
      <c r="J37" s="46" t="s">
        <v>71</v>
      </c>
      <c r="K37" s="47">
        <f>ROUND($K$35*2.5,0)</f>
        <v>325</v>
      </c>
      <c r="L37" s="47">
        <f>L35+60+(5*2)</f>
        <v>130</v>
      </c>
      <c r="M37" s="47">
        <f t="shared" si="0"/>
        <v>455</v>
      </c>
      <c r="N37" s="48" t="s">
        <v>125</v>
      </c>
      <c r="O37" s="71" t="s">
        <v>168</v>
      </c>
    </row>
    <row r="38" spans="1:15" ht="89.25" x14ac:dyDescent="0.2">
      <c r="A38" s="45" t="s">
        <v>169</v>
      </c>
      <c r="B38" s="46" t="s">
        <v>162</v>
      </c>
      <c r="C38" s="46" t="s">
        <v>162</v>
      </c>
      <c r="D38" s="46" t="s">
        <v>163</v>
      </c>
      <c r="E38" s="46" t="s">
        <v>85</v>
      </c>
      <c r="F38" s="46" t="s">
        <v>123</v>
      </c>
      <c r="G38" s="46" t="s">
        <v>128</v>
      </c>
      <c r="H38" s="46" t="s">
        <v>132</v>
      </c>
      <c r="I38" s="46" t="s">
        <v>68</v>
      </c>
      <c r="J38" s="46" t="s">
        <v>71</v>
      </c>
      <c r="K38" s="47">
        <f>ROUND($K$35*3,0)</f>
        <v>390</v>
      </c>
      <c r="L38" s="47">
        <f>L35+60+(5*4)</f>
        <v>140</v>
      </c>
      <c r="M38" s="47">
        <f t="shared" si="0"/>
        <v>530</v>
      </c>
      <c r="N38" s="48" t="s">
        <v>125</v>
      </c>
      <c r="O38" s="71" t="s">
        <v>170</v>
      </c>
    </row>
    <row r="39" spans="1:15" ht="89.25" x14ac:dyDescent="0.2">
      <c r="A39" s="45" t="s">
        <v>171</v>
      </c>
      <c r="B39" s="46" t="s">
        <v>162</v>
      </c>
      <c r="C39" s="46" t="s">
        <v>162</v>
      </c>
      <c r="D39" s="46" t="s">
        <v>163</v>
      </c>
      <c r="E39" s="46" t="s">
        <v>85</v>
      </c>
      <c r="F39" s="46" t="s">
        <v>123</v>
      </c>
      <c r="G39" s="46" t="s">
        <v>135</v>
      </c>
      <c r="H39" s="46" t="s">
        <v>136</v>
      </c>
      <c r="I39" s="46" t="s">
        <v>129</v>
      </c>
      <c r="J39" s="46" t="s">
        <v>71</v>
      </c>
      <c r="K39" s="47">
        <f>ROUND($K$35*2.5,0)</f>
        <v>325</v>
      </c>
      <c r="L39" s="47">
        <f>L35+60+(25*2)</f>
        <v>170</v>
      </c>
      <c r="M39" s="47">
        <f t="shared" si="0"/>
        <v>495</v>
      </c>
      <c r="N39" s="48" t="s">
        <v>125</v>
      </c>
      <c r="O39" s="71" t="s">
        <v>172</v>
      </c>
    </row>
    <row r="40" spans="1:15" ht="89.25" x14ac:dyDescent="0.2">
      <c r="A40" s="45" t="s">
        <v>173</v>
      </c>
      <c r="B40" s="46" t="s">
        <v>162</v>
      </c>
      <c r="C40" s="46" t="s">
        <v>162</v>
      </c>
      <c r="D40" s="46" t="s">
        <v>163</v>
      </c>
      <c r="E40" s="46" t="s">
        <v>85</v>
      </c>
      <c r="F40" s="46" t="s">
        <v>123</v>
      </c>
      <c r="G40" s="46" t="s">
        <v>135</v>
      </c>
      <c r="H40" s="46" t="s">
        <v>136</v>
      </c>
      <c r="I40" s="46" t="s">
        <v>132</v>
      </c>
      <c r="J40" s="46" t="s">
        <v>71</v>
      </c>
      <c r="K40" s="47">
        <f>ROUND($K$35*3,0)</f>
        <v>390</v>
      </c>
      <c r="L40" s="47">
        <f>L35+80+(25*4)</f>
        <v>240</v>
      </c>
      <c r="M40" s="47">
        <f t="shared" si="0"/>
        <v>630</v>
      </c>
      <c r="N40" s="48" t="s">
        <v>125</v>
      </c>
      <c r="O40" s="71" t="s">
        <v>174</v>
      </c>
    </row>
    <row r="41" spans="1:15" ht="89.25" x14ac:dyDescent="0.2">
      <c r="A41" s="45" t="s">
        <v>175</v>
      </c>
      <c r="B41" s="46" t="s">
        <v>162</v>
      </c>
      <c r="C41" s="46" t="s">
        <v>162</v>
      </c>
      <c r="D41" s="46" t="s">
        <v>163</v>
      </c>
      <c r="E41" s="46" t="s">
        <v>85</v>
      </c>
      <c r="F41" s="46" t="s">
        <v>123</v>
      </c>
      <c r="G41" s="46" t="s">
        <v>135</v>
      </c>
      <c r="H41" s="46" t="s">
        <v>136</v>
      </c>
      <c r="I41" s="46" t="s">
        <v>141</v>
      </c>
      <c r="J41" s="46" t="s">
        <v>71</v>
      </c>
      <c r="K41" s="47">
        <f>ROUND($K$35*3.5,0)</f>
        <v>455</v>
      </c>
      <c r="L41" s="47">
        <f>L35+100+(25*6)</f>
        <v>310</v>
      </c>
      <c r="M41" s="47">
        <f t="shared" si="0"/>
        <v>765</v>
      </c>
      <c r="N41" s="48" t="s">
        <v>125</v>
      </c>
      <c r="O41" s="71" t="s">
        <v>176</v>
      </c>
    </row>
    <row r="42" spans="1:15" ht="89.25" x14ac:dyDescent="0.2">
      <c r="A42" s="45" t="s">
        <v>177</v>
      </c>
      <c r="B42" s="46" t="s">
        <v>162</v>
      </c>
      <c r="C42" s="46" t="s">
        <v>162</v>
      </c>
      <c r="D42" s="46" t="s">
        <v>163</v>
      </c>
      <c r="E42" s="46" t="s">
        <v>85</v>
      </c>
      <c r="F42" s="46" t="s">
        <v>123</v>
      </c>
      <c r="G42" s="46" t="s">
        <v>135</v>
      </c>
      <c r="H42" s="46" t="s">
        <v>144</v>
      </c>
      <c r="I42" s="46" t="s">
        <v>129</v>
      </c>
      <c r="J42" s="46" t="s">
        <v>71</v>
      </c>
      <c r="K42" s="47">
        <f>ROUND($K$35*3,0)</f>
        <v>390</v>
      </c>
      <c r="L42" s="47">
        <f>L35+60+(50*2)</f>
        <v>220</v>
      </c>
      <c r="M42" s="47">
        <f t="shared" si="0"/>
        <v>610</v>
      </c>
      <c r="N42" s="48" t="s">
        <v>125</v>
      </c>
      <c r="O42" s="71" t="s">
        <v>178</v>
      </c>
    </row>
    <row r="43" spans="1:15" ht="89.25" x14ac:dyDescent="0.2">
      <c r="A43" s="45" t="s">
        <v>179</v>
      </c>
      <c r="B43" s="46" t="s">
        <v>162</v>
      </c>
      <c r="C43" s="46" t="s">
        <v>162</v>
      </c>
      <c r="D43" s="46" t="s">
        <v>163</v>
      </c>
      <c r="E43" s="46" t="s">
        <v>85</v>
      </c>
      <c r="F43" s="46" t="s">
        <v>123</v>
      </c>
      <c r="G43" s="46" t="s">
        <v>135</v>
      </c>
      <c r="H43" s="46" t="s">
        <v>144</v>
      </c>
      <c r="I43" s="46" t="s">
        <v>132</v>
      </c>
      <c r="J43" s="46" t="s">
        <v>71</v>
      </c>
      <c r="K43" s="47">
        <f>ROUND($K$35*3.5,0)</f>
        <v>455</v>
      </c>
      <c r="L43" s="47">
        <f>L35+80+(50*4)</f>
        <v>340</v>
      </c>
      <c r="M43" s="47">
        <f t="shared" si="0"/>
        <v>795</v>
      </c>
      <c r="N43" s="48" t="s">
        <v>125</v>
      </c>
      <c r="O43" s="71" t="s">
        <v>180</v>
      </c>
    </row>
    <row r="44" spans="1:15" ht="89.25" x14ac:dyDescent="0.2">
      <c r="A44" s="45" t="s">
        <v>181</v>
      </c>
      <c r="B44" s="46" t="s">
        <v>162</v>
      </c>
      <c r="C44" s="46" t="s">
        <v>162</v>
      </c>
      <c r="D44" s="46" t="s">
        <v>163</v>
      </c>
      <c r="E44" s="46" t="s">
        <v>85</v>
      </c>
      <c r="F44" s="46" t="s">
        <v>123</v>
      </c>
      <c r="G44" s="46" t="s">
        <v>135</v>
      </c>
      <c r="H44" s="46" t="s">
        <v>149</v>
      </c>
      <c r="I44" s="46" t="s">
        <v>129</v>
      </c>
      <c r="J44" s="46" t="s">
        <v>71</v>
      </c>
      <c r="K44" s="47">
        <f>ROUND($K$35*3,0)</f>
        <v>390</v>
      </c>
      <c r="L44" s="47">
        <f>L35+80+(75*2)</f>
        <v>290</v>
      </c>
      <c r="M44" s="47">
        <f t="shared" si="0"/>
        <v>680</v>
      </c>
      <c r="N44" s="48" t="s">
        <v>125</v>
      </c>
      <c r="O44" s="71" t="s">
        <v>182</v>
      </c>
    </row>
    <row r="45" spans="1:15" ht="89.25" x14ac:dyDescent="0.2">
      <c r="A45" s="45" t="s">
        <v>183</v>
      </c>
      <c r="B45" s="46" t="s">
        <v>162</v>
      </c>
      <c r="C45" s="46" t="s">
        <v>162</v>
      </c>
      <c r="D45" s="46" t="s">
        <v>163</v>
      </c>
      <c r="E45" s="46" t="s">
        <v>85</v>
      </c>
      <c r="F45" s="46" t="s">
        <v>123</v>
      </c>
      <c r="G45" s="46" t="s">
        <v>135</v>
      </c>
      <c r="H45" s="46" t="s">
        <v>149</v>
      </c>
      <c r="I45" s="46" t="s">
        <v>132</v>
      </c>
      <c r="J45" s="46" t="s">
        <v>71</v>
      </c>
      <c r="K45" s="47">
        <f>ROUND($K$35*3.5,0)</f>
        <v>455</v>
      </c>
      <c r="L45" s="47">
        <f>L35+100+(75*4)</f>
        <v>460</v>
      </c>
      <c r="M45" s="47">
        <f t="shared" si="0"/>
        <v>915</v>
      </c>
      <c r="N45" s="48" t="s">
        <v>125</v>
      </c>
      <c r="O45" s="71" t="s">
        <v>184</v>
      </c>
    </row>
    <row r="46" spans="1:15" ht="89.25" x14ac:dyDescent="0.2">
      <c r="A46" s="45" t="s">
        <v>185</v>
      </c>
      <c r="B46" s="46" t="s">
        <v>162</v>
      </c>
      <c r="C46" s="46" t="s">
        <v>162</v>
      </c>
      <c r="D46" s="46" t="s">
        <v>163</v>
      </c>
      <c r="E46" s="46" t="s">
        <v>85</v>
      </c>
      <c r="F46" s="46" t="s">
        <v>123</v>
      </c>
      <c r="G46" s="46" t="s">
        <v>135</v>
      </c>
      <c r="H46" s="46" t="s">
        <v>154</v>
      </c>
      <c r="I46" s="46" t="s">
        <v>129</v>
      </c>
      <c r="J46" s="46" t="s">
        <v>71</v>
      </c>
      <c r="K46" s="47">
        <f>ROUND($K$35*3,0)</f>
        <v>390</v>
      </c>
      <c r="L46" s="47">
        <f>L35+100+(100*2)</f>
        <v>360</v>
      </c>
      <c r="M46" s="47">
        <f t="shared" si="0"/>
        <v>750</v>
      </c>
      <c r="N46" s="48" t="s">
        <v>125</v>
      </c>
      <c r="O46" s="71" t="s">
        <v>186</v>
      </c>
    </row>
    <row r="47" spans="1:15" ht="89.25" x14ac:dyDescent="0.2">
      <c r="A47" s="45" t="s">
        <v>187</v>
      </c>
      <c r="B47" s="46" t="s">
        <v>162</v>
      </c>
      <c r="C47" s="46" t="s">
        <v>162</v>
      </c>
      <c r="D47" s="46" t="s">
        <v>163</v>
      </c>
      <c r="E47" s="46" t="s">
        <v>85</v>
      </c>
      <c r="F47" s="46" t="s">
        <v>123</v>
      </c>
      <c r="G47" s="46" t="s">
        <v>135</v>
      </c>
      <c r="H47" s="46" t="s">
        <v>154</v>
      </c>
      <c r="I47" s="46" t="s">
        <v>132</v>
      </c>
      <c r="J47" s="46" t="s">
        <v>71</v>
      </c>
      <c r="K47" s="47">
        <f>ROUND($K$35*3.5,0)</f>
        <v>455</v>
      </c>
      <c r="L47" s="47">
        <f>L35+120+(100*4)</f>
        <v>580</v>
      </c>
      <c r="M47" s="47">
        <f t="shared" si="0"/>
        <v>1035</v>
      </c>
      <c r="N47" s="48" t="s">
        <v>125</v>
      </c>
      <c r="O47" s="71" t="s">
        <v>188</v>
      </c>
    </row>
    <row r="48" spans="1:15" ht="89.25" x14ac:dyDescent="0.2">
      <c r="A48" s="45" t="s">
        <v>189</v>
      </c>
      <c r="B48" s="46" t="s">
        <v>162</v>
      </c>
      <c r="C48" s="46" t="s">
        <v>162</v>
      </c>
      <c r="D48" s="46" t="s">
        <v>163</v>
      </c>
      <c r="E48" s="46" t="s">
        <v>85</v>
      </c>
      <c r="F48" s="46" t="s">
        <v>123</v>
      </c>
      <c r="G48" s="46" t="s">
        <v>159</v>
      </c>
      <c r="H48" s="46" t="s">
        <v>132</v>
      </c>
      <c r="I48" s="46" t="s">
        <v>68</v>
      </c>
      <c r="J48" s="46" t="s">
        <v>71</v>
      </c>
      <c r="K48" s="47">
        <v>260</v>
      </c>
      <c r="L48" s="47">
        <f>L35+60</f>
        <v>120</v>
      </c>
      <c r="M48" s="47">
        <f t="shared" si="0"/>
        <v>380</v>
      </c>
      <c r="N48" s="48" t="s">
        <v>125</v>
      </c>
      <c r="O48" s="71" t="s">
        <v>190</v>
      </c>
    </row>
    <row r="49" spans="1:15" ht="38.25" x14ac:dyDescent="0.2">
      <c r="A49" s="45" t="s">
        <v>191</v>
      </c>
      <c r="B49" s="46" t="s">
        <v>192</v>
      </c>
      <c r="C49" s="46" t="s">
        <v>192</v>
      </c>
      <c r="D49" s="46" t="s">
        <v>193</v>
      </c>
      <c r="E49" s="46"/>
      <c r="F49" s="46"/>
      <c r="G49" s="46"/>
      <c r="H49" s="46"/>
      <c r="I49" s="46"/>
      <c r="J49" s="46" t="s">
        <v>71</v>
      </c>
      <c r="K49" s="47">
        <v>140</v>
      </c>
      <c r="L49" s="47">
        <v>10</v>
      </c>
      <c r="M49" s="47">
        <f t="shared" si="0"/>
        <v>150</v>
      </c>
      <c r="N49" s="46" t="s">
        <v>194</v>
      </c>
      <c r="O49" s="71" t="s">
        <v>195</v>
      </c>
    </row>
    <row r="50" spans="1:15" ht="12.75" x14ac:dyDescent="0.2">
      <c r="A50" s="34" t="s">
        <v>196</v>
      </c>
      <c r="B50" s="35" t="s">
        <v>68</v>
      </c>
      <c r="C50" s="35" t="s">
        <v>68</v>
      </c>
      <c r="D50" s="35" t="s">
        <v>68</v>
      </c>
      <c r="E50" s="35" t="s">
        <v>68</v>
      </c>
      <c r="F50" s="35" t="s">
        <v>68</v>
      </c>
      <c r="G50" s="35" t="s">
        <v>68</v>
      </c>
      <c r="H50" s="35" t="s">
        <v>68</v>
      </c>
      <c r="I50" s="35" t="s">
        <v>68</v>
      </c>
      <c r="J50" s="35" t="s">
        <v>68</v>
      </c>
      <c r="K50" s="36" t="s">
        <v>68</v>
      </c>
      <c r="L50" s="36" t="s">
        <v>68</v>
      </c>
      <c r="M50" s="47">
        <f t="shared" si="0"/>
        <v>0</v>
      </c>
      <c r="N50" s="35"/>
      <c r="O50" s="35" t="s">
        <v>68</v>
      </c>
    </row>
    <row r="51" spans="1:15" ht="38.25" x14ac:dyDescent="0.2">
      <c r="A51" s="45" t="s">
        <v>197</v>
      </c>
      <c r="B51" s="46" t="s">
        <v>198</v>
      </c>
      <c r="C51" s="46" t="s">
        <v>198</v>
      </c>
      <c r="D51" s="46" t="s">
        <v>199</v>
      </c>
      <c r="E51" s="46" t="s">
        <v>68</v>
      </c>
      <c r="F51" s="46" t="s">
        <v>68</v>
      </c>
      <c r="G51" s="46" t="s">
        <v>68</v>
      </c>
      <c r="H51" s="46" t="s">
        <v>68</v>
      </c>
      <c r="I51" s="46" t="s">
        <v>68</v>
      </c>
      <c r="J51" s="46" t="s">
        <v>71</v>
      </c>
      <c r="K51" s="47">
        <v>140</v>
      </c>
      <c r="L51" s="47">
        <v>30</v>
      </c>
      <c r="M51" s="47">
        <f t="shared" si="0"/>
        <v>170</v>
      </c>
      <c r="N51" s="46" t="s">
        <v>200</v>
      </c>
      <c r="O51" s="71" t="s">
        <v>201</v>
      </c>
    </row>
    <row r="52" spans="1:15" ht="38.25" x14ac:dyDescent="0.2">
      <c r="A52" s="45" t="s">
        <v>202</v>
      </c>
      <c r="B52" s="46" t="s">
        <v>203</v>
      </c>
      <c r="C52" s="46" t="s">
        <v>203</v>
      </c>
      <c r="D52" s="46" t="s">
        <v>199</v>
      </c>
      <c r="E52" s="46" t="s">
        <v>68</v>
      </c>
      <c r="F52" s="46" t="s">
        <v>68</v>
      </c>
      <c r="G52" s="46" t="s">
        <v>68</v>
      </c>
      <c r="H52" s="46" t="s">
        <v>68</v>
      </c>
      <c r="I52" s="46" t="s">
        <v>68</v>
      </c>
      <c r="J52" s="46" t="s">
        <v>71</v>
      </c>
      <c r="K52" s="47">
        <v>140</v>
      </c>
      <c r="L52" s="47">
        <v>30</v>
      </c>
      <c r="M52" s="47">
        <f t="shared" si="0"/>
        <v>170</v>
      </c>
      <c r="N52" s="46" t="s">
        <v>204</v>
      </c>
      <c r="O52" s="71" t="s">
        <v>205</v>
      </c>
    </row>
    <row r="53" spans="1:15" ht="89.25" x14ac:dyDescent="0.2">
      <c r="A53" s="45" t="s">
        <v>206</v>
      </c>
      <c r="B53" s="46" t="s">
        <v>207</v>
      </c>
      <c r="C53" s="46" t="s">
        <v>207</v>
      </c>
      <c r="D53" s="46" t="s">
        <v>199</v>
      </c>
      <c r="E53" s="46" t="s">
        <v>208</v>
      </c>
      <c r="F53" s="46" t="s">
        <v>68</v>
      </c>
      <c r="G53" s="46" t="s">
        <v>68</v>
      </c>
      <c r="H53" s="46" t="s">
        <v>68</v>
      </c>
      <c r="I53" s="46" t="s">
        <v>68</v>
      </c>
      <c r="J53" s="46" t="s">
        <v>71</v>
      </c>
      <c r="K53" s="47">
        <v>170</v>
      </c>
      <c r="L53" s="47">
        <v>140</v>
      </c>
      <c r="M53" s="47">
        <f t="shared" si="0"/>
        <v>310</v>
      </c>
      <c r="N53" s="46" t="s">
        <v>209</v>
      </c>
      <c r="O53" s="71" t="s">
        <v>210</v>
      </c>
    </row>
    <row r="54" spans="1:15" ht="38.25" x14ac:dyDescent="0.2">
      <c r="A54" s="45" t="s">
        <v>211</v>
      </c>
      <c r="B54" s="46" t="s">
        <v>212</v>
      </c>
      <c r="C54" s="46" t="s">
        <v>212</v>
      </c>
      <c r="D54" s="46" t="s">
        <v>213</v>
      </c>
      <c r="E54" s="46" t="s">
        <v>68</v>
      </c>
      <c r="F54" s="46" t="s">
        <v>68</v>
      </c>
      <c r="G54" s="46" t="s">
        <v>68</v>
      </c>
      <c r="H54" s="46" t="s">
        <v>68</v>
      </c>
      <c r="I54" s="46" t="s">
        <v>68</v>
      </c>
      <c r="J54" s="46" t="s">
        <v>71</v>
      </c>
      <c r="K54" s="47">
        <v>180</v>
      </c>
      <c r="L54" s="47">
        <v>70</v>
      </c>
      <c r="M54" s="47">
        <f t="shared" si="0"/>
        <v>250</v>
      </c>
      <c r="N54" s="46" t="s">
        <v>214</v>
      </c>
      <c r="O54" s="71" t="s">
        <v>215</v>
      </c>
    </row>
    <row r="55" spans="1:15" ht="25.5" x14ac:dyDescent="0.2">
      <c r="A55" s="45" t="s">
        <v>216</v>
      </c>
      <c r="B55" s="46" t="s">
        <v>192</v>
      </c>
      <c r="C55" s="46" t="s">
        <v>192</v>
      </c>
      <c r="D55" s="46" t="s">
        <v>199</v>
      </c>
      <c r="E55" s="46" t="s">
        <v>68</v>
      </c>
      <c r="F55" s="46" t="s">
        <v>68</v>
      </c>
      <c r="G55" s="46" t="s">
        <v>68</v>
      </c>
      <c r="H55" s="46" t="s">
        <v>68</v>
      </c>
      <c r="I55" s="46" t="s">
        <v>68</v>
      </c>
      <c r="J55" s="46" t="s">
        <v>71</v>
      </c>
      <c r="K55" s="47">
        <v>250</v>
      </c>
      <c r="L55" s="47">
        <v>50</v>
      </c>
      <c r="M55" s="47">
        <f t="shared" si="0"/>
        <v>300</v>
      </c>
      <c r="N55" s="46" t="s">
        <v>217</v>
      </c>
      <c r="O55" s="71" t="s">
        <v>218</v>
      </c>
    </row>
    <row r="56" spans="1:15" ht="63.75" x14ac:dyDescent="0.2">
      <c r="A56" s="45" t="s">
        <v>219</v>
      </c>
      <c r="B56" s="46" t="s">
        <v>220</v>
      </c>
      <c r="C56" s="46" t="s">
        <v>220</v>
      </c>
      <c r="D56" s="46" t="s">
        <v>221</v>
      </c>
      <c r="E56" s="46" t="s">
        <v>222</v>
      </c>
      <c r="F56" s="46" t="s">
        <v>68</v>
      </c>
      <c r="G56" s="46" t="s">
        <v>68</v>
      </c>
      <c r="H56" s="46" t="s">
        <v>68</v>
      </c>
      <c r="I56" s="46" t="s">
        <v>68</v>
      </c>
      <c r="J56" s="46" t="s">
        <v>71</v>
      </c>
      <c r="K56" s="47">
        <v>400</v>
      </c>
      <c r="L56" s="47">
        <f>220+L53</f>
        <v>360</v>
      </c>
      <c r="M56" s="47">
        <f t="shared" si="0"/>
        <v>760</v>
      </c>
      <c r="N56" s="46" t="s">
        <v>223</v>
      </c>
      <c r="O56" s="71" t="s">
        <v>224</v>
      </c>
    </row>
    <row r="57" spans="1:15" ht="63.75" x14ac:dyDescent="0.2">
      <c r="A57" s="45" t="s">
        <v>225</v>
      </c>
      <c r="B57" s="46" t="s">
        <v>220</v>
      </c>
      <c r="C57" s="46" t="s">
        <v>220</v>
      </c>
      <c r="D57" s="46" t="s">
        <v>221</v>
      </c>
      <c r="E57" s="46" t="s">
        <v>226</v>
      </c>
      <c r="F57" s="46" t="s">
        <v>68</v>
      </c>
      <c r="G57" s="46" t="s">
        <v>68</v>
      </c>
      <c r="H57" s="46" t="s">
        <v>68</v>
      </c>
      <c r="I57" s="46" t="s">
        <v>68</v>
      </c>
      <c r="J57" s="46" t="s">
        <v>71</v>
      </c>
      <c r="K57" s="47">
        <v>600</v>
      </c>
      <c r="L57" s="47">
        <f>400+L53</f>
        <v>540</v>
      </c>
      <c r="M57" s="47">
        <f t="shared" si="0"/>
        <v>1140</v>
      </c>
      <c r="N57" s="46" t="s">
        <v>223</v>
      </c>
      <c r="O57" s="71" t="s">
        <v>227</v>
      </c>
    </row>
    <row r="58" spans="1:15" ht="63.75" x14ac:dyDescent="0.2">
      <c r="A58" s="45" t="s">
        <v>228</v>
      </c>
      <c r="B58" s="46" t="s">
        <v>220</v>
      </c>
      <c r="C58" s="46" t="s">
        <v>220</v>
      </c>
      <c r="D58" s="46" t="s">
        <v>221</v>
      </c>
      <c r="E58" s="46" t="s">
        <v>229</v>
      </c>
      <c r="F58" s="46" t="s">
        <v>68</v>
      </c>
      <c r="G58" s="46" t="s">
        <v>68</v>
      </c>
      <c r="H58" s="46" t="s">
        <v>68</v>
      </c>
      <c r="I58" s="46" t="s">
        <v>68</v>
      </c>
      <c r="J58" s="46" t="s">
        <v>71</v>
      </c>
      <c r="K58" s="47">
        <v>790</v>
      </c>
      <c r="L58" s="47">
        <f>580+L53</f>
        <v>720</v>
      </c>
      <c r="M58" s="47">
        <f t="shared" si="0"/>
        <v>1510</v>
      </c>
      <c r="N58" s="46" t="s">
        <v>223</v>
      </c>
      <c r="O58" s="71" t="s">
        <v>230</v>
      </c>
    </row>
    <row r="59" spans="1:15" ht="76.5" x14ac:dyDescent="0.2">
      <c r="A59" s="45" t="s">
        <v>231</v>
      </c>
      <c r="B59" s="46" t="s">
        <v>220</v>
      </c>
      <c r="C59" s="46" t="s">
        <v>220</v>
      </c>
      <c r="D59" s="46" t="s">
        <v>232</v>
      </c>
      <c r="E59" s="46" t="s">
        <v>222</v>
      </c>
      <c r="F59" s="46" t="s">
        <v>68</v>
      </c>
      <c r="G59" s="46" t="s">
        <v>68</v>
      </c>
      <c r="H59" s="46" t="s">
        <v>68</v>
      </c>
      <c r="I59" s="46" t="s">
        <v>68</v>
      </c>
      <c r="J59" s="46" t="s">
        <v>71</v>
      </c>
      <c r="K59" s="47">
        <v>600</v>
      </c>
      <c r="L59" s="47">
        <f>L56+300</f>
        <v>660</v>
      </c>
      <c r="M59" s="47">
        <f t="shared" si="0"/>
        <v>1260</v>
      </c>
      <c r="N59" s="46" t="s">
        <v>223</v>
      </c>
      <c r="O59" s="71" t="s">
        <v>233</v>
      </c>
    </row>
    <row r="60" spans="1:15" ht="76.5" x14ac:dyDescent="0.2">
      <c r="A60" s="45" t="s">
        <v>234</v>
      </c>
      <c r="B60" s="46" t="s">
        <v>220</v>
      </c>
      <c r="C60" s="46" t="s">
        <v>220</v>
      </c>
      <c r="D60" s="46" t="s">
        <v>232</v>
      </c>
      <c r="E60" s="46" t="s">
        <v>226</v>
      </c>
      <c r="F60" s="46" t="s">
        <v>68</v>
      </c>
      <c r="G60" s="46" t="s">
        <v>68</v>
      </c>
      <c r="H60" s="46" t="s">
        <v>68</v>
      </c>
      <c r="I60" s="46" t="s">
        <v>68</v>
      </c>
      <c r="J60" s="46" t="s">
        <v>71</v>
      </c>
      <c r="K60" s="47">
        <v>790</v>
      </c>
      <c r="L60" s="47">
        <f>L58+400</f>
        <v>1120</v>
      </c>
      <c r="M60" s="47">
        <f t="shared" si="0"/>
        <v>1910</v>
      </c>
      <c r="N60" s="46" t="s">
        <v>223</v>
      </c>
      <c r="O60" s="71" t="s">
        <v>235</v>
      </c>
    </row>
    <row r="61" spans="1:15" ht="76.5" x14ac:dyDescent="0.2">
      <c r="A61" s="45" t="s">
        <v>236</v>
      </c>
      <c r="B61" s="46" t="s">
        <v>220</v>
      </c>
      <c r="C61" s="46" t="s">
        <v>220</v>
      </c>
      <c r="D61" s="46" t="s">
        <v>232</v>
      </c>
      <c r="E61" s="46" t="s">
        <v>229</v>
      </c>
      <c r="F61" s="46" t="s">
        <v>68</v>
      </c>
      <c r="G61" s="46" t="s">
        <v>68</v>
      </c>
      <c r="H61" s="46" t="s">
        <v>68</v>
      </c>
      <c r="I61" s="46" t="s">
        <v>68</v>
      </c>
      <c r="J61" s="46" t="s">
        <v>71</v>
      </c>
      <c r="K61" s="47">
        <v>1000</v>
      </c>
      <c r="L61" s="47">
        <f>L58+500</f>
        <v>1220</v>
      </c>
      <c r="M61" s="47">
        <f t="shared" si="0"/>
        <v>2220</v>
      </c>
      <c r="N61" s="46" t="s">
        <v>223</v>
      </c>
      <c r="O61" s="71" t="s">
        <v>237</v>
      </c>
    </row>
    <row r="62" spans="1:15" ht="51" x14ac:dyDescent="0.2">
      <c r="A62" s="45" t="s">
        <v>238</v>
      </c>
      <c r="B62" s="46" t="s">
        <v>239</v>
      </c>
      <c r="C62" s="46" t="s">
        <v>239</v>
      </c>
      <c r="D62" s="46" t="s">
        <v>199</v>
      </c>
      <c r="E62" s="46" t="s">
        <v>222</v>
      </c>
      <c r="F62" s="46" t="s">
        <v>68</v>
      </c>
      <c r="G62" s="46" t="s">
        <v>68</v>
      </c>
      <c r="H62" s="46" t="s">
        <v>68</v>
      </c>
      <c r="I62" s="46" t="s">
        <v>68</v>
      </c>
      <c r="J62" s="46" t="s">
        <v>71</v>
      </c>
      <c r="K62" s="47">
        <v>150</v>
      </c>
      <c r="L62" s="47">
        <v>100</v>
      </c>
      <c r="M62" s="47">
        <f t="shared" si="0"/>
        <v>250</v>
      </c>
      <c r="N62" s="46" t="s">
        <v>240</v>
      </c>
      <c r="O62" s="71" t="s">
        <v>241</v>
      </c>
    </row>
    <row r="63" spans="1:15" ht="51" x14ac:dyDescent="0.2">
      <c r="A63" s="45" t="s">
        <v>242</v>
      </c>
      <c r="B63" s="46" t="s">
        <v>239</v>
      </c>
      <c r="C63" s="46" t="s">
        <v>239</v>
      </c>
      <c r="D63" s="46" t="s">
        <v>199</v>
      </c>
      <c r="E63" s="46" t="s">
        <v>226</v>
      </c>
      <c r="F63" s="46" t="s">
        <v>68</v>
      </c>
      <c r="G63" s="46" t="s">
        <v>68</v>
      </c>
      <c r="H63" s="46" t="s">
        <v>68</v>
      </c>
      <c r="I63" s="46" t="s">
        <v>68</v>
      </c>
      <c r="J63" s="46" t="s">
        <v>71</v>
      </c>
      <c r="K63" s="47">
        <v>170</v>
      </c>
      <c r="L63" s="47">
        <v>150</v>
      </c>
      <c r="M63" s="47">
        <f t="shared" si="0"/>
        <v>320</v>
      </c>
      <c r="N63" s="46" t="s">
        <v>240</v>
      </c>
      <c r="O63" s="71" t="s">
        <v>243</v>
      </c>
    </row>
    <row r="64" spans="1:15" ht="51" x14ac:dyDescent="0.2">
      <c r="A64" s="45" t="s">
        <v>244</v>
      </c>
      <c r="B64" s="46" t="s">
        <v>239</v>
      </c>
      <c r="C64" s="46" t="s">
        <v>239</v>
      </c>
      <c r="D64" s="46" t="s">
        <v>199</v>
      </c>
      <c r="E64" s="46" t="s">
        <v>229</v>
      </c>
      <c r="F64" s="46" t="s">
        <v>68</v>
      </c>
      <c r="G64" s="46" t="s">
        <v>68</v>
      </c>
      <c r="H64" s="46" t="s">
        <v>68</v>
      </c>
      <c r="I64" s="46" t="s">
        <v>68</v>
      </c>
      <c r="J64" s="46" t="s">
        <v>71</v>
      </c>
      <c r="K64" s="47">
        <v>210</v>
      </c>
      <c r="L64" s="47">
        <v>300</v>
      </c>
      <c r="M64" s="47">
        <f t="shared" si="0"/>
        <v>510</v>
      </c>
      <c r="N64" s="46" t="s">
        <v>240</v>
      </c>
      <c r="O64" s="71" t="s">
        <v>245</v>
      </c>
    </row>
    <row r="65" spans="1:15" ht="38.25" x14ac:dyDescent="0.2">
      <c r="A65" s="45" t="s">
        <v>246</v>
      </c>
      <c r="B65" s="46" t="s">
        <v>247</v>
      </c>
      <c r="C65" s="46" t="s">
        <v>247</v>
      </c>
      <c r="D65" s="46" t="s">
        <v>248</v>
      </c>
      <c r="E65" s="46" t="s">
        <v>68</v>
      </c>
      <c r="F65" s="46" t="s">
        <v>68</v>
      </c>
      <c r="G65" s="46" t="s">
        <v>68</v>
      </c>
      <c r="H65" s="46" t="s">
        <v>68</v>
      </c>
      <c r="I65" s="46" t="s">
        <v>68</v>
      </c>
      <c r="J65" s="46" t="s">
        <v>71</v>
      </c>
      <c r="K65" s="47">
        <v>500</v>
      </c>
      <c r="L65" s="47">
        <v>600</v>
      </c>
      <c r="M65" s="47">
        <f t="shared" si="0"/>
        <v>1100</v>
      </c>
      <c r="N65" s="46" t="s">
        <v>249</v>
      </c>
      <c r="O65" s="71" t="s">
        <v>250</v>
      </c>
    </row>
    <row r="66" spans="1:15" ht="12.75" x14ac:dyDescent="0.2">
      <c r="A66" s="34" t="s">
        <v>251</v>
      </c>
      <c r="B66" s="35" t="s">
        <v>68</v>
      </c>
      <c r="C66" s="35" t="s">
        <v>68</v>
      </c>
      <c r="D66" s="35" t="s">
        <v>68</v>
      </c>
      <c r="E66" s="35" t="s">
        <v>68</v>
      </c>
      <c r="F66" s="35" t="s">
        <v>68</v>
      </c>
      <c r="G66" s="35" t="s">
        <v>68</v>
      </c>
      <c r="H66" s="35" t="s">
        <v>68</v>
      </c>
      <c r="I66" s="35" t="s">
        <v>68</v>
      </c>
      <c r="J66" s="35" t="s">
        <v>68</v>
      </c>
      <c r="K66" s="36" t="s">
        <v>68</v>
      </c>
      <c r="L66" s="36" t="s">
        <v>68</v>
      </c>
      <c r="M66" s="47">
        <f t="shared" si="0"/>
        <v>0</v>
      </c>
      <c r="N66" s="35"/>
      <c r="O66" s="35" t="s">
        <v>68</v>
      </c>
    </row>
    <row r="67" spans="1:15" ht="51" x14ac:dyDescent="0.2">
      <c r="A67" s="45" t="s">
        <v>252</v>
      </c>
      <c r="B67" s="104" t="s">
        <v>253</v>
      </c>
      <c r="C67" s="104" t="s">
        <v>6560</v>
      </c>
      <c r="D67" s="104" t="s">
        <v>6558</v>
      </c>
      <c r="E67" s="104" t="s">
        <v>254</v>
      </c>
      <c r="F67" s="104" t="s">
        <v>6554</v>
      </c>
      <c r="G67" s="46" t="s">
        <v>68</v>
      </c>
      <c r="H67" s="46" t="s">
        <v>68</v>
      </c>
      <c r="I67" s="46" t="s">
        <v>68</v>
      </c>
      <c r="J67" s="46" t="s">
        <v>71</v>
      </c>
      <c r="K67" s="47">
        <v>160</v>
      </c>
      <c r="L67" s="47">
        <v>80</v>
      </c>
      <c r="M67" s="47">
        <f t="shared" si="0"/>
        <v>240</v>
      </c>
      <c r="N67" s="48" t="s">
        <v>6556</v>
      </c>
      <c r="O67" s="48" t="s">
        <v>255</v>
      </c>
    </row>
    <row r="68" spans="1:15" ht="51" x14ac:dyDescent="0.2">
      <c r="A68" s="45" t="s">
        <v>256</v>
      </c>
      <c r="B68" s="104" t="s">
        <v>253</v>
      </c>
      <c r="C68" s="104" t="s">
        <v>6560</v>
      </c>
      <c r="D68" s="104" t="s">
        <v>6561</v>
      </c>
      <c r="E68" s="104" t="s">
        <v>6562</v>
      </c>
      <c r="F68" s="104" t="s">
        <v>6555</v>
      </c>
      <c r="G68" s="46"/>
      <c r="H68" s="46" t="s">
        <v>68</v>
      </c>
      <c r="I68" s="46" t="s">
        <v>68</v>
      </c>
      <c r="J68" s="46" t="s">
        <v>71</v>
      </c>
      <c r="K68" s="47">
        <v>180</v>
      </c>
      <c r="L68" s="47">
        <v>120</v>
      </c>
      <c r="M68" s="47">
        <f t="shared" si="0"/>
        <v>300</v>
      </c>
      <c r="N68" s="48" t="s">
        <v>6557</v>
      </c>
      <c r="O68" s="48" t="s">
        <v>259</v>
      </c>
    </row>
    <row r="69" spans="1:15" ht="38.25" x14ac:dyDescent="0.2">
      <c r="A69" s="45" t="s">
        <v>260</v>
      </c>
      <c r="B69" s="46" t="s">
        <v>261</v>
      </c>
      <c r="C69" s="46" t="s">
        <v>261</v>
      </c>
      <c r="D69" s="46"/>
      <c r="E69" s="46" t="s">
        <v>68</v>
      </c>
      <c r="F69" s="46" t="s">
        <v>68</v>
      </c>
      <c r="G69" s="46" t="s">
        <v>68</v>
      </c>
      <c r="H69" s="46" t="s">
        <v>68</v>
      </c>
      <c r="I69" s="46" t="s">
        <v>68</v>
      </c>
      <c r="J69" s="46" t="s">
        <v>71</v>
      </c>
      <c r="K69" s="47">
        <v>140</v>
      </c>
      <c r="L69" s="47">
        <v>10</v>
      </c>
      <c r="M69" s="47">
        <f t="shared" si="0"/>
        <v>150</v>
      </c>
      <c r="N69" s="48" t="s">
        <v>262</v>
      </c>
      <c r="O69" s="48" t="s">
        <v>263</v>
      </c>
    </row>
    <row r="70" spans="1:15" ht="51" x14ac:dyDescent="0.2">
      <c r="A70" s="45" t="s">
        <v>264</v>
      </c>
      <c r="B70" s="46" t="s">
        <v>265</v>
      </c>
      <c r="C70" s="46" t="s">
        <v>265</v>
      </c>
      <c r="D70" s="46"/>
      <c r="E70" s="46" t="s">
        <v>68</v>
      </c>
      <c r="F70" s="46" t="s">
        <v>68</v>
      </c>
      <c r="G70" s="46" t="s">
        <v>68</v>
      </c>
      <c r="H70" s="46" t="s">
        <v>68</v>
      </c>
      <c r="I70" s="46" t="s">
        <v>68</v>
      </c>
      <c r="J70" s="46" t="s">
        <v>71</v>
      </c>
      <c r="K70" s="47">
        <v>140</v>
      </c>
      <c r="L70" s="47">
        <v>10</v>
      </c>
      <c r="M70" s="47">
        <f t="shared" si="0"/>
        <v>150</v>
      </c>
      <c r="N70" s="48" t="s">
        <v>266</v>
      </c>
      <c r="O70" s="48" t="s">
        <v>267</v>
      </c>
    </row>
    <row r="71" spans="1:15" ht="89.25" x14ac:dyDescent="0.2">
      <c r="A71" s="45" t="s">
        <v>268</v>
      </c>
      <c r="B71" s="46" t="s">
        <v>6553</v>
      </c>
      <c r="C71" s="46" t="s">
        <v>6553</v>
      </c>
      <c r="D71" s="46" t="s">
        <v>269</v>
      </c>
      <c r="E71" s="46" t="s">
        <v>270</v>
      </c>
      <c r="F71" s="46" t="s">
        <v>271</v>
      </c>
      <c r="G71" s="46"/>
      <c r="H71" s="46" t="s">
        <v>68</v>
      </c>
      <c r="I71" s="46" t="s">
        <v>68</v>
      </c>
      <c r="J71" s="46" t="s">
        <v>71</v>
      </c>
      <c r="K71" s="47">
        <v>170</v>
      </c>
      <c r="L71" s="47">
        <v>180</v>
      </c>
      <c r="M71" s="47">
        <f t="shared" ref="M71:M134" si="1">SUM(K71:L71)</f>
        <v>350</v>
      </c>
      <c r="N71" s="48" t="s">
        <v>272</v>
      </c>
      <c r="O71" s="48" t="s">
        <v>273</v>
      </c>
    </row>
    <row r="72" spans="1:15" ht="76.5" x14ac:dyDescent="0.2">
      <c r="A72" s="45" t="s">
        <v>274</v>
      </c>
      <c r="B72" s="46" t="s">
        <v>6553</v>
      </c>
      <c r="C72" s="46" t="s">
        <v>6553</v>
      </c>
      <c r="D72" s="46" t="s">
        <v>269</v>
      </c>
      <c r="E72" s="46" t="s">
        <v>275</v>
      </c>
      <c r="F72" s="46" t="s">
        <v>68</v>
      </c>
      <c r="G72" s="46" t="s">
        <v>68</v>
      </c>
      <c r="H72" s="46" t="s">
        <v>68</v>
      </c>
      <c r="I72" s="46" t="s">
        <v>68</v>
      </c>
      <c r="J72" s="46" t="s">
        <v>71</v>
      </c>
      <c r="K72" s="47">
        <v>150</v>
      </c>
      <c r="L72" s="47">
        <v>120</v>
      </c>
      <c r="M72" s="47">
        <f t="shared" si="1"/>
        <v>270</v>
      </c>
      <c r="N72" s="48" t="s">
        <v>276</v>
      </c>
      <c r="O72" s="48" t="s">
        <v>277</v>
      </c>
    </row>
    <row r="73" spans="1:15" ht="51" x14ac:dyDescent="0.2">
      <c r="A73" s="45" t="s">
        <v>278</v>
      </c>
      <c r="B73" s="46" t="s">
        <v>279</v>
      </c>
      <c r="C73" s="46" t="s">
        <v>279</v>
      </c>
      <c r="D73" s="46" t="s">
        <v>269</v>
      </c>
      <c r="E73" s="46" t="s">
        <v>258</v>
      </c>
      <c r="F73" s="46" t="s">
        <v>68</v>
      </c>
      <c r="G73" s="46" t="s">
        <v>68</v>
      </c>
      <c r="H73" s="46" t="s">
        <v>68</v>
      </c>
      <c r="I73" s="46"/>
      <c r="J73" s="46" t="s">
        <v>71</v>
      </c>
      <c r="K73" s="47">
        <v>140</v>
      </c>
      <c r="L73" s="47">
        <v>70</v>
      </c>
      <c r="M73" s="47">
        <f t="shared" si="1"/>
        <v>210</v>
      </c>
      <c r="N73" s="48" t="s">
        <v>280</v>
      </c>
      <c r="O73" s="48" t="s">
        <v>281</v>
      </c>
    </row>
    <row r="74" spans="1:15" ht="89.25" x14ac:dyDescent="0.2">
      <c r="A74" s="45" t="s">
        <v>282</v>
      </c>
      <c r="B74" s="46" t="s">
        <v>283</v>
      </c>
      <c r="C74" s="46" t="s">
        <v>283</v>
      </c>
      <c r="D74" s="46" t="s">
        <v>269</v>
      </c>
      <c r="E74" s="46" t="s">
        <v>68</v>
      </c>
      <c r="F74" s="46" t="s">
        <v>68</v>
      </c>
      <c r="G74" s="46"/>
      <c r="H74" s="46" t="s">
        <v>68</v>
      </c>
      <c r="I74" s="46"/>
      <c r="J74" s="46" t="s">
        <v>71</v>
      </c>
      <c r="K74" s="47">
        <v>170</v>
      </c>
      <c r="L74" s="47">
        <f>L72+L73</f>
        <v>190</v>
      </c>
      <c r="M74" s="47">
        <f t="shared" si="1"/>
        <v>360</v>
      </c>
      <c r="N74" s="48" t="s">
        <v>284</v>
      </c>
      <c r="O74" s="48" t="s">
        <v>285</v>
      </c>
    </row>
    <row r="75" spans="1:15" ht="63.75" x14ac:dyDescent="0.2">
      <c r="A75" s="45" t="s">
        <v>286</v>
      </c>
      <c r="B75" s="46" t="s">
        <v>287</v>
      </c>
      <c r="C75" s="46" t="s">
        <v>287</v>
      </c>
      <c r="D75" s="46" t="s">
        <v>269</v>
      </c>
      <c r="E75" s="46" t="s">
        <v>68</v>
      </c>
      <c r="F75" s="46" t="s">
        <v>68</v>
      </c>
      <c r="G75" s="46" t="s">
        <v>68</v>
      </c>
      <c r="H75" s="46" t="s">
        <v>68</v>
      </c>
      <c r="I75" s="46"/>
      <c r="J75" s="46" t="s">
        <v>71</v>
      </c>
      <c r="K75" s="47">
        <v>170</v>
      </c>
      <c r="L75" s="47">
        <f>160+15+15</f>
        <v>190</v>
      </c>
      <c r="M75" s="47">
        <f t="shared" si="1"/>
        <v>360</v>
      </c>
      <c r="N75" s="48" t="s">
        <v>288</v>
      </c>
      <c r="O75" s="48" t="s">
        <v>289</v>
      </c>
    </row>
    <row r="76" spans="1:15" ht="102" x14ac:dyDescent="0.2">
      <c r="A76" s="45" t="s">
        <v>290</v>
      </c>
      <c r="B76" s="46" t="s">
        <v>287</v>
      </c>
      <c r="C76" s="46" t="s">
        <v>287</v>
      </c>
      <c r="D76" s="46" t="s">
        <v>269</v>
      </c>
      <c r="E76" s="46" t="s">
        <v>291</v>
      </c>
      <c r="F76" s="46" t="s">
        <v>124</v>
      </c>
      <c r="G76" s="46" t="s">
        <v>68</v>
      </c>
      <c r="H76" s="46" t="s">
        <v>68</v>
      </c>
      <c r="I76" s="46"/>
      <c r="J76" s="46" t="s">
        <v>71</v>
      </c>
      <c r="K76" s="47">
        <f>ROUND($K$75*2,0)</f>
        <v>340</v>
      </c>
      <c r="L76" s="47">
        <f>L75+60</f>
        <v>250</v>
      </c>
      <c r="M76" s="47">
        <f t="shared" si="1"/>
        <v>590</v>
      </c>
      <c r="N76" s="48" t="s">
        <v>288</v>
      </c>
      <c r="O76" s="48" t="s">
        <v>292</v>
      </c>
    </row>
    <row r="77" spans="1:15" ht="114.75" x14ac:dyDescent="0.2">
      <c r="A77" s="45" t="s">
        <v>293</v>
      </c>
      <c r="B77" s="46" t="s">
        <v>287</v>
      </c>
      <c r="C77" s="46" t="s">
        <v>287</v>
      </c>
      <c r="D77" s="46" t="s">
        <v>269</v>
      </c>
      <c r="E77" s="46" t="s">
        <v>291</v>
      </c>
      <c r="F77" s="46" t="s">
        <v>128</v>
      </c>
      <c r="G77" s="46" t="s">
        <v>129</v>
      </c>
      <c r="H77" s="46" t="s">
        <v>68</v>
      </c>
      <c r="I77" s="46"/>
      <c r="J77" s="46" t="s">
        <v>71</v>
      </c>
      <c r="K77" s="47">
        <f>ROUND($K$75*2.5,0)</f>
        <v>425</v>
      </c>
      <c r="L77" s="47">
        <f>L75+60+(5*2)</f>
        <v>260</v>
      </c>
      <c r="M77" s="47">
        <f t="shared" si="1"/>
        <v>685</v>
      </c>
      <c r="N77" s="48" t="s">
        <v>288</v>
      </c>
      <c r="O77" s="48" t="s">
        <v>294</v>
      </c>
    </row>
    <row r="78" spans="1:15" ht="114.75" x14ac:dyDescent="0.2">
      <c r="A78" s="45" t="s">
        <v>295</v>
      </c>
      <c r="B78" s="46" t="s">
        <v>287</v>
      </c>
      <c r="C78" s="46" t="s">
        <v>287</v>
      </c>
      <c r="D78" s="46" t="s">
        <v>269</v>
      </c>
      <c r="E78" s="46" t="s">
        <v>291</v>
      </c>
      <c r="F78" s="46" t="s">
        <v>128</v>
      </c>
      <c r="G78" s="46" t="s">
        <v>132</v>
      </c>
      <c r="H78" s="46" t="s">
        <v>68</v>
      </c>
      <c r="I78" s="46"/>
      <c r="J78" s="46" t="s">
        <v>71</v>
      </c>
      <c r="K78" s="47">
        <f>ROUND($K$75*3,0)</f>
        <v>510</v>
      </c>
      <c r="L78" s="47">
        <f>L75+60+(5*4)</f>
        <v>270</v>
      </c>
      <c r="M78" s="47">
        <f t="shared" si="1"/>
        <v>780</v>
      </c>
      <c r="N78" s="48" t="s">
        <v>288</v>
      </c>
      <c r="O78" s="48" t="s">
        <v>296</v>
      </c>
    </row>
    <row r="79" spans="1:15" ht="127.5" x14ac:dyDescent="0.2">
      <c r="A79" s="45" t="s">
        <v>297</v>
      </c>
      <c r="B79" s="46" t="s">
        <v>287</v>
      </c>
      <c r="C79" s="46" t="s">
        <v>287</v>
      </c>
      <c r="D79" s="46" t="s">
        <v>269</v>
      </c>
      <c r="E79" s="46" t="s">
        <v>291</v>
      </c>
      <c r="F79" s="46" t="s">
        <v>135</v>
      </c>
      <c r="G79" s="46" t="s">
        <v>136</v>
      </c>
      <c r="H79" s="46" t="s">
        <v>129</v>
      </c>
      <c r="I79" s="46"/>
      <c r="J79" s="46" t="s">
        <v>71</v>
      </c>
      <c r="K79" s="47">
        <f>ROUND($K$75*2.5,0)</f>
        <v>425</v>
      </c>
      <c r="L79" s="47">
        <f>L75+60+(25*2)</f>
        <v>300</v>
      </c>
      <c r="M79" s="47">
        <f t="shared" si="1"/>
        <v>725</v>
      </c>
      <c r="N79" s="48" t="s">
        <v>288</v>
      </c>
      <c r="O79" s="48" t="s">
        <v>298</v>
      </c>
    </row>
    <row r="80" spans="1:15" ht="127.5" x14ac:dyDescent="0.2">
      <c r="A80" s="45" t="s">
        <v>299</v>
      </c>
      <c r="B80" s="46" t="s">
        <v>287</v>
      </c>
      <c r="C80" s="46" t="s">
        <v>287</v>
      </c>
      <c r="D80" s="46" t="s">
        <v>269</v>
      </c>
      <c r="E80" s="46" t="s">
        <v>291</v>
      </c>
      <c r="F80" s="46" t="s">
        <v>135</v>
      </c>
      <c r="G80" s="46" t="s">
        <v>136</v>
      </c>
      <c r="H80" s="46" t="s">
        <v>132</v>
      </c>
      <c r="I80" s="46"/>
      <c r="J80" s="46" t="s">
        <v>71</v>
      </c>
      <c r="K80" s="47">
        <f>ROUND($K$75*3,0)</f>
        <v>510</v>
      </c>
      <c r="L80" s="47">
        <f>L75+80+(25*4)</f>
        <v>370</v>
      </c>
      <c r="M80" s="47">
        <f t="shared" si="1"/>
        <v>880</v>
      </c>
      <c r="N80" s="48" t="s">
        <v>288</v>
      </c>
      <c r="O80" s="48" t="s">
        <v>300</v>
      </c>
    </row>
    <row r="81" spans="1:15" ht="127.5" x14ac:dyDescent="0.2">
      <c r="A81" s="45" t="s">
        <v>301</v>
      </c>
      <c r="B81" s="46" t="s">
        <v>287</v>
      </c>
      <c r="C81" s="46" t="s">
        <v>287</v>
      </c>
      <c r="D81" s="46" t="s">
        <v>269</v>
      </c>
      <c r="E81" s="46" t="s">
        <v>291</v>
      </c>
      <c r="F81" s="46" t="s">
        <v>135</v>
      </c>
      <c r="G81" s="46" t="s">
        <v>136</v>
      </c>
      <c r="H81" s="46" t="s">
        <v>141</v>
      </c>
      <c r="I81" s="46"/>
      <c r="J81" s="46" t="s">
        <v>71</v>
      </c>
      <c r="K81" s="47">
        <f>ROUND($K$75*3.5,0)</f>
        <v>595</v>
      </c>
      <c r="L81" s="47">
        <f>L75+100+(25*6)</f>
        <v>440</v>
      </c>
      <c r="M81" s="47">
        <f t="shared" si="1"/>
        <v>1035</v>
      </c>
      <c r="N81" s="48" t="s">
        <v>288</v>
      </c>
      <c r="O81" s="48" t="s">
        <v>302</v>
      </c>
    </row>
    <row r="82" spans="1:15" ht="127.5" x14ac:dyDescent="0.2">
      <c r="A82" s="45" t="s">
        <v>303</v>
      </c>
      <c r="B82" s="46" t="s">
        <v>287</v>
      </c>
      <c r="C82" s="46" t="s">
        <v>287</v>
      </c>
      <c r="D82" s="46" t="s">
        <v>269</v>
      </c>
      <c r="E82" s="46" t="s">
        <v>291</v>
      </c>
      <c r="F82" s="46" t="s">
        <v>135</v>
      </c>
      <c r="G82" s="46" t="s">
        <v>144</v>
      </c>
      <c r="H82" s="46" t="s">
        <v>129</v>
      </c>
      <c r="I82" s="46"/>
      <c r="J82" s="46" t="s">
        <v>71</v>
      </c>
      <c r="K82" s="47">
        <f>ROUND($K$75*3,0)</f>
        <v>510</v>
      </c>
      <c r="L82" s="47">
        <f>L75+60+(50*2)</f>
        <v>350</v>
      </c>
      <c r="M82" s="47">
        <f t="shared" si="1"/>
        <v>860</v>
      </c>
      <c r="N82" s="48" t="s">
        <v>288</v>
      </c>
      <c r="O82" s="48" t="s">
        <v>304</v>
      </c>
    </row>
    <row r="83" spans="1:15" ht="127.5" x14ac:dyDescent="0.2">
      <c r="A83" s="45" t="s">
        <v>305</v>
      </c>
      <c r="B83" s="46" t="s">
        <v>287</v>
      </c>
      <c r="C83" s="46" t="s">
        <v>287</v>
      </c>
      <c r="D83" s="46" t="s">
        <v>269</v>
      </c>
      <c r="E83" s="46" t="s">
        <v>291</v>
      </c>
      <c r="F83" s="46" t="s">
        <v>135</v>
      </c>
      <c r="G83" s="46" t="s">
        <v>144</v>
      </c>
      <c r="H83" s="46" t="s">
        <v>132</v>
      </c>
      <c r="I83" s="46"/>
      <c r="J83" s="46" t="s">
        <v>71</v>
      </c>
      <c r="K83" s="47">
        <f>ROUND($K$75*3.5,0)</f>
        <v>595</v>
      </c>
      <c r="L83" s="47">
        <f>L75+80+(50*4)</f>
        <v>470</v>
      </c>
      <c r="M83" s="47">
        <f t="shared" si="1"/>
        <v>1065</v>
      </c>
      <c r="N83" s="48" t="s">
        <v>288</v>
      </c>
      <c r="O83" s="48" t="s">
        <v>306</v>
      </c>
    </row>
    <row r="84" spans="1:15" ht="127.5" x14ac:dyDescent="0.2">
      <c r="A84" s="45" t="s">
        <v>307</v>
      </c>
      <c r="B84" s="46" t="s">
        <v>287</v>
      </c>
      <c r="C84" s="46" t="s">
        <v>287</v>
      </c>
      <c r="D84" s="46" t="s">
        <v>269</v>
      </c>
      <c r="E84" s="46" t="s">
        <v>291</v>
      </c>
      <c r="F84" s="46" t="s">
        <v>135</v>
      </c>
      <c r="G84" s="46" t="s">
        <v>149</v>
      </c>
      <c r="H84" s="46" t="s">
        <v>129</v>
      </c>
      <c r="I84" s="46"/>
      <c r="J84" s="46" t="s">
        <v>71</v>
      </c>
      <c r="K84" s="47">
        <f>ROUND($K$75*3,0)</f>
        <v>510</v>
      </c>
      <c r="L84" s="47">
        <f>L75+80+(75*2)</f>
        <v>420</v>
      </c>
      <c r="M84" s="47">
        <f t="shared" si="1"/>
        <v>930</v>
      </c>
      <c r="N84" s="48" t="s">
        <v>288</v>
      </c>
      <c r="O84" s="48" t="s">
        <v>308</v>
      </c>
    </row>
    <row r="85" spans="1:15" ht="127.5" x14ac:dyDescent="0.2">
      <c r="A85" s="45" t="s">
        <v>309</v>
      </c>
      <c r="B85" s="46" t="s">
        <v>287</v>
      </c>
      <c r="C85" s="46" t="s">
        <v>287</v>
      </c>
      <c r="D85" s="46" t="s">
        <v>269</v>
      </c>
      <c r="E85" s="46" t="s">
        <v>291</v>
      </c>
      <c r="F85" s="46" t="s">
        <v>135</v>
      </c>
      <c r="G85" s="46" t="s">
        <v>149</v>
      </c>
      <c r="H85" s="46" t="s">
        <v>132</v>
      </c>
      <c r="I85" s="46"/>
      <c r="J85" s="46" t="s">
        <v>71</v>
      </c>
      <c r="K85" s="47">
        <f>ROUND($K$75*3.5,0)</f>
        <v>595</v>
      </c>
      <c r="L85" s="47">
        <f>L75+100+(75*4)</f>
        <v>590</v>
      </c>
      <c r="M85" s="47">
        <f t="shared" si="1"/>
        <v>1185</v>
      </c>
      <c r="N85" s="48" t="s">
        <v>288</v>
      </c>
      <c r="O85" s="48" t="s">
        <v>310</v>
      </c>
    </row>
    <row r="86" spans="1:15" ht="127.5" x14ac:dyDescent="0.2">
      <c r="A86" s="45" t="s">
        <v>311</v>
      </c>
      <c r="B86" s="46" t="s">
        <v>287</v>
      </c>
      <c r="C86" s="46" t="s">
        <v>287</v>
      </c>
      <c r="D86" s="46" t="s">
        <v>269</v>
      </c>
      <c r="E86" s="46" t="s">
        <v>291</v>
      </c>
      <c r="F86" s="46" t="s">
        <v>135</v>
      </c>
      <c r="G86" s="46" t="s">
        <v>154</v>
      </c>
      <c r="H86" s="46" t="s">
        <v>129</v>
      </c>
      <c r="I86" s="46"/>
      <c r="J86" s="46" t="s">
        <v>71</v>
      </c>
      <c r="K86" s="47">
        <f>ROUND($K$75*3,0)</f>
        <v>510</v>
      </c>
      <c r="L86" s="47">
        <f>L75+100+(100*2)</f>
        <v>490</v>
      </c>
      <c r="M86" s="47">
        <f t="shared" si="1"/>
        <v>1000</v>
      </c>
      <c r="N86" s="48" t="s">
        <v>288</v>
      </c>
      <c r="O86" s="48" t="s">
        <v>312</v>
      </c>
    </row>
    <row r="87" spans="1:15" ht="127.5" x14ac:dyDescent="0.2">
      <c r="A87" s="45" t="s">
        <v>313</v>
      </c>
      <c r="B87" s="46" t="s">
        <v>287</v>
      </c>
      <c r="C87" s="46" t="s">
        <v>287</v>
      </c>
      <c r="D87" s="46" t="s">
        <v>269</v>
      </c>
      <c r="E87" s="46" t="s">
        <v>291</v>
      </c>
      <c r="F87" s="46" t="s">
        <v>135</v>
      </c>
      <c r="G87" s="46" t="s">
        <v>154</v>
      </c>
      <c r="H87" s="46" t="s">
        <v>132</v>
      </c>
      <c r="I87" s="46"/>
      <c r="J87" s="46" t="s">
        <v>71</v>
      </c>
      <c r="K87" s="47">
        <f>ROUND($K$75*3.5,0)</f>
        <v>595</v>
      </c>
      <c r="L87" s="47">
        <f>L75+120+(100*4)</f>
        <v>710</v>
      </c>
      <c r="M87" s="47">
        <f t="shared" si="1"/>
        <v>1305</v>
      </c>
      <c r="N87" s="48" t="s">
        <v>288</v>
      </c>
      <c r="O87" s="48" t="s">
        <v>314</v>
      </c>
    </row>
    <row r="88" spans="1:15" ht="102" x14ac:dyDescent="0.2">
      <c r="A88" s="45" t="s">
        <v>315</v>
      </c>
      <c r="B88" s="46" t="s">
        <v>287</v>
      </c>
      <c r="C88" s="46" t="s">
        <v>287</v>
      </c>
      <c r="D88" s="46" t="s">
        <v>269</v>
      </c>
      <c r="E88" s="46" t="s">
        <v>291</v>
      </c>
      <c r="F88" s="46" t="s">
        <v>159</v>
      </c>
      <c r="G88" s="46" t="s">
        <v>132</v>
      </c>
      <c r="H88" s="46" t="s">
        <v>68</v>
      </c>
      <c r="I88" s="46"/>
      <c r="J88" s="46" t="s">
        <v>71</v>
      </c>
      <c r="K88" s="47">
        <f>ROUND($K$75*2,0)</f>
        <v>340</v>
      </c>
      <c r="L88" s="47">
        <f>L75+60</f>
        <v>250</v>
      </c>
      <c r="M88" s="47">
        <f t="shared" si="1"/>
        <v>590</v>
      </c>
      <c r="N88" s="48" t="s">
        <v>288</v>
      </c>
      <c r="O88" s="48" t="s">
        <v>316</v>
      </c>
    </row>
    <row r="89" spans="1:15" ht="89.25" x14ac:dyDescent="0.2">
      <c r="A89" s="45" t="s">
        <v>317</v>
      </c>
      <c r="B89" s="46" t="s">
        <v>318</v>
      </c>
      <c r="C89" s="46" t="s">
        <v>318</v>
      </c>
      <c r="D89" s="46" t="s">
        <v>319</v>
      </c>
      <c r="E89" s="46" t="s">
        <v>68</v>
      </c>
      <c r="F89" s="46" t="s">
        <v>68</v>
      </c>
      <c r="G89" s="46" t="s">
        <v>68</v>
      </c>
      <c r="H89" s="46" t="s">
        <v>68</v>
      </c>
      <c r="I89" s="46"/>
      <c r="J89" s="46" t="s">
        <v>71</v>
      </c>
      <c r="K89" s="47">
        <v>150</v>
      </c>
      <c r="L89" s="47">
        <v>70</v>
      </c>
      <c r="M89" s="47">
        <f t="shared" si="1"/>
        <v>220</v>
      </c>
      <c r="N89" s="48" t="s">
        <v>320</v>
      </c>
      <c r="O89" s="48" t="s">
        <v>321</v>
      </c>
    </row>
    <row r="90" spans="1:15" ht="51" x14ac:dyDescent="0.2">
      <c r="A90" s="45" t="s">
        <v>322</v>
      </c>
      <c r="B90" s="46" t="s">
        <v>323</v>
      </c>
      <c r="C90" s="46" t="s">
        <v>323</v>
      </c>
      <c r="D90" s="46" t="s">
        <v>319</v>
      </c>
      <c r="E90" s="46" t="s">
        <v>258</v>
      </c>
      <c r="F90" s="46" t="s">
        <v>68</v>
      </c>
      <c r="G90" s="46" t="s">
        <v>68</v>
      </c>
      <c r="H90" s="46" t="s">
        <v>68</v>
      </c>
      <c r="I90" s="46"/>
      <c r="J90" s="46" t="s">
        <v>71</v>
      </c>
      <c r="K90" s="47">
        <v>140</v>
      </c>
      <c r="L90" s="47">
        <v>70</v>
      </c>
      <c r="M90" s="47">
        <f t="shared" si="1"/>
        <v>210</v>
      </c>
      <c r="N90" s="48" t="s">
        <v>324</v>
      </c>
      <c r="O90" s="48" t="s">
        <v>325</v>
      </c>
    </row>
    <row r="91" spans="1:15" ht="89.25" x14ac:dyDescent="0.2">
      <c r="A91" s="45" t="s">
        <v>326</v>
      </c>
      <c r="B91" s="46" t="s">
        <v>327</v>
      </c>
      <c r="C91" s="46" t="s">
        <v>327</v>
      </c>
      <c r="D91" s="46" t="s">
        <v>319</v>
      </c>
      <c r="E91" s="46" t="s">
        <v>258</v>
      </c>
      <c r="F91" s="46" t="s">
        <v>68</v>
      </c>
      <c r="G91" s="46" t="s">
        <v>68</v>
      </c>
      <c r="H91" s="46" t="s">
        <v>68</v>
      </c>
      <c r="I91" s="46"/>
      <c r="J91" s="46" t="s">
        <v>71</v>
      </c>
      <c r="K91" s="47">
        <v>160</v>
      </c>
      <c r="L91" s="47">
        <v>120</v>
      </c>
      <c r="M91" s="47">
        <f t="shared" si="1"/>
        <v>280</v>
      </c>
      <c r="N91" s="48" t="s">
        <v>328</v>
      </c>
      <c r="O91" s="48" t="s">
        <v>329</v>
      </c>
    </row>
    <row r="92" spans="1:15" ht="63.75" x14ac:dyDescent="0.2">
      <c r="A92" s="45" t="s">
        <v>330</v>
      </c>
      <c r="B92" s="46" t="s">
        <v>331</v>
      </c>
      <c r="C92" s="46" t="s">
        <v>331</v>
      </c>
      <c r="D92" s="46" t="s">
        <v>319</v>
      </c>
      <c r="E92" s="46" t="s">
        <v>68</v>
      </c>
      <c r="F92" s="46" t="s">
        <v>68</v>
      </c>
      <c r="G92" s="46" t="s">
        <v>68</v>
      </c>
      <c r="H92" s="46" t="s">
        <v>68</v>
      </c>
      <c r="I92" s="46"/>
      <c r="J92" s="46" t="s">
        <v>71</v>
      </c>
      <c r="K92" s="47">
        <v>160</v>
      </c>
      <c r="L92" s="47">
        <v>110</v>
      </c>
      <c r="M92" s="47">
        <f t="shared" si="1"/>
        <v>270</v>
      </c>
      <c r="N92" s="48" t="s">
        <v>332</v>
      </c>
      <c r="O92" s="48" t="s">
        <v>333</v>
      </c>
    </row>
    <row r="93" spans="1:15" ht="89.25" x14ac:dyDescent="0.2">
      <c r="A93" s="45" t="s">
        <v>334</v>
      </c>
      <c r="B93" s="46" t="s">
        <v>331</v>
      </c>
      <c r="C93" s="46" t="s">
        <v>331</v>
      </c>
      <c r="D93" s="46" t="s">
        <v>319</v>
      </c>
      <c r="E93" s="46" t="s">
        <v>291</v>
      </c>
      <c r="F93" s="46" t="s">
        <v>124</v>
      </c>
      <c r="G93" s="46" t="s">
        <v>68</v>
      </c>
      <c r="H93" s="46" t="s">
        <v>68</v>
      </c>
      <c r="I93" s="46"/>
      <c r="J93" s="46" t="s">
        <v>71</v>
      </c>
      <c r="K93" s="47">
        <f>ROUND($K$92*2,0)</f>
        <v>320</v>
      </c>
      <c r="L93" s="47">
        <f>L92+60</f>
        <v>170</v>
      </c>
      <c r="M93" s="47">
        <f t="shared" si="1"/>
        <v>490</v>
      </c>
      <c r="N93" s="48" t="s">
        <v>332</v>
      </c>
      <c r="O93" s="48" t="s">
        <v>335</v>
      </c>
    </row>
    <row r="94" spans="1:15" ht="114.75" x14ac:dyDescent="0.2">
      <c r="A94" s="45" t="s">
        <v>336</v>
      </c>
      <c r="B94" s="46" t="s">
        <v>331</v>
      </c>
      <c r="C94" s="46" t="s">
        <v>331</v>
      </c>
      <c r="D94" s="46" t="s">
        <v>319</v>
      </c>
      <c r="E94" s="46" t="s">
        <v>291</v>
      </c>
      <c r="F94" s="46" t="s">
        <v>337</v>
      </c>
      <c r="G94" s="46" t="s">
        <v>129</v>
      </c>
      <c r="H94" s="46" t="s">
        <v>68</v>
      </c>
      <c r="I94" s="46"/>
      <c r="J94" s="46" t="s">
        <v>71</v>
      </c>
      <c r="K94" s="47">
        <f>ROUND($K$92*2.5,0)</f>
        <v>400</v>
      </c>
      <c r="L94" s="47">
        <f>L92+60+(5*2)</f>
        <v>180</v>
      </c>
      <c r="M94" s="47">
        <f t="shared" si="1"/>
        <v>580</v>
      </c>
      <c r="N94" s="48" t="s">
        <v>332</v>
      </c>
      <c r="O94" s="48" t="s">
        <v>338</v>
      </c>
    </row>
    <row r="95" spans="1:15" ht="114.75" x14ac:dyDescent="0.2">
      <c r="A95" s="45" t="s">
        <v>339</v>
      </c>
      <c r="B95" s="46" t="s">
        <v>331</v>
      </c>
      <c r="C95" s="46" t="s">
        <v>331</v>
      </c>
      <c r="D95" s="46" t="s">
        <v>319</v>
      </c>
      <c r="E95" s="46" t="s">
        <v>291</v>
      </c>
      <c r="F95" s="46" t="s">
        <v>128</v>
      </c>
      <c r="G95" s="46" t="s">
        <v>132</v>
      </c>
      <c r="H95" s="46" t="s">
        <v>68</v>
      </c>
      <c r="I95" s="46"/>
      <c r="J95" s="46" t="s">
        <v>71</v>
      </c>
      <c r="K95" s="47">
        <f>ROUND($K$92*3,0)</f>
        <v>480</v>
      </c>
      <c r="L95" s="47">
        <f>L92+60+(5*4)</f>
        <v>190</v>
      </c>
      <c r="M95" s="47">
        <f t="shared" si="1"/>
        <v>670</v>
      </c>
      <c r="N95" s="48" t="s">
        <v>332</v>
      </c>
      <c r="O95" s="48" t="s">
        <v>340</v>
      </c>
    </row>
    <row r="96" spans="1:15" ht="127.5" x14ac:dyDescent="0.2">
      <c r="A96" s="45" t="s">
        <v>341</v>
      </c>
      <c r="B96" s="46" t="s">
        <v>331</v>
      </c>
      <c r="C96" s="46" t="s">
        <v>331</v>
      </c>
      <c r="D96" s="46" t="s">
        <v>319</v>
      </c>
      <c r="E96" s="46" t="s">
        <v>291</v>
      </c>
      <c r="F96" s="46" t="s">
        <v>135</v>
      </c>
      <c r="G96" s="46" t="s">
        <v>136</v>
      </c>
      <c r="H96" s="46" t="s">
        <v>129</v>
      </c>
      <c r="I96" s="46"/>
      <c r="J96" s="46" t="s">
        <v>71</v>
      </c>
      <c r="K96" s="47">
        <f>ROUND($K$92*2.5,0)</f>
        <v>400</v>
      </c>
      <c r="L96" s="47">
        <f>L92+60+(25*2)</f>
        <v>220</v>
      </c>
      <c r="M96" s="47">
        <f t="shared" si="1"/>
        <v>620</v>
      </c>
      <c r="N96" s="48" t="s">
        <v>332</v>
      </c>
      <c r="O96" s="48" t="s">
        <v>342</v>
      </c>
    </row>
    <row r="97" spans="1:15" ht="127.5" x14ac:dyDescent="0.2">
      <c r="A97" s="45" t="s">
        <v>343</v>
      </c>
      <c r="B97" s="46" t="s">
        <v>331</v>
      </c>
      <c r="C97" s="46" t="s">
        <v>331</v>
      </c>
      <c r="D97" s="46" t="s">
        <v>319</v>
      </c>
      <c r="E97" s="46" t="s">
        <v>291</v>
      </c>
      <c r="F97" s="46" t="s">
        <v>135</v>
      </c>
      <c r="G97" s="46" t="s">
        <v>136</v>
      </c>
      <c r="H97" s="46" t="s">
        <v>132</v>
      </c>
      <c r="I97" s="46"/>
      <c r="J97" s="46" t="s">
        <v>71</v>
      </c>
      <c r="K97" s="47">
        <f>ROUND($K$92*3,0)</f>
        <v>480</v>
      </c>
      <c r="L97" s="47">
        <f>L92+80+(25*4)</f>
        <v>290</v>
      </c>
      <c r="M97" s="47">
        <f t="shared" si="1"/>
        <v>770</v>
      </c>
      <c r="N97" s="48" t="s">
        <v>332</v>
      </c>
      <c r="O97" s="48" t="s">
        <v>344</v>
      </c>
    </row>
    <row r="98" spans="1:15" ht="127.5" x14ac:dyDescent="0.2">
      <c r="A98" s="45" t="s">
        <v>345</v>
      </c>
      <c r="B98" s="46" t="s">
        <v>331</v>
      </c>
      <c r="C98" s="46" t="s">
        <v>331</v>
      </c>
      <c r="D98" s="46" t="s">
        <v>319</v>
      </c>
      <c r="E98" s="46" t="s">
        <v>291</v>
      </c>
      <c r="F98" s="46" t="s">
        <v>135</v>
      </c>
      <c r="G98" s="46" t="s">
        <v>136</v>
      </c>
      <c r="H98" s="46" t="s">
        <v>141</v>
      </c>
      <c r="I98" s="46"/>
      <c r="J98" s="46" t="s">
        <v>71</v>
      </c>
      <c r="K98" s="47">
        <f>ROUND($K$92*3.5,0)</f>
        <v>560</v>
      </c>
      <c r="L98" s="47">
        <f>L92+100+(25*6)</f>
        <v>360</v>
      </c>
      <c r="M98" s="47">
        <f t="shared" si="1"/>
        <v>920</v>
      </c>
      <c r="N98" s="48" t="s">
        <v>332</v>
      </c>
      <c r="O98" s="48" t="s">
        <v>346</v>
      </c>
    </row>
    <row r="99" spans="1:15" ht="127.5" x14ac:dyDescent="0.2">
      <c r="A99" s="45" t="s">
        <v>347</v>
      </c>
      <c r="B99" s="46" t="s">
        <v>331</v>
      </c>
      <c r="C99" s="46" t="s">
        <v>331</v>
      </c>
      <c r="D99" s="46" t="s">
        <v>319</v>
      </c>
      <c r="E99" s="46" t="s">
        <v>291</v>
      </c>
      <c r="F99" s="46" t="s">
        <v>135</v>
      </c>
      <c r="G99" s="46" t="s">
        <v>144</v>
      </c>
      <c r="H99" s="46" t="s">
        <v>129</v>
      </c>
      <c r="I99" s="46"/>
      <c r="J99" s="46" t="s">
        <v>71</v>
      </c>
      <c r="K99" s="47">
        <f>ROUND($K$92*3,0)</f>
        <v>480</v>
      </c>
      <c r="L99" s="47">
        <f>L92+60+(50*2)</f>
        <v>270</v>
      </c>
      <c r="M99" s="47">
        <f t="shared" si="1"/>
        <v>750</v>
      </c>
      <c r="N99" s="48" t="s">
        <v>332</v>
      </c>
      <c r="O99" s="48" t="s">
        <v>348</v>
      </c>
    </row>
    <row r="100" spans="1:15" ht="127.5" x14ac:dyDescent="0.2">
      <c r="A100" s="45" t="s">
        <v>349</v>
      </c>
      <c r="B100" s="46" t="s">
        <v>331</v>
      </c>
      <c r="C100" s="46" t="s">
        <v>331</v>
      </c>
      <c r="D100" s="46" t="s">
        <v>319</v>
      </c>
      <c r="E100" s="46" t="s">
        <v>291</v>
      </c>
      <c r="F100" s="46" t="s">
        <v>135</v>
      </c>
      <c r="G100" s="46" t="s">
        <v>144</v>
      </c>
      <c r="H100" s="46" t="s">
        <v>132</v>
      </c>
      <c r="I100" s="46"/>
      <c r="J100" s="46" t="s">
        <v>71</v>
      </c>
      <c r="K100" s="47">
        <f>ROUND($K$92*3.5,0)</f>
        <v>560</v>
      </c>
      <c r="L100" s="47">
        <f>L92+80+(50*4)</f>
        <v>390</v>
      </c>
      <c r="M100" s="47">
        <f t="shared" si="1"/>
        <v>950</v>
      </c>
      <c r="N100" s="48" t="s">
        <v>332</v>
      </c>
      <c r="O100" s="48" t="s">
        <v>350</v>
      </c>
    </row>
    <row r="101" spans="1:15" ht="127.5" x14ac:dyDescent="0.2">
      <c r="A101" s="45" t="s">
        <v>351</v>
      </c>
      <c r="B101" s="46" t="s">
        <v>331</v>
      </c>
      <c r="C101" s="46" t="s">
        <v>331</v>
      </c>
      <c r="D101" s="46" t="s">
        <v>319</v>
      </c>
      <c r="E101" s="46" t="s">
        <v>291</v>
      </c>
      <c r="F101" s="46" t="s">
        <v>135</v>
      </c>
      <c r="G101" s="46" t="s">
        <v>149</v>
      </c>
      <c r="H101" s="46" t="s">
        <v>129</v>
      </c>
      <c r="I101" s="46"/>
      <c r="J101" s="46" t="s">
        <v>71</v>
      </c>
      <c r="K101" s="47">
        <f>ROUND($K$92*3,0)</f>
        <v>480</v>
      </c>
      <c r="L101" s="47">
        <f>L92+80+(75*2)</f>
        <v>340</v>
      </c>
      <c r="M101" s="47">
        <f t="shared" si="1"/>
        <v>820</v>
      </c>
      <c r="N101" s="48" t="s">
        <v>332</v>
      </c>
      <c r="O101" s="48" t="s">
        <v>352</v>
      </c>
    </row>
    <row r="102" spans="1:15" ht="127.5" x14ac:dyDescent="0.2">
      <c r="A102" s="45" t="s">
        <v>353</v>
      </c>
      <c r="B102" s="46" t="s">
        <v>331</v>
      </c>
      <c r="C102" s="46" t="s">
        <v>331</v>
      </c>
      <c r="D102" s="46" t="s">
        <v>319</v>
      </c>
      <c r="E102" s="46" t="s">
        <v>291</v>
      </c>
      <c r="F102" s="46" t="s">
        <v>135</v>
      </c>
      <c r="G102" s="46" t="s">
        <v>149</v>
      </c>
      <c r="H102" s="46" t="s">
        <v>132</v>
      </c>
      <c r="I102" s="46"/>
      <c r="J102" s="46" t="s">
        <v>71</v>
      </c>
      <c r="K102" s="47">
        <f>ROUND($K$92*3.5,0)</f>
        <v>560</v>
      </c>
      <c r="L102" s="47">
        <f>L92+100+(75*4)</f>
        <v>510</v>
      </c>
      <c r="M102" s="47">
        <f t="shared" si="1"/>
        <v>1070</v>
      </c>
      <c r="N102" s="48" t="s">
        <v>332</v>
      </c>
      <c r="O102" s="48" t="s">
        <v>354</v>
      </c>
    </row>
    <row r="103" spans="1:15" ht="127.5" x14ac:dyDescent="0.2">
      <c r="A103" s="45" t="s">
        <v>355</v>
      </c>
      <c r="B103" s="46" t="s">
        <v>331</v>
      </c>
      <c r="C103" s="46" t="s">
        <v>331</v>
      </c>
      <c r="D103" s="46" t="s">
        <v>319</v>
      </c>
      <c r="E103" s="46" t="s">
        <v>291</v>
      </c>
      <c r="F103" s="46" t="s">
        <v>135</v>
      </c>
      <c r="G103" s="46" t="s">
        <v>154</v>
      </c>
      <c r="H103" s="46" t="s">
        <v>129</v>
      </c>
      <c r="I103" s="46"/>
      <c r="J103" s="46" t="s">
        <v>71</v>
      </c>
      <c r="K103" s="47">
        <f>ROUND($K$92*3,0)</f>
        <v>480</v>
      </c>
      <c r="L103" s="47">
        <f>L92+100+(100*2)</f>
        <v>410</v>
      </c>
      <c r="M103" s="47">
        <f t="shared" si="1"/>
        <v>890</v>
      </c>
      <c r="N103" s="48" t="s">
        <v>332</v>
      </c>
      <c r="O103" s="48" t="s">
        <v>356</v>
      </c>
    </row>
    <row r="104" spans="1:15" ht="127.5" x14ac:dyDescent="0.2">
      <c r="A104" s="45" t="s">
        <v>357</v>
      </c>
      <c r="B104" s="46" t="s">
        <v>331</v>
      </c>
      <c r="C104" s="46" t="s">
        <v>331</v>
      </c>
      <c r="D104" s="46" t="s">
        <v>319</v>
      </c>
      <c r="E104" s="46" t="s">
        <v>291</v>
      </c>
      <c r="F104" s="46" t="s">
        <v>135</v>
      </c>
      <c r="G104" s="46" t="s">
        <v>154</v>
      </c>
      <c r="H104" s="46" t="s">
        <v>132</v>
      </c>
      <c r="I104" s="46"/>
      <c r="J104" s="46" t="s">
        <v>71</v>
      </c>
      <c r="K104" s="47">
        <f>ROUND($K$92*3.5,0)</f>
        <v>560</v>
      </c>
      <c r="L104" s="47">
        <f>L92+120+(100*4)</f>
        <v>630</v>
      </c>
      <c r="M104" s="47">
        <f t="shared" si="1"/>
        <v>1190</v>
      </c>
      <c r="N104" s="48" t="s">
        <v>332</v>
      </c>
      <c r="O104" s="48" t="s">
        <v>358</v>
      </c>
    </row>
    <row r="105" spans="1:15" ht="102" x14ac:dyDescent="0.2">
      <c r="A105" s="45" t="s">
        <v>359</v>
      </c>
      <c r="B105" s="46" t="s">
        <v>331</v>
      </c>
      <c r="C105" s="46" t="s">
        <v>331</v>
      </c>
      <c r="D105" s="46" t="s">
        <v>319</v>
      </c>
      <c r="E105" s="46" t="s">
        <v>291</v>
      </c>
      <c r="F105" s="46" t="s">
        <v>159</v>
      </c>
      <c r="G105" s="46" t="s">
        <v>132</v>
      </c>
      <c r="H105" s="46" t="s">
        <v>68</v>
      </c>
      <c r="I105" s="46"/>
      <c r="J105" s="46" t="s">
        <v>71</v>
      </c>
      <c r="K105" s="47">
        <f>ROUND($K$92*2,0)</f>
        <v>320</v>
      </c>
      <c r="L105" s="47">
        <f>L92+60</f>
        <v>170</v>
      </c>
      <c r="M105" s="47">
        <f t="shared" si="1"/>
        <v>490</v>
      </c>
      <c r="N105" s="48" t="s">
        <v>332</v>
      </c>
      <c r="O105" s="48" t="s">
        <v>360</v>
      </c>
    </row>
    <row r="106" spans="1:15" ht="76.5" x14ac:dyDescent="0.2">
      <c r="A106" s="45" t="s">
        <v>361</v>
      </c>
      <c r="B106" s="46" t="s">
        <v>362</v>
      </c>
      <c r="C106" s="46" t="s">
        <v>362</v>
      </c>
      <c r="D106" s="46" t="s">
        <v>319</v>
      </c>
      <c r="E106" s="46" t="s">
        <v>68</v>
      </c>
      <c r="F106" s="46" t="s">
        <v>68</v>
      </c>
      <c r="G106" s="46" t="s">
        <v>68</v>
      </c>
      <c r="H106" s="46"/>
      <c r="I106" s="46"/>
      <c r="J106" s="46" t="s">
        <v>71</v>
      </c>
      <c r="K106" s="47">
        <v>220</v>
      </c>
      <c r="L106" s="47">
        <f>220+15+15+15</f>
        <v>265</v>
      </c>
      <c r="M106" s="47">
        <f t="shared" si="1"/>
        <v>485</v>
      </c>
      <c r="N106" s="48" t="s">
        <v>363</v>
      </c>
      <c r="O106" s="48" t="s">
        <v>364</v>
      </c>
    </row>
    <row r="107" spans="1:15" ht="89.25" x14ac:dyDescent="0.2">
      <c r="A107" s="45" t="s">
        <v>365</v>
      </c>
      <c r="B107" s="46" t="s">
        <v>362</v>
      </c>
      <c r="C107" s="46" t="s">
        <v>362</v>
      </c>
      <c r="D107" s="46" t="s">
        <v>319</v>
      </c>
      <c r="E107" s="46" t="s">
        <v>291</v>
      </c>
      <c r="F107" s="46" t="s">
        <v>124</v>
      </c>
      <c r="G107" s="46" t="s">
        <v>68</v>
      </c>
      <c r="H107" s="46" t="s">
        <v>68</v>
      </c>
      <c r="I107" s="46"/>
      <c r="J107" s="46" t="s">
        <v>71</v>
      </c>
      <c r="K107" s="47">
        <f>ROUND($K$106*2,0)</f>
        <v>440</v>
      </c>
      <c r="L107" s="47">
        <f>L106+60</f>
        <v>325</v>
      </c>
      <c r="M107" s="47">
        <f t="shared" si="1"/>
        <v>765</v>
      </c>
      <c r="N107" s="48" t="s">
        <v>363</v>
      </c>
      <c r="O107" s="48" t="s">
        <v>366</v>
      </c>
    </row>
    <row r="108" spans="1:15" ht="89.25" x14ac:dyDescent="0.2">
      <c r="A108" s="45" t="s">
        <v>367</v>
      </c>
      <c r="B108" s="46" t="s">
        <v>362</v>
      </c>
      <c r="C108" s="46" t="s">
        <v>362</v>
      </c>
      <c r="D108" s="46" t="s">
        <v>319</v>
      </c>
      <c r="E108" s="46" t="s">
        <v>291</v>
      </c>
      <c r="F108" s="46" t="s">
        <v>337</v>
      </c>
      <c r="G108" s="46" t="s">
        <v>129</v>
      </c>
      <c r="H108" s="46" t="s">
        <v>68</v>
      </c>
      <c r="I108" s="46"/>
      <c r="J108" s="46" t="s">
        <v>71</v>
      </c>
      <c r="K108" s="47">
        <f>ROUND($K$106*2.5,0)</f>
        <v>550</v>
      </c>
      <c r="L108" s="47">
        <f>L106+60+(5*2)</f>
        <v>335</v>
      </c>
      <c r="M108" s="47">
        <f t="shared" si="1"/>
        <v>885</v>
      </c>
      <c r="N108" s="48" t="s">
        <v>363</v>
      </c>
      <c r="O108" s="71" t="s">
        <v>368</v>
      </c>
    </row>
    <row r="109" spans="1:15" ht="89.25" x14ac:dyDescent="0.2">
      <c r="A109" s="45" t="s">
        <v>369</v>
      </c>
      <c r="B109" s="46" t="s">
        <v>362</v>
      </c>
      <c r="C109" s="46" t="s">
        <v>362</v>
      </c>
      <c r="D109" s="46" t="s">
        <v>319</v>
      </c>
      <c r="E109" s="46" t="s">
        <v>291</v>
      </c>
      <c r="F109" s="46" t="s">
        <v>128</v>
      </c>
      <c r="G109" s="46" t="s">
        <v>132</v>
      </c>
      <c r="H109" s="46" t="s">
        <v>68</v>
      </c>
      <c r="I109" s="46"/>
      <c r="J109" s="46" t="s">
        <v>71</v>
      </c>
      <c r="K109" s="47">
        <f>ROUND($K$106*3,0)</f>
        <v>660</v>
      </c>
      <c r="L109" s="47">
        <f>L106+60+(5*4)</f>
        <v>345</v>
      </c>
      <c r="M109" s="47">
        <f t="shared" si="1"/>
        <v>1005</v>
      </c>
      <c r="N109" s="48" t="s">
        <v>363</v>
      </c>
      <c r="O109" s="71" t="s">
        <v>370</v>
      </c>
    </row>
    <row r="110" spans="1:15" ht="89.25" x14ac:dyDescent="0.2">
      <c r="A110" s="45" t="s">
        <v>371</v>
      </c>
      <c r="B110" s="46" t="s">
        <v>362</v>
      </c>
      <c r="C110" s="46" t="s">
        <v>362</v>
      </c>
      <c r="D110" s="46" t="s">
        <v>319</v>
      </c>
      <c r="E110" s="46" t="s">
        <v>291</v>
      </c>
      <c r="F110" s="46" t="s">
        <v>135</v>
      </c>
      <c r="G110" s="46" t="s">
        <v>136</v>
      </c>
      <c r="H110" s="46" t="s">
        <v>129</v>
      </c>
      <c r="I110" s="46"/>
      <c r="J110" s="46" t="s">
        <v>71</v>
      </c>
      <c r="K110" s="47">
        <f>ROUND($K$106*2.5,0)</f>
        <v>550</v>
      </c>
      <c r="L110" s="47">
        <f>L106+60+(25*2)</f>
        <v>375</v>
      </c>
      <c r="M110" s="47">
        <f t="shared" si="1"/>
        <v>925</v>
      </c>
      <c r="N110" s="48" t="s">
        <v>363</v>
      </c>
      <c r="O110" s="71" t="s">
        <v>372</v>
      </c>
    </row>
    <row r="111" spans="1:15" ht="89.25" x14ac:dyDescent="0.2">
      <c r="A111" s="45" t="s">
        <v>373</v>
      </c>
      <c r="B111" s="46" t="s">
        <v>362</v>
      </c>
      <c r="C111" s="46" t="s">
        <v>362</v>
      </c>
      <c r="D111" s="46" t="s">
        <v>319</v>
      </c>
      <c r="E111" s="46" t="s">
        <v>291</v>
      </c>
      <c r="F111" s="46" t="s">
        <v>135</v>
      </c>
      <c r="G111" s="46" t="s">
        <v>136</v>
      </c>
      <c r="H111" s="46" t="s">
        <v>132</v>
      </c>
      <c r="I111" s="46"/>
      <c r="J111" s="46" t="s">
        <v>71</v>
      </c>
      <c r="K111" s="47">
        <f>ROUND($K$106*3,0)</f>
        <v>660</v>
      </c>
      <c r="L111" s="47">
        <f>L106+80+(25*4)</f>
        <v>445</v>
      </c>
      <c r="M111" s="47">
        <f t="shared" si="1"/>
        <v>1105</v>
      </c>
      <c r="N111" s="48" t="s">
        <v>363</v>
      </c>
      <c r="O111" s="71" t="s">
        <v>374</v>
      </c>
    </row>
    <row r="112" spans="1:15" ht="89.25" x14ac:dyDescent="0.2">
      <c r="A112" s="45" t="s">
        <v>375</v>
      </c>
      <c r="B112" s="46" t="s">
        <v>362</v>
      </c>
      <c r="C112" s="46" t="s">
        <v>362</v>
      </c>
      <c r="D112" s="46" t="s">
        <v>319</v>
      </c>
      <c r="E112" s="46" t="s">
        <v>291</v>
      </c>
      <c r="F112" s="46" t="s">
        <v>135</v>
      </c>
      <c r="G112" s="46" t="s">
        <v>136</v>
      </c>
      <c r="H112" s="46" t="s">
        <v>141</v>
      </c>
      <c r="I112" s="46"/>
      <c r="J112" s="46" t="s">
        <v>71</v>
      </c>
      <c r="K112" s="47">
        <f>ROUND($K$106*3.5,0)</f>
        <v>770</v>
      </c>
      <c r="L112" s="47">
        <f>L106+100+(25*6)</f>
        <v>515</v>
      </c>
      <c r="M112" s="47">
        <f t="shared" si="1"/>
        <v>1285</v>
      </c>
      <c r="N112" s="48" t="s">
        <v>363</v>
      </c>
      <c r="O112" s="71" t="s">
        <v>376</v>
      </c>
    </row>
    <row r="113" spans="1:15" ht="89.25" x14ac:dyDescent="0.2">
      <c r="A113" s="45" t="s">
        <v>377</v>
      </c>
      <c r="B113" s="46" t="s">
        <v>362</v>
      </c>
      <c r="C113" s="46" t="s">
        <v>362</v>
      </c>
      <c r="D113" s="46" t="s">
        <v>319</v>
      </c>
      <c r="E113" s="46" t="s">
        <v>291</v>
      </c>
      <c r="F113" s="46" t="s">
        <v>135</v>
      </c>
      <c r="G113" s="46" t="s">
        <v>144</v>
      </c>
      <c r="H113" s="46" t="s">
        <v>129</v>
      </c>
      <c r="I113" s="46"/>
      <c r="J113" s="46" t="s">
        <v>71</v>
      </c>
      <c r="K113" s="47">
        <f>ROUND($K$106*3,0)</f>
        <v>660</v>
      </c>
      <c r="L113" s="47">
        <f>L106+60+(50*2)</f>
        <v>425</v>
      </c>
      <c r="M113" s="47">
        <f t="shared" si="1"/>
        <v>1085</v>
      </c>
      <c r="N113" s="48" t="s">
        <v>363</v>
      </c>
      <c r="O113" s="71" t="s">
        <v>378</v>
      </c>
    </row>
    <row r="114" spans="1:15" ht="89.25" x14ac:dyDescent="0.2">
      <c r="A114" s="45" t="s">
        <v>379</v>
      </c>
      <c r="B114" s="46" t="s">
        <v>362</v>
      </c>
      <c r="C114" s="46" t="s">
        <v>362</v>
      </c>
      <c r="D114" s="46" t="s">
        <v>319</v>
      </c>
      <c r="E114" s="46" t="s">
        <v>291</v>
      </c>
      <c r="F114" s="46" t="s">
        <v>135</v>
      </c>
      <c r="G114" s="46" t="s">
        <v>144</v>
      </c>
      <c r="H114" s="46" t="s">
        <v>132</v>
      </c>
      <c r="I114" s="46"/>
      <c r="J114" s="46" t="s">
        <v>71</v>
      </c>
      <c r="K114" s="47">
        <f>ROUND($K$106*3.5,0)</f>
        <v>770</v>
      </c>
      <c r="L114" s="47">
        <f>L106+80+(50*4)</f>
        <v>545</v>
      </c>
      <c r="M114" s="47">
        <f t="shared" si="1"/>
        <v>1315</v>
      </c>
      <c r="N114" s="48" t="s">
        <v>363</v>
      </c>
      <c r="O114" s="71" t="s">
        <v>380</v>
      </c>
    </row>
    <row r="115" spans="1:15" ht="89.25" x14ac:dyDescent="0.2">
      <c r="A115" s="45" t="s">
        <v>381</v>
      </c>
      <c r="B115" s="46" t="s">
        <v>362</v>
      </c>
      <c r="C115" s="46" t="s">
        <v>362</v>
      </c>
      <c r="D115" s="46" t="s">
        <v>319</v>
      </c>
      <c r="E115" s="46" t="s">
        <v>291</v>
      </c>
      <c r="F115" s="46" t="s">
        <v>135</v>
      </c>
      <c r="G115" s="46" t="s">
        <v>149</v>
      </c>
      <c r="H115" s="46" t="s">
        <v>129</v>
      </c>
      <c r="I115" s="46"/>
      <c r="J115" s="46" t="s">
        <v>71</v>
      </c>
      <c r="K115" s="47">
        <f>ROUND($K$106*3,0)</f>
        <v>660</v>
      </c>
      <c r="L115" s="47">
        <f>L106+80+(75*2)</f>
        <v>495</v>
      </c>
      <c r="M115" s="47">
        <f t="shared" si="1"/>
        <v>1155</v>
      </c>
      <c r="N115" s="48" t="s">
        <v>363</v>
      </c>
      <c r="O115" s="71" t="s">
        <v>382</v>
      </c>
    </row>
    <row r="116" spans="1:15" ht="89.25" x14ac:dyDescent="0.2">
      <c r="A116" s="45" t="s">
        <v>383</v>
      </c>
      <c r="B116" s="46" t="s">
        <v>362</v>
      </c>
      <c r="C116" s="46" t="s">
        <v>362</v>
      </c>
      <c r="D116" s="46" t="s">
        <v>319</v>
      </c>
      <c r="E116" s="46" t="s">
        <v>291</v>
      </c>
      <c r="F116" s="46" t="s">
        <v>135</v>
      </c>
      <c r="G116" s="46" t="s">
        <v>149</v>
      </c>
      <c r="H116" s="46" t="s">
        <v>132</v>
      </c>
      <c r="I116" s="46"/>
      <c r="J116" s="46" t="s">
        <v>71</v>
      </c>
      <c r="K116" s="47">
        <f>ROUND($K$106*3.5,0)</f>
        <v>770</v>
      </c>
      <c r="L116" s="47">
        <f>L106+100+(75*4)</f>
        <v>665</v>
      </c>
      <c r="M116" s="47">
        <f t="shared" si="1"/>
        <v>1435</v>
      </c>
      <c r="N116" s="48" t="s">
        <v>363</v>
      </c>
      <c r="O116" s="71" t="s">
        <v>384</v>
      </c>
    </row>
    <row r="117" spans="1:15" ht="89.25" x14ac:dyDescent="0.2">
      <c r="A117" s="45" t="s">
        <v>385</v>
      </c>
      <c r="B117" s="46" t="s">
        <v>362</v>
      </c>
      <c r="C117" s="46" t="s">
        <v>362</v>
      </c>
      <c r="D117" s="46" t="s">
        <v>319</v>
      </c>
      <c r="E117" s="46" t="s">
        <v>291</v>
      </c>
      <c r="F117" s="46" t="s">
        <v>135</v>
      </c>
      <c r="G117" s="46" t="s">
        <v>154</v>
      </c>
      <c r="H117" s="46" t="s">
        <v>129</v>
      </c>
      <c r="I117" s="46"/>
      <c r="J117" s="46" t="s">
        <v>71</v>
      </c>
      <c r="K117" s="47">
        <f>ROUND($K$106*3,0)</f>
        <v>660</v>
      </c>
      <c r="L117" s="47">
        <f>L106+100+(100*2)</f>
        <v>565</v>
      </c>
      <c r="M117" s="47">
        <f t="shared" si="1"/>
        <v>1225</v>
      </c>
      <c r="N117" s="48" t="s">
        <v>363</v>
      </c>
      <c r="O117" s="71" t="s">
        <v>386</v>
      </c>
    </row>
    <row r="118" spans="1:15" ht="89.25" x14ac:dyDescent="0.2">
      <c r="A118" s="45" t="s">
        <v>387</v>
      </c>
      <c r="B118" s="46" t="s">
        <v>362</v>
      </c>
      <c r="C118" s="46" t="s">
        <v>362</v>
      </c>
      <c r="D118" s="46" t="s">
        <v>319</v>
      </c>
      <c r="E118" s="46" t="s">
        <v>291</v>
      </c>
      <c r="F118" s="46" t="s">
        <v>135</v>
      </c>
      <c r="G118" s="46" t="s">
        <v>154</v>
      </c>
      <c r="H118" s="46" t="s">
        <v>132</v>
      </c>
      <c r="I118" s="46"/>
      <c r="J118" s="46" t="s">
        <v>71</v>
      </c>
      <c r="K118" s="47">
        <f>ROUND($K$106*3.5,0)</f>
        <v>770</v>
      </c>
      <c r="L118" s="47">
        <f>L106+120+(100*4)</f>
        <v>785</v>
      </c>
      <c r="M118" s="47">
        <f t="shared" si="1"/>
        <v>1555</v>
      </c>
      <c r="N118" s="48" t="s">
        <v>363</v>
      </c>
      <c r="O118" s="71" t="s">
        <v>388</v>
      </c>
    </row>
    <row r="119" spans="1:15" ht="89.25" x14ac:dyDescent="0.2">
      <c r="A119" s="45" t="s">
        <v>389</v>
      </c>
      <c r="B119" s="46" t="s">
        <v>362</v>
      </c>
      <c r="C119" s="46" t="s">
        <v>362</v>
      </c>
      <c r="D119" s="46" t="s">
        <v>319</v>
      </c>
      <c r="E119" s="46" t="s">
        <v>291</v>
      </c>
      <c r="F119" s="46" t="s">
        <v>159</v>
      </c>
      <c r="G119" s="46" t="s">
        <v>132</v>
      </c>
      <c r="H119" s="46" t="s">
        <v>68</v>
      </c>
      <c r="I119" s="46"/>
      <c r="J119" s="46" t="s">
        <v>71</v>
      </c>
      <c r="K119" s="47">
        <f>ROUND($K$106*2,0)</f>
        <v>440</v>
      </c>
      <c r="L119" s="47">
        <f>L106+60</f>
        <v>325</v>
      </c>
      <c r="M119" s="47">
        <f t="shared" si="1"/>
        <v>765</v>
      </c>
      <c r="N119" s="48" t="s">
        <v>363</v>
      </c>
      <c r="O119" s="71" t="s">
        <v>390</v>
      </c>
    </row>
    <row r="120" spans="1:15" ht="76.5" x14ac:dyDescent="0.2">
      <c r="A120" s="45" t="s">
        <v>391</v>
      </c>
      <c r="B120" s="46" t="s">
        <v>392</v>
      </c>
      <c r="C120" s="46" t="s">
        <v>392</v>
      </c>
      <c r="D120" s="46" t="s">
        <v>319</v>
      </c>
      <c r="E120" s="46" t="s">
        <v>68</v>
      </c>
      <c r="F120" s="46" t="s">
        <v>68</v>
      </c>
      <c r="G120" s="46" t="s">
        <v>68</v>
      </c>
      <c r="H120" s="46"/>
      <c r="I120" s="46"/>
      <c r="J120" s="46" t="s">
        <v>71</v>
      </c>
      <c r="K120" s="47">
        <v>180</v>
      </c>
      <c r="L120" s="47">
        <v>150</v>
      </c>
      <c r="M120" s="47">
        <f t="shared" si="1"/>
        <v>330</v>
      </c>
      <c r="N120" s="48" t="s">
        <v>393</v>
      </c>
      <c r="O120" s="71" t="s">
        <v>394</v>
      </c>
    </row>
    <row r="121" spans="1:15" ht="63.75" x14ac:dyDescent="0.2">
      <c r="A121" s="45" t="s">
        <v>395</v>
      </c>
      <c r="B121" s="46" t="s">
        <v>396</v>
      </c>
      <c r="C121" s="46" t="s">
        <v>396</v>
      </c>
      <c r="D121" s="46" t="s">
        <v>319</v>
      </c>
      <c r="E121" s="46" t="s">
        <v>258</v>
      </c>
      <c r="F121" s="46" t="s">
        <v>68</v>
      </c>
      <c r="G121" s="46" t="s">
        <v>68</v>
      </c>
      <c r="H121" s="46"/>
      <c r="I121" s="46"/>
      <c r="J121" s="46" t="s">
        <v>71</v>
      </c>
      <c r="K121" s="47">
        <v>220</v>
      </c>
      <c r="L121" s="47">
        <v>270</v>
      </c>
      <c r="M121" s="47">
        <f t="shared" si="1"/>
        <v>490</v>
      </c>
      <c r="N121" s="48" t="s">
        <v>397</v>
      </c>
      <c r="O121" s="71" t="s">
        <v>398</v>
      </c>
    </row>
    <row r="122" spans="1:15" ht="76.5" x14ac:dyDescent="0.2">
      <c r="A122" s="45" t="s">
        <v>399</v>
      </c>
      <c r="B122" s="46" t="s">
        <v>400</v>
      </c>
      <c r="C122" s="46" t="s">
        <v>400</v>
      </c>
      <c r="D122" s="46" t="s">
        <v>319</v>
      </c>
      <c r="E122" s="46" t="s">
        <v>68</v>
      </c>
      <c r="F122" s="46" t="s">
        <v>68</v>
      </c>
      <c r="G122" s="46" t="s">
        <v>68</v>
      </c>
      <c r="H122" s="46" t="s">
        <v>68</v>
      </c>
      <c r="I122" s="46"/>
      <c r="J122" s="46" t="s">
        <v>71</v>
      </c>
      <c r="K122" s="47">
        <v>260</v>
      </c>
      <c r="L122" s="47">
        <v>380</v>
      </c>
      <c r="M122" s="47">
        <f t="shared" si="1"/>
        <v>640</v>
      </c>
      <c r="N122" s="48" t="s">
        <v>393</v>
      </c>
      <c r="O122" s="71" t="s">
        <v>401</v>
      </c>
    </row>
    <row r="123" spans="1:15" ht="76.5" x14ac:dyDescent="0.2">
      <c r="A123" s="45" t="s">
        <v>402</v>
      </c>
      <c r="B123" s="46" t="s">
        <v>400</v>
      </c>
      <c r="C123" s="46" t="s">
        <v>400</v>
      </c>
      <c r="D123" s="46" t="s">
        <v>319</v>
      </c>
      <c r="E123" s="46" t="s">
        <v>291</v>
      </c>
      <c r="F123" s="46" t="s">
        <v>124</v>
      </c>
      <c r="G123" s="46" t="s">
        <v>68</v>
      </c>
      <c r="H123" s="46" t="s">
        <v>68</v>
      </c>
      <c r="I123" s="46"/>
      <c r="J123" s="46" t="s">
        <v>71</v>
      </c>
      <c r="K123" s="47">
        <f>ROUND($K$122*2,0)</f>
        <v>520</v>
      </c>
      <c r="L123" s="47">
        <f>L122+60</f>
        <v>440</v>
      </c>
      <c r="M123" s="47">
        <f t="shared" si="1"/>
        <v>960</v>
      </c>
      <c r="N123" s="48" t="s">
        <v>393</v>
      </c>
      <c r="O123" s="71" t="s">
        <v>403</v>
      </c>
    </row>
    <row r="124" spans="1:15" ht="89.25" x14ac:dyDescent="0.2">
      <c r="A124" s="45" t="s">
        <v>404</v>
      </c>
      <c r="B124" s="46" t="s">
        <v>400</v>
      </c>
      <c r="C124" s="46" t="s">
        <v>400</v>
      </c>
      <c r="D124" s="46" t="s">
        <v>319</v>
      </c>
      <c r="E124" s="46" t="s">
        <v>291</v>
      </c>
      <c r="F124" s="46" t="s">
        <v>337</v>
      </c>
      <c r="G124" s="46" t="s">
        <v>129</v>
      </c>
      <c r="H124" s="46" t="s">
        <v>68</v>
      </c>
      <c r="I124" s="46"/>
      <c r="J124" s="46" t="s">
        <v>71</v>
      </c>
      <c r="K124" s="47">
        <f>ROUND($K$122*2.5,0)</f>
        <v>650</v>
      </c>
      <c r="L124" s="47">
        <f>L122+60+(5*2)</f>
        <v>450</v>
      </c>
      <c r="M124" s="47">
        <f t="shared" si="1"/>
        <v>1100</v>
      </c>
      <c r="N124" s="48" t="s">
        <v>393</v>
      </c>
      <c r="O124" s="71" t="s">
        <v>405</v>
      </c>
    </row>
    <row r="125" spans="1:15" ht="76.5" x14ac:dyDescent="0.2">
      <c r="A125" s="45" t="s">
        <v>406</v>
      </c>
      <c r="B125" s="46" t="s">
        <v>400</v>
      </c>
      <c r="C125" s="46" t="s">
        <v>400</v>
      </c>
      <c r="D125" s="46" t="s">
        <v>319</v>
      </c>
      <c r="E125" s="46" t="s">
        <v>291</v>
      </c>
      <c r="F125" s="46" t="s">
        <v>128</v>
      </c>
      <c r="G125" s="46" t="s">
        <v>132</v>
      </c>
      <c r="H125" s="46" t="s">
        <v>68</v>
      </c>
      <c r="I125" s="46"/>
      <c r="J125" s="46" t="s">
        <v>71</v>
      </c>
      <c r="K125" s="47">
        <f>ROUND($K$122*3,0)</f>
        <v>780</v>
      </c>
      <c r="L125" s="47">
        <f>L122+60+(5*4)</f>
        <v>460</v>
      </c>
      <c r="M125" s="47">
        <f t="shared" si="1"/>
        <v>1240</v>
      </c>
      <c r="N125" s="48" t="s">
        <v>393</v>
      </c>
      <c r="O125" s="71" t="s">
        <v>407</v>
      </c>
    </row>
    <row r="126" spans="1:15" ht="89.25" x14ac:dyDescent="0.2">
      <c r="A126" s="45" t="s">
        <v>408</v>
      </c>
      <c r="B126" s="46" t="s">
        <v>400</v>
      </c>
      <c r="C126" s="46" t="s">
        <v>400</v>
      </c>
      <c r="D126" s="46" t="s">
        <v>319</v>
      </c>
      <c r="E126" s="46" t="s">
        <v>291</v>
      </c>
      <c r="F126" s="46" t="s">
        <v>135</v>
      </c>
      <c r="G126" s="46" t="s">
        <v>136</v>
      </c>
      <c r="H126" s="46" t="s">
        <v>129</v>
      </c>
      <c r="I126" s="46"/>
      <c r="J126" s="46" t="s">
        <v>71</v>
      </c>
      <c r="K126" s="47">
        <f>ROUND($K$122*2.5,0)</f>
        <v>650</v>
      </c>
      <c r="L126" s="47">
        <f>L122+60+(25*2)</f>
        <v>490</v>
      </c>
      <c r="M126" s="47">
        <f t="shared" si="1"/>
        <v>1140</v>
      </c>
      <c r="N126" s="48" t="s">
        <v>393</v>
      </c>
      <c r="O126" s="71" t="s">
        <v>409</v>
      </c>
    </row>
    <row r="127" spans="1:15" ht="89.25" x14ac:dyDescent="0.2">
      <c r="A127" s="45" t="s">
        <v>410</v>
      </c>
      <c r="B127" s="46" t="s">
        <v>400</v>
      </c>
      <c r="C127" s="46" t="s">
        <v>400</v>
      </c>
      <c r="D127" s="46" t="s">
        <v>319</v>
      </c>
      <c r="E127" s="46" t="s">
        <v>291</v>
      </c>
      <c r="F127" s="46" t="s">
        <v>135</v>
      </c>
      <c r="G127" s="46" t="s">
        <v>136</v>
      </c>
      <c r="H127" s="46" t="s">
        <v>132</v>
      </c>
      <c r="I127" s="46"/>
      <c r="J127" s="46" t="s">
        <v>71</v>
      </c>
      <c r="K127" s="47">
        <f>ROUND($K$122*3,0)</f>
        <v>780</v>
      </c>
      <c r="L127" s="47">
        <f>L122+80+(25*4)</f>
        <v>560</v>
      </c>
      <c r="M127" s="47">
        <f t="shared" si="1"/>
        <v>1340</v>
      </c>
      <c r="N127" s="48" t="s">
        <v>393</v>
      </c>
      <c r="O127" s="71" t="s">
        <v>411</v>
      </c>
    </row>
    <row r="128" spans="1:15" ht="89.25" x14ac:dyDescent="0.2">
      <c r="A128" s="45" t="s">
        <v>412</v>
      </c>
      <c r="B128" s="46" t="s">
        <v>400</v>
      </c>
      <c r="C128" s="46" t="s">
        <v>400</v>
      </c>
      <c r="D128" s="46" t="s">
        <v>319</v>
      </c>
      <c r="E128" s="46" t="s">
        <v>291</v>
      </c>
      <c r="F128" s="46" t="s">
        <v>135</v>
      </c>
      <c r="G128" s="46" t="s">
        <v>136</v>
      </c>
      <c r="H128" s="46" t="s">
        <v>141</v>
      </c>
      <c r="I128" s="46"/>
      <c r="J128" s="46" t="s">
        <v>71</v>
      </c>
      <c r="K128" s="47">
        <f>ROUND($K$122*3.5,0)</f>
        <v>910</v>
      </c>
      <c r="L128" s="47">
        <f>L122+100+(25*6)</f>
        <v>630</v>
      </c>
      <c r="M128" s="47">
        <f t="shared" si="1"/>
        <v>1540</v>
      </c>
      <c r="N128" s="48" t="s">
        <v>393</v>
      </c>
      <c r="O128" s="71" t="s">
        <v>413</v>
      </c>
    </row>
    <row r="129" spans="1:15" ht="89.25" x14ac:dyDescent="0.2">
      <c r="A129" s="45" t="s">
        <v>414</v>
      </c>
      <c r="B129" s="46" t="s">
        <v>400</v>
      </c>
      <c r="C129" s="46" t="s">
        <v>400</v>
      </c>
      <c r="D129" s="46" t="s">
        <v>319</v>
      </c>
      <c r="E129" s="46" t="s">
        <v>291</v>
      </c>
      <c r="F129" s="46" t="s">
        <v>135</v>
      </c>
      <c r="G129" s="46" t="s">
        <v>144</v>
      </c>
      <c r="H129" s="46" t="s">
        <v>129</v>
      </c>
      <c r="I129" s="46"/>
      <c r="J129" s="46" t="s">
        <v>71</v>
      </c>
      <c r="K129" s="47">
        <f>ROUND($K$122*3,0)</f>
        <v>780</v>
      </c>
      <c r="L129" s="47">
        <f>L122+60+(50*2)</f>
        <v>540</v>
      </c>
      <c r="M129" s="47">
        <f t="shared" si="1"/>
        <v>1320</v>
      </c>
      <c r="N129" s="48" t="s">
        <v>393</v>
      </c>
      <c r="O129" s="71" t="s">
        <v>415</v>
      </c>
    </row>
    <row r="130" spans="1:15" ht="89.25" x14ac:dyDescent="0.2">
      <c r="A130" s="45" t="s">
        <v>416</v>
      </c>
      <c r="B130" s="46" t="s">
        <v>400</v>
      </c>
      <c r="C130" s="46" t="s">
        <v>400</v>
      </c>
      <c r="D130" s="46" t="s">
        <v>319</v>
      </c>
      <c r="E130" s="46" t="s">
        <v>291</v>
      </c>
      <c r="F130" s="46" t="s">
        <v>135</v>
      </c>
      <c r="G130" s="46" t="s">
        <v>144</v>
      </c>
      <c r="H130" s="46" t="s">
        <v>132</v>
      </c>
      <c r="I130" s="46"/>
      <c r="J130" s="46" t="s">
        <v>71</v>
      </c>
      <c r="K130" s="47">
        <f>ROUND($K$122*3.5,0)</f>
        <v>910</v>
      </c>
      <c r="L130" s="47">
        <f>L122+80+(50*4)</f>
        <v>660</v>
      </c>
      <c r="M130" s="47">
        <f t="shared" si="1"/>
        <v>1570</v>
      </c>
      <c r="N130" s="48" t="s">
        <v>393</v>
      </c>
      <c r="O130" s="71" t="s">
        <v>417</v>
      </c>
    </row>
    <row r="131" spans="1:15" ht="89.25" x14ac:dyDescent="0.2">
      <c r="A131" s="45" t="s">
        <v>418</v>
      </c>
      <c r="B131" s="46" t="s">
        <v>400</v>
      </c>
      <c r="C131" s="46" t="s">
        <v>400</v>
      </c>
      <c r="D131" s="46" t="s">
        <v>319</v>
      </c>
      <c r="E131" s="46" t="s">
        <v>291</v>
      </c>
      <c r="F131" s="46" t="s">
        <v>135</v>
      </c>
      <c r="G131" s="46" t="s">
        <v>149</v>
      </c>
      <c r="H131" s="46" t="s">
        <v>129</v>
      </c>
      <c r="I131" s="46"/>
      <c r="J131" s="46" t="s">
        <v>71</v>
      </c>
      <c r="K131" s="47">
        <f>ROUND($K$122*3,0)</f>
        <v>780</v>
      </c>
      <c r="L131" s="47">
        <f>L122+80+(75*2)</f>
        <v>610</v>
      </c>
      <c r="M131" s="47">
        <f t="shared" si="1"/>
        <v>1390</v>
      </c>
      <c r="N131" s="48" t="s">
        <v>393</v>
      </c>
      <c r="O131" s="71" t="s">
        <v>419</v>
      </c>
    </row>
    <row r="132" spans="1:15" ht="89.25" x14ac:dyDescent="0.2">
      <c r="A132" s="45" t="s">
        <v>420</v>
      </c>
      <c r="B132" s="46" t="s">
        <v>400</v>
      </c>
      <c r="C132" s="46" t="s">
        <v>400</v>
      </c>
      <c r="D132" s="46" t="s">
        <v>319</v>
      </c>
      <c r="E132" s="46" t="s">
        <v>291</v>
      </c>
      <c r="F132" s="46" t="s">
        <v>135</v>
      </c>
      <c r="G132" s="46" t="s">
        <v>149</v>
      </c>
      <c r="H132" s="46" t="s">
        <v>132</v>
      </c>
      <c r="I132" s="46"/>
      <c r="J132" s="46" t="s">
        <v>71</v>
      </c>
      <c r="K132" s="47">
        <f>ROUND($K$122*3.5,0)</f>
        <v>910</v>
      </c>
      <c r="L132" s="47">
        <f>L122+100+(75*4)</f>
        <v>780</v>
      </c>
      <c r="M132" s="47">
        <f t="shared" si="1"/>
        <v>1690</v>
      </c>
      <c r="N132" s="48" t="s">
        <v>393</v>
      </c>
      <c r="O132" s="71" t="s">
        <v>421</v>
      </c>
    </row>
    <row r="133" spans="1:15" ht="89.25" x14ac:dyDescent="0.2">
      <c r="A133" s="45" t="s">
        <v>422</v>
      </c>
      <c r="B133" s="46" t="s">
        <v>400</v>
      </c>
      <c r="C133" s="46" t="s">
        <v>400</v>
      </c>
      <c r="D133" s="46" t="s">
        <v>319</v>
      </c>
      <c r="E133" s="46" t="s">
        <v>291</v>
      </c>
      <c r="F133" s="46" t="s">
        <v>135</v>
      </c>
      <c r="G133" s="46" t="s">
        <v>154</v>
      </c>
      <c r="H133" s="46" t="s">
        <v>129</v>
      </c>
      <c r="I133" s="46"/>
      <c r="J133" s="46" t="s">
        <v>71</v>
      </c>
      <c r="K133" s="47">
        <f>ROUND($K$122*3,0)</f>
        <v>780</v>
      </c>
      <c r="L133" s="47">
        <f>L122+100+(100*2)</f>
        <v>680</v>
      </c>
      <c r="M133" s="47">
        <f t="shared" si="1"/>
        <v>1460</v>
      </c>
      <c r="N133" s="48" t="s">
        <v>393</v>
      </c>
      <c r="O133" s="71" t="s">
        <v>423</v>
      </c>
    </row>
    <row r="134" spans="1:15" ht="89.25" x14ac:dyDescent="0.2">
      <c r="A134" s="45" t="s">
        <v>424</v>
      </c>
      <c r="B134" s="46" t="s">
        <v>400</v>
      </c>
      <c r="C134" s="46" t="s">
        <v>400</v>
      </c>
      <c r="D134" s="46" t="s">
        <v>319</v>
      </c>
      <c r="E134" s="46" t="s">
        <v>291</v>
      </c>
      <c r="F134" s="46" t="s">
        <v>135</v>
      </c>
      <c r="G134" s="46" t="s">
        <v>154</v>
      </c>
      <c r="H134" s="46" t="s">
        <v>132</v>
      </c>
      <c r="I134" s="46"/>
      <c r="J134" s="46" t="s">
        <v>71</v>
      </c>
      <c r="K134" s="47">
        <f>ROUND($K$122*3.5,0)</f>
        <v>910</v>
      </c>
      <c r="L134" s="47">
        <f>L122+120+(100*4)</f>
        <v>900</v>
      </c>
      <c r="M134" s="47">
        <f t="shared" si="1"/>
        <v>1810</v>
      </c>
      <c r="N134" s="48" t="s">
        <v>393</v>
      </c>
      <c r="O134" s="71" t="s">
        <v>425</v>
      </c>
    </row>
    <row r="135" spans="1:15" ht="89.25" x14ac:dyDescent="0.2">
      <c r="A135" s="45" t="s">
        <v>426</v>
      </c>
      <c r="B135" s="46" t="s">
        <v>400</v>
      </c>
      <c r="C135" s="46" t="s">
        <v>400</v>
      </c>
      <c r="D135" s="46" t="s">
        <v>319</v>
      </c>
      <c r="E135" s="46" t="s">
        <v>291</v>
      </c>
      <c r="F135" s="46" t="s">
        <v>159</v>
      </c>
      <c r="G135" s="46" t="s">
        <v>132</v>
      </c>
      <c r="H135" s="46" t="s">
        <v>68</v>
      </c>
      <c r="I135" s="46"/>
      <c r="J135" s="46" t="s">
        <v>71</v>
      </c>
      <c r="K135" s="47">
        <f>ROUND($K$122*2,0)</f>
        <v>520</v>
      </c>
      <c r="L135" s="47">
        <f>L122+60</f>
        <v>440</v>
      </c>
      <c r="M135" s="47">
        <f t="shared" ref="M135:M198" si="2">SUM(K135:L135)</f>
        <v>960</v>
      </c>
      <c r="N135" s="48" t="s">
        <v>393</v>
      </c>
      <c r="O135" s="71" t="s">
        <v>427</v>
      </c>
    </row>
    <row r="136" spans="1:15" ht="76.5" x14ac:dyDescent="0.2">
      <c r="A136" s="45" t="s">
        <v>428</v>
      </c>
      <c r="B136" s="46" t="s">
        <v>396</v>
      </c>
      <c r="C136" s="46" t="s">
        <v>396</v>
      </c>
      <c r="D136" s="46" t="s">
        <v>429</v>
      </c>
      <c r="E136" s="46" t="s">
        <v>258</v>
      </c>
      <c r="F136" s="46" t="s">
        <v>68</v>
      </c>
      <c r="G136" s="46" t="s">
        <v>68</v>
      </c>
      <c r="H136" s="46" t="s">
        <v>68</v>
      </c>
      <c r="I136" s="46"/>
      <c r="J136" s="46" t="s">
        <v>71</v>
      </c>
      <c r="K136" s="47">
        <v>200</v>
      </c>
      <c r="L136" s="47">
        <v>420</v>
      </c>
      <c r="M136" s="47">
        <f t="shared" si="2"/>
        <v>620</v>
      </c>
      <c r="N136" s="48" t="s">
        <v>393</v>
      </c>
      <c r="O136" s="71" t="s">
        <v>430</v>
      </c>
    </row>
    <row r="137" spans="1:15" ht="76.5" x14ac:dyDescent="0.2">
      <c r="A137" s="45" t="s">
        <v>431</v>
      </c>
      <c r="B137" s="46" t="s">
        <v>400</v>
      </c>
      <c r="C137" s="46" t="s">
        <v>400</v>
      </c>
      <c r="D137" s="46" t="s">
        <v>429</v>
      </c>
      <c r="E137" s="46" t="s">
        <v>291</v>
      </c>
      <c r="F137" s="46" t="s">
        <v>258</v>
      </c>
      <c r="G137" s="46" t="s">
        <v>68</v>
      </c>
      <c r="H137" s="46" t="s">
        <v>68</v>
      </c>
      <c r="I137" s="46"/>
      <c r="J137" s="46" t="s">
        <v>71</v>
      </c>
      <c r="K137" s="47">
        <v>460</v>
      </c>
      <c r="L137" s="47">
        <v>1200</v>
      </c>
      <c r="M137" s="47">
        <f t="shared" si="2"/>
        <v>1660</v>
      </c>
      <c r="N137" s="48" t="s">
        <v>393</v>
      </c>
      <c r="O137" s="71" t="s">
        <v>432</v>
      </c>
    </row>
    <row r="138" spans="1:15" ht="63.75" x14ac:dyDescent="0.2">
      <c r="A138" s="45" t="s">
        <v>433</v>
      </c>
      <c r="B138" s="46" t="s">
        <v>396</v>
      </c>
      <c r="C138" s="46" t="s">
        <v>396</v>
      </c>
      <c r="D138" s="46" t="s">
        <v>434</v>
      </c>
      <c r="E138" s="46" t="s">
        <v>258</v>
      </c>
      <c r="F138" s="46" t="s">
        <v>68</v>
      </c>
      <c r="G138" s="46" t="s">
        <v>68</v>
      </c>
      <c r="H138" s="46" t="s">
        <v>68</v>
      </c>
      <c r="I138" s="46" t="s">
        <v>68</v>
      </c>
      <c r="J138" s="46" t="s">
        <v>71</v>
      </c>
      <c r="K138" s="47">
        <v>200</v>
      </c>
      <c r="L138" s="47">
        <v>170</v>
      </c>
      <c r="M138" s="47">
        <f t="shared" si="2"/>
        <v>370</v>
      </c>
      <c r="N138" s="48" t="s">
        <v>397</v>
      </c>
      <c r="O138" s="71" t="s">
        <v>435</v>
      </c>
    </row>
    <row r="139" spans="1:15" ht="76.5" x14ac:dyDescent="0.2">
      <c r="A139" s="45" t="s">
        <v>436</v>
      </c>
      <c r="B139" s="46" t="s">
        <v>400</v>
      </c>
      <c r="C139" s="46" t="s">
        <v>400</v>
      </c>
      <c r="D139" s="46" t="s">
        <v>434</v>
      </c>
      <c r="E139" s="46" t="s">
        <v>291</v>
      </c>
      <c r="F139" s="46" t="s">
        <v>258</v>
      </c>
      <c r="G139" s="46" t="s">
        <v>68</v>
      </c>
      <c r="H139" s="46" t="s">
        <v>68</v>
      </c>
      <c r="I139" s="46" t="s">
        <v>68</v>
      </c>
      <c r="J139" s="46" t="s">
        <v>71</v>
      </c>
      <c r="K139" s="47">
        <v>320</v>
      </c>
      <c r="L139" s="47">
        <v>650</v>
      </c>
      <c r="M139" s="47">
        <f t="shared" si="2"/>
        <v>970</v>
      </c>
      <c r="N139" s="48" t="s">
        <v>437</v>
      </c>
      <c r="O139" s="71" t="s">
        <v>438</v>
      </c>
    </row>
    <row r="140" spans="1:15" ht="12.75" x14ac:dyDescent="0.2">
      <c r="A140" s="34" t="s">
        <v>439</v>
      </c>
      <c r="B140" s="35" t="s">
        <v>68</v>
      </c>
      <c r="C140" s="35" t="s">
        <v>68</v>
      </c>
      <c r="D140" s="35" t="s">
        <v>68</v>
      </c>
      <c r="E140" s="35" t="s">
        <v>68</v>
      </c>
      <c r="F140" s="35" t="s">
        <v>68</v>
      </c>
      <c r="G140" s="35" t="s">
        <v>68</v>
      </c>
      <c r="H140" s="35" t="s">
        <v>68</v>
      </c>
      <c r="I140" s="35" t="s">
        <v>68</v>
      </c>
      <c r="J140" s="35" t="s">
        <v>68</v>
      </c>
      <c r="K140" s="36" t="s">
        <v>68</v>
      </c>
      <c r="L140" s="36" t="s">
        <v>68</v>
      </c>
      <c r="M140" s="47">
        <f t="shared" si="2"/>
        <v>0</v>
      </c>
      <c r="N140" s="35"/>
      <c r="O140" s="35" t="s">
        <v>68</v>
      </c>
    </row>
    <row r="141" spans="1:15" ht="63.75" x14ac:dyDescent="0.2">
      <c r="A141" s="45" t="s">
        <v>440</v>
      </c>
      <c r="B141" s="46" t="s">
        <v>441</v>
      </c>
      <c r="C141" s="46" t="s">
        <v>441</v>
      </c>
      <c r="D141" s="46" t="s">
        <v>442</v>
      </c>
      <c r="E141" s="46" t="s">
        <v>443</v>
      </c>
      <c r="F141" s="46" t="s">
        <v>444</v>
      </c>
      <c r="G141" s="46" t="s">
        <v>257</v>
      </c>
      <c r="H141" s="46" t="s">
        <v>68</v>
      </c>
      <c r="I141" s="46" t="s">
        <v>445</v>
      </c>
      <c r="J141" s="46" t="s">
        <v>71</v>
      </c>
      <c r="K141" s="47">
        <v>140</v>
      </c>
      <c r="L141" s="47">
        <v>40</v>
      </c>
      <c r="M141" s="47">
        <f t="shared" si="2"/>
        <v>180</v>
      </c>
      <c r="N141" s="48" t="s">
        <v>446</v>
      </c>
      <c r="O141" s="71" t="s">
        <v>447</v>
      </c>
    </row>
    <row r="142" spans="1:15" ht="63.75" x14ac:dyDescent="0.2">
      <c r="A142" s="45" t="s">
        <v>448</v>
      </c>
      <c r="B142" s="46" t="s">
        <v>441</v>
      </c>
      <c r="C142" s="46" t="s">
        <v>441</v>
      </c>
      <c r="D142" s="46" t="s">
        <v>442</v>
      </c>
      <c r="E142" s="46" t="s">
        <v>443</v>
      </c>
      <c r="F142" s="46" t="s">
        <v>444</v>
      </c>
      <c r="G142" s="46" t="s">
        <v>257</v>
      </c>
      <c r="H142" s="46" t="s">
        <v>68</v>
      </c>
      <c r="I142" s="46" t="s">
        <v>449</v>
      </c>
      <c r="J142" s="46" t="s">
        <v>71</v>
      </c>
      <c r="K142" s="47">
        <v>140</v>
      </c>
      <c r="L142" s="47">
        <v>80</v>
      </c>
      <c r="M142" s="47">
        <f t="shared" si="2"/>
        <v>220</v>
      </c>
      <c r="N142" s="48" t="s">
        <v>446</v>
      </c>
      <c r="O142" s="71" t="s">
        <v>450</v>
      </c>
    </row>
    <row r="143" spans="1:15" ht="63.75" x14ac:dyDescent="0.2">
      <c r="A143" s="45" t="s">
        <v>451</v>
      </c>
      <c r="B143" s="46" t="s">
        <v>441</v>
      </c>
      <c r="C143" s="46" t="s">
        <v>441</v>
      </c>
      <c r="D143" s="46" t="s">
        <v>442</v>
      </c>
      <c r="E143" s="46" t="s">
        <v>452</v>
      </c>
      <c r="F143" s="46" t="s">
        <v>453</v>
      </c>
      <c r="G143" s="46" t="s">
        <v>254</v>
      </c>
      <c r="H143" s="46" t="s">
        <v>68</v>
      </c>
      <c r="I143" s="46" t="s">
        <v>454</v>
      </c>
      <c r="J143" s="46" t="s">
        <v>71</v>
      </c>
      <c r="K143" s="47">
        <v>130</v>
      </c>
      <c r="L143" s="47">
        <v>30</v>
      </c>
      <c r="M143" s="47">
        <f t="shared" si="2"/>
        <v>160</v>
      </c>
      <c r="N143" s="48" t="s">
        <v>446</v>
      </c>
      <c r="O143" s="71" t="s">
        <v>455</v>
      </c>
    </row>
    <row r="144" spans="1:15" ht="63.75" x14ac:dyDescent="0.2">
      <c r="A144" s="45" t="s">
        <v>456</v>
      </c>
      <c r="B144" s="46" t="s">
        <v>441</v>
      </c>
      <c r="C144" s="46" t="s">
        <v>441</v>
      </c>
      <c r="D144" s="46" t="s">
        <v>442</v>
      </c>
      <c r="E144" s="46" t="s">
        <v>452</v>
      </c>
      <c r="F144" s="46" t="s">
        <v>453</v>
      </c>
      <c r="G144" s="46" t="s">
        <v>257</v>
      </c>
      <c r="H144" s="46" t="s">
        <v>68</v>
      </c>
      <c r="I144" s="46" t="s">
        <v>445</v>
      </c>
      <c r="J144" s="46" t="s">
        <v>71</v>
      </c>
      <c r="K144" s="47">
        <v>140</v>
      </c>
      <c r="L144" s="47">
        <v>80</v>
      </c>
      <c r="M144" s="47">
        <f t="shared" si="2"/>
        <v>220</v>
      </c>
      <c r="N144" s="48" t="s">
        <v>446</v>
      </c>
      <c r="O144" s="71" t="s">
        <v>457</v>
      </c>
    </row>
    <row r="145" spans="1:15" ht="63.75" x14ac:dyDescent="0.2">
      <c r="A145" s="45" t="s">
        <v>458</v>
      </c>
      <c r="B145" s="46" t="s">
        <v>441</v>
      </c>
      <c r="C145" s="46" t="s">
        <v>441</v>
      </c>
      <c r="D145" s="46" t="s">
        <v>442</v>
      </c>
      <c r="E145" s="46" t="s">
        <v>452</v>
      </c>
      <c r="F145" s="46" t="s">
        <v>453</v>
      </c>
      <c r="G145" s="46" t="s">
        <v>257</v>
      </c>
      <c r="H145" s="46" t="s">
        <v>68</v>
      </c>
      <c r="I145" s="46" t="s">
        <v>449</v>
      </c>
      <c r="J145" s="46" t="s">
        <v>71</v>
      </c>
      <c r="K145" s="47">
        <v>155</v>
      </c>
      <c r="L145" s="47">
        <v>200</v>
      </c>
      <c r="M145" s="47">
        <f t="shared" si="2"/>
        <v>355</v>
      </c>
      <c r="N145" s="48" t="s">
        <v>446</v>
      </c>
      <c r="O145" s="71" t="s">
        <v>459</v>
      </c>
    </row>
    <row r="146" spans="1:15" ht="51" x14ac:dyDescent="0.2">
      <c r="A146" s="45" t="s">
        <v>460</v>
      </c>
      <c r="B146" s="46" t="s">
        <v>461</v>
      </c>
      <c r="C146" s="46" t="s">
        <v>461</v>
      </c>
      <c r="D146" s="46" t="s">
        <v>442</v>
      </c>
      <c r="E146" s="46" t="s">
        <v>452</v>
      </c>
      <c r="F146" s="46" t="s">
        <v>68</v>
      </c>
      <c r="G146" s="46" t="s">
        <v>68</v>
      </c>
      <c r="H146" s="46" t="s">
        <v>68</v>
      </c>
      <c r="I146" s="46" t="s">
        <v>68</v>
      </c>
      <c r="J146" s="46" t="s">
        <v>71</v>
      </c>
      <c r="K146" s="47">
        <v>130</v>
      </c>
      <c r="L146" s="47">
        <v>10</v>
      </c>
      <c r="M146" s="47">
        <f t="shared" si="2"/>
        <v>140</v>
      </c>
      <c r="N146" s="46" t="s">
        <v>462</v>
      </c>
      <c r="O146" s="71" t="s">
        <v>463</v>
      </c>
    </row>
    <row r="147" spans="1:15" ht="51" x14ac:dyDescent="0.2">
      <c r="A147" s="45" t="s">
        <v>464</v>
      </c>
      <c r="B147" s="46" t="s">
        <v>441</v>
      </c>
      <c r="C147" s="46" t="s">
        <v>441</v>
      </c>
      <c r="D147" s="46" t="s">
        <v>442</v>
      </c>
      <c r="E147" s="46" t="s">
        <v>465</v>
      </c>
      <c r="F147" s="46" t="s">
        <v>444</v>
      </c>
      <c r="G147" s="46" t="s">
        <v>254</v>
      </c>
      <c r="H147" s="46" t="s">
        <v>68</v>
      </c>
      <c r="I147" s="46" t="s">
        <v>454</v>
      </c>
      <c r="J147" s="46" t="s">
        <v>71</v>
      </c>
      <c r="K147" s="47">
        <v>130</v>
      </c>
      <c r="L147" s="47">
        <v>30</v>
      </c>
      <c r="M147" s="47">
        <f t="shared" si="2"/>
        <v>160</v>
      </c>
      <c r="N147" s="48" t="s">
        <v>446</v>
      </c>
      <c r="O147" s="71" t="s">
        <v>466</v>
      </c>
    </row>
    <row r="148" spans="1:15" ht="51" x14ac:dyDescent="0.2">
      <c r="A148" s="45" t="s">
        <v>467</v>
      </c>
      <c r="B148" s="46" t="s">
        <v>441</v>
      </c>
      <c r="C148" s="46" t="s">
        <v>441</v>
      </c>
      <c r="D148" s="46" t="s">
        <v>442</v>
      </c>
      <c r="E148" s="46" t="s">
        <v>465</v>
      </c>
      <c r="F148" s="46" t="s">
        <v>444</v>
      </c>
      <c r="G148" s="46" t="s">
        <v>257</v>
      </c>
      <c r="H148" s="46" t="s">
        <v>68</v>
      </c>
      <c r="I148" s="46" t="s">
        <v>445</v>
      </c>
      <c r="J148" s="46" t="s">
        <v>71</v>
      </c>
      <c r="K148" s="47">
        <v>140</v>
      </c>
      <c r="L148" s="47">
        <v>50</v>
      </c>
      <c r="M148" s="47">
        <f t="shared" si="2"/>
        <v>190</v>
      </c>
      <c r="N148" s="48" t="s">
        <v>446</v>
      </c>
      <c r="O148" s="71" t="s">
        <v>468</v>
      </c>
    </row>
    <row r="149" spans="1:15" ht="51" x14ac:dyDescent="0.2">
      <c r="A149" s="45" t="s">
        <v>469</v>
      </c>
      <c r="B149" s="46" t="s">
        <v>441</v>
      </c>
      <c r="C149" s="46" t="s">
        <v>441</v>
      </c>
      <c r="D149" s="46" t="s">
        <v>442</v>
      </c>
      <c r="E149" s="46" t="s">
        <v>465</v>
      </c>
      <c r="F149" s="46" t="s">
        <v>444</v>
      </c>
      <c r="G149" s="46" t="s">
        <v>257</v>
      </c>
      <c r="H149" s="46" t="s">
        <v>68</v>
      </c>
      <c r="I149" s="46" t="s">
        <v>449</v>
      </c>
      <c r="J149" s="46" t="s">
        <v>71</v>
      </c>
      <c r="K149" s="47">
        <v>160</v>
      </c>
      <c r="L149" s="47">
        <v>120</v>
      </c>
      <c r="M149" s="47">
        <f t="shared" si="2"/>
        <v>280</v>
      </c>
      <c r="N149" s="48" t="s">
        <v>446</v>
      </c>
      <c r="O149" s="71" t="s">
        <v>470</v>
      </c>
    </row>
    <row r="150" spans="1:15" ht="51" x14ac:dyDescent="0.2">
      <c r="A150" s="45" t="s">
        <v>471</v>
      </c>
      <c r="B150" s="46" t="s">
        <v>461</v>
      </c>
      <c r="C150" s="46" t="s">
        <v>461</v>
      </c>
      <c r="D150" s="46" t="s">
        <v>442</v>
      </c>
      <c r="E150" s="46" t="s">
        <v>465</v>
      </c>
      <c r="F150" s="46" t="s">
        <v>68</v>
      </c>
      <c r="G150" s="46" t="s">
        <v>68</v>
      </c>
      <c r="H150" s="46" t="s">
        <v>68</v>
      </c>
      <c r="I150" s="46" t="s">
        <v>68</v>
      </c>
      <c r="J150" s="46" t="s">
        <v>71</v>
      </c>
      <c r="K150" s="47">
        <v>130</v>
      </c>
      <c r="L150" s="47">
        <v>10</v>
      </c>
      <c r="M150" s="47">
        <f t="shared" si="2"/>
        <v>140</v>
      </c>
      <c r="N150" s="46" t="s">
        <v>462</v>
      </c>
      <c r="O150" s="71" t="s">
        <v>472</v>
      </c>
    </row>
    <row r="151" spans="1:15" ht="51" x14ac:dyDescent="0.2">
      <c r="A151" s="45" t="s">
        <v>473</v>
      </c>
      <c r="B151" s="46" t="s">
        <v>441</v>
      </c>
      <c r="C151" s="46" t="s">
        <v>441</v>
      </c>
      <c r="D151" s="46" t="s">
        <v>442</v>
      </c>
      <c r="E151" s="46" t="s">
        <v>474</v>
      </c>
      <c r="F151" s="46" t="s">
        <v>444</v>
      </c>
      <c r="G151" s="46" t="s">
        <v>254</v>
      </c>
      <c r="H151" s="46" t="s">
        <v>68</v>
      </c>
      <c r="I151" s="46" t="s">
        <v>454</v>
      </c>
      <c r="J151" s="46" t="s">
        <v>71</v>
      </c>
      <c r="K151" s="47">
        <v>130</v>
      </c>
      <c r="L151" s="47">
        <v>40</v>
      </c>
      <c r="M151" s="47">
        <f t="shared" si="2"/>
        <v>170</v>
      </c>
      <c r="N151" s="48" t="s">
        <v>446</v>
      </c>
      <c r="O151" s="71" t="s">
        <v>475</v>
      </c>
    </row>
    <row r="152" spans="1:15" ht="51" x14ac:dyDescent="0.2">
      <c r="A152" s="45" t="s">
        <v>476</v>
      </c>
      <c r="B152" s="46" t="s">
        <v>441</v>
      </c>
      <c r="C152" s="46" t="s">
        <v>441</v>
      </c>
      <c r="D152" s="46" t="s">
        <v>442</v>
      </c>
      <c r="E152" s="46" t="s">
        <v>474</v>
      </c>
      <c r="F152" s="46" t="s">
        <v>444</v>
      </c>
      <c r="G152" s="46" t="s">
        <v>257</v>
      </c>
      <c r="H152" s="46" t="s">
        <v>68</v>
      </c>
      <c r="I152" s="46" t="s">
        <v>445</v>
      </c>
      <c r="J152" s="46" t="s">
        <v>71</v>
      </c>
      <c r="K152" s="47">
        <v>140</v>
      </c>
      <c r="L152" s="47">
        <v>70</v>
      </c>
      <c r="M152" s="47">
        <f t="shared" si="2"/>
        <v>210</v>
      </c>
      <c r="N152" s="48" t="s">
        <v>446</v>
      </c>
      <c r="O152" s="71" t="s">
        <v>477</v>
      </c>
    </row>
    <row r="153" spans="1:15" ht="51" x14ac:dyDescent="0.2">
      <c r="A153" s="45" t="s">
        <v>478</v>
      </c>
      <c r="B153" s="46" t="s">
        <v>441</v>
      </c>
      <c r="C153" s="46" t="s">
        <v>441</v>
      </c>
      <c r="D153" s="46" t="s">
        <v>442</v>
      </c>
      <c r="E153" s="46" t="s">
        <v>474</v>
      </c>
      <c r="F153" s="46" t="s">
        <v>444</v>
      </c>
      <c r="G153" s="46" t="s">
        <v>257</v>
      </c>
      <c r="H153" s="46" t="s">
        <v>68</v>
      </c>
      <c r="I153" s="46" t="s">
        <v>449</v>
      </c>
      <c r="J153" s="46" t="s">
        <v>71</v>
      </c>
      <c r="K153" s="47">
        <v>160</v>
      </c>
      <c r="L153" s="47">
        <v>150</v>
      </c>
      <c r="M153" s="47">
        <f t="shared" si="2"/>
        <v>310</v>
      </c>
      <c r="N153" s="48" t="s">
        <v>446</v>
      </c>
      <c r="O153" s="71" t="s">
        <v>479</v>
      </c>
    </row>
    <row r="154" spans="1:15" ht="51" x14ac:dyDescent="0.2">
      <c r="A154" s="45" t="s">
        <v>480</v>
      </c>
      <c r="B154" s="46" t="s">
        <v>461</v>
      </c>
      <c r="C154" s="46" t="s">
        <v>461</v>
      </c>
      <c r="D154" s="46" t="s">
        <v>442</v>
      </c>
      <c r="E154" s="46" t="s">
        <v>474</v>
      </c>
      <c r="F154" s="46" t="s">
        <v>444</v>
      </c>
      <c r="G154" s="46" t="s">
        <v>68</v>
      </c>
      <c r="H154" s="46" t="s">
        <v>68</v>
      </c>
      <c r="I154" s="46" t="s">
        <v>68</v>
      </c>
      <c r="J154" s="46" t="s">
        <v>71</v>
      </c>
      <c r="K154" s="47">
        <v>130</v>
      </c>
      <c r="L154" s="47">
        <v>10</v>
      </c>
      <c r="M154" s="47">
        <f t="shared" si="2"/>
        <v>140</v>
      </c>
      <c r="N154" s="46" t="s">
        <v>462</v>
      </c>
      <c r="O154" s="71" t="s">
        <v>481</v>
      </c>
    </row>
    <row r="155" spans="1:15" ht="51" x14ac:dyDescent="0.2">
      <c r="A155" s="45" t="s">
        <v>482</v>
      </c>
      <c r="B155" s="46" t="s">
        <v>483</v>
      </c>
      <c r="C155" s="46" t="s">
        <v>483</v>
      </c>
      <c r="D155" s="46" t="s">
        <v>442</v>
      </c>
      <c r="E155" s="46" t="s">
        <v>474</v>
      </c>
      <c r="F155" s="46" t="s">
        <v>444</v>
      </c>
      <c r="G155" s="46" t="s">
        <v>257</v>
      </c>
      <c r="H155" s="46" t="s">
        <v>68</v>
      </c>
      <c r="I155" s="46" t="s">
        <v>445</v>
      </c>
      <c r="J155" s="46" t="s">
        <v>71</v>
      </c>
      <c r="K155" s="47">
        <v>150</v>
      </c>
      <c r="L155" s="47">
        <v>60</v>
      </c>
      <c r="M155" s="47">
        <f t="shared" si="2"/>
        <v>210</v>
      </c>
      <c r="N155" s="46" t="s">
        <v>462</v>
      </c>
      <c r="O155" s="71" t="s">
        <v>484</v>
      </c>
    </row>
    <row r="156" spans="1:15" ht="51" x14ac:dyDescent="0.2">
      <c r="A156" s="45" t="s">
        <v>485</v>
      </c>
      <c r="B156" s="46" t="s">
        <v>483</v>
      </c>
      <c r="C156" s="46" t="s">
        <v>483</v>
      </c>
      <c r="D156" s="46" t="s">
        <v>442</v>
      </c>
      <c r="E156" s="46" t="s">
        <v>474</v>
      </c>
      <c r="F156" s="46" t="s">
        <v>444</v>
      </c>
      <c r="G156" s="46" t="s">
        <v>257</v>
      </c>
      <c r="H156" s="46" t="s">
        <v>68</v>
      </c>
      <c r="I156" s="46" t="s">
        <v>449</v>
      </c>
      <c r="J156" s="46" t="s">
        <v>71</v>
      </c>
      <c r="K156" s="47">
        <v>160</v>
      </c>
      <c r="L156" s="47">
        <v>120</v>
      </c>
      <c r="M156" s="47">
        <f t="shared" si="2"/>
        <v>280</v>
      </c>
      <c r="N156" s="46" t="s">
        <v>462</v>
      </c>
      <c r="O156" s="71" t="s">
        <v>486</v>
      </c>
    </row>
    <row r="157" spans="1:15" ht="51" x14ac:dyDescent="0.2">
      <c r="A157" s="45" t="s">
        <v>487</v>
      </c>
      <c r="B157" s="46" t="s">
        <v>441</v>
      </c>
      <c r="C157" s="46" t="s">
        <v>441</v>
      </c>
      <c r="D157" s="46" t="s">
        <v>442</v>
      </c>
      <c r="E157" s="46" t="s">
        <v>474</v>
      </c>
      <c r="F157" s="46" t="s">
        <v>488</v>
      </c>
      <c r="G157" s="46" t="s">
        <v>254</v>
      </c>
      <c r="H157" s="46" t="s">
        <v>68</v>
      </c>
      <c r="I157" s="46" t="s">
        <v>454</v>
      </c>
      <c r="J157" s="46" t="s">
        <v>71</v>
      </c>
      <c r="K157" s="47">
        <v>145</v>
      </c>
      <c r="L157" s="47">
        <v>90</v>
      </c>
      <c r="M157" s="47">
        <f t="shared" si="2"/>
        <v>235</v>
      </c>
      <c r="N157" s="48" t="s">
        <v>446</v>
      </c>
      <c r="O157" s="71" t="s">
        <v>489</v>
      </c>
    </row>
    <row r="158" spans="1:15" ht="51" x14ac:dyDescent="0.2">
      <c r="A158" s="45" t="s">
        <v>490</v>
      </c>
      <c r="B158" s="46" t="s">
        <v>441</v>
      </c>
      <c r="C158" s="46" t="s">
        <v>441</v>
      </c>
      <c r="D158" s="46" t="s">
        <v>442</v>
      </c>
      <c r="E158" s="46" t="s">
        <v>474</v>
      </c>
      <c r="F158" s="46" t="s">
        <v>488</v>
      </c>
      <c r="G158" s="46" t="s">
        <v>257</v>
      </c>
      <c r="H158" s="46" t="s">
        <v>68</v>
      </c>
      <c r="I158" s="46" t="s">
        <v>445</v>
      </c>
      <c r="J158" s="46" t="s">
        <v>71</v>
      </c>
      <c r="K158" s="47">
        <v>160</v>
      </c>
      <c r="L158" s="47">
        <v>180</v>
      </c>
      <c r="M158" s="47">
        <f t="shared" si="2"/>
        <v>340</v>
      </c>
      <c r="N158" s="48" t="s">
        <v>446</v>
      </c>
      <c r="O158" s="71" t="s">
        <v>491</v>
      </c>
    </row>
    <row r="159" spans="1:15" ht="51" x14ac:dyDescent="0.2">
      <c r="A159" s="45" t="s">
        <v>492</v>
      </c>
      <c r="B159" s="46" t="s">
        <v>441</v>
      </c>
      <c r="C159" s="46" t="s">
        <v>441</v>
      </c>
      <c r="D159" s="46" t="s">
        <v>442</v>
      </c>
      <c r="E159" s="46" t="s">
        <v>474</v>
      </c>
      <c r="F159" s="46" t="s">
        <v>488</v>
      </c>
      <c r="G159" s="46" t="s">
        <v>257</v>
      </c>
      <c r="H159" s="46" t="s">
        <v>68</v>
      </c>
      <c r="I159" s="46" t="s">
        <v>449</v>
      </c>
      <c r="J159" s="46" t="s">
        <v>71</v>
      </c>
      <c r="K159" s="47">
        <v>180</v>
      </c>
      <c r="L159" s="47">
        <v>360</v>
      </c>
      <c r="M159" s="47">
        <f t="shared" si="2"/>
        <v>540</v>
      </c>
      <c r="N159" s="48" t="s">
        <v>446</v>
      </c>
      <c r="O159" s="71" t="s">
        <v>493</v>
      </c>
    </row>
    <row r="160" spans="1:15" ht="51" x14ac:dyDescent="0.2">
      <c r="A160" s="45" t="s">
        <v>494</v>
      </c>
      <c r="B160" s="46" t="s">
        <v>461</v>
      </c>
      <c r="C160" s="46" t="s">
        <v>461</v>
      </c>
      <c r="D160" s="46" t="s">
        <v>442</v>
      </c>
      <c r="E160" s="46" t="s">
        <v>474</v>
      </c>
      <c r="F160" s="46" t="s">
        <v>488</v>
      </c>
      <c r="G160" s="46" t="s">
        <v>68</v>
      </c>
      <c r="H160" s="46" t="s">
        <v>68</v>
      </c>
      <c r="I160" s="46" t="s">
        <v>68</v>
      </c>
      <c r="J160" s="46" t="s">
        <v>71</v>
      </c>
      <c r="K160" s="47">
        <v>130</v>
      </c>
      <c r="L160" s="47">
        <v>20</v>
      </c>
      <c r="M160" s="47">
        <f t="shared" si="2"/>
        <v>150</v>
      </c>
      <c r="N160" s="46" t="s">
        <v>462</v>
      </c>
      <c r="O160" s="71" t="s">
        <v>495</v>
      </c>
    </row>
    <row r="161" spans="1:15" ht="63.75" x14ac:dyDescent="0.2">
      <c r="A161" s="45" t="s">
        <v>496</v>
      </c>
      <c r="B161" s="46" t="s">
        <v>483</v>
      </c>
      <c r="C161" s="46" t="s">
        <v>483</v>
      </c>
      <c r="D161" s="46" t="s">
        <v>442</v>
      </c>
      <c r="E161" s="46" t="s">
        <v>474</v>
      </c>
      <c r="F161" s="46" t="s">
        <v>488</v>
      </c>
      <c r="G161" s="46" t="s">
        <v>257</v>
      </c>
      <c r="H161" s="46" t="s">
        <v>68</v>
      </c>
      <c r="I161" s="46" t="s">
        <v>445</v>
      </c>
      <c r="J161" s="46" t="s">
        <v>71</v>
      </c>
      <c r="K161" s="47">
        <v>150</v>
      </c>
      <c r="L161" s="47">
        <v>60</v>
      </c>
      <c r="M161" s="47">
        <f t="shared" si="2"/>
        <v>210</v>
      </c>
      <c r="N161" s="46" t="s">
        <v>462</v>
      </c>
      <c r="O161" s="71" t="s">
        <v>497</v>
      </c>
    </row>
    <row r="162" spans="1:15" ht="63.75" x14ac:dyDescent="0.2">
      <c r="A162" s="45" t="s">
        <v>498</v>
      </c>
      <c r="B162" s="46" t="s">
        <v>483</v>
      </c>
      <c r="C162" s="46" t="s">
        <v>483</v>
      </c>
      <c r="D162" s="46" t="s">
        <v>442</v>
      </c>
      <c r="E162" s="46" t="s">
        <v>474</v>
      </c>
      <c r="F162" s="46" t="s">
        <v>488</v>
      </c>
      <c r="G162" s="46" t="s">
        <v>257</v>
      </c>
      <c r="H162" s="46" t="s">
        <v>68</v>
      </c>
      <c r="I162" s="46" t="s">
        <v>449</v>
      </c>
      <c r="J162" s="46" t="s">
        <v>71</v>
      </c>
      <c r="K162" s="47">
        <v>160</v>
      </c>
      <c r="L162" s="47">
        <v>120</v>
      </c>
      <c r="M162" s="47">
        <f t="shared" si="2"/>
        <v>280</v>
      </c>
      <c r="N162" s="46" t="s">
        <v>462</v>
      </c>
      <c r="O162" s="71" t="s">
        <v>499</v>
      </c>
    </row>
    <row r="163" spans="1:15" ht="51" x14ac:dyDescent="0.2">
      <c r="A163" s="45" t="s">
        <v>500</v>
      </c>
      <c r="B163" s="46" t="s">
        <v>441</v>
      </c>
      <c r="C163" s="46" t="s">
        <v>441</v>
      </c>
      <c r="D163" s="46" t="s">
        <v>442</v>
      </c>
      <c r="E163" s="46" t="s">
        <v>474</v>
      </c>
      <c r="F163" s="46" t="s">
        <v>501</v>
      </c>
      <c r="G163" s="46" t="s">
        <v>257</v>
      </c>
      <c r="H163" s="46" t="s">
        <v>68</v>
      </c>
      <c r="I163" s="46" t="s">
        <v>445</v>
      </c>
      <c r="J163" s="46" t="s">
        <v>71</v>
      </c>
      <c r="K163" s="47">
        <v>170</v>
      </c>
      <c r="L163" s="47">
        <v>220</v>
      </c>
      <c r="M163" s="47">
        <f t="shared" si="2"/>
        <v>390</v>
      </c>
      <c r="N163" s="48" t="s">
        <v>446</v>
      </c>
      <c r="O163" s="71" t="s">
        <v>502</v>
      </c>
    </row>
    <row r="164" spans="1:15" ht="51" x14ac:dyDescent="0.2">
      <c r="A164" s="45" t="s">
        <v>503</v>
      </c>
      <c r="B164" s="46" t="s">
        <v>441</v>
      </c>
      <c r="C164" s="46" t="s">
        <v>441</v>
      </c>
      <c r="D164" s="46" t="s">
        <v>442</v>
      </c>
      <c r="E164" s="46" t="s">
        <v>474</v>
      </c>
      <c r="F164" s="46" t="s">
        <v>501</v>
      </c>
      <c r="G164" s="46" t="s">
        <v>257</v>
      </c>
      <c r="H164" s="46" t="s">
        <v>68</v>
      </c>
      <c r="I164" s="46" t="s">
        <v>449</v>
      </c>
      <c r="J164" s="46" t="s">
        <v>71</v>
      </c>
      <c r="K164" s="47">
        <v>210</v>
      </c>
      <c r="L164" s="47">
        <v>500</v>
      </c>
      <c r="M164" s="47">
        <f t="shared" si="2"/>
        <v>710</v>
      </c>
      <c r="N164" s="48" t="s">
        <v>446</v>
      </c>
      <c r="O164" s="71" t="s">
        <v>504</v>
      </c>
    </row>
    <row r="165" spans="1:15" ht="51" x14ac:dyDescent="0.2">
      <c r="A165" s="45" t="s">
        <v>505</v>
      </c>
      <c r="B165" s="46" t="s">
        <v>461</v>
      </c>
      <c r="C165" s="46" t="s">
        <v>461</v>
      </c>
      <c r="D165" s="46" t="s">
        <v>442</v>
      </c>
      <c r="E165" s="46" t="s">
        <v>474</v>
      </c>
      <c r="F165" s="46" t="s">
        <v>501</v>
      </c>
      <c r="G165" s="46" t="s">
        <v>257</v>
      </c>
      <c r="H165" s="46" t="s">
        <v>68</v>
      </c>
      <c r="I165" s="46" t="s">
        <v>68</v>
      </c>
      <c r="J165" s="46" t="s">
        <v>71</v>
      </c>
      <c r="K165" s="47">
        <v>130</v>
      </c>
      <c r="L165" s="47">
        <v>20</v>
      </c>
      <c r="M165" s="47">
        <f t="shared" si="2"/>
        <v>150</v>
      </c>
      <c r="N165" s="46" t="s">
        <v>462</v>
      </c>
      <c r="O165" s="71" t="s">
        <v>506</v>
      </c>
    </row>
    <row r="166" spans="1:15" ht="63.75" x14ac:dyDescent="0.2">
      <c r="A166" s="45" t="s">
        <v>507</v>
      </c>
      <c r="B166" s="46" t="s">
        <v>508</v>
      </c>
      <c r="C166" s="46" t="s">
        <v>508</v>
      </c>
      <c r="D166" s="46" t="s">
        <v>442</v>
      </c>
      <c r="E166" s="46" t="s">
        <v>474</v>
      </c>
      <c r="F166" s="46" t="s">
        <v>501</v>
      </c>
      <c r="G166" s="46" t="s">
        <v>257</v>
      </c>
      <c r="H166" s="46" t="s">
        <v>68</v>
      </c>
      <c r="I166" s="46" t="s">
        <v>445</v>
      </c>
      <c r="J166" s="46" t="s">
        <v>71</v>
      </c>
      <c r="K166" s="47">
        <v>190</v>
      </c>
      <c r="L166" s="47">
        <v>120</v>
      </c>
      <c r="M166" s="47">
        <f t="shared" si="2"/>
        <v>310</v>
      </c>
      <c r="N166" s="46" t="s">
        <v>462</v>
      </c>
      <c r="O166" s="71" t="s">
        <v>509</v>
      </c>
    </row>
    <row r="167" spans="1:15" ht="63.75" x14ac:dyDescent="0.2">
      <c r="A167" s="45" t="s">
        <v>510</v>
      </c>
      <c r="B167" s="46" t="s">
        <v>508</v>
      </c>
      <c r="C167" s="46" t="s">
        <v>508</v>
      </c>
      <c r="D167" s="46" t="s">
        <v>442</v>
      </c>
      <c r="E167" s="46" t="s">
        <v>474</v>
      </c>
      <c r="F167" s="46" t="s">
        <v>501</v>
      </c>
      <c r="G167" s="46" t="s">
        <v>257</v>
      </c>
      <c r="H167" s="46" t="s">
        <v>68</v>
      </c>
      <c r="I167" s="46" t="s">
        <v>449</v>
      </c>
      <c r="J167" s="46" t="s">
        <v>71</v>
      </c>
      <c r="K167" s="47">
        <v>210</v>
      </c>
      <c r="L167" s="47">
        <v>240</v>
      </c>
      <c r="M167" s="47">
        <f t="shared" si="2"/>
        <v>450</v>
      </c>
      <c r="N167" s="46" t="s">
        <v>462</v>
      </c>
      <c r="O167" s="71" t="s">
        <v>511</v>
      </c>
    </row>
    <row r="168" spans="1:15" ht="51" x14ac:dyDescent="0.2">
      <c r="A168" s="45" t="s">
        <v>512</v>
      </c>
      <c r="B168" s="46" t="s">
        <v>441</v>
      </c>
      <c r="C168" s="46" t="s">
        <v>441</v>
      </c>
      <c r="D168" s="46" t="s">
        <v>442</v>
      </c>
      <c r="E168" s="46" t="s">
        <v>474</v>
      </c>
      <c r="F168" s="46" t="s">
        <v>213</v>
      </c>
      <c r="G168" s="46" t="s">
        <v>254</v>
      </c>
      <c r="H168" s="46" t="s">
        <v>513</v>
      </c>
      <c r="I168" s="46" t="s">
        <v>454</v>
      </c>
      <c r="J168" s="46" t="s">
        <v>71</v>
      </c>
      <c r="K168" s="47">
        <v>160</v>
      </c>
      <c r="L168" s="47">
        <v>150</v>
      </c>
      <c r="M168" s="47">
        <f t="shared" si="2"/>
        <v>310</v>
      </c>
      <c r="N168" s="48" t="s">
        <v>446</v>
      </c>
      <c r="O168" s="71" t="s">
        <v>514</v>
      </c>
    </row>
    <row r="169" spans="1:15" ht="51" x14ac:dyDescent="0.2">
      <c r="A169" s="45" t="s">
        <v>515</v>
      </c>
      <c r="B169" s="46" t="s">
        <v>441</v>
      </c>
      <c r="C169" s="46" t="s">
        <v>441</v>
      </c>
      <c r="D169" s="46" t="s">
        <v>442</v>
      </c>
      <c r="E169" s="46" t="s">
        <v>474</v>
      </c>
      <c r="F169" s="46" t="s">
        <v>213</v>
      </c>
      <c r="G169" s="46" t="s">
        <v>254</v>
      </c>
      <c r="H169" s="46" t="s">
        <v>513</v>
      </c>
      <c r="I169" s="46" t="s">
        <v>445</v>
      </c>
      <c r="J169" s="46" t="s">
        <v>71</v>
      </c>
      <c r="K169" s="47">
        <v>170</v>
      </c>
      <c r="L169" s="47">
        <v>230</v>
      </c>
      <c r="M169" s="47">
        <f t="shared" si="2"/>
        <v>400</v>
      </c>
      <c r="N169" s="48" t="s">
        <v>446</v>
      </c>
      <c r="O169" s="71" t="s">
        <v>516</v>
      </c>
    </row>
    <row r="170" spans="1:15" ht="51" x14ac:dyDescent="0.2">
      <c r="A170" s="45" t="s">
        <v>517</v>
      </c>
      <c r="B170" s="46" t="s">
        <v>483</v>
      </c>
      <c r="C170" s="46" t="s">
        <v>483</v>
      </c>
      <c r="D170" s="46" t="s">
        <v>442</v>
      </c>
      <c r="E170" s="46" t="s">
        <v>474</v>
      </c>
      <c r="F170" s="46" t="s">
        <v>213</v>
      </c>
      <c r="G170" s="46" t="s">
        <v>254</v>
      </c>
      <c r="H170" s="46" t="s">
        <v>68</v>
      </c>
      <c r="I170" s="46" t="s">
        <v>68</v>
      </c>
      <c r="J170" s="46" t="s">
        <v>71</v>
      </c>
      <c r="K170" s="47">
        <v>145</v>
      </c>
      <c r="L170" s="47">
        <v>50</v>
      </c>
      <c r="M170" s="47">
        <f t="shared" si="2"/>
        <v>195</v>
      </c>
      <c r="N170" s="46" t="s">
        <v>462</v>
      </c>
      <c r="O170" s="71" t="s">
        <v>518</v>
      </c>
    </row>
    <row r="171" spans="1:15" ht="51" x14ac:dyDescent="0.2">
      <c r="A171" s="45" t="s">
        <v>519</v>
      </c>
      <c r="B171" s="46" t="s">
        <v>441</v>
      </c>
      <c r="C171" s="46" t="s">
        <v>441</v>
      </c>
      <c r="D171" s="46" t="s">
        <v>520</v>
      </c>
      <c r="E171" s="46" t="s">
        <v>474</v>
      </c>
      <c r="F171" s="46" t="s">
        <v>199</v>
      </c>
      <c r="G171" s="46" t="s">
        <v>254</v>
      </c>
      <c r="H171" s="46" t="s">
        <v>68</v>
      </c>
      <c r="I171" s="46" t="s">
        <v>454</v>
      </c>
      <c r="J171" s="46" t="s">
        <v>71</v>
      </c>
      <c r="K171" s="47">
        <v>170</v>
      </c>
      <c r="L171" s="47">
        <v>60</v>
      </c>
      <c r="M171" s="47">
        <f t="shared" si="2"/>
        <v>230</v>
      </c>
      <c r="N171" s="46" t="s">
        <v>521</v>
      </c>
      <c r="O171" s="71" t="s">
        <v>522</v>
      </c>
    </row>
    <row r="172" spans="1:15" ht="51" x14ac:dyDescent="0.2">
      <c r="A172" s="45" t="s">
        <v>523</v>
      </c>
      <c r="B172" s="46" t="s">
        <v>441</v>
      </c>
      <c r="C172" s="46" t="s">
        <v>441</v>
      </c>
      <c r="D172" s="46" t="s">
        <v>520</v>
      </c>
      <c r="E172" s="46" t="s">
        <v>474</v>
      </c>
      <c r="F172" s="46" t="s">
        <v>199</v>
      </c>
      <c r="G172" s="46" t="s">
        <v>257</v>
      </c>
      <c r="H172" s="46" t="s">
        <v>68</v>
      </c>
      <c r="I172" s="46" t="s">
        <v>445</v>
      </c>
      <c r="J172" s="46" t="s">
        <v>71</v>
      </c>
      <c r="K172" s="47">
        <v>190</v>
      </c>
      <c r="L172" s="47">
        <v>180</v>
      </c>
      <c r="M172" s="47">
        <f t="shared" si="2"/>
        <v>370</v>
      </c>
      <c r="N172" s="46" t="s">
        <v>521</v>
      </c>
      <c r="O172" s="71" t="s">
        <v>524</v>
      </c>
    </row>
    <row r="173" spans="1:15" ht="51" x14ac:dyDescent="0.2">
      <c r="A173" s="45" t="s">
        <v>525</v>
      </c>
      <c r="B173" s="46" t="s">
        <v>441</v>
      </c>
      <c r="C173" s="46" t="s">
        <v>441</v>
      </c>
      <c r="D173" s="46" t="s">
        <v>520</v>
      </c>
      <c r="E173" s="46" t="s">
        <v>474</v>
      </c>
      <c r="F173" s="46" t="s">
        <v>199</v>
      </c>
      <c r="G173" s="46" t="s">
        <v>257</v>
      </c>
      <c r="H173" s="46" t="s">
        <v>68</v>
      </c>
      <c r="I173" s="46" t="s">
        <v>449</v>
      </c>
      <c r="J173" s="46" t="s">
        <v>71</v>
      </c>
      <c r="K173" s="47">
        <v>220</v>
      </c>
      <c r="L173" s="47">
        <v>240</v>
      </c>
      <c r="M173" s="47">
        <f t="shared" si="2"/>
        <v>460</v>
      </c>
      <c r="N173" s="46" t="s">
        <v>521</v>
      </c>
      <c r="O173" s="71" t="s">
        <v>526</v>
      </c>
    </row>
    <row r="174" spans="1:15" ht="51" x14ac:dyDescent="0.2">
      <c r="A174" s="45" t="s">
        <v>527</v>
      </c>
      <c r="B174" s="46" t="s">
        <v>461</v>
      </c>
      <c r="C174" s="46" t="s">
        <v>461</v>
      </c>
      <c r="D174" s="46" t="s">
        <v>520</v>
      </c>
      <c r="E174" s="46" t="s">
        <v>474</v>
      </c>
      <c r="F174" s="46" t="s">
        <v>199</v>
      </c>
      <c r="G174" s="46" t="s">
        <v>68</v>
      </c>
      <c r="H174" s="46" t="s">
        <v>68</v>
      </c>
      <c r="I174" s="46" t="s">
        <v>68</v>
      </c>
      <c r="J174" s="46" t="s">
        <v>71</v>
      </c>
      <c r="K174" s="47">
        <v>130</v>
      </c>
      <c r="L174" s="47">
        <v>10</v>
      </c>
      <c r="M174" s="47">
        <f t="shared" si="2"/>
        <v>140</v>
      </c>
      <c r="N174" s="46" t="s">
        <v>462</v>
      </c>
      <c r="O174" s="71" t="s">
        <v>528</v>
      </c>
    </row>
    <row r="175" spans="1:15" ht="51" x14ac:dyDescent="0.2">
      <c r="A175" s="45" t="s">
        <v>529</v>
      </c>
      <c r="B175" s="46" t="s">
        <v>483</v>
      </c>
      <c r="C175" s="46" t="s">
        <v>483</v>
      </c>
      <c r="D175" s="46" t="s">
        <v>520</v>
      </c>
      <c r="E175" s="46" t="s">
        <v>474</v>
      </c>
      <c r="F175" s="46" t="s">
        <v>199</v>
      </c>
      <c r="G175" s="46" t="s">
        <v>257</v>
      </c>
      <c r="H175" s="46" t="s">
        <v>68</v>
      </c>
      <c r="I175" s="46" t="s">
        <v>445</v>
      </c>
      <c r="J175" s="46" t="s">
        <v>71</v>
      </c>
      <c r="K175" s="47">
        <v>150</v>
      </c>
      <c r="L175" s="47">
        <v>60</v>
      </c>
      <c r="M175" s="47">
        <f t="shared" si="2"/>
        <v>210</v>
      </c>
      <c r="N175" s="46" t="s">
        <v>462</v>
      </c>
      <c r="O175" s="71" t="s">
        <v>530</v>
      </c>
    </row>
    <row r="176" spans="1:15" ht="51" x14ac:dyDescent="0.2">
      <c r="A176" s="45" t="s">
        <v>531</v>
      </c>
      <c r="B176" s="46" t="s">
        <v>483</v>
      </c>
      <c r="C176" s="46" t="s">
        <v>483</v>
      </c>
      <c r="D176" s="46" t="s">
        <v>520</v>
      </c>
      <c r="E176" s="46" t="s">
        <v>474</v>
      </c>
      <c r="F176" s="46" t="s">
        <v>199</v>
      </c>
      <c r="G176" s="46" t="s">
        <v>257</v>
      </c>
      <c r="H176" s="46" t="s">
        <v>68</v>
      </c>
      <c r="I176" s="46" t="s">
        <v>449</v>
      </c>
      <c r="J176" s="46" t="s">
        <v>71</v>
      </c>
      <c r="K176" s="47">
        <v>190</v>
      </c>
      <c r="L176" s="47">
        <v>120</v>
      </c>
      <c r="M176" s="47">
        <f t="shared" si="2"/>
        <v>310</v>
      </c>
      <c r="N176" s="46" t="s">
        <v>462</v>
      </c>
      <c r="O176" s="71" t="s">
        <v>532</v>
      </c>
    </row>
    <row r="177" spans="1:15" ht="63.75" x14ac:dyDescent="0.2">
      <c r="A177" s="45" t="s">
        <v>533</v>
      </c>
      <c r="B177" s="46" t="s">
        <v>441</v>
      </c>
      <c r="C177" s="46" t="s">
        <v>441</v>
      </c>
      <c r="D177" s="46" t="s">
        <v>520</v>
      </c>
      <c r="E177" s="46" t="s">
        <v>474</v>
      </c>
      <c r="F177" s="46" t="s">
        <v>488</v>
      </c>
      <c r="G177" s="46" t="s">
        <v>254</v>
      </c>
      <c r="H177" s="46" t="s">
        <v>68</v>
      </c>
      <c r="I177" s="46" t="s">
        <v>454</v>
      </c>
      <c r="J177" s="46" t="s">
        <v>71</v>
      </c>
      <c r="K177" s="47">
        <v>150</v>
      </c>
      <c r="L177" s="47">
        <v>100</v>
      </c>
      <c r="M177" s="47">
        <f t="shared" si="2"/>
        <v>250</v>
      </c>
      <c r="N177" s="46" t="s">
        <v>521</v>
      </c>
      <c r="O177" s="71" t="s">
        <v>534</v>
      </c>
    </row>
    <row r="178" spans="1:15" ht="63.75" x14ac:dyDescent="0.2">
      <c r="A178" s="45" t="s">
        <v>535</v>
      </c>
      <c r="B178" s="46" t="s">
        <v>441</v>
      </c>
      <c r="C178" s="46" t="s">
        <v>441</v>
      </c>
      <c r="D178" s="46" t="s">
        <v>520</v>
      </c>
      <c r="E178" s="46" t="s">
        <v>474</v>
      </c>
      <c r="F178" s="46" t="s">
        <v>488</v>
      </c>
      <c r="G178" s="46" t="s">
        <v>257</v>
      </c>
      <c r="H178" s="46" t="s">
        <v>68</v>
      </c>
      <c r="I178" s="46" t="s">
        <v>445</v>
      </c>
      <c r="J178" s="46" t="s">
        <v>71</v>
      </c>
      <c r="K178" s="47">
        <v>180</v>
      </c>
      <c r="L178" s="47">
        <v>160</v>
      </c>
      <c r="M178" s="47">
        <f t="shared" si="2"/>
        <v>340</v>
      </c>
      <c r="N178" s="46" t="s">
        <v>521</v>
      </c>
      <c r="O178" s="71" t="s">
        <v>536</v>
      </c>
    </row>
    <row r="179" spans="1:15" ht="63.75" x14ac:dyDescent="0.2">
      <c r="A179" s="45" t="s">
        <v>537</v>
      </c>
      <c r="B179" s="46" t="s">
        <v>441</v>
      </c>
      <c r="C179" s="46" t="s">
        <v>441</v>
      </c>
      <c r="D179" s="46" t="s">
        <v>520</v>
      </c>
      <c r="E179" s="46" t="s">
        <v>474</v>
      </c>
      <c r="F179" s="46" t="s">
        <v>488</v>
      </c>
      <c r="G179" s="46" t="s">
        <v>257</v>
      </c>
      <c r="H179" s="46" t="s">
        <v>68</v>
      </c>
      <c r="I179" s="46" t="s">
        <v>449</v>
      </c>
      <c r="J179" s="46" t="s">
        <v>71</v>
      </c>
      <c r="K179" s="47">
        <v>200</v>
      </c>
      <c r="L179" s="47">
        <v>260</v>
      </c>
      <c r="M179" s="47">
        <f t="shared" si="2"/>
        <v>460</v>
      </c>
      <c r="N179" s="46" t="s">
        <v>521</v>
      </c>
      <c r="O179" s="71" t="s">
        <v>538</v>
      </c>
    </row>
    <row r="180" spans="1:15" ht="51" x14ac:dyDescent="0.2">
      <c r="A180" s="45" t="s">
        <v>539</v>
      </c>
      <c r="B180" s="46" t="s">
        <v>461</v>
      </c>
      <c r="C180" s="46" t="s">
        <v>461</v>
      </c>
      <c r="D180" s="46" t="s">
        <v>520</v>
      </c>
      <c r="E180" s="46" t="s">
        <v>474</v>
      </c>
      <c r="F180" s="46" t="s">
        <v>488</v>
      </c>
      <c r="G180" s="46" t="s">
        <v>68</v>
      </c>
      <c r="H180" s="46" t="s">
        <v>68</v>
      </c>
      <c r="I180" s="46" t="s">
        <v>68</v>
      </c>
      <c r="J180" s="46" t="s">
        <v>71</v>
      </c>
      <c r="K180" s="47">
        <v>130</v>
      </c>
      <c r="L180" s="47">
        <v>20</v>
      </c>
      <c r="M180" s="47">
        <f t="shared" si="2"/>
        <v>150</v>
      </c>
      <c r="N180" s="46" t="s">
        <v>462</v>
      </c>
      <c r="O180" s="71" t="s">
        <v>540</v>
      </c>
    </row>
    <row r="181" spans="1:15" ht="63.75" x14ac:dyDescent="0.2">
      <c r="A181" s="45" t="s">
        <v>541</v>
      </c>
      <c r="B181" s="46" t="s">
        <v>483</v>
      </c>
      <c r="C181" s="46" t="s">
        <v>483</v>
      </c>
      <c r="D181" s="46" t="s">
        <v>520</v>
      </c>
      <c r="E181" s="46" t="s">
        <v>474</v>
      </c>
      <c r="F181" s="46" t="s">
        <v>488</v>
      </c>
      <c r="G181" s="46" t="s">
        <v>257</v>
      </c>
      <c r="H181" s="46" t="s">
        <v>68</v>
      </c>
      <c r="I181" s="46" t="s">
        <v>445</v>
      </c>
      <c r="J181" s="46" t="s">
        <v>71</v>
      </c>
      <c r="K181" s="47">
        <v>150</v>
      </c>
      <c r="L181" s="47">
        <v>60</v>
      </c>
      <c r="M181" s="47">
        <f t="shared" si="2"/>
        <v>210</v>
      </c>
      <c r="N181" s="46" t="s">
        <v>462</v>
      </c>
      <c r="O181" s="71" t="s">
        <v>542</v>
      </c>
    </row>
    <row r="182" spans="1:15" ht="63.75" x14ac:dyDescent="0.2">
      <c r="A182" s="45" t="s">
        <v>543</v>
      </c>
      <c r="B182" s="46" t="s">
        <v>483</v>
      </c>
      <c r="C182" s="46" t="s">
        <v>483</v>
      </c>
      <c r="D182" s="46" t="s">
        <v>520</v>
      </c>
      <c r="E182" s="46" t="s">
        <v>474</v>
      </c>
      <c r="F182" s="46" t="s">
        <v>488</v>
      </c>
      <c r="G182" s="46" t="s">
        <v>257</v>
      </c>
      <c r="H182" s="46" t="s">
        <v>68</v>
      </c>
      <c r="I182" s="46" t="s">
        <v>449</v>
      </c>
      <c r="J182" s="46" t="s">
        <v>71</v>
      </c>
      <c r="K182" s="47">
        <v>190</v>
      </c>
      <c r="L182" s="47">
        <v>120</v>
      </c>
      <c r="M182" s="47">
        <f t="shared" si="2"/>
        <v>310</v>
      </c>
      <c r="N182" s="46" t="s">
        <v>462</v>
      </c>
      <c r="O182" s="71" t="s">
        <v>544</v>
      </c>
    </row>
    <row r="183" spans="1:15" ht="51" x14ac:dyDescent="0.2">
      <c r="A183" s="45" t="s">
        <v>545</v>
      </c>
      <c r="B183" s="46" t="s">
        <v>441</v>
      </c>
      <c r="C183" s="46" t="s">
        <v>441</v>
      </c>
      <c r="D183" s="46" t="s">
        <v>520</v>
      </c>
      <c r="E183" s="46" t="s">
        <v>474</v>
      </c>
      <c r="F183" s="46" t="s">
        <v>501</v>
      </c>
      <c r="G183" s="46" t="s">
        <v>257</v>
      </c>
      <c r="H183" s="46" t="s">
        <v>68</v>
      </c>
      <c r="I183" s="46" t="s">
        <v>445</v>
      </c>
      <c r="J183" s="46" t="s">
        <v>71</v>
      </c>
      <c r="K183" s="47">
        <v>205</v>
      </c>
      <c r="L183" s="47">
        <v>240</v>
      </c>
      <c r="M183" s="47">
        <f t="shared" si="2"/>
        <v>445</v>
      </c>
      <c r="N183" s="46" t="s">
        <v>521</v>
      </c>
      <c r="O183" s="71" t="s">
        <v>546</v>
      </c>
    </row>
    <row r="184" spans="1:15" ht="51" x14ac:dyDescent="0.2">
      <c r="A184" s="45" t="s">
        <v>547</v>
      </c>
      <c r="B184" s="46" t="s">
        <v>441</v>
      </c>
      <c r="C184" s="46" t="s">
        <v>441</v>
      </c>
      <c r="D184" s="46" t="s">
        <v>520</v>
      </c>
      <c r="E184" s="46" t="s">
        <v>474</v>
      </c>
      <c r="F184" s="46" t="s">
        <v>501</v>
      </c>
      <c r="G184" s="46" t="s">
        <v>257</v>
      </c>
      <c r="H184" s="46" t="s">
        <v>68</v>
      </c>
      <c r="I184" s="46" t="s">
        <v>449</v>
      </c>
      <c r="J184" s="46" t="s">
        <v>71</v>
      </c>
      <c r="K184" s="47">
        <v>270</v>
      </c>
      <c r="L184" s="47">
        <v>450</v>
      </c>
      <c r="M184" s="47">
        <f t="shared" si="2"/>
        <v>720</v>
      </c>
      <c r="N184" s="46" t="s">
        <v>521</v>
      </c>
      <c r="O184" s="71" t="s">
        <v>548</v>
      </c>
    </row>
    <row r="185" spans="1:15" ht="51" x14ac:dyDescent="0.2">
      <c r="A185" s="45" t="s">
        <v>549</v>
      </c>
      <c r="B185" s="46" t="s">
        <v>461</v>
      </c>
      <c r="C185" s="46" t="s">
        <v>461</v>
      </c>
      <c r="D185" s="46" t="s">
        <v>520</v>
      </c>
      <c r="E185" s="46" t="s">
        <v>474</v>
      </c>
      <c r="F185" s="46" t="s">
        <v>501</v>
      </c>
      <c r="G185" s="46" t="s">
        <v>257</v>
      </c>
      <c r="H185" s="46" t="s">
        <v>68</v>
      </c>
      <c r="I185" s="46" t="s">
        <v>68</v>
      </c>
      <c r="J185" s="46" t="s">
        <v>71</v>
      </c>
      <c r="K185" s="47">
        <v>135</v>
      </c>
      <c r="L185" s="47">
        <v>20</v>
      </c>
      <c r="M185" s="47">
        <f t="shared" si="2"/>
        <v>155</v>
      </c>
      <c r="N185" s="46" t="s">
        <v>462</v>
      </c>
      <c r="O185" s="71" t="s">
        <v>550</v>
      </c>
    </row>
    <row r="186" spans="1:15" ht="63.75" x14ac:dyDescent="0.2">
      <c r="A186" s="45" t="s">
        <v>551</v>
      </c>
      <c r="B186" s="46" t="s">
        <v>508</v>
      </c>
      <c r="C186" s="46" t="s">
        <v>508</v>
      </c>
      <c r="D186" s="46" t="s">
        <v>520</v>
      </c>
      <c r="E186" s="46" t="s">
        <v>474</v>
      </c>
      <c r="F186" s="46" t="s">
        <v>501</v>
      </c>
      <c r="G186" s="46" t="s">
        <v>257</v>
      </c>
      <c r="H186" s="46" t="s">
        <v>68</v>
      </c>
      <c r="I186" s="46" t="s">
        <v>445</v>
      </c>
      <c r="J186" s="46" t="s">
        <v>71</v>
      </c>
      <c r="K186" s="47">
        <v>155</v>
      </c>
      <c r="L186" s="47">
        <v>120</v>
      </c>
      <c r="M186" s="47">
        <f t="shared" si="2"/>
        <v>275</v>
      </c>
      <c r="N186" s="46" t="s">
        <v>462</v>
      </c>
      <c r="O186" s="71" t="s">
        <v>552</v>
      </c>
    </row>
    <row r="187" spans="1:15" ht="63.75" x14ac:dyDescent="0.2">
      <c r="A187" s="45" t="s">
        <v>553</v>
      </c>
      <c r="B187" s="46" t="s">
        <v>508</v>
      </c>
      <c r="C187" s="46" t="s">
        <v>508</v>
      </c>
      <c r="D187" s="46" t="s">
        <v>520</v>
      </c>
      <c r="E187" s="46" t="s">
        <v>474</v>
      </c>
      <c r="F187" s="46" t="s">
        <v>501</v>
      </c>
      <c r="G187" s="46" t="s">
        <v>257</v>
      </c>
      <c r="H187" s="46" t="s">
        <v>68</v>
      </c>
      <c r="I187" s="46" t="s">
        <v>449</v>
      </c>
      <c r="J187" s="46" t="s">
        <v>71</v>
      </c>
      <c r="K187" s="47">
        <v>200</v>
      </c>
      <c r="L187" s="47">
        <v>240</v>
      </c>
      <c r="M187" s="47">
        <f t="shared" si="2"/>
        <v>440</v>
      </c>
      <c r="N187" s="46" t="s">
        <v>462</v>
      </c>
      <c r="O187" s="71" t="s">
        <v>554</v>
      </c>
    </row>
    <row r="188" spans="1:15" ht="51" x14ac:dyDescent="0.2">
      <c r="A188" s="45" t="s">
        <v>555</v>
      </c>
      <c r="B188" s="46" t="s">
        <v>441</v>
      </c>
      <c r="C188" s="46" t="s">
        <v>441</v>
      </c>
      <c r="D188" s="46" t="s">
        <v>520</v>
      </c>
      <c r="E188" s="46" t="s">
        <v>474</v>
      </c>
      <c r="F188" s="46" t="s">
        <v>556</v>
      </c>
      <c r="G188" s="46" t="s">
        <v>257</v>
      </c>
      <c r="H188" s="46" t="s">
        <v>68</v>
      </c>
      <c r="I188" s="46" t="s">
        <v>445</v>
      </c>
      <c r="J188" s="46" t="s">
        <v>71</v>
      </c>
      <c r="K188" s="47">
        <v>205</v>
      </c>
      <c r="L188" s="47">
        <v>280</v>
      </c>
      <c r="M188" s="47">
        <f t="shared" si="2"/>
        <v>485</v>
      </c>
      <c r="N188" s="46" t="s">
        <v>521</v>
      </c>
      <c r="O188" s="71" t="s">
        <v>557</v>
      </c>
    </row>
    <row r="189" spans="1:15" ht="51" x14ac:dyDescent="0.2">
      <c r="A189" s="45" t="s">
        <v>558</v>
      </c>
      <c r="B189" s="46" t="s">
        <v>441</v>
      </c>
      <c r="C189" s="46" t="s">
        <v>441</v>
      </c>
      <c r="D189" s="46" t="s">
        <v>520</v>
      </c>
      <c r="E189" s="46" t="s">
        <v>474</v>
      </c>
      <c r="F189" s="46" t="s">
        <v>556</v>
      </c>
      <c r="G189" s="46" t="s">
        <v>257</v>
      </c>
      <c r="H189" s="46" t="s">
        <v>68</v>
      </c>
      <c r="I189" s="46" t="s">
        <v>449</v>
      </c>
      <c r="J189" s="46" t="s">
        <v>71</v>
      </c>
      <c r="K189" s="47">
        <v>300</v>
      </c>
      <c r="L189" s="47">
        <v>1050</v>
      </c>
      <c r="M189" s="47">
        <f t="shared" si="2"/>
        <v>1350</v>
      </c>
      <c r="N189" s="46" t="s">
        <v>521</v>
      </c>
      <c r="O189" s="71" t="s">
        <v>559</v>
      </c>
    </row>
    <row r="190" spans="1:15" ht="63.75" x14ac:dyDescent="0.2">
      <c r="A190" s="45" t="s">
        <v>560</v>
      </c>
      <c r="B190" s="46" t="s">
        <v>441</v>
      </c>
      <c r="C190" s="46" t="s">
        <v>441</v>
      </c>
      <c r="D190" s="46" t="s">
        <v>520</v>
      </c>
      <c r="E190" s="46" t="s">
        <v>474</v>
      </c>
      <c r="F190" s="46" t="s">
        <v>556</v>
      </c>
      <c r="G190" s="46" t="s">
        <v>257</v>
      </c>
      <c r="H190" s="46" t="s">
        <v>561</v>
      </c>
      <c r="I190" s="46" t="s">
        <v>445</v>
      </c>
      <c r="J190" s="46" t="s">
        <v>71</v>
      </c>
      <c r="K190" s="47">
        <v>215</v>
      </c>
      <c r="L190" s="47">
        <v>250</v>
      </c>
      <c r="M190" s="47">
        <f t="shared" si="2"/>
        <v>465</v>
      </c>
      <c r="N190" s="46" t="s">
        <v>521</v>
      </c>
      <c r="O190" s="71" t="s">
        <v>562</v>
      </c>
    </row>
    <row r="191" spans="1:15" ht="63.75" x14ac:dyDescent="0.2">
      <c r="A191" s="45" t="s">
        <v>563</v>
      </c>
      <c r="B191" s="46" t="s">
        <v>441</v>
      </c>
      <c r="C191" s="46" t="s">
        <v>441</v>
      </c>
      <c r="D191" s="46" t="s">
        <v>520</v>
      </c>
      <c r="E191" s="46" t="s">
        <v>474</v>
      </c>
      <c r="F191" s="46" t="s">
        <v>556</v>
      </c>
      <c r="G191" s="46" t="s">
        <v>257</v>
      </c>
      <c r="H191" s="46" t="s">
        <v>561</v>
      </c>
      <c r="I191" s="46" t="s">
        <v>449</v>
      </c>
      <c r="J191" s="46" t="s">
        <v>71</v>
      </c>
      <c r="K191" s="47">
        <v>350</v>
      </c>
      <c r="L191" s="47">
        <v>1000</v>
      </c>
      <c r="M191" s="47">
        <f t="shared" si="2"/>
        <v>1350</v>
      </c>
      <c r="N191" s="46" t="s">
        <v>521</v>
      </c>
      <c r="O191" s="71" t="s">
        <v>564</v>
      </c>
    </row>
    <row r="192" spans="1:15" ht="51" x14ac:dyDescent="0.2">
      <c r="A192" s="45" t="s">
        <v>565</v>
      </c>
      <c r="B192" s="46" t="s">
        <v>483</v>
      </c>
      <c r="C192" s="46" t="s">
        <v>483</v>
      </c>
      <c r="D192" s="46" t="s">
        <v>520</v>
      </c>
      <c r="E192" s="46" t="s">
        <v>474</v>
      </c>
      <c r="F192" s="46" t="s">
        <v>556</v>
      </c>
      <c r="G192" s="46" t="s">
        <v>257</v>
      </c>
      <c r="H192" s="46" t="s">
        <v>68</v>
      </c>
      <c r="I192" s="46" t="s">
        <v>445</v>
      </c>
      <c r="J192" s="46" t="s">
        <v>71</v>
      </c>
      <c r="K192" s="47">
        <v>150</v>
      </c>
      <c r="L192" s="47">
        <v>60</v>
      </c>
      <c r="M192" s="47">
        <f t="shared" si="2"/>
        <v>210</v>
      </c>
      <c r="N192" s="46" t="s">
        <v>462</v>
      </c>
      <c r="O192" s="71" t="s">
        <v>566</v>
      </c>
    </row>
    <row r="193" spans="1:15" ht="51" x14ac:dyDescent="0.2">
      <c r="A193" s="45" t="s">
        <v>567</v>
      </c>
      <c r="B193" s="46" t="s">
        <v>483</v>
      </c>
      <c r="C193" s="46" t="s">
        <v>483</v>
      </c>
      <c r="D193" s="46" t="s">
        <v>520</v>
      </c>
      <c r="E193" s="46" t="s">
        <v>474</v>
      </c>
      <c r="F193" s="46" t="s">
        <v>556</v>
      </c>
      <c r="G193" s="46" t="s">
        <v>257</v>
      </c>
      <c r="H193" s="46" t="s">
        <v>68</v>
      </c>
      <c r="I193" s="46" t="s">
        <v>449</v>
      </c>
      <c r="J193" s="46" t="s">
        <v>71</v>
      </c>
      <c r="K193" s="47">
        <v>170</v>
      </c>
      <c r="L193" s="47">
        <v>120</v>
      </c>
      <c r="M193" s="47">
        <f t="shared" si="2"/>
        <v>290</v>
      </c>
      <c r="N193" s="46" t="s">
        <v>462</v>
      </c>
      <c r="O193" s="71" t="s">
        <v>568</v>
      </c>
    </row>
    <row r="194" spans="1:15" ht="51" x14ac:dyDescent="0.2">
      <c r="A194" s="45" t="s">
        <v>569</v>
      </c>
      <c r="B194" s="46" t="s">
        <v>441</v>
      </c>
      <c r="C194" s="46" t="s">
        <v>441</v>
      </c>
      <c r="D194" s="46" t="s">
        <v>520</v>
      </c>
      <c r="E194" s="46" t="s">
        <v>474</v>
      </c>
      <c r="F194" s="46" t="s">
        <v>213</v>
      </c>
      <c r="G194" s="46" t="s">
        <v>254</v>
      </c>
      <c r="H194" s="46" t="s">
        <v>513</v>
      </c>
      <c r="I194" s="46" t="s">
        <v>454</v>
      </c>
      <c r="J194" s="46" t="s">
        <v>71</v>
      </c>
      <c r="K194" s="47">
        <v>200</v>
      </c>
      <c r="L194" s="47">
        <v>130</v>
      </c>
      <c r="M194" s="47">
        <f t="shared" si="2"/>
        <v>330</v>
      </c>
      <c r="N194" s="46" t="s">
        <v>521</v>
      </c>
      <c r="O194" s="71" t="s">
        <v>570</v>
      </c>
    </row>
    <row r="195" spans="1:15" ht="51" x14ac:dyDescent="0.2">
      <c r="A195" s="45" t="s">
        <v>571</v>
      </c>
      <c r="B195" s="46" t="s">
        <v>441</v>
      </c>
      <c r="C195" s="46" t="s">
        <v>441</v>
      </c>
      <c r="D195" s="46" t="s">
        <v>520</v>
      </c>
      <c r="E195" s="46" t="s">
        <v>474</v>
      </c>
      <c r="F195" s="46" t="s">
        <v>213</v>
      </c>
      <c r="G195" s="46" t="s">
        <v>254</v>
      </c>
      <c r="H195" s="46" t="s">
        <v>513</v>
      </c>
      <c r="I195" s="46" t="s">
        <v>445</v>
      </c>
      <c r="J195" s="46" t="s">
        <v>71</v>
      </c>
      <c r="K195" s="47">
        <v>220</v>
      </c>
      <c r="L195" s="47">
        <v>250</v>
      </c>
      <c r="M195" s="47">
        <f t="shared" si="2"/>
        <v>470</v>
      </c>
      <c r="N195" s="46" t="s">
        <v>521</v>
      </c>
      <c r="O195" s="71" t="s">
        <v>572</v>
      </c>
    </row>
    <row r="196" spans="1:15" ht="51" x14ac:dyDescent="0.2">
      <c r="A196" s="45" t="s">
        <v>573</v>
      </c>
      <c r="B196" s="46" t="s">
        <v>483</v>
      </c>
      <c r="C196" s="46" t="s">
        <v>483</v>
      </c>
      <c r="D196" s="46" t="s">
        <v>520</v>
      </c>
      <c r="E196" s="46" t="s">
        <v>474</v>
      </c>
      <c r="F196" s="46" t="s">
        <v>213</v>
      </c>
      <c r="G196" s="46" t="s">
        <v>254</v>
      </c>
      <c r="H196" s="46" t="s">
        <v>68</v>
      </c>
      <c r="I196" s="46" t="s">
        <v>68</v>
      </c>
      <c r="J196" s="46" t="s">
        <v>71</v>
      </c>
      <c r="K196" s="47">
        <v>150</v>
      </c>
      <c r="L196" s="47">
        <v>50</v>
      </c>
      <c r="M196" s="47">
        <f t="shared" si="2"/>
        <v>200</v>
      </c>
      <c r="N196" s="46" t="s">
        <v>462</v>
      </c>
      <c r="O196" s="71" t="s">
        <v>574</v>
      </c>
    </row>
    <row r="197" spans="1:15" ht="51" x14ac:dyDescent="0.2">
      <c r="A197" s="45" t="s">
        <v>575</v>
      </c>
      <c r="B197" s="46" t="s">
        <v>441</v>
      </c>
      <c r="C197" s="46" t="s">
        <v>441</v>
      </c>
      <c r="D197" s="46" t="s">
        <v>520</v>
      </c>
      <c r="E197" s="46" t="s">
        <v>576</v>
      </c>
      <c r="F197" s="46" t="s">
        <v>199</v>
      </c>
      <c r="G197" s="46" t="s">
        <v>254</v>
      </c>
      <c r="H197" s="46" t="s">
        <v>68</v>
      </c>
      <c r="I197" s="46" t="s">
        <v>454</v>
      </c>
      <c r="J197" s="46" t="s">
        <v>71</v>
      </c>
      <c r="K197" s="47">
        <v>150</v>
      </c>
      <c r="L197" s="47">
        <v>45</v>
      </c>
      <c r="M197" s="47">
        <f t="shared" si="2"/>
        <v>195</v>
      </c>
      <c r="N197" s="46" t="s">
        <v>521</v>
      </c>
      <c r="O197" s="71" t="s">
        <v>577</v>
      </c>
    </row>
    <row r="198" spans="1:15" ht="51" x14ac:dyDescent="0.2">
      <c r="A198" s="45" t="s">
        <v>578</v>
      </c>
      <c r="B198" s="46" t="s">
        <v>441</v>
      </c>
      <c r="C198" s="46" t="s">
        <v>441</v>
      </c>
      <c r="D198" s="46" t="s">
        <v>520</v>
      </c>
      <c r="E198" s="46" t="s">
        <v>576</v>
      </c>
      <c r="F198" s="46" t="s">
        <v>199</v>
      </c>
      <c r="G198" s="46" t="s">
        <v>257</v>
      </c>
      <c r="H198" s="46" t="s">
        <v>68</v>
      </c>
      <c r="I198" s="46" t="s">
        <v>445</v>
      </c>
      <c r="J198" s="46" t="s">
        <v>71</v>
      </c>
      <c r="K198" s="47">
        <v>170</v>
      </c>
      <c r="L198" s="47">
        <v>80</v>
      </c>
      <c r="M198" s="47">
        <f t="shared" si="2"/>
        <v>250</v>
      </c>
      <c r="N198" s="46" t="s">
        <v>521</v>
      </c>
      <c r="O198" s="71" t="s">
        <v>579</v>
      </c>
    </row>
    <row r="199" spans="1:15" ht="51" x14ac:dyDescent="0.2">
      <c r="A199" s="45" t="s">
        <v>580</v>
      </c>
      <c r="B199" s="46" t="s">
        <v>441</v>
      </c>
      <c r="C199" s="46" t="s">
        <v>441</v>
      </c>
      <c r="D199" s="46" t="s">
        <v>520</v>
      </c>
      <c r="E199" s="46" t="s">
        <v>576</v>
      </c>
      <c r="F199" s="46" t="s">
        <v>199</v>
      </c>
      <c r="G199" s="46" t="s">
        <v>257</v>
      </c>
      <c r="H199" s="46" t="s">
        <v>68</v>
      </c>
      <c r="I199" s="46" t="s">
        <v>449</v>
      </c>
      <c r="J199" s="46" t="s">
        <v>71</v>
      </c>
      <c r="K199" s="47">
        <v>210</v>
      </c>
      <c r="L199" s="47">
        <v>250</v>
      </c>
      <c r="M199" s="47">
        <f t="shared" ref="M199:M262" si="3">SUM(K199:L199)</f>
        <v>460</v>
      </c>
      <c r="N199" s="46" t="s">
        <v>521</v>
      </c>
      <c r="O199" s="71" t="s">
        <v>581</v>
      </c>
    </row>
    <row r="200" spans="1:15" ht="51" x14ac:dyDescent="0.2">
      <c r="A200" s="45" t="s">
        <v>582</v>
      </c>
      <c r="B200" s="46" t="s">
        <v>583</v>
      </c>
      <c r="C200" s="46" t="s">
        <v>583</v>
      </c>
      <c r="D200" s="46" t="s">
        <v>520</v>
      </c>
      <c r="E200" s="46" t="s">
        <v>576</v>
      </c>
      <c r="F200" s="46" t="s">
        <v>199</v>
      </c>
      <c r="G200" s="46" t="s">
        <v>257</v>
      </c>
      <c r="H200" s="46" t="s">
        <v>68</v>
      </c>
      <c r="I200" s="46" t="s">
        <v>68</v>
      </c>
      <c r="J200" s="46" t="s">
        <v>71</v>
      </c>
      <c r="K200" s="47">
        <v>130</v>
      </c>
      <c r="L200" s="47">
        <v>20</v>
      </c>
      <c r="M200" s="47">
        <f t="shared" si="3"/>
        <v>150</v>
      </c>
      <c r="N200" s="46" t="s">
        <v>462</v>
      </c>
      <c r="O200" s="71" t="s">
        <v>584</v>
      </c>
    </row>
    <row r="201" spans="1:15" ht="51" x14ac:dyDescent="0.2">
      <c r="A201" s="45" t="s">
        <v>585</v>
      </c>
      <c r="B201" s="46" t="s">
        <v>483</v>
      </c>
      <c r="C201" s="46" t="s">
        <v>483</v>
      </c>
      <c r="D201" s="46" t="s">
        <v>520</v>
      </c>
      <c r="E201" s="46" t="s">
        <v>576</v>
      </c>
      <c r="F201" s="46" t="s">
        <v>199</v>
      </c>
      <c r="G201" s="46" t="s">
        <v>257</v>
      </c>
      <c r="H201" s="46" t="s">
        <v>68</v>
      </c>
      <c r="I201" s="46" t="s">
        <v>445</v>
      </c>
      <c r="J201" s="46" t="s">
        <v>71</v>
      </c>
      <c r="K201" s="47">
        <v>150</v>
      </c>
      <c r="L201" s="47">
        <v>60</v>
      </c>
      <c r="M201" s="47">
        <f t="shared" si="3"/>
        <v>210</v>
      </c>
      <c r="N201" s="46" t="s">
        <v>462</v>
      </c>
      <c r="O201" s="71" t="s">
        <v>586</v>
      </c>
    </row>
    <row r="202" spans="1:15" ht="51" x14ac:dyDescent="0.2">
      <c r="A202" s="45" t="s">
        <v>587</v>
      </c>
      <c r="B202" s="46" t="s">
        <v>483</v>
      </c>
      <c r="C202" s="46" t="s">
        <v>483</v>
      </c>
      <c r="D202" s="46" t="s">
        <v>520</v>
      </c>
      <c r="E202" s="46" t="s">
        <v>576</v>
      </c>
      <c r="F202" s="46" t="s">
        <v>199</v>
      </c>
      <c r="G202" s="46" t="s">
        <v>257</v>
      </c>
      <c r="H202" s="46" t="s">
        <v>68</v>
      </c>
      <c r="I202" s="46" t="s">
        <v>449</v>
      </c>
      <c r="J202" s="46" t="s">
        <v>71</v>
      </c>
      <c r="K202" s="47">
        <v>190</v>
      </c>
      <c r="L202" s="47">
        <v>120</v>
      </c>
      <c r="M202" s="47">
        <f t="shared" si="3"/>
        <v>310</v>
      </c>
      <c r="N202" s="46" t="s">
        <v>462</v>
      </c>
      <c r="O202" s="71" t="s">
        <v>588</v>
      </c>
    </row>
    <row r="203" spans="1:15" ht="51" x14ac:dyDescent="0.2">
      <c r="A203" s="45" t="s">
        <v>589</v>
      </c>
      <c r="B203" s="46" t="s">
        <v>441</v>
      </c>
      <c r="C203" s="46" t="s">
        <v>441</v>
      </c>
      <c r="D203" s="46" t="s">
        <v>520</v>
      </c>
      <c r="E203" s="46" t="s">
        <v>576</v>
      </c>
      <c r="F203" s="46" t="s">
        <v>501</v>
      </c>
      <c r="G203" s="46" t="s">
        <v>257</v>
      </c>
      <c r="H203" s="46" t="s">
        <v>68</v>
      </c>
      <c r="I203" s="46" t="s">
        <v>445</v>
      </c>
      <c r="J203" s="46" t="s">
        <v>71</v>
      </c>
      <c r="K203" s="47">
        <v>230</v>
      </c>
      <c r="L203" s="47">
        <v>390</v>
      </c>
      <c r="M203" s="47">
        <f t="shared" si="3"/>
        <v>620</v>
      </c>
      <c r="N203" s="46" t="s">
        <v>521</v>
      </c>
      <c r="O203" s="71" t="s">
        <v>590</v>
      </c>
    </row>
    <row r="204" spans="1:15" ht="51" x14ac:dyDescent="0.2">
      <c r="A204" s="45" t="s">
        <v>591</v>
      </c>
      <c r="B204" s="46" t="s">
        <v>441</v>
      </c>
      <c r="C204" s="46" t="s">
        <v>441</v>
      </c>
      <c r="D204" s="46" t="s">
        <v>520</v>
      </c>
      <c r="E204" s="46" t="s">
        <v>576</v>
      </c>
      <c r="F204" s="46" t="s">
        <v>501</v>
      </c>
      <c r="G204" s="46" t="s">
        <v>257</v>
      </c>
      <c r="H204" s="46" t="s">
        <v>68</v>
      </c>
      <c r="I204" s="46" t="s">
        <v>449</v>
      </c>
      <c r="J204" s="46" t="s">
        <v>71</v>
      </c>
      <c r="K204" s="47">
        <v>300</v>
      </c>
      <c r="L204" s="47">
        <v>800</v>
      </c>
      <c r="M204" s="47">
        <f t="shared" si="3"/>
        <v>1100</v>
      </c>
      <c r="N204" s="46" t="s">
        <v>521</v>
      </c>
      <c r="O204" s="71" t="s">
        <v>592</v>
      </c>
    </row>
    <row r="205" spans="1:15" ht="63.75" x14ac:dyDescent="0.2">
      <c r="A205" s="45" t="s">
        <v>593</v>
      </c>
      <c r="B205" s="46" t="s">
        <v>461</v>
      </c>
      <c r="C205" s="46" t="s">
        <v>461</v>
      </c>
      <c r="D205" s="46" t="s">
        <v>520</v>
      </c>
      <c r="E205" s="46" t="s">
        <v>576</v>
      </c>
      <c r="F205" s="46" t="s">
        <v>501</v>
      </c>
      <c r="G205" s="46" t="s">
        <v>257</v>
      </c>
      <c r="H205" s="46" t="s">
        <v>68</v>
      </c>
      <c r="I205" s="46" t="s">
        <v>68</v>
      </c>
      <c r="J205" s="46" t="s">
        <v>71</v>
      </c>
      <c r="K205" s="47">
        <v>130</v>
      </c>
      <c r="L205" s="47">
        <v>20</v>
      </c>
      <c r="M205" s="47">
        <f t="shared" si="3"/>
        <v>150</v>
      </c>
      <c r="N205" s="46" t="s">
        <v>462</v>
      </c>
      <c r="O205" s="71" t="s">
        <v>594</v>
      </c>
    </row>
    <row r="206" spans="1:15" ht="63.75" x14ac:dyDescent="0.2">
      <c r="A206" s="45" t="s">
        <v>595</v>
      </c>
      <c r="B206" s="46" t="s">
        <v>508</v>
      </c>
      <c r="C206" s="46" t="s">
        <v>508</v>
      </c>
      <c r="D206" s="46" t="s">
        <v>520</v>
      </c>
      <c r="E206" s="46" t="s">
        <v>576</v>
      </c>
      <c r="F206" s="46" t="s">
        <v>501</v>
      </c>
      <c r="G206" s="46" t="s">
        <v>257</v>
      </c>
      <c r="H206" s="46" t="s">
        <v>68</v>
      </c>
      <c r="I206" s="46" t="s">
        <v>445</v>
      </c>
      <c r="J206" s="46" t="s">
        <v>71</v>
      </c>
      <c r="K206" s="47">
        <v>170</v>
      </c>
      <c r="L206" s="47">
        <v>120</v>
      </c>
      <c r="M206" s="47">
        <f t="shared" si="3"/>
        <v>290</v>
      </c>
      <c r="N206" s="46" t="s">
        <v>462</v>
      </c>
      <c r="O206" s="71" t="s">
        <v>596</v>
      </c>
    </row>
    <row r="207" spans="1:15" ht="63.75" x14ac:dyDescent="0.2">
      <c r="A207" s="45" t="s">
        <v>597</v>
      </c>
      <c r="B207" s="46" t="s">
        <v>508</v>
      </c>
      <c r="C207" s="46" t="s">
        <v>508</v>
      </c>
      <c r="D207" s="46" t="s">
        <v>520</v>
      </c>
      <c r="E207" s="46" t="s">
        <v>576</v>
      </c>
      <c r="F207" s="46" t="s">
        <v>501</v>
      </c>
      <c r="G207" s="46" t="s">
        <v>257</v>
      </c>
      <c r="H207" s="46" t="s">
        <v>68</v>
      </c>
      <c r="I207" s="46" t="s">
        <v>449</v>
      </c>
      <c r="J207" s="46" t="s">
        <v>71</v>
      </c>
      <c r="K207" s="47">
        <v>190</v>
      </c>
      <c r="L207" s="47">
        <v>240</v>
      </c>
      <c r="M207" s="47">
        <f t="shared" si="3"/>
        <v>430</v>
      </c>
      <c r="N207" s="46" t="s">
        <v>462</v>
      </c>
      <c r="O207" s="71" t="s">
        <v>598</v>
      </c>
    </row>
    <row r="208" spans="1:15" ht="51" x14ac:dyDescent="0.2">
      <c r="A208" s="45" t="s">
        <v>599</v>
      </c>
      <c r="B208" s="46" t="s">
        <v>441</v>
      </c>
      <c r="C208" s="46" t="s">
        <v>441</v>
      </c>
      <c r="D208" s="46" t="s">
        <v>520</v>
      </c>
      <c r="E208" s="46" t="s">
        <v>576</v>
      </c>
      <c r="F208" s="46" t="s">
        <v>556</v>
      </c>
      <c r="G208" s="46" t="s">
        <v>257</v>
      </c>
      <c r="H208" s="46" t="s">
        <v>68</v>
      </c>
      <c r="I208" s="46" t="s">
        <v>445</v>
      </c>
      <c r="J208" s="46" t="s">
        <v>71</v>
      </c>
      <c r="K208" s="47">
        <v>200</v>
      </c>
      <c r="L208" s="47">
        <v>180</v>
      </c>
      <c r="M208" s="47">
        <f t="shared" si="3"/>
        <v>380</v>
      </c>
      <c r="N208" s="46" t="s">
        <v>521</v>
      </c>
      <c r="O208" s="71" t="s">
        <v>600</v>
      </c>
    </row>
    <row r="209" spans="1:15" ht="51" x14ac:dyDescent="0.2">
      <c r="A209" s="45" t="s">
        <v>601</v>
      </c>
      <c r="B209" s="46" t="s">
        <v>441</v>
      </c>
      <c r="C209" s="46" t="s">
        <v>441</v>
      </c>
      <c r="D209" s="46" t="s">
        <v>520</v>
      </c>
      <c r="E209" s="46" t="s">
        <v>576</v>
      </c>
      <c r="F209" s="46" t="s">
        <v>556</v>
      </c>
      <c r="G209" s="46" t="s">
        <v>257</v>
      </c>
      <c r="H209" s="46" t="s">
        <v>68</v>
      </c>
      <c r="I209" s="46" t="s">
        <v>449</v>
      </c>
      <c r="J209" s="46" t="s">
        <v>71</v>
      </c>
      <c r="K209" s="47">
        <v>230</v>
      </c>
      <c r="L209" s="47">
        <v>450</v>
      </c>
      <c r="M209" s="47">
        <f t="shared" si="3"/>
        <v>680</v>
      </c>
      <c r="N209" s="46" t="s">
        <v>521</v>
      </c>
      <c r="O209" s="71" t="s">
        <v>602</v>
      </c>
    </row>
    <row r="210" spans="1:15" ht="51" x14ac:dyDescent="0.2">
      <c r="A210" s="45" t="s">
        <v>603</v>
      </c>
      <c r="B210" s="46" t="s">
        <v>483</v>
      </c>
      <c r="C210" s="46" t="s">
        <v>483</v>
      </c>
      <c r="D210" s="46" t="s">
        <v>520</v>
      </c>
      <c r="E210" s="46" t="s">
        <v>576</v>
      </c>
      <c r="F210" s="46" t="s">
        <v>556</v>
      </c>
      <c r="G210" s="46" t="s">
        <v>257</v>
      </c>
      <c r="H210" s="46" t="s">
        <v>68</v>
      </c>
      <c r="I210" s="46" t="s">
        <v>445</v>
      </c>
      <c r="J210" s="46" t="s">
        <v>71</v>
      </c>
      <c r="K210" s="47">
        <v>150</v>
      </c>
      <c r="L210" s="47">
        <v>100</v>
      </c>
      <c r="M210" s="47">
        <f t="shared" si="3"/>
        <v>250</v>
      </c>
      <c r="N210" s="46" t="s">
        <v>462</v>
      </c>
      <c r="O210" s="71" t="s">
        <v>604</v>
      </c>
    </row>
    <row r="211" spans="1:15" ht="51" x14ac:dyDescent="0.2">
      <c r="A211" s="45" t="s">
        <v>605</v>
      </c>
      <c r="B211" s="46" t="s">
        <v>483</v>
      </c>
      <c r="C211" s="46" t="s">
        <v>483</v>
      </c>
      <c r="D211" s="46" t="s">
        <v>520</v>
      </c>
      <c r="E211" s="46" t="s">
        <v>576</v>
      </c>
      <c r="F211" s="46" t="s">
        <v>556</v>
      </c>
      <c r="G211" s="46" t="s">
        <v>257</v>
      </c>
      <c r="H211" s="46" t="s">
        <v>68</v>
      </c>
      <c r="I211" s="46" t="s">
        <v>449</v>
      </c>
      <c r="J211" s="46" t="s">
        <v>71</v>
      </c>
      <c r="K211" s="47">
        <v>180</v>
      </c>
      <c r="L211" s="47">
        <v>200</v>
      </c>
      <c r="M211" s="47">
        <f t="shared" si="3"/>
        <v>380</v>
      </c>
      <c r="N211" s="46" t="s">
        <v>462</v>
      </c>
      <c r="O211" s="71" t="s">
        <v>606</v>
      </c>
    </row>
    <row r="212" spans="1:15" ht="63.75" x14ac:dyDescent="0.2">
      <c r="A212" s="45" t="s">
        <v>607</v>
      </c>
      <c r="B212" s="46" t="s">
        <v>608</v>
      </c>
      <c r="C212" s="46" t="s">
        <v>608</v>
      </c>
      <c r="D212" s="46" t="s">
        <v>254</v>
      </c>
      <c r="E212" s="46" t="s">
        <v>609</v>
      </c>
      <c r="F212" s="46" t="s">
        <v>68</v>
      </c>
      <c r="G212" s="46" t="s">
        <v>68</v>
      </c>
      <c r="H212" s="46" t="s">
        <v>68</v>
      </c>
      <c r="I212" s="46" t="s">
        <v>68</v>
      </c>
      <c r="J212" s="46" t="s">
        <v>71</v>
      </c>
      <c r="K212" s="47">
        <v>130</v>
      </c>
      <c r="L212" s="47">
        <v>15</v>
      </c>
      <c r="M212" s="47">
        <f t="shared" si="3"/>
        <v>145</v>
      </c>
      <c r="N212" s="46" t="s">
        <v>610</v>
      </c>
      <c r="O212" s="71" t="s">
        <v>611</v>
      </c>
    </row>
    <row r="213" spans="1:15" ht="63.75" x14ac:dyDescent="0.2">
      <c r="A213" s="45" t="s">
        <v>612</v>
      </c>
      <c r="B213" s="46" t="s">
        <v>608</v>
      </c>
      <c r="C213" s="46" t="s">
        <v>608</v>
      </c>
      <c r="D213" s="46" t="s">
        <v>257</v>
      </c>
      <c r="E213" s="46" t="s">
        <v>609</v>
      </c>
      <c r="F213" s="46" t="s">
        <v>68</v>
      </c>
      <c r="G213" s="46" t="s">
        <v>68</v>
      </c>
      <c r="H213" s="46" t="s">
        <v>68</v>
      </c>
      <c r="I213" s="46" t="s">
        <v>68</v>
      </c>
      <c r="J213" s="46" t="s">
        <v>71</v>
      </c>
      <c r="K213" s="47">
        <v>140</v>
      </c>
      <c r="L213" s="47">
        <v>30</v>
      </c>
      <c r="M213" s="47">
        <f t="shared" si="3"/>
        <v>170</v>
      </c>
      <c r="N213" s="46" t="s">
        <v>610</v>
      </c>
      <c r="O213" s="71" t="s">
        <v>613</v>
      </c>
    </row>
    <row r="214" spans="1:15" ht="63.75" x14ac:dyDescent="0.2">
      <c r="A214" s="45" t="s">
        <v>614</v>
      </c>
      <c r="B214" s="46" t="s">
        <v>615</v>
      </c>
      <c r="C214" s="46" t="s">
        <v>615</v>
      </c>
      <c r="D214" s="46" t="s">
        <v>556</v>
      </c>
      <c r="E214" s="46" t="s">
        <v>616</v>
      </c>
      <c r="F214" s="46" t="s">
        <v>257</v>
      </c>
      <c r="G214" s="46"/>
      <c r="H214" s="46"/>
      <c r="I214" s="46" t="s">
        <v>445</v>
      </c>
      <c r="J214" s="46" t="s">
        <v>71</v>
      </c>
      <c r="K214" s="47">
        <v>250</v>
      </c>
      <c r="L214" s="47">
        <f>2*50</f>
        <v>100</v>
      </c>
      <c r="M214" s="47">
        <f t="shared" si="3"/>
        <v>350</v>
      </c>
      <c r="N214" s="46" t="s">
        <v>610</v>
      </c>
      <c r="O214" s="71" t="s">
        <v>617</v>
      </c>
    </row>
    <row r="215" spans="1:15" ht="63.75" x14ac:dyDescent="0.2">
      <c r="A215" s="45" t="s">
        <v>618</v>
      </c>
      <c r="B215" s="46" t="s">
        <v>615</v>
      </c>
      <c r="C215" s="46" t="s">
        <v>615</v>
      </c>
      <c r="D215" s="46" t="s">
        <v>556</v>
      </c>
      <c r="E215" s="46" t="s">
        <v>616</v>
      </c>
      <c r="F215" s="46" t="s">
        <v>257</v>
      </c>
      <c r="G215" s="46"/>
      <c r="H215" s="46"/>
      <c r="I215" s="46" t="s">
        <v>449</v>
      </c>
      <c r="J215" s="46" t="s">
        <v>71</v>
      </c>
      <c r="K215" s="47">
        <v>280</v>
      </c>
      <c r="L215" s="47">
        <f>2*150</f>
        <v>300</v>
      </c>
      <c r="M215" s="47">
        <f t="shared" si="3"/>
        <v>580</v>
      </c>
      <c r="N215" s="46" t="s">
        <v>610</v>
      </c>
      <c r="O215" s="71" t="s">
        <v>619</v>
      </c>
    </row>
    <row r="216" spans="1:15" ht="63.75" x14ac:dyDescent="0.2">
      <c r="A216" s="45" t="s">
        <v>620</v>
      </c>
      <c r="B216" s="46" t="s">
        <v>621</v>
      </c>
      <c r="C216" s="46" t="s">
        <v>621</v>
      </c>
      <c r="D216" s="46" t="s">
        <v>257</v>
      </c>
      <c r="E216" s="46" t="s">
        <v>556</v>
      </c>
      <c r="F216" s="46" t="s">
        <v>68</v>
      </c>
      <c r="G216" s="46" t="s">
        <v>609</v>
      </c>
      <c r="H216" s="46" t="s">
        <v>68</v>
      </c>
      <c r="I216" s="46" t="s">
        <v>68</v>
      </c>
      <c r="J216" s="46" t="s">
        <v>71</v>
      </c>
      <c r="K216" s="47">
        <v>150</v>
      </c>
      <c r="L216" s="47">
        <v>50</v>
      </c>
      <c r="M216" s="47">
        <f t="shared" si="3"/>
        <v>200</v>
      </c>
      <c r="N216" s="46" t="s">
        <v>622</v>
      </c>
      <c r="O216" s="71" t="s">
        <v>623</v>
      </c>
    </row>
    <row r="217" spans="1:15" ht="76.5" x14ac:dyDescent="0.2">
      <c r="A217" s="45" t="s">
        <v>624</v>
      </c>
      <c r="B217" s="46" t="s">
        <v>625</v>
      </c>
      <c r="C217" s="46" t="s">
        <v>625</v>
      </c>
      <c r="D217" s="46" t="s">
        <v>254</v>
      </c>
      <c r="E217" s="46" t="s">
        <v>626</v>
      </c>
      <c r="F217" s="46" t="s">
        <v>68</v>
      </c>
      <c r="G217" s="46" t="s">
        <v>68</v>
      </c>
      <c r="H217" s="46" t="s">
        <v>68</v>
      </c>
      <c r="I217" s="46" t="s">
        <v>68</v>
      </c>
      <c r="J217" s="46" t="s">
        <v>71</v>
      </c>
      <c r="K217" s="47">
        <v>130</v>
      </c>
      <c r="L217" s="47">
        <v>25</v>
      </c>
      <c r="M217" s="47">
        <f t="shared" si="3"/>
        <v>155</v>
      </c>
      <c r="N217" s="46" t="s">
        <v>627</v>
      </c>
      <c r="O217" s="71" t="s">
        <v>628</v>
      </c>
    </row>
    <row r="218" spans="1:15" ht="63.75" x14ac:dyDescent="0.2">
      <c r="A218" s="45" t="s">
        <v>629</v>
      </c>
      <c r="B218" s="46" t="s">
        <v>630</v>
      </c>
      <c r="C218" s="46" t="s">
        <v>630</v>
      </c>
      <c r="D218" s="46" t="s">
        <v>254</v>
      </c>
      <c r="E218" s="46" t="s">
        <v>631</v>
      </c>
      <c r="F218" s="46" t="s">
        <v>68</v>
      </c>
      <c r="G218" s="46" t="s">
        <v>68</v>
      </c>
      <c r="H218" s="46" t="s">
        <v>68</v>
      </c>
      <c r="I218" s="46" t="s">
        <v>68</v>
      </c>
      <c r="J218" s="46" t="s">
        <v>71</v>
      </c>
      <c r="K218" s="47">
        <v>130</v>
      </c>
      <c r="L218" s="47">
        <v>30</v>
      </c>
      <c r="M218" s="47">
        <f t="shared" si="3"/>
        <v>160</v>
      </c>
      <c r="N218" s="46" t="s">
        <v>632</v>
      </c>
      <c r="O218" s="71" t="s">
        <v>633</v>
      </c>
    </row>
    <row r="219" spans="1:15" ht="51" x14ac:dyDescent="0.2">
      <c r="A219" s="45" t="s">
        <v>634</v>
      </c>
      <c r="B219" s="46" t="s">
        <v>635</v>
      </c>
      <c r="C219" s="46" t="s">
        <v>635</v>
      </c>
      <c r="D219" s="46" t="s">
        <v>254</v>
      </c>
      <c r="E219" s="46" t="s">
        <v>68</v>
      </c>
      <c r="F219" s="46" t="s">
        <v>68</v>
      </c>
      <c r="G219" s="46" t="s">
        <v>68</v>
      </c>
      <c r="H219" s="46" t="s">
        <v>68</v>
      </c>
      <c r="I219" s="46" t="s">
        <v>68</v>
      </c>
      <c r="J219" s="46" t="s">
        <v>71</v>
      </c>
      <c r="K219" s="47">
        <v>180</v>
      </c>
      <c r="L219" s="47">
        <v>30</v>
      </c>
      <c r="M219" s="47">
        <f t="shared" si="3"/>
        <v>210</v>
      </c>
      <c r="N219" s="46" t="s">
        <v>462</v>
      </c>
      <c r="O219" s="71" t="s">
        <v>636</v>
      </c>
    </row>
    <row r="220" spans="1:15" ht="51" x14ac:dyDescent="0.2">
      <c r="A220" s="45" t="s">
        <v>637</v>
      </c>
      <c r="B220" s="46" t="s">
        <v>638</v>
      </c>
      <c r="C220" s="46" t="s">
        <v>638</v>
      </c>
      <c r="D220" s="46" t="s">
        <v>257</v>
      </c>
      <c r="E220" s="46" t="s">
        <v>68</v>
      </c>
      <c r="F220" s="46" t="s">
        <v>68</v>
      </c>
      <c r="G220" s="46" t="s">
        <v>68</v>
      </c>
      <c r="H220" s="46" t="s">
        <v>68</v>
      </c>
      <c r="I220" s="46" t="s">
        <v>68</v>
      </c>
      <c r="J220" s="46" t="s">
        <v>71</v>
      </c>
      <c r="K220" s="47">
        <v>140</v>
      </c>
      <c r="L220" s="47">
        <v>20</v>
      </c>
      <c r="M220" s="47">
        <f t="shared" si="3"/>
        <v>160</v>
      </c>
      <c r="N220" s="46" t="s">
        <v>462</v>
      </c>
      <c r="O220" s="71" t="s">
        <v>639</v>
      </c>
    </row>
    <row r="221" spans="1:15" ht="12.75" x14ac:dyDescent="0.2">
      <c r="A221" s="34" t="s">
        <v>640</v>
      </c>
      <c r="B221" s="35" t="s">
        <v>68</v>
      </c>
      <c r="C221" s="35" t="s">
        <v>68</v>
      </c>
      <c r="D221" s="35" t="s">
        <v>68</v>
      </c>
      <c r="E221" s="35" t="s">
        <v>68</v>
      </c>
      <c r="F221" s="35" t="s">
        <v>68</v>
      </c>
      <c r="G221" s="35" t="s">
        <v>68</v>
      </c>
      <c r="H221" s="35" t="s">
        <v>68</v>
      </c>
      <c r="I221" s="35" t="s">
        <v>68</v>
      </c>
      <c r="J221" s="35" t="s">
        <v>68</v>
      </c>
      <c r="K221" s="36" t="s">
        <v>68</v>
      </c>
      <c r="L221" s="36" t="s">
        <v>68</v>
      </c>
      <c r="M221" s="47">
        <f t="shared" si="3"/>
        <v>0</v>
      </c>
      <c r="N221" s="35"/>
      <c r="O221" s="35" t="s">
        <v>68</v>
      </c>
    </row>
    <row r="222" spans="1:15" ht="38.25" x14ac:dyDescent="0.2">
      <c r="A222" s="45" t="s">
        <v>641</v>
      </c>
      <c r="B222" s="46" t="s">
        <v>642</v>
      </c>
      <c r="C222" s="46" t="s">
        <v>642</v>
      </c>
      <c r="D222" s="46" t="s">
        <v>68</v>
      </c>
      <c r="E222" s="46" t="s">
        <v>68</v>
      </c>
      <c r="F222" s="46" t="s">
        <v>68</v>
      </c>
      <c r="G222" s="46" t="s">
        <v>68</v>
      </c>
      <c r="H222" s="46" t="s">
        <v>68</v>
      </c>
      <c r="I222" s="46" t="s">
        <v>454</v>
      </c>
      <c r="J222" s="46" t="s">
        <v>71</v>
      </c>
      <c r="K222" s="47">
        <v>150</v>
      </c>
      <c r="L222" s="47">
        <v>100</v>
      </c>
      <c r="M222" s="47">
        <f t="shared" si="3"/>
        <v>250</v>
      </c>
      <c r="N222" s="46" t="s">
        <v>643</v>
      </c>
      <c r="O222" s="71" t="s">
        <v>644</v>
      </c>
    </row>
    <row r="223" spans="1:15" ht="38.25" x14ac:dyDescent="0.2">
      <c r="A223" s="45" t="s">
        <v>645</v>
      </c>
      <c r="B223" s="46" t="s">
        <v>642</v>
      </c>
      <c r="C223" s="46" t="s">
        <v>642</v>
      </c>
      <c r="D223" s="46" t="s">
        <v>68</v>
      </c>
      <c r="E223" s="46" t="s">
        <v>68</v>
      </c>
      <c r="F223" s="46" t="s">
        <v>68</v>
      </c>
      <c r="G223" s="46" t="s">
        <v>68</v>
      </c>
      <c r="H223" s="46" t="s">
        <v>68</v>
      </c>
      <c r="I223" s="46" t="s">
        <v>445</v>
      </c>
      <c r="J223" s="46" t="s">
        <v>71</v>
      </c>
      <c r="K223" s="47">
        <v>180</v>
      </c>
      <c r="L223" s="47">
        <v>300</v>
      </c>
      <c r="M223" s="47">
        <f t="shared" si="3"/>
        <v>480</v>
      </c>
      <c r="N223" s="46" t="s">
        <v>643</v>
      </c>
      <c r="O223" s="71" t="s">
        <v>646</v>
      </c>
    </row>
    <row r="224" spans="1:15" ht="38.25" x14ac:dyDescent="0.2">
      <c r="A224" s="45" t="s">
        <v>647</v>
      </c>
      <c r="B224" s="46" t="s">
        <v>642</v>
      </c>
      <c r="C224" s="46" t="s">
        <v>642</v>
      </c>
      <c r="D224" s="46" t="s">
        <v>68</v>
      </c>
      <c r="E224" s="46" t="s">
        <v>68</v>
      </c>
      <c r="F224" s="46" t="s">
        <v>68</v>
      </c>
      <c r="G224" s="46" t="s">
        <v>68</v>
      </c>
      <c r="H224" s="46" t="s">
        <v>68</v>
      </c>
      <c r="I224" s="46" t="s">
        <v>449</v>
      </c>
      <c r="J224" s="46" t="s">
        <v>71</v>
      </c>
      <c r="K224" s="47">
        <v>260</v>
      </c>
      <c r="L224" s="47">
        <v>600</v>
      </c>
      <c r="M224" s="47">
        <f t="shared" si="3"/>
        <v>860</v>
      </c>
      <c r="N224" s="46" t="s">
        <v>643</v>
      </c>
      <c r="O224" s="71" t="s">
        <v>648</v>
      </c>
    </row>
    <row r="225" spans="1:15" ht="38.25" x14ac:dyDescent="0.2">
      <c r="A225" s="45" t="s">
        <v>649</v>
      </c>
      <c r="B225" s="46" t="s">
        <v>650</v>
      </c>
      <c r="C225" s="46" t="s">
        <v>650</v>
      </c>
      <c r="D225" s="46" t="s">
        <v>199</v>
      </c>
      <c r="E225" s="46" t="s">
        <v>68</v>
      </c>
      <c r="F225" s="46" t="s">
        <v>68</v>
      </c>
      <c r="G225" s="46" t="s">
        <v>68</v>
      </c>
      <c r="H225" s="46" t="s">
        <v>68</v>
      </c>
      <c r="I225" s="46" t="s">
        <v>68</v>
      </c>
      <c r="J225" s="46" t="s">
        <v>71</v>
      </c>
      <c r="K225" s="47">
        <v>150</v>
      </c>
      <c r="L225" s="47">
        <v>20</v>
      </c>
      <c r="M225" s="47">
        <f t="shared" si="3"/>
        <v>170</v>
      </c>
      <c r="N225" s="46" t="s">
        <v>651</v>
      </c>
      <c r="O225" s="71" t="s">
        <v>652</v>
      </c>
    </row>
    <row r="226" spans="1:15" ht="51" x14ac:dyDescent="0.2">
      <c r="A226" s="45" t="s">
        <v>653</v>
      </c>
      <c r="B226" s="46" t="s">
        <v>654</v>
      </c>
      <c r="C226" s="46" t="s">
        <v>654</v>
      </c>
      <c r="D226" s="46" t="s">
        <v>254</v>
      </c>
      <c r="E226" s="46" t="s">
        <v>68</v>
      </c>
      <c r="F226" s="46" t="s">
        <v>68</v>
      </c>
      <c r="G226" s="46" t="s">
        <v>68</v>
      </c>
      <c r="H226" s="46" t="s">
        <v>68</v>
      </c>
      <c r="I226" s="46" t="s">
        <v>68</v>
      </c>
      <c r="J226" s="46" t="s">
        <v>71</v>
      </c>
      <c r="K226" s="47">
        <v>130</v>
      </c>
      <c r="L226" s="47">
        <v>15</v>
      </c>
      <c r="M226" s="47">
        <f t="shared" si="3"/>
        <v>145</v>
      </c>
      <c r="N226" s="46" t="s">
        <v>610</v>
      </c>
      <c r="O226" s="71" t="s">
        <v>655</v>
      </c>
    </row>
    <row r="227" spans="1:15" ht="12.75" x14ac:dyDescent="0.2">
      <c r="A227" s="34" t="s">
        <v>656</v>
      </c>
      <c r="B227" s="35" t="s">
        <v>68</v>
      </c>
      <c r="C227" s="35" t="s">
        <v>68</v>
      </c>
      <c r="D227" s="35" t="s">
        <v>68</v>
      </c>
      <c r="E227" s="35" t="s">
        <v>68</v>
      </c>
      <c r="F227" s="35" t="s">
        <v>68</v>
      </c>
      <c r="G227" s="35" t="s">
        <v>68</v>
      </c>
      <c r="H227" s="35" t="s">
        <v>68</v>
      </c>
      <c r="I227" s="35" t="s">
        <v>68</v>
      </c>
      <c r="J227" s="35" t="s">
        <v>68</v>
      </c>
      <c r="K227" s="36" t="s">
        <v>68</v>
      </c>
      <c r="L227" s="36" t="s">
        <v>68</v>
      </c>
      <c r="M227" s="47">
        <f t="shared" si="3"/>
        <v>0</v>
      </c>
      <c r="N227" s="35"/>
      <c r="O227" s="35" t="s">
        <v>68</v>
      </c>
    </row>
    <row r="228" spans="1:15" ht="63.75" x14ac:dyDescent="0.2">
      <c r="A228" s="45" t="s">
        <v>657</v>
      </c>
      <c r="B228" s="46" t="s">
        <v>658</v>
      </c>
      <c r="C228" s="46" t="s">
        <v>658</v>
      </c>
      <c r="D228" s="46" t="s">
        <v>659</v>
      </c>
      <c r="E228" s="46" t="s">
        <v>660</v>
      </c>
      <c r="F228" s="46" t="s">
        <v>68</v>
      </c>
      <c r="G228" s="46" t="s">
        <v>68</v>
      </c>
      <c r="H228" s="46" t="s">
        <v>68</v>
      </c>
      <c r="I228" s="46" t="s">
        <v>454</v>
      </c>
      <c r="J228" s="46" t="s">
        <v>71</v>
      </c>
      <c r="K228" s="47">
        <v>150</v>
      </c>
      <c r="L228" s="47">
        <v>80</v>
      </c>
      <c r="M228" s="47">
        <f t="shared" si="3"/>
        <v>230</v>
      </c>
      <c r="N228" s="46" t="s">
        <v>661</v>
      </c>
      <c r="O228" s="71" t="s">
        <v>662</v>
      </c>
    </row>
    <row r="229" spans="1:15" ht="51" x14ac:dyDescent="0.2">
      <c r="A229" s="45" t="s">
        <v>663</v>
      </c>
      <c r="B229" s="46" t="s">
        <v>658</v>
      </c>
      <c r="C229" s="46" t="s">
        <v>658</v>
      </c>
      <c r="D229" s="46" t="s">
        <v>659</v>
      </c>
      <c r="E229" s="46" t="s">
        <v>660</v>
      </c>
      <c r="F229" s="46" t="s">
        <v>68</v>
      </c>
      <c r="G229" s="46" t="s">
        <v>68</v>
      </c>
      <c r="H229" s="46" t="s">
        <v>68</v>
      </c>
      <c r="I229" s="46" t="s">
        <v>445</v>
      </c>
      <c r="J229" s="46" t="s">
        <v>71</v>
      </c>
      <c r="K229" s="47">
        <v>170</v>
      </c>
      <c r="L229" s="47">
        <v>150</v>
      </c>
      <c r="M229" s="47">
        <f t="shared" si="3"/>
        <v>320</v>
      </c>
      <c r="N229" s="46" t="s">
        <v>661</v>
      </c>
      <c r="O229" s="71" t="s">
        <v>664</v>
      </c>
    </row>
    <row r="230" spans="1:15" ht="63.75" x14ac:dyDescent="0.2">
      <c r="A230" s="45" t="s">
        <v>665</v>
      </c>
      <c r="B230" s="46" t="s">
        <v>658</v>
      </c>
      <c r="C230" s="46" t="s">
        <v>658</v>
      </c>
      <c r="D230" s="46" t="s">
        <v>659</v>
      </c>
      <c r="E230" s="46" t="s">
        <v>660</v>
      </c>
      <c r="F230" s="46" t="s">
        <v>68</v>
      </c>
      <c r="G230" s="46" t="s">
        <v>68</v>
      </c>
      <c r="H230" s="46" t="s">
        <v>68</v>
      </c>
      <c r="I230" s="46" t="s">
        <v>449</v>
      </c>
      <c r="J230" s="46" t="s">
        <v>71</v>
      </c>
      <c r="K230" s="47">
        <v>200</v>
      </c>
      <c r="L230" s="47">
        <v>300</v>
      </c>
      <c r="M230" s="47">
        <f t="shared" si="3"/>
        <v>500</v>
      </c>
      <c r="N230" s="46" t="s">
        <v>661</v>
      </c>
      <c r="O230" s="71" t="s">
        <v>666</v>
      </c>
    </row>
    <row r="231" spans="1:15" ht="63.75" x14ac:dyDescent="0.2">
      <c r="A231" s="45" t="s">
        <v>667</v>
      </c>
      <c r="B231" s="46" t="s">
        <v>658</v>
      </c>
      <c r="C231" s="46" t="s">
        <v>658</v>
      </c>
      <c r="D231" s="46" t="s">
        <v>668</v>
      </c>
      <c r="E231" s="46" t="s">
        <v>660</v>
      </c>
      <c r="F231" s="46" t="s">
        <v>68</v>
      </c>
      <c r="G231" s="46" t="s">
        <v>68</v>
      </c>
      <c r="H231" s="46" t="s">
        <v>68</v>
      </c>
      <c r="I231" s="46" t="s">
        <v>454</v>
      </c>
      <c r="J231" s="46" t="s">
        <v>71</v>
      </c>
      <c r="K231" s="47">
        <v>170</v>
      </c>
      <c r="L231" s="47">
        <v>100</v>
      </c>
      <c r="M231" s="47">
        <f t="shared" si="3"/>
        <v>270</v>
      </c>
      <c r="N231" s="46" t="s">
        <v>661</v>
      </c>
      <c r="O231" s="71" t="s">
        <v>669</v>
      </c>
    </row>
    <row r="232" spans="1:15" ht="63.75" x14ac:dyDescent="0.2">
      <c r="A232" s="45" t="s">
        <v>670</v>
      </c>
      <c r="B232" s="46" t="s">
        <v>658</v>
      </c>
      <c r="C232" s="46" t="s">
        <v>658</v>
      </c>
      <c r="D232" s="46" t="s">
        <v>668</v>
      </c>
      <c r="E232" s="46" t="s">
        <v>660</v>
      </c>
      <c r="F232" s="46" t="s">
        <v>68</v>
      </c>
      <c r="G232" s="46" t="s">
        <v>68</v>
      </c>
      <c r="H232" s="46" t="s">
        <v>68</v>
      </c>
      <c r="I232" s="46" t="s">
        <v>445</v>
      </c>
      <c r="J232" s="46" t="s">
        <v>71</v>
      </c>
      <c r="K232" s="47">
        <v>180</v>
      </c>
      <c r="L232" s="47">
        <v>170</v>
      </c>
      <c r="M232" s="47">
        <f t="shared" si="3"/>
        <v>350</v>
      </c>
      <c r="N232" s="46" t="s">
        <v>661</v>
      </c>
      <c r="O232" s="71" t="s">
        <v>671</v>
      </c>
    </row>
    <row r="233" spans="1:15" ht="63.75" x14ac:dyDescent="0.2">
      <c r="A233" s="45" t="s">
        <v>672</v>
      </c>
      <c r="B233" s="46" t="s">
        <v>658</v>
      </c>
      <c r="C233" s="46" t="s">
        <v>658</v>
      </c>
      <c r="D233" s="46" t="s">
        <v>668</v>
      </c>
      <c r="E233" s="46" t="s">
        <v>660</v>
      </c>
      <c r="F233" s="46" t="s">
        <v>68</v>
      </c>
      <c r="G233" s="46" t="s">
        <v>68</v>
      </c>
      <c r="H233" s="46" t="s">
        <v>68</v>
      </c>
      <c r="I233" s="46" t="s">
        <v>449</v>
      </c>
      <c r="J233" s="46" t="s">
        <v>71</v>
      </c>
      <c r="K233" s="47">
        <v>215</v>
      </c>
      <c r="L233" s="47">
        <v>320</v>
      </c>
      <c r="M233" s="47">
        <f t="shared" si="3"/>
        <v>535</v>
      </c>
      <c r="N233" s="46" t="s">
        <v>661</v>
      </c>
      <c r="O233" s="71" t="s">
        <v>673</v>
      </c>
    </row>
    <row r="234" spans="1:15" ht="63.75" x14ac:dyDescent="0.2">
      <c r="A234" s="45" t="s">
        <v>674</v>
      </c>
      <c r="B234" s="46" t="s">
        <v>675</v>
      </c>
      <c r="C234" s="46" t="s">
        <v>675</v>
      </c>
      <c r="D234" s="46" t="s">
        <v>676</v>
      </c>
      <c r="E234" s="46" t="s">
        <v>254</v>
      </c>
      <c r="F234" s="46" t="s">
        <v>677</v>
      </c>
      <c r="G234" s="46" t="s">
        <v>68</v>
      </c>
      <c r="H234" s="46" t="s">
        <v>68</v>
      </c>
      <c r="I234" s="46" t="s">
        <v>454</v>
      </c>
      <c r="J234" s="46" t="s">
        <v>71</v>
      </c>
      <c r="K234" s="47">
        <v>140</v>
      </c>
      <c r="L234" s="47">
        <v>70</v>
      </c>
      <c r="M234" s="47">
        <f t="shared" si="3"/>
        <v>210</v>
      </c>
      <c r="N234" s="46" t="s">
        <v>678</v>
      </c>
      <c r="O234" s="71" t="s">
        <v>679</v>
      </c>
    </row>
    <row r="235" spans="1:15" ht="63.75" x14ac:dyDescent="0.2">
      <c r="A235" s="45" t="s">
        <v>680</v>
      </c>
      <c r="B235" s="46" t="s">
        <v>675</v>
      </c>
      <c r="C235" s="46" t="s">
        <v>675</v>
      </c>
      <c r="D235" s="46" t="s">
        <v>676</v>
      </c>
      <c r="E235" s="46" t="s">
        <v>257</v>
      </c>
      <c r="F235" s="46" t="s">
        <v>677</v>
      </c>
      <c r="G235" s="46" t="s">
        <v>68</v>
      </c>
      <c r="H235" s="46" t="s">
        <v>68</v>
      </c>
      <c r="I235" s="46" t="s">
        <v>445</v>
      </c>
      <c r="J235" s="46" t="s">
        <v>71</v>
      </c>
      <c r="K235" s="47">
        <v>150</v>
      </c>
      <c r="L235" s="47">
        <v>150</v>
      </c>
      <c r="M235" s="47">
        <f t="shared" si="3"/>
        <v>300</v>
      </c>
      <c r="N235" s="46" t="s">
        <v>678</v>
      </c>
      <c r="O235" s="71" t="s">
        <v>681</v>
      </c>
    </row>
    <row r="236" spans="1:15" ht="63.75" x14ac:dyDescent="0.2">
      <c r="A236" s="45" t="s">
        <v>682</v>
      </c>
      <c r="B236" s="46" t="s">
        <v>675</v>
      </c>
      <c r="C236" s="46" t="s">
        <v>675</v>
      </c>
      <c r="D236" s="46" t="s">
        <v>676</v>
      </c>
      <c r="E236" s="46" t="s">
        <v>257</v>
      </c>
      <c r="F236" s="46" t="s">
        <v>677</v>
      </c>
      <c r="G236" s="46" t="s">
        <v>68</v>
      </c>
      <c r="H236" s="46" t="s">
        <v>68</v>
      </c>
      <c r="I236" s="46" t="s">
        <v>449</v>
      </c>
      <c r="J236" s="46" t="s">
        <v>71</v>
      </c>
      <c r="K236" s="47">
        <v>200</v>
      </c>
      <c r="L236" s="47">
        <v>280</v>
      </c>
      <c r="M236" s="47">
        <f t="shared" si="3"/>
        <v>480</v>
      </c>
      <c r="N236" s="46" t="s">
        <v>678</v>
      </c>
      <c r="O236" s="71" t="s">
        <v>683</v>
      </c>
    </row>
    <row r="237" spans="1:15" ht="63.75" x14ac:dyDescent="0.2">
      <c r="A237" s="45" t="s">
        <v>684</v>
      </c>
      <c r="B237" s="46" t="s">
        <v>675</v>
      </c>
      <c r="C237" s="46" t="s">
        <v>675</v>
      </c>
      <c r="D237" s="46" t="s">
        <v>676</v>
      </c>
      <c r="E237" s="46" t="s">
        <v>254</v>
      </c>
      <c r="F237" s="46" t="s">
        <v>685</v>
      </c>
      <c r="G237" s="46" t="s">
        <v>68</v>
      </c>
      <c r="H237" s="46" t="s">
        <v>68</v>
      </c>
      <c r="I237" s="46" t="s">
        <v>454</v>
      </c>
      <c r="J237" s="46" t="s">
        <v>71</v>
      </c>
      <c r="K237" s="47">
        <v>160</v>
      </c>
      <c r="L237" s="47">
        <v>300</v>
      </c>
      <c r="M237" s="47">
        <f t="shared" si="3"/>
        <v>460</v>
      </c>
      <c r="N237" s="46" t="s">
        <v>678</v>
      </c>
      <c r="O237" s="71" t="s">
        <v>686</v>
      </c>
    </row>
    <row r="238" spans="1:15" ht="63.75" x14ac:dyDescent="0.2">
      <c r="A238" s="45" t="s">
        <v>687</v>
      </c>
      <c r="B238" s="46" t="s">
        <v>675</v>
      </c>
      <c r="C238" s="46" t="s">
        <v>675</v>
      </c>
      <c r="D238" s="46" t="s">
        <v>676</v>
      </c>
      <c r="E238" s="46" t="s">
        <v>257</v>
      </c>
      <c r="F238" s="46" t="s">
        <v>685</v>
      </c>
      <c r="G238" s="46" t="s">
        <v>68</v>
      </c>
      <c r="H238" s="46" t="s">
        <v>68</v>
      </c>
      <c r="I238" s="46" t="s">
        <v>445</v>
      </c>
      <c r="J238" s="46" t="s">
        <v>71</v>
      </c>
      <c r="K238" s="47">
        <v>210</v>
      </c>
      <c r="L238" s="47">
        <v>580</v>
      </c>
      <c r="M238" s="47">
        <f t="shared" si="3"/>
        <v>790</v>
      </c>
      <c r="N238" s="46" t="s">
        <v>678</v>
      </c>
      <c r="O238" s="71" t="s">
        <v>688</v>
      </c>
    </row>
    <row r="239" spans="1:15" ht="63.75" x14ac:dyDescent="0.2">
      <c r="A239" s="45" t="s">
        <v>689</v>
      </c>
      <c r="B239" s="46" t="s">
        <v>675</v>
      </c>
      <c r="C239" s="46" t="s">
        <v>675</v>
      </c>
      <c r="D239" s="46" t="s">
        <v>676</v>
      </c>
      <c r="E239" s="46" t="s">
        <v>257</v>
      </c>
      <c r="F239" s="46" t="s">
        <v>685</v>
      </c>
      <c r="G239" s="46" t="s">
        <v>68</v>
      </c>
      <c r="H239" s="46" t="s">
        <v>68</v>
      </c>
      <c r="I239" s="46" t="s">
        <v>449</v>
      </c>
      <c r="J239" s="46" t="s">
        <v>71</v>
      </c>
      <c r="K239" s="47">
        <v>260</v>
      </c>
      <c r="L239" s="47">
        <v>950</v>
      </c>
      <c r="M239" s="47">
        <f t="shared" si="3"/>
        <v>1210</v>
      </c>
      <c r="N239" s="46" t="s">
        <v>678</v>
      </c>
      <c r="O239" s="71" t="s">
        <v>690</v>
      </c>
    </row>
    <row r="240" spans="1:15" ht="63.75" x14ac:dyDescent="0.2">
      <c r="A240" s="45" t="s">
        <v>691</v>
      </c>
      <c r="B240" s="46" t="s">
        <v>675</v>
      </c>
      <c r="C240" s="46" t="s">
        <v>675</v>
      </c>
      <c r="D240" s="46" t="s">
        <v>692</v>
      </c>
      <c r="E240" s="46" t="s">
        <v>254</v>
      </c>
      <c r="F240" s="46" t="s">
        <v>68</v>
      </c>
      <c r="G240" s="46" t="s">
        <v>68</v>
      </c>
      <c r="H240" s="46" t="s">
        <v>68</v>
      </c>
      <c r="I240" s="46" t="s">
        <v>454</v>
      </c>
      <c r="J240" s="46" t="s">
        <v>71</v>
      </c>
      <c r="K240" s="47">
        <v>140</v>
      </c>
      <c r="L240" s="47">
        <v>30</v>
      </c>
      <c r="M240" s="47">
        <f t="shared" si="3"/>
        <v>170</v>
      </c>
      <c r="N240" s="46" t="s">
        <v>678</v>
      </c>
      <c r="O240" s="71" t="s">
        <v>693</v>
      </c>
    </row>
    <row r="241" spans="1:15" ht="63.75" x14ac:dyDescent="0.2">
      <c r="A241" s="45" t="s">
        <v>694</v>
      </c>
      <c r="B241" s="46" t="s">
        <v>675</v>
      </c>
      <c r="C241" s="46" t="s">
        <v>675</v>
      </c>
      <c r="D241" s="46" t="s">
        <v>692</v>
      </c>
      <c r="E241" s="46" t="s">
        <v>257</v>
      </c>
      <c r="F241" s="46" t="s">
        <v>68</v>
      </c>
      <c r="G241" s="46" t="s">
        <v>68</v>
      </c>
      <c r="H241" s="46" t="s">
        <v>68</v>
      </c>
      <c r="I241" s="46" t="s">
        <v>445</v>
      </c>
      <c r="J241" s="46" t="s">
        <v>71</v>
      </c>
      <c r="K241" s="47">
        <v>160</v>
      </c>
      <c r="L241" s="47">
        <v>110</v>
      </c>
      <c r="M241" s="47">
        <f t="shared" si="3"/>
        <v>270</v>
      </c>
      <c r="N241" s="46" t="s">
        <v>678</v>
      </c>
      <c r="O241" s="71" t="s">
        <v>695</v>
      </c>
    </row>
    <row r="242" spans="1:15" ht="63.75" x14ac:dyDescent="0.2">
      <c r="A242" s="45" t="s">
        <v>696</v>
      </c>
      <c r="B242" s="46" t="s">
        <v>675</v>
      </c>
      <c r="C242" s="46" t="s">
        <v>675</v>
      </c>
      <c r="D242" s="46" t="s">
        <v>692</v>
      </c>
      <c r="E242" s="46" t="s">
        <v>257</v>
      </c>
      <c r="F242" s="46" t="s">
        <v>68</v>
      </c>
      <c r="G242" s="46" t="s">
        <v>68</v>
      </c>
      <c r="H242" s="46" t="s">
        <v>68</v>
      </c>
      <c r="I242" s="46" t="s">
        <v>449</v>
      </c>
      <c r="J242" s="46" t="s">
        <v>71</v>
      </c>
      <c r="K242" s="47">
        <v>180</v>
      </c>
      <c r="L242" s="47">
        <v>230</v>
      </c>
      <c r="M242" s="47">
        <f t="shared" si="3"/>
        <v>410</v>
      </c>
      <c r="N242" s="46" t="s">
        <v>678</v>
      </c>
      <c r="O242" s="71" t="s">
        <v>697</v>
      </c>
    </row>
    <row r="243" spans="1:15" ht="38.25" x14ac:dyDescent="0.2">
      <c r="A243" s="45" t="s">
        <v>698</v>
      </c>
      <c r="B243" s="46" t="s">
        <v>699</v>
      </c>
      <c r="C243" s="46" t="s">
        <v>699</v>
      </c>
      <c r="D243" s="46" t="s">
        <v>68</v>
      </c>
      <c r="E243" s="46" t="s">
        <v>68</v>
      </c>
      <c r="F243" s="46" t="s">
        <v>68</v>
      </c>
      <c r="G243" s="46" t="s">
        <v>68</v>
      </c>
      <c r="H243" s="46" t="s">
        <v>68</v>
      </c>
      <c r="I243" s="46" t="s">
        <v>68</v>
      </c>
      <c r="J243" s="46" t="s">
        <v>71</v>
      </c>
      <c r="K243" s="47">
        <v>150</v>
      </c>
      <c r="L243" s="47">
        <v>15</v>
      </c>
      <c r="M243" s="47">
        <f t="shared" si="3"/>
        <v>165</v>
      </c>
      <c r="N243" s="46" t="s">
        <v>700</v>
      </c>
      <c r="O243" s="71" t="s">
        <v>701</v>
      </c>
    </row>
    <row r="244" spans="1:15" ht="51" x14ac:dyDescent="0.2">
      <c r="A244" s="45" t="s">
        <v>702</v>
      </c>
      <c r="B244" s="46" t="s">
        <v>703</v>
      </c>
      <c r="C244" s="46" t="s">
        <v>703</v>
      </c>
      <c r="D244" s="46" t="s">
        <v>704</v>
      </c>
      <c r="E244" s="46" t="s">
        <v>68</v>
      </c>
      <c r="F244" s="46" t="s">
        <v>68</v>
      </c>
      <c r="G244" s="46" t="s">
        <v>68</v>
      </c>
      <c r="H244" s="46" t="s">
        <v>68</v>
      </c>
      <c r="I244" s="46" t="s">
        <v>445</v>
      </c>
      <c r="J244" s="46" t="s">
        <v>71</v>
      </c>
      <c r="K244" s="47">
        <v>150</v>
      </c>
      <c r="L244" s="47">
        <v>50</v>
      </c>
      <c r="M244" s="47">
        <f t="shared" si="3"/>
        <v>200</v>
      </c>
      <c r="N244" s="46" t="s">
        <v>705</v>
      </c>
      <c r="O244" s="71" t="s">
        <v>706</v>
      </c>
    </row>
    <row r="245" spans="1:15" ht="51" x14ac:dyDescent="0.2">
      <c r="A245" s="45" t="s">
        <v>707</v>
      </c>
      <c r="B245" s="46" t="s">
        <v>703</v>
      </c>
      <c r="C245" s="46" t="s">
        <v>703</v>
      </c>
      <c r="D245" s="46" t="s">
        <v>704</v>
      </c>
      <c r="E245" s="46" t="s">
        <v>68</v>
      </c>
      <c r="F245" s="46" t="s">
        <v>68</v>
      </c>
      <c r="G245" s="46" t="s">
        <v>68</v>
      </c>
      <c r="H245" s="46" t="s">
        <v>68</v>
      </c>
      <c r="I245" s="46" t="s">
        <v>449</v>
      </c>
      <c r="J245" s="46" t="s">
        <v>71</v>
      </c>
      <c r="K245" s="47">
        <v>170</v>
      </c>
      <c r="L245" s="47">
        <v>80</v>
      </c>
      <c r="M245" s="47">
        <f t="shared" si="3"/>
        <v>250</v>
      </c>
      <c r="N245" s="46" t="s">
        <v>705</v>
      </c>
      <c r="O245" s="71" t="s">
        <v>708</v>
      </c>
    </row>
    <row r="246" spans="1:15" ht="51" x14ac:dyDescent="0.2">
      <c r="A246" s="45" t="s">
        <v>709</v>
      </c>
      <c r="B246" s="46" t="s">
        <v>710</v>
      </c>
      <c r="C246" s="46" t="s">
        <v>710</v>
      </c>
      <c r="D246" s="46" t="s">
        <v>711</v>
      </c>
      <c r="E246" s="46" t="s">
        <v>257</v>
      </c>
      <c r="F246" s="46" t="s">
        <v>712</v>
      </c>
      <c r="G246" s="46" t="s">
        <v>68</v>
      </c>
      <c r="H246" s="46" t="s">
        <v>68</v>
      </c>
      <c r="I246" s="46" t="s">
        <v>68</v>
      </c>
      <c r="J246" s="46" t="s">
        <v>71</v>
      </c>
      <c r="K246" s="47">
        <v>140</v>
      </c>
      <c r="L246" s="47">
        <v>90</v>
      </c>
      <c r="M246" s="47">
        <f t="shared" si="3"/>
        <v>230</v>
      </c>
      <c r="N246" s="46" t="s">
        <v>713</v>
      </c>
      <c r="O246" s="71" t="s">
        <v>714</v>
      </c>
    </row>
    <row r="247" spans="1:15" ht="51" x14ac:dyDescent="0.2">
      <c r="A247" s="45" t="s">
        <v>715</v>
      </c>
      <c r="B247" s="46" t="s">
        <v>710</v>
      </c>
      <c r="C247" s="46" t="s">
        <v>710</v>
      </c>
      <c r="D247" s="46" t="s">
        <v>711</v>
      </c>
      <c r="E247" s="46" t="s">
        <v>257</v>
      </c>
      <c r="F247" s="46" t="s">
        <v>716</v>
      </c>
      <c r="G247" s="46" t="s">
        <v>68</v>
      </c>
      <c r="H247" s="46" t="s">
        <v>68</v>
      </c>
      <c r="I247" s="46" t="s">
        <v>68</v>
      </c>
      <c r="J247" s="46" t="s">
        <v>71</v>
      </c>
      <c r="K247" s="47">
        <v>140</v>
      </c>
      <c r="L247" s="47">
        <v>100</v>
      </c>
      <c r="M247" s="47">
        <f t="shared" si="3"/>
        <v>240</v>
      </c>
      <c r="N247" s="46" t="s">
        <v>713</v>
      </c>
      <c r="O247" s="71" t="s">
        <v>717</v>
      </c>
    </row>
    <row r="248" spans="1:15" ht="51" x14ac:dyDescent="0.2">
      <c r="A248" s="45" t="s">
        <v>718</v>
      </c>
      <c r="B248" s="46" t="s">
        <v>710</v>
      </c>
      <c r="C248" s="46" t="s">
        <v>710</v>
      </c>
      <c r="D248" s="46" t="s">
        <v>719</v>
      </c>
      <c r="E248" s="46" t="s">
        <v>720</v>
      </c>
      <c r="F248" s="46" t="s">
        <v>712</v>
      </c>
      <c r="G248" s="46" t="s">
        <v>68</v>
      </c>
      <c r="H248" s="46" t="s">
        <v>68</v>
      </c>
      <c r="I248" s="46" t="s">
        <v>68</v>
      </c>
      <c r="J248" s="46" t="s">
        <v>71</v>
      </c>
      <c r="K248" s="47">
        <v>140</v>
      </c>
      <c r="L248" s="47">
        <v>50</v>
      </c>
      <c r="M248" s="47">
        <f t="shared" si="3"/>
        <v>190</v>
      </c>
      <c r="N248" s="46" t="s">
        <v>713</v>
      </c>
      <c r="O248" s="71" t="s">
        <v>721</v>
      </c>
    </row>
    <row r="249" spans="1:15" ht="51" x14ac:dyDescent="0.2">
      <c r="A249" s="45" t="s">
        <v>722</v>
      </c>
      <c r="B249" s="46" t="s">
        <v>710</v>
      </c>
      <c r="C249" s="46" t="s">
        <v>710</v>
      </c>
      <c r="D249" s="46" t="s">
        <v>719</v>
      </c>
      <c r="E249" s="46" t="s">
        <v>720</v>
      </c>
      <c r="F249" s="46" t="s">
        <v>716</v>
      </c>
      <c r="G249" s="46" t="s">
        <v>68</v>
      </c>
      <c r="H249" s="46" t="s">
        <v>68</v>
      </c>
      <c r="I249" s="46" t="s">
        <v>68</v>
      </c>
      <c r="J249" s="46" t="s">
        <v>71</v>
      </c>
      <c r="K249" s="47">
        <v>140</v>
      </c>
      <c r="L249" s="47">
        <v>70</v>
      </c>
      <c r="M249" s="47">
        <f t="shared" si="3"/>
        <v>210</v>
      </c>
      <c r="N249" s="46" t="s">
        <v>713</v>
      </c>
      <c r="O249" s="71" t="s">
        <v>723</v>
      </c>
    </row>
    <row r="250" spans="1:15" ht="12.75" x14ac:dyDescent="0.2">
      <c r="A250" s="34" t="s">
        <v>724</v>
      </c>
      <c r="B250" s="35" t="s">
        <v>68</v>
      </c>
      <c r="C250" s="35" t="s">
        <v>68</v>
      </c>
      <c r="D250" s="35" t="s">
        <v>68</v>
      </c>
      <c r="E250" s="35" t="s">
        <v>68</v>
      </c>
      <c r="F250" s="35" t="s">
        <v>68</v>
      </c>
      <c r="G250" s="35" t="s">
        <v>68</v>
      </c>
      <c r="H250" s="35" t="s">
        <v>68</v>
      </c>
      <c r="I250" s="35" t="s">
        <v>68</v>
      </c>
      <c r="J250" s="35" t="s">
        <v>68</v>
      </c>
      <c r="K250" s="36" t="s">
        <v>68</v>
      </c>
      <c r="L250" s="36" t="s">
        <v>68</v>
      </c>
      <c r="M250" s="47">
        <f t="shared" si="3"/>
        <v>0</v>
      </c>
      <c r="N250" s="35"/>
      <c r="O250" s="35" t="s">
        <v>68</v>
      </c>
    </row>
    <row r="251" spans="1:15" ht="63.75" x14ac:dyDescent="0.2">
      <c r="A251" s="45" t="s">
        <v>725</v>
      </c>
      <c r="B251" s="46" t="s">
        <v>726</v>
      </c>
      <c r="C251" s="46" t="s">
        <v>726</v>
      </c>
      <c r="D251" s="46" t="s">
        <v>727</v>
      </c>
      <c r="E251" s="46" t="s">
        <v>728</v>
      </c>
      <c r="F251" s="46" t="s">
        <v>68</v>
      </c>
      <c r="G251" s="46" t="s">
        <v>68</v>
      </c>
      <c r="H251" s="46" t="s">
        <v>68</v>
      </c>
      <c r="I251" s="46" t="s">
        <v>454</v>
      </c>
      <c r="J251" s="46" t="s">
        <v>71</v>
      </c>
      <c r="K251" s="47">
        <v>220</v>
      </c>
      <c r="L251" s="47">
        <v>265</v>
      </c>
      <c r="M251" s="47">
        <f t="shared" si="3"/>
        <v>485</v>
      </c>
      <c r="N251" s="46" t="s">
        <v>729</v>
      </c>
      <c r="O251" s="71" t="s">
        <v>730</v>
      </c>
    </row>
    <row r="252" spans="1:15" ht="63.75" x14ac:dyDescent="0.2">
      <c r="A252" s="45" t="s">
        <v>731</v>
      </c>
      <c r="B252" s="46" t="s">
        <v>726</v>
      </c>
      <c r="C252" s="46" t="s">
        <v>726</v>
      </c>
      <c r="D252" s="46" t="s">
        <v>727</v>
      </c>
      <c r="E252" s="46" t="s">
        <v>728</v>
      </c>
      <c r="F252" s="46" t="s">
        <v>68</v>
      </c>
      <c r="G252" s="46" t="s">
        <v>68</v>
      </c>
      <c r="H252" s="46" t="s">
        <v>68</v>
      </c>
      <c r="I252" s="46" t="s">
        <v>445</v>
      </c>
      <c r="J252" s="46" t="s">
        <v>71</v>
      </c>
      <c r="K252" s="47">
        <v>280</v>
      </c>
      <c r="L252" s="47">
        <v>615</v>
      </c>
      <c r="M252" s="47">
        <f t="shared" si="3"/>
        <v>895</v>
      </c>
      <c r="N252" s="46" t="s">
        <v>729</v>
      </c>
      <c r="O252" s="71" t="s">
        <v>732</v>
      </c>
    </row>
    <row r="253" spans="1:15" ht="63.75" x14ac:dyDescent="0.2">
      <c r="A253" s="45" t="s">
        <v>733</v>
      </c>
      <c r="B253" s="46" t="s">
        <v>726</v>
      </c>
      <c r="C253" s="46" t="s">
        <v>726</v>
      </c>
      <c r="D253" s="46" t="s">
        <v>727</v>
      </c>
      <c r="E253" s="46" t="s">
        <v>728</v>
      </c>
      <c r="F253" s="46" t="s">
        <v>68</v>
      </c>
      <c r="G253" s="46" t="s">
        <v>68</v>
      </c>
      <c r="H253" s="46" t="s">
        <v>68</v>
      </c>
      <c r="I253" s="46" t="s">
        <v>449</v>
      </c>
      <c r="J253" s="46" t="s">
        <v>71</v>
      </c>
      <c r="K253" s="47">
        <v>310</v>
      </c>
      <c r="L253" s="47">
        <v>815</v>
      </c>
      <c r="M253" s="47">
        <f t="shared" si="3"/>
        <v>1125</v>
      </c>
      <c r="N253" s="46" t="s">
        <v>729</v>
      </c>
      <c r="O253" s="71" t="s">
        <v>734</v>
      </c>
    </row>
    <row r="254" spans="1:15" ht="63.75" x14ac:dyDescent="0.2">
      <c r="A254" s="45" t="s">
        <v>735</v>
      </c>
      <c r="B254" s="46" t="s">
        <v>726</v>
      </c>
      <c r="C254" s="46" t="s">
        <v>726</v>
      </c>
      <c r="D254" s="46" t="s">
        <v>736</v>
      </c>
      <c r="E254" s="46" t="s">
        <v>728</v>
      </c>
      <c r="F254" s="46" t="s">
        <v>68</v>
      </c>
      <c r="G254" s="46" t="s">
        <v>68</v>
      </c>
      <c r="H254" s="46" t="s">
        <v>68</v>
      </c>
      <c r="I254" s="46" t="s">
        <v>454</v>
      </c>
      <c r="J254" s="46" t="s">
        <v>71</v>
      </c>
      <c r="K254" s="47">
        <v>220</v>
      </c>
      <c r="L254" s="47">
        <v>265</v>
      </c>
      <c r="M254" s="47">
        <f t="shared" si="3"/>
        <v>485</v>
      </c>
      <c r="N254" s="46" t="s">
        <v>729</v>
      </c>
      <c r="O254" s="71" t="s">
        <v>737</v>
      </c>
    </row>
    <row r="255" spans="1:15" ht="63.75" x14ac:dyDescent="0.2">
      <c r="A255" s="45" t="s">
        <v>738</v>
      </c>
      <c r="B255" s="46" t="s">
        <v>726</v>
      </c>
      <c r="C255" s="46" t="s">
        <v>726</v>
      </c>
      <c r="D255" s="46" t="s">
        <v>736</v>
      </c>
      <c r="E255" s="46" t="s">
        <v>728</v>
      </c>
      <c r="F255" s="46" t="s">
        <v>68</v>
      </c>
      <c r="G255" s="46" t="s">
        <v>68</v>
      </c>
      <c r="H255" s="46" t="s">
        <v>68</v>
      </c>
      <c r="I255" s="46" t="s">
        <v>445</v>
      </c>
      <c r="J255" s="46" t="s">
        <v>71</v>
      </c>
      <c r="K255" s="47">
        <v>270</v>
      </c>
      <c r="L255" s="47">
        <v>615</v>
      </c>
      <c r="M255" s="47">
        <f t="shared" si="3"/>
        <v>885</v>
      </c>
      <c r="N255" s="46" t="s">
        <v>729</v>
      </c>
      <c r="O255" s="71" t="s">
        <v>739</v>
      </c>
    </row>
    <row r="256" spans="1:15" ht="63.75" x14ac:dyDescent="0.2">
      <c r="A256" s="45" t="s">
        <v>740</v>
      </c>
      <c r="B256" s="46" t="s">
        <v>726</v>
      </c>
      <c r="C256" s="46" t="s">
        <v>726</v>
      </c>
      <c r="D256" s="46" t="s">
        <v>736</v>
      </c>
      <c r="E256" s="46" t="s">
        <v>728</v>
      </c>
      <c r="F256" s="46" t="s">
        <v>68</v>
      </c>
      <c r="G256" s="46" t="s">
        <v>68</v>
      </c>
      <c r="H256" s="46" t="s">
        <v>68</v>
      </c>
      <c r="I256" s="46" t="s">
        <v>449</v>
      </c>
      <c r="J256" s="46" t="s">
        <v>71</v>
      </c>
      <c r="K256" s="47">
        <v>300</v>
      </c>
      <c r="L256" s="47">
        <v>815</v>
      </c>
      <c r="M256" s="47">
        <f t="shared" si="3"/>
        <v>1115</v>
      </c>
      <c r="N256" s="46" t="s">
        <v>729</v>
      </c>
      <c r="O256" s="71" t="s">
        <v>741</v>
      </c>
    </row>
    <row r="257" spans="1:15" ht="76.5" x14ac:dyDescent="0.2">
      <c r="A257" s="45" t="s">
        <v>742</v>
      </c>
      <c r="B257" s="46" t="s">
        <v>743</v>
      </c>
      <c r="C257" s="46" t="s">
        <v>743</v>
      </c>
      <c r="D257" s="46" t="s">
        <v>728</v>
      </c>
      <c r="E257" s="46" t="s">
        <v>68</v>
      </c>
      <c r="F257" s="46" t="s">
        <v>68</v>
      </c>
      <c r="G257" s="46" t="s">
        <v>68</v>
      </c>
      <c r="H257" s="46" t="s">
        <v>68</v>
      </c>
      <c r="I257" s="46" t="s">
        <v>454</v>
      </c>
      <c r="J257" s="46" t="s">
        <v>71</v>
      </c>
      <c r="K257" s="47">
        <v>240</v>
      </c>
      <c r="L257" s="47">
        <f>300+115</f>
        <v>415</v>
      </c>
      <c r="M257" s="47">
        <f t="shared" si="3"/>
        <v>655</v>
      </c>
      <c r="N257" s="46" t="s">
        <v>744</v>
      </c>
      <c r="O257" s="71" t="s">
        <v>745</v>
      </c>
    </row>
    <row r="258" spans="1:15" ht="76.5" x14ac:dyDescent="0.2">
      <c r="A258" s="45" t="s">
        <v>746</v>
      </c>
      <c r="B258" s="46" t="s">
        <v>743</v>
      </c>
      <c r="C258" s="46" t="s">
        <v>743</v>
      </c>
      <c r="D258" s="46" t="s">
        <v>728</v>
      </c>
      <c r="E258" s="46" t="s">
        <v>68</v>
      </c>
      <c r="F258" s="46" t="s">
        <v>68</v>
      </c>
      <c r="G258" s="46" t="s">
        <v>68</v>
      </c>
      <c r="H258" s="46" t="s">
        <v>68</v>
      </c>
      <c r="I258" s="46" t="s">
        <v>445</v>
      </c>
      <c r="J258" s="46" t="s">
        <v>71</v>
      </c>
      <c r="K258" s="47">
        <v>280</v>
      </c>
      <c r="L258" s="47">
        <f>565+150</f>
        <v>715</v>
      </c>
      <c r="M258" s="47">
        <f t="shared" si="3"/>
        <v>995</v>
      </c>
      <c r="N258" s="46" t="s">
        <v>744</v>
      </c>
      <c r="O258" s="71" t="s">
        <v>747</v>
      </c>
    </row>
    <row r="259" spans="1:15" ht="76.5" x14ac:dyDescent="0.2">
      <c r="A259" s="45" t="s">
        <v>748</v>
      </c>
      <c r="B259" s="46" t="s">
        <v>743</v>
      </c>
      <c r="C259" s="46" t="s">
        <v>743</v>
      </c>
      <c r="D259" s="46" t="s">
        <v>728</v>
      </c>
      <c r="E259" s="46" t="s">
        <v>68</v>
      </c>
      <c r="F259" s="46" t="s">
        <v>68</v>
      </c>
      <c r="G259" s="46" t="s">
        <v>68</v>
      </c>
      <c r="H259" s="46" t="s">
        <v>68</v>
      </c>
      <c r="I259" s="46" t="s">
        <v>449</v>
      </c>
      <c r="J259" s="46" t="s">
        <v>71</v>
      </c>
      <c r="K259" s="47">
        <v>350</v>
      </c>
      <c r="L259" s="47">
        <f>1000+150</f>
        <v>1150</v>
      </c>
      <c r="M259" s="47">
        <f t="shared" si="3"/>
        <v>1500</v>
      </c>
      <c r="N259" s="46" t="s">
        <v>744</v>
      </c>
      <c r="O259" s="71" t="s">
        <v>749</v>
      </c>
    </row>
    <row r="260" spans="1:15" ht="63.75" x14ac:dyDescent="0.2">
      <c r="A260" s="45" t="s">
        <v>750</v>
      </c>
      <c r="B260" s="46" t="s">
        <v>751</v>
      </c>
      <c r="C260" s="46" t="s">
        <v>751</v>
      </c>
      <c r="D260" s="46" t="s">
        <v>752</v>
      </c>
      <c r="E260" s="46" t="s">
        <v>68</v>
      </c>
      <c r="F260" s="46" t="s">
        <v>68</v>
      </c>
      <c r="G260" s="46" t="s">
        <v>68</v>
      </c>
      <c r="H260" s="46" t="s">
        <v>68</v>
      </c>
      <c r="I260" s="46" t="s">
        <v>68</v>
      </c>
      <c r="J260" s="46" t="s">
        <v>71</v>
      </c>
      <c r="K260" s="47">
        <v>190</v>
      </c>
      <c r="L260" s="47">
        <v>20</v>
      </c>
      <c r="M260" s="47">
        <f t="shared" si="3"/>
        <v>210</v>
      </c>
      <c r="N260" s="46" t="s">
        <v>753</v>
      </c>
      <c r="O260" s="71" t="s">
        <v>754</v>
      </c>
    </row>
    <row r="261" spans="1:15" ht="63.75" x14ac:dyDescent="0.2">
      <c r="A261" s="45" t="s">
        <v>755</v>
      </c>
      <c r="B261" s="46" t="s">
        <v>751</v>
      </c>
      <c r="C261" s="46" t="s">
        <v>751</v>
      </c>
      <c r="D261" s="46" t="s">
        <v>756</v>
      </c>
      <c r="E261" s="46" t="s">
        <v>68</v>
      </c>
      <c r="F261" s="46" t="s">
        <v>68</v>
      </c>
      <c r="G261" s="46" t="s">
        <v>68</v>
      </c>
      <c r="H261" s="46" t="s">
        <v>68</v>
      </c>
      <c r="I261" s="46" t="s">
        <v>68</v>
      </c>
      <c r="J261" s="46" t="s">
        <v>71</v>
      </c>
      <c r="K261" s="47">
        <v>195</v>
      </c>
      <c r="L261" s="47">
        <v>50</v>
      </c>
      <c r="M261" s="47">
        <f t="shared" si="3"/>
        <v>245</v>
      </c>
      <c r="N261" s="46" t="s">
        <v>757</v>
      </c>
      <c r="O261" s="71" t="s">
        <v>758</v>
      </c>
    </row>
    <row r="262" spans="1:15" ht="38.25" x14ac:dyDescent="0.2">
      <c r="A262" s="45" t="s">
        <v>759</v>
      </c>
      <c r="B262" s="46" t="s">
        <v>760</v>
      </c>
      <c r="C262" s="46" t="s">
        <v>760</v>
      </c>
      <c r="D262" s="46" t="s">
        <v>68</v>
      </c>
      <c r="E262" s="46" t="s">
        <v>68</v>
      </c>
      <c r="F262" s="46" t="s">
        <v>68</v>
      </c>
      <c r="G262" s="46" t="s">
        <v>68</v>
      </c>
      <c r="H262" s="46" t="s">
        <v>68</v>
      </c>
      <c r="I262" s="46" t="s">
        <v>68</v>
      </c>
      <c r="J262" s="46" t="s">
        <v>71</v>
      </c>
      <c r="K262" s="47">
        <v>150</v>
      </c>
      <c r="L262" s="47">
        <v>30</v>
      </c>
      <c r="M262" s="47">
        <f t="shared" si="3"/>
        <v>180</v>
      </c>
      <c r="N262" s="46" t="s">
        <v>761</v>
      </c>
      <c r="O262" s="71" t="s">
        <v>762</v>
      </c>
    </row>
    <row r="263" spans="1:15" ht="63.75" x14ac:dyDescent="0.2">
      <c r="A263" s="45" t="s">
        <v>763</v>
      </c>
      <c r="B263" s="46" t="s">
        <v>764</v>
      </c>
      <c r="C263" s="46" t="s">
        <v>764</v>
      </c>
      <c r="D263" s="46" t="s">
        <v>765</v>
      </c>
      <c r="E263" s="46" t="s">
        <v>766</v>
      </c>
      <c r="F263" s="46"/>
      <c r="G263" s="46" t="s">
        <v>68</v>
      </c>
      <c r="H263" s="46" t="s">
        <v>68</v>
      </c>
      <c r="I263" s="46" t="s">
        <v>454</v>
      </c>
      <c r="J263" s="46" t="s">
        <v>71</v>
      </c>
      <c r="K263" s="47">
        <v>130</v>
      </c>
      <c r="L263" s="47">
        <v>30</v>
      </c>
      <c r="M263" s="47">
        <f t="shared" ref="M263:M326" si="4">SUM(K263:L263)</f>
        <v>160</v>
      </c>
      <c r="N263" s="46" t="s">
        <v>767</v>
      </c>
      <c r="O263" s="71" t="s">
        <v>768</v>
      </c>
    </row>
    <row r="264" spans="1:15" ht="63.75" x14ac:dyDescent="0.2">
      <c r="A264" s="45" t="s">
        <v>769</v>
      </c>
      <c r="B264" s="46" t="s">
        <v>764</v>
      </c>
      <c r="C264" s="46" t="s">
        <v>764</v>
      </c>
      <c r="D264" s="46" t="s">
        <v>770</v>
      </c>
      <c r="E264" s="46" t="s">
        <v>766</v>
      </c>
      <c r="F264" s="46"/>
      <c r="G264" s="46" t="s">
        <v>68</v>
      </c>
      <c r="H264" s="46" t="s">
        <v>68</v>
      </c>
      <c r="I264" s="46" t="s">
        <v>445</v>
      </c>
      <c r="J264" s="46" t="s">
        <v>71</v>
      </c>
      <c r="K264" s="47">
        <v>140</v>
      </c>
      <c r="L264" s="47">
        <v>70</v>
      </c>
      <c r="M264" s="47">
        <f t="shared" si="4"/>
        <v>210</v>
      </c>
      <c r="N264" s="46" t="s">
        <v>767</v>
      </c>
      <c r="O264" s="71" t="s">
        <v>771</v>
      </c>
    </row>
    <row r="265" spans="1:15" ht="63.75" x14ac:dyDescent="0.2">
      <c r="A265" s="45" t="s">
        <v>772</v>
      </c>
      <c r="B265" s="46" t="s">
        <v>773</v>
      </c>
      <c r="C265" s="46" t="s">
        <v>773</v>
      </c>
      <c r="D265" s="46" t="s">
        <v>770</v>
      </c>
      <c r="E265" s="46" t="s">
        <v>766</v>
      </c>
      <c r="F265" s="46"/>
      <c r="G265" s="46" t="s">
        <v>68</v>
      </c>
      <c r="H265" s="46" t="s">
        <v>68</v>
      </c>
      <c r="I265" s="46" t="s">
        <v>449</v>
      </c>
      <c r="J265" s="46" t="s">
        <v>71</v>
      </c>
      <c r="K265" s="47">
        <v>170</v>
      </c>
      <c r="L265" s="47">
        <v>140</v>
      </c>
      <c r="M265" s="47">
        <f t="shared" si="4"/>
        <v>310</v>
      </c>
      <c r="N265" s="46" t="s">
        <v>767</v>
      </c>
      <c r="O265" s="71" t="s">
        <v>774</v>
      </c>
    </row>
    <row r="266" spans="1:15" ht="76.5" x14ac:dyDescent="0.2">
      <c r="A266" s="45" t="s">
        <v>775</v>
      </c>
      <c r="B266" s="46" t="s">
        <v>773</v>
      </c>
      <c r="C266" s="46" t="s">
        <v>773</v>
      </c>
      <c r="D266" s="46" t="s">
        <v>770</v>
      </c>
      <c r="E266" s="46" t="s">
        <v>776</v>
      </c>
      <c r="F266" s="46"/>
      <c r="G266" s="46" t="s">
        <v>68</v>
      </c>
      <c r="H266" s="46" t="s">
        <v>68</v>
      </c>
      <c r="I266" s="46" t="s">
        <v>445</v>
      </c>
      <c r="J266" s="46" t="s">
        <v>71</v>
      </c>
      <c r="K266" s="47">
        <v>200</v>
      </c>
      <c r="L266" s="47">
        <v>90</v>
      </c>
      <c r="M266" s="47">
        <f t="shared" si="4"/>
        <v>290</v>
      </c>
      <c r="N266" s="46" t="s">
        <v>777</v>
      </c>
      <c r="O266" s="71" t="s">
        <v>778</v>
      </c>
    </row>
    <row r="267" spans="1:15" ht="76.5" x14ac:dyDescent="0.2">
      <c r="A267" s="45" t="s">
        <v>779</v>
      </c>
      <c r="B267" s="46" t="s">
        <v>764</v>
      </c>
      <c r="C267" s="46" t="s">
        <v>764</v>
      </c>
      <c r="D267" s="46" t="s">
        <v>770</v>
      </c>
      <c r="E267" s="46" t="s">
        <v>776</v>
      </c>
      <c r="F267" s="46"/>
      <c r="G267" s="46" t="s">
        <v>68</v>
      </c>
      <c r="H267" s="46" t="s">
        <v>68</v>
      </c>
      <c r="I267" s="46" t="s">
        <v>449</v>
      </c>
      <c r="J267" s="46" t="s">
        <v>71</v>
      </c>
      <c r="K267" s="47">
        <v>220</v>
      </c>
      <c r="L267" s="47">
        <v>160</v>
      </c>
      <c r="M267" s="47">
        <f t="shared" si="4"/>
        <v>380</v>
      </c>
      <c r="N267" s="46" t="s">
        <v>777</v>
      </c>
      <c r="O267" s="71" t="s">
        <v>780</v>
      </c>
    </row>
    <row r="268" spans="1:15" ht="51" x14ac:dyDescent="0.2">
      <c r="A268" s="45" t="s">
        <v>781</v>
      </c>
      <c r="B268" s="46" t="s">
        <v>782</v>
      </c>
      <c r="C268" s="46" t="s">
        <v>782</v>
      </c>
      <c r="D268" s="46" t="s">
        <v>254</v>
      </c>
      <c r="E268" s="46" t="s">
        <v>770</v>
      </c>
      <c r="F268" s="46" t="s">
        <v>68</v>
      </c>
      <c r="G268" s="46" t="s">
        <v>68</v>
      </c>
      <c r="H268" s="46" t="s">
        <v>68</v>
      </c>
      <c r="I268" s="46" t="s">
        <v>445</v>
      </c>
      <c r="J268" s="46" t="s">
        <v>71</v>
      </c>
      <c r="K268" s="47">
        <v>140</v>
      </c>
      <c r="L268" s="47">
        <v>45</v>
      </c>
      <c r="M268" s="47">
        <f t="shared" si="4"/>
        <v>185</v>
      </c>
      <c r="N268" s="46" t="s">
        <v>783</v>
      </c>
      <c r="O268" s="71" t="s">
        <v>784</v>
      </c>
    </row>
    <row r="269" spans="1:15" ht="51" x14ac:dyDescent="0.2">
      <c r="A269" s="45" t="s">
        <v>785</v>
      </c>
      <c r="B269" s="46" t="s">
        <v>782</v>
      </c>
      <c r="C269" s="46" t="s">
        <v>782</v>
      </c>
      <c r="D269" s="46" t="s">
        <v>254</v>
      </c>
      <c r="E269" s="46" t="s">
        <v>770</v>
      </c>
      <c r="F269" s="46" t="s">
        <v>68</v>
      </c>
      <c r="G269" s="46" t="s">
        <v>68</v>
      </c>
      <c r="H269" s="46" t="s">
        <v>68</v>
      </c>
      <c r="I269" s="46" t="s">
        <v>449</v>
      </c>
      <c r="J269" s="46" t="s">
        <v>71</v>
      </c>
      <c r="K269" s="47">
        <v>180</v>
      </c>
      <c r="L269" s="47">
        <v>200</v>
      </c>
      <c r="M269" s="47">
        <f t="shared" si="4"/>
        <v>380</v>
      </c>
      <c r="N269" s="46" t="s">
        <v>783</v>
      </c>
      <c r="O269" s="71" t="s">
        <v>786</v>
      </c>
    </row>
    <row r="270" spans="1:15" ht="51" x14ac:dyDescent="0.2">
      <c r="A270" s="45" t="s">
        <v>787</v>
      </c>
      <c r="B270" s="46" t="s">
        <v>782</v>
      </c>
      <c r="C270" s="46" t="s">
        <v>782</v>
      </c>
      <c r="D270" s="46" t="s">
        <v>788</v>
      </c>
      <c r="E270" s="46" t="s">
        <v>770</v>
      </c>
      <c r="F270" s="46" t="s">
        <v>68</v>
      </c>
      <c r="G270" s="46" t="s">
        <v>68</v>
      </c>
      <c r="H270" s="46" t="s">
        <v>68</v>
      </c>
      <c r="I270" s="46" t="s">
        <v>445</v>
      </c>
      <c r="J270" s="46" t="s">
        <v>71</v>
      </c>
      <c r="K270" s="47">
        <v>155</v>
      </c>
      <c r="L270" s="47">
        <v>140</v>
      </c>
      <c r="M270" s="47">
        <f t="shared" si="4"/>
        <v>295</v>
      </c>
      <c r="N270" s="46" t="s">
        <v>783</v>
      </c>
      <c r="O270" s="71" t="s">
        <v>789</v>
      </c>
    </row>
    <row r="271" spans="1:15" ht="51" x14ac:dyDescent="0.2">
      <c r="A271" s="45" t="s">
        <v>790</v>
      </c>
      <c r="B271" s="46" t="s">
        <v>782</v>
      </c>
      <c r="C271" s="46" t="s">
        <v>782</v>
      </c>
      <c r="D271" s="46" t="s">
        <v>788</v>
      </c>
      <c r="E271" s="46" t="s">
        <v>770</v>
      </c>
      <c r="F271" s="46" t="s">
        <v>68</v>
      </c>
      <c r="G271" s="46" t="s">
        <v>68</v>
      </c>
      <c r="H271" s="46" t="s">
        <v>68</v>
      </c>
      <c r="I271" s="46" t="s">
        <v>449</v>
      </c>
      <c r="J271" s="46" t="s">
        <v>71</v>
      </c>
      <c r="K271" s="47">
        <v>180</v>
      </c>
      <c r="L271" s="47">
        <v>200</v>
      </c>
      <c r="M271" s="47">
        <f t="shared" si="4"/>
        <v>380</v>
      </c>
      <c r="N271" s="46" t="s">
        <v>783</v>
      </c>
      <c r="O271" s="71" t="s">
        <v>791</v>
      </c>
    </row>
    <row r="272" spans="1:15" ht="51" x14ac:dyDescent="0.2">
      <c r="A272" s="45" t="s">
        <v>792</v>
      </c>
      <c r="B272" s="46" t="s">
        <v>782</v>
      </c>
      <c r="C272" s="46" t="s">
        <v>782</v>
      </c>
      <c r="D272" s="46" t="s">
        <v>254</v>
      </c>
      <c r="E272" s="46" t="s">
        <v>793</v>
      </c>
      <c r="F272" s="46" t="s">
        <v>68</v>
      </c>
      <c r="G272" s="46" t="s">
        <v>68</v>
      </c>
      <c r="H272" s="46" t="s">
        <v>68</v>
      </c>
      <c r="I272" s="46" t="s">
        <v>445</v>
      </c>
      <c r="J272" s="46" t="s">
        <v>71</v>
      </c>
      <c r="K272" s="47">
        <v>140</v>
      </c>
      <c r="L272" s="47">
        <v>55</v>
      </c>
      <c r="M272" s="47">
        <f t="shared" si="4"/>
        <v>195</v>
      </c>
      <c r="N272" s="46" t="s">
        <v>783</v>
      </c>
      <c r="O272" s="71" t="s">
        <v>794</v>
      </c>
    </row>
    <row r="273" spans="1:15" ht="51" x14ac:dyDescent="0.2">
      <c r="A273" s="45" t="s">
        <v>795</v>
      </c>
      <c r="B273" s="46" t="s">
        <v>782</v>
      </c>
      <c r="C273" s="46" t="s">
        <v>782</v>
      </c>
      <c r="D273" s="46" t="s">
        <v>254</v>
      </c>
      <c r="E273" s="46" t="s">
        <v>796</v>
      </c>
      <c r="F273" s="46" t="s">
        <v>68</v>
      </c>
      <c r="G273" s="46" t="s">
        <v>68</v>
      </c>
      <c r="H273" s="46" t="s">
        <v>68</v>
      </c>
      <c r="I273" s="46" t="s">
        <v>449</v>
      </c>
      <c r="J273" s="46" t="s">
        <v>71</v>
      </c>
      <c r="K273" s="47">
        <v>180</v>
      </c>
      <c r="L273" s="47">
        <v>150</v>
      </c>
      <c r="M273" s="47">
        <f t="shared" si="4"/>
        <v>330</v>
      </c>
      <c r="N273" s="46" t="s">
        <v>783</v>
      </c>
      <c r="O273" s="71" t="s">
        <v>797</v>
      </c>
    </row>
    <row r="274" spans="1:15" ht="51" x14ac:dyDescent="0.2">
      <c r="A274" s="45" t="s">
        <v>798</v>
      </c>
      <c r="B274" s="46" t="s">
        <v>799</v>
      </c>
      <c r="C274" s="46" t="s">
        <v>799</v>
      </c>
      <c r="D274" s="46" t="s">
        <v>800</v>
      </c>
      <c r="E274" s="46" t="s">
        <v>68</v>
      </c>
      <c r="F274" s="46" t="s">
        <v>68</v>
      </c>
      <c r="G274" s="46" t="s">
        <v>68</v>
      </c>
      <c r="H274" s="46" t="s">
        <v>68</v>
      </c>
      <c r="I274" s="46" t="s">
        <v>68</v>
      </c>
      <c r="J274" s="46" t="s">
        <v>71</v>
      </c>
      <c r="K274" s="47">
        <v>210</v>
      </c>
      <c r="L274" s="47">
        <v>350</v>
      </c>
      <c r="M274" s="47">
        <f t="shared" si="4"/>
        <v>560</v>
      </c>
      <c r="N274" s="46" t="s">
        <v>783</v>
      </c>
      <c r="O274" s="71" t="s">
        <v>801</v>
      </c>
    </row>
    <row r="275" spans="1:15" ht="12.75" x14ac:dyDescent="0.2">
      <c r="A275" s="34" t="s">
        <v>802</v>
      </c>
      <c r="B275" s="35" t="s">
        <v>68</v>
      </c>
      <c r="C275" s="35" t="s">
        <v>68</v>
      </c>
      <c r="D275" s="35" t="s">
        <v>68</v>
      </c>
      <c r="E275" s="35" t="s">
        <v>68</v>
      </c>
      <c r="F275" s="35" t="s">
        <v>68</v>
      </c>
      <c r="G275" s="35" t="s">
        <v>68</v>
      </c>
      <c r="H275" s="35" t="s">
        <v>68</v>
      </c>
      <c r="I275" s="35" t="s">
        <v>68</v>
      </c>
      <c r="J275" s="35" t="s">
        <v>68</v>
      </c>
      <c r="K275" s="36" t="s">
        <v>68</v>
      </c>
      <c r="L275" s="36" t="s">
        <v>68</v>
      </c>
      <c r="M275" s="47">
        <f t="shared" si="4"/>
        <v>0</v>
      </c>
      <c r="N275" s="35"/>
      <c r="O275" s="35" t="s">
        <v>68</v>
      </c>
    </row>
    <row r="276" spans="1:15" ht="51" x14ac:dyDescent="0.2">
      <c r="A276" s="45" t="s">
        <v>803</v>
      </c>
      <c r="B276" s="46" t="s">
        <v>804</v>
      </c>
      <c r="C276" s="46" t="s">
        <v>804</v>
      </c>
      <c r="D276" s="46" t="s">
        <v>805</v>
      </c>
      <c r="E276" s="46"/>
      <c r="F276" s="46" t="s">
        <v>68</v>
      </c>
      <c r="G276" s="46" t="s">
        <v>68</v>
      </c>
      <c r="H276" s="46" t="s">
        <v>68</v>
      </c>
      <c r="I276" s="46" t="s">
        <v>68</v>
      </c>
      <c r="J276" s="46" t="s">
        <v>71</v>
      </c>
      <c r="K276" s="47">
        <v>150</v>
      </c>
      <c r="L276" s="47">
        <v>150</v>
      </c>
      <c r="M276" s="47">
        <f t="shared" si="4"/>
        <v>300</v>
      </c>
      <c r="N276" s="48" t="s">
        <v>806</v>
      </c>
      <c r="O276" s="48" t="s">
        <v>807</v>
      </c>
    </row>
    <row r="277" spans="1:15" ht="51" x14ac:dyDescent="0.2">
      <c r="A277" s="45" t="s">
        <v>808</v>
      </c>
      <c r="B277" s="46" t="s">
        <v>804</v>
      </c>
      <c r="C277" s="46" t="s">
        <v>804</v>
      </c>
      <c r="D277" s="46" t="s">
        <v>809</v>
      </c>
      <c r="E277" s="46"/>
      <c r="F277" s="46" t="s">
        <v>68</v>
      </c>
      <c r="G277" s="46" t="s">
        <v>68</v>
      </c>
      <c r="H277" s="46" t="s">
        <v>68</v>
      </c>
      <c r="I277" s="46" t="s">
        <v>68</v>
      </c>
      <c r="J277" s="46" t="s">
        <v>71</v>
      </c>
      <c r="K277" s="47">
        <v>160</v>
      </c>
      <c r="L277" s="47">
        <v>190</v>
      </c>
      <c r="M277" s="47">
        <f t="shared" si="4"/>
        <v>350</v>
      </c>
      <c r="N277" s="48" t="s">
        <v>806</v>
      </c>
      <c r="O277" s="48" t="s">
        <v>810</v>
      </c>
    </row>
    <row r="278" spans="1:15" ht="51" x14ac:dyDescent="0.2">
      <c r="A278" s="45" t="s">
        <v>811</v>
      </c>
      <c r="B278" s="46" t="s">
        <v>812</v>
      </c>
      <c r="C278" s="46" t="s">
        <v>812</v>
      </c>
      <c r="D278" s="46" t="s">
        <v>199</v>
      </c>
      <c r="E278" s="46"/>
      <c r="F278" s="46" t="s">
        <v>68</v>
      </c>
      <c r="G278" s="46" t="s">
        <v>68</v>
      </c>
      <c r="H278" s="46" t="s">
        <v>68</v>
      </c>
      <c r="I278" s="46" t="s">
        <v>68</v>
      </c>
      <c r="J278" s="46" t="s">
        <v>71</v>
      </c>
      <c r="K278" s="47">
        <v>140</v>
      </c>
      <c r="L278" s="47">
        <v>25</v>
      </c>
      <c r="M278" s="47">
        <f t="shared" si="4"/>
        <v>165</v>
      </c>
      <c r="N278" s="48" t="s">
        <v>813</v>
      </c>
      <c r="O278" s="48" t="s">
        <v>814</v>
      </c>
    </row>
    <row r="279" spans="1:15" ht="51" x14ac:dyDescent="0.2">
      <c r="A279" s="45" t="s">
        <v>815</v>
      </c>
      <c r="B279" s="46" t="s">
        <v>816</v>
      </c>
      <c r="C279" s="46" t="s">
        <v>816</v>
      </c>
      <c r="D279" s="46" t="s">
        <v>199</v>
      </c>
      <c r="E279" s="46"/>
      <c r="F279" s="46" t="s">
        <v>68</v>
      </c>
      <c r="G279" s="46" t="s">
        <v>68</v>
      </c>
      <c r="H279" s="46" t="s">
        <v>68</v>
      </c>
      <c r="I279" s="46" t="s">
        <v>68</v>
      </c>
      <c r="J279" s="46" t="s">
        <v>71</v>
      </c>
      <c r="K279" s="47">
        <v>140</v>
      </c>
      <c r="L279" s="47">
        <v>30</v>
      </c>
      <c r="M279" s="47">
        <f t="shared" si="4"/>
        <v>170</v>
      </c>
      <c r="N279" s="48" t="s">
        <v>817</v>
      </c>
      <c r="O279" s="48" t="s">
        <v>818</v>
      </c>
    </row>
    <row r="280" spans="1:15" ht="63.75" x14ac:dyDescent="0.2">
      <c r="A280" s="45" t="s">
        <v>819</v>
      </c>
      <c r="B280" s="46" t="s">
        <v>820</v>
      </c>
      <c r="C280" s="46" t="s">
        <v>820</v>
      </c>
      <c r="D280" s="46" t="s">
        <v>821</v>
      </c>
      <c r="E280" s="46" t="s">
        <v>822</v>
      </c>
      <c r="F280" s="46" t="s">
        <v>68</v>
      </c>
      <c r="G280" s="46" t="s">
        <v>68</v>
      </c>
      <c r="H280" s="46" t="s">
        <v>68</v>
      </c>
      <c r="I280" s="46" t="s">
        <v>454</v>
      </c>
      <c r="J280" s="46" t="s">
        <v>71</v>
      </c>
      <c r="K280" s="47">
        <v>200</v>
      </c>
      <c r="L280" s="47">
        <f>270+100</f>
        <v>370</v>
      </c>
      <c r="M280" s="47">
        <f t="shared" si="4"/>
        <v>570</v>
      </c>
      <c r="N280" s="48" t="s">
        <v>823</v>
      </c>
      <c r="O280" s="48" t="s">
        <v>824</v>
      </c>
    </row>
    <row r="281" spans="1:15" ht="63.75" x14ac:dyDescent="0.2">
      <c r="A281" s="45" t="s">
        <v>825</v>
      </c>
      <c r="B281" s="46" t="s">
        <v>820</v>
      </c>
      <c r="C281" s="46" t="s">
        <v>820</v>
      </c>
      <c r="D281" s="46" t="s">
        <v>821</v>
      </c>
      <c r="E281" s="46" t="s">
        <v>822</v>
      </c>
      <c r="F281" s="46"/>
      <c r="G281" s="46"/>
      <c r="H281" s="46"/>
      <c r="I281" s="46" t="s">
        <v>445</v>
      </c>
      <c r="J281" s="46" t="s">
        <v>71</v>
      </c>
      <c r="K281" s="47">
        <v>250</v>
      </c>
      <c r="L281" s="47">
        <f>570+100</f>
        <v>670</v>
      </c>
      <c r="M281" s="47">
        <f t="shared" si="4"/>
        <v>920</v>
      </c>
      <c r="N281" s="48" t="s">
        <v>823</v>
      </c>
      <c r="O281" s="48" t="s">
        <v>824</v>
      </c>
    </row>
    <row r="282" spans="1:15" ht="63.75" x14ac:dyDescent="0.2">
      <c r="A282" s="45" t="s">
        <v>826</v>
      </c>
      <c r="B282" s="46" t="s">
        <v>820</v>
      </c>
      <c r="C282" s="46" t="s">
        <v>820</v>
      </c>
      <c r="D282" s="46" t="s">
        <v>821</v>
      </c>
      <c r="E282" s="46" t="s">
        <v>822</v>
      </c>
      <c r="F282" s="46"/>
      <c r="G282" s="46"/>
      <c r="H282" s="46"/>
      <c r="I282" s="46" t="s">
        <v>449</v>
      </c>
      <c r="J282" s="46" t="s">
        <v>71</v>
      </c>
      <c r="K282" s="47">
        <v>300</v>
      </c>
      <c r="L282" s="47">
        <f>870+100</f>
        <v>970</v>
      </c>
      <c r="M282" s="47">
        <f t="shared" si="4"/>
        <v>1270</v>
      </c>
      <c r="N282" s="48" t="s">
        <v>823</v>
      </c>
      <c r="O282" s="48" t="s">
        <v>824</v>
      </c>
    </row>
    <row r="283" spans="1:15" ht="51" x14ac:dyDescent="0.2">
      <c r="A283" s="45" t="s">
        <v>827</v>
      </c>
      <c r="B283" s="46" t="s">
        <v>828</v>
      </c>
      <c r="C283" s="46" t="s">
        <v>828</v>
      </c>
      <c r="D283" s="46" t="s">
        <v>821</v>
      </c>
      <c r="E283" s="46" t="s">
        <v>822</v>
      </c>
      <c r="F283" s="46"/>
      <c r="G283" s="46"/>
      <c r="H283" s="46"/>
      <c r="I283" s="46"/>
      <c r="J283" s="46" t="s">
        <v>71</v>
      </c>
      <c r="K283" s="47">
        <v>150</v>
      </c>
      <c r="L283" s="47">
        <v>170</v>
      </c>
      <c r="M283" s="47">
        <f t="shared" si="4"/>
        <v>320</v>
      </c>
      <c r="N283" s="48" t="s">
        <v>829</v>
      </c>
      <c r="O283" s="48" t="s">
        <v>830</v>
      </c>
    </row>
    <row r="284" spans="1:15" ht="51" x14ac:dyDescent="0.2">
      <c r="A284" s="45" t="s">
        <v>831</v>
      </c>
      <c r="B284" s="46" t="s">
        <v>832</v>
      </c>
      <c r="C284" s="46" t="s">
        <v>832</v>
      </c>
      <c r="D284" s="46" t="s">
        <v>254</v>
      </c>
      <c r="E284" s="46" t="s">
        <v>68</v>
      </c>
      <c r="F284" s="46" t="s">
        <v>68</v>
      </c>
      <c r="G284" s="46" t="s">
        <v>68</v>
      </c>
      <c r="H284" s="46" t="s">
        <v>68</v>
      </c>
      <c r="I284" s="46" t="s">
        <v>68</v>
      </c>
      <c r="J284" s="46" t="s">
        <v>71</v>
      </c>
      <c r="K284" s="47">
        <v>130</v>
      </c>
      <c r="L284" s="47">
        <v>25</v>
      </c>
      <c r="M284" s="47">
        <f t="shared" si="4"/>
        <v>155</v>
      </c>
      <c r="N284" s="48" t="s">
        <v>833</v>
      </c>
      <c r="O284" s="48" t="s">
        <v>834</v>
      </c>
    </row>
    <row r="285" spans="1:15" ht="51" x14ac:dyDescent="0.2">
      <c r="A285" s="45" t="s">
        <v>835</v>
      </c>
      <c r="B285" s="46" t="s">
        <v>832</v>
      </c>
      <c r="C285" s="46" t="s">
        <v>832</v>
      </c>
      <c r="D285" s="46" t="s">
        <v>257</v>
      </c>
      <c r="E285" s="46" t="s">
        <v>68</v>
      </c>
      <c r="F285" s="46" t="s">
        <v>68</v>
      </c>
      <c r="G285" s="46" t="s">
        <v>68</v>
      </c>
      <c r="H285" s="46" t="s">
        <v>68</v>
      </c>
      <c r="I285" s="46" t="s">
        <v>68</v>
      </c>
      <c r="J285" s="46" t="s">
        <v>71</v>
      </c>
      <c r="K285" s="47">
        <v>140</v>
      </c>
      <c r="L285" s="47">
        <v>40</v>
      </c>
      <c r="M285" s="47">
        <f t="shared" si="4"/>
        <v>180</v>
      </c>
      <c r="N285" s="48" t="s">
        <v>833</v>
      </c>
      <c r="O285" s="48" t="s">
        <v>836</v>
      </c>
    </row>
    <row r="286" spans="1:15" ht="127.5" x14ac:dyDescent="0.2">
      <c r="A286" s="45" t="s">
        <v>837</v>
      </c>
      <c r="B286" s="46" t="s">
        <v>838</v>
      </c>
      <c r="C286" s="46" t="s">
        <v>838</v>
      </c>
      <c r="D286" s="46" t="s">
        <v>839</v>
      </c>
      <c r="E286" s="46" t="s">
        <v>68</v>
      </c>
      <c r="F286" s="46" t="s">
        <v>68</v>
      </c>
      <c r="G286" s="46" t="s">
        <v>68</v>
      </c>
      <c r="H286" s="46" t="s">
        <v>68</v>
      </c>
      <c r="I286" s="46" t="s">
        <v>68</v>
      </c>
      <c r="J286" s="46" t="s">
        <v>71</v>
      </c>
      <c r="K286" s="47">
        <v>150</v>
      </c>
      <c r="L286" s="47">
        <v>110</v>
      </c>
      <c r="M286" s="47">
        <f t="shared" si="4"/>
        <v>260</v>
      </c>
      <c r="N286" s="48" t="s">
        <v>840</v>
      </c>
      <c r="O286" s="48" t="s">
        <v>841</v>
      </c>
    </row>
    <row r="287" spans="1:15" ht="140.25" x14ac:dyDescent="0.2">
      <c r="A287" s="45" t="s">
        <v>842</v>
      </c>
      <c r="B287" s="46" t="s">
        <v>838</v>
      </c>
      <c r="C287" s="46" t="s">
        <v>838</v>
      </c>
      <c r="D287" s="46" t="s">
        <v>270</v>
      </c>
      <c r="E287" s="46" t="s">
        <v>68</v>
      </c>
      <c r="F287" s="46" t="s">
        <v>68</v>
      </c>
      <c r="G287" s="46" t="s">
        <v>68</v>
      </c>
      <c r="H287" s="46" t="s">
        <v>68</v>
      </c>
      <c r="I287" s="46" t="s">
        <v>68</v>
      </c>
      <c r="J287" s="46" t="s">
        <v>71</v>
      </c>
      <c r="K287" s="47">
        <v>180</v>
      </c>
      <c r="L287" s="47">
        <v>230</v>
      </c>
      <c r="M287" s="47">
        <f t="shared" si="4"/>
        <v>410</v>
      </c>
      <c r="N287" s="48" t="s">
        <v>840</v>
      </c>
      <c r="O287" s="48" t="s">
        <v>843</v>
      </c>
    </row>
    <row r="288" spans="1:15" ht="140.25" x14ac:dyDescent="0.2">
      <c r="A288" s="45" t="s">
        <v>844</v>
      </c>
      <c r="B288" s="46" t="s">
        <v>838</v>
      </c>
      <c r="C288" s="46" t="s">
        <v>838</v>
      </c>
      <c r="D288" s="46" t="s">
        <v>845</v>
      </c>
      <c r="E288" s="46" t="s">
        <v>68</v>
      </c>
      <c r="F288" s="46" t="s">
        <v>68</v>
      </c>
      <c r="G288" s="46" t="s">
        <v>68</v>
      </c>
      <c r="H288" s="46" t="s">
        <v>68</v>
      </c>
      <c r="I288" s="46" t="s">
        <v>68</v>
      </c>
      <c r="J288" s="46" t="s">
        <v>71</v>
      </c>
      <c r="K288" s="47">
        <v>160</v>
      </c>
      <c r="L288" s="47">
        <v>110</v>
      </c>
      <c r="M288" s="47">
        <f t="shared" si="4"/>
        <v>270</v>
      </c>
      <c r="N288" s="48" t="s">
        <v>840</v>
      </c>
      <c r="O288" s="48" t="s">
        <v>846</v>
      </c>
    </row>
    <row r="289" spans="1:15" ht="127.5" x14ac:dyDescent="0.2">
      <c r="A289" s="45" t="s">
        <v>847</v>
      </c>
      <c r="B289" s="46" t="s">
        <v>838</v>
      </c>
      <c r="C289" s="46" t="s">
        <v>838</v>
      </c>
      <c r="D289" s="46" t="s">
        <v>848</v>
      </c>
      <c r="E289" s="46" t="s">
        <v>68</v>
      </c>
      <c r="F289" s="46" t="s">
        <v>68</v>
      </c>
      <c r="G289" s="46" t="s">
        <v>68</v>
      </c>
      <c r="H289" s="46" t="s">
        <v>68</v>
      </c>
      <c r="I289" s="46" t="s">
        <v>68</v>
      </c>
      <c r="J289" s="46" t="s">
        <v>71</v>
      </c>
      <c r="K289" s="47">
        <v>160</v>
      </c>
      <c r="L289" s="47">
        <v>110</v>
      </c>
      <c r="M289" s="47">
        <f t="shared" si="4"/>
        <v>270</v>
      </c>
      <c r="N289" s="48" t="s">
        <v>840</v>
      </c>
      <c r="O289" s="48" t="s">
        <v>849</v>
      </c>
    </row>
    <row r="290" spans="1:15" ht="127.5" x14ac:dyDescent="0.2">
      <c r="A290" s="45" t="s">
        <v>850</v>
      </c>
      <c r="B290" s="46" t="s">
        <v>838</v>
      </c>
      <c r="C290" s="46" t="s">
        <v>838</v>
      </c>
      <c r="D290" s="46" t="s">
        <v>851</v>
      </c>
      <c r="E290" s="46" t="s">
        <v>68</v>
      </c>
      <c r="F290" s="46" t="s">
        <v>68</v>
      </c>
      <c r="G290" s="46" t="s">
        <v>68</v>
      </c>
      <c r="H290" s="46" t="s">
        <v>68</v>
      </c>
      <c r="I290" s="46" t="s">
        <v>68</v>
      </c>
      <c r="J290" s="46" t="s">
        <v>71</v>
      </c>
      <c r="K290" s="47">
        <v>170</v>
      </c>
      <c r="L290" s="47">
        <v>160</v>
      </c>
      <c r="M290" s="47">
        <f t="shared" si="4"/>
        <v>330</v>
      </c>
      <c r="N290" s="48" t="s">
        <v>840</v>
      </c>
      <c r="O290" s="48" t="s">
        <v>852</v>
      </c>
    </row>
    <row r="291" spans="1:15" ht="127.5" x14ac:dyDescent="0.2">
      <c r="A291" s="45" t="s">
        <v>853</v>
      </c>
      <c r="B291" s="46" t="s">
        <v>838</v>
      </c>
      <c r="C291" s="46" t="s">
        <v>838</v>
      </c>
      <c r="D291" s="46" t="s">
        <v>854</v>
      </c>
      <c r="E291" s="46" t="s">
        <v>68</v>
      </c>
      <c r="F291" s="46" t="s">
        <v>68</v>
      </c>
      <c r="G291" s="46" t="s">
        <v>68</v>
      </c>
      <c r="H291" s="46" t="s">
        <v>68</v>
      </c>
      <c r="I291" s="46" t="s">
        <v>68</v>
      </c>
      <c r="J291" s="46" t="s">
        <v>71</v>
      </c>
      <c r="K291" s="47">
        <v>180</v>
      </c>
      <c r="L291" s="47">
        <v>90</v>
      </c>
      <c r="M291" s="47">
        <f t="shared" si="4"/>
        <v>270</v>
      </c>
      <c r="N291" s="48" t="s">
        <v>840</v>
      </c>
      <c r="O291" s="48" t="s">
        <v>855</v>
      </c>
    </row>
    <row r="292" spans="1:15" ht="140.25" x14ac:dyDescent="0.2">
      <c r="A292" s="45" t="s">
        <v>856</v>
      </c>
      <c r="B292" s="46" t="s">
        <v>838</v>
      </c>
      <c r="C292" s="46" t="s">
        <v>838</v>
      </c>
      <c r="D292" s="46" t="s">
        <v>857</v>
      </c>
      <c r="E292" s="46" t="s">
        <v>68</v>
      </c>
      <c r="F292" s="46" t="s">
        <v>68</v>
      </c>
      <c r="G292" s="46" t="s">
        <v>68</v>
      </c>
      <c r="H292" s="46" t="s">
        <v>68</v>
      </c>
      <c r="I292" s="46" t="s">
        <v>68</v>
      </c>
      <c r="J292" s="46" t="s">
        <v>71</v>
      </c>
      <c r="K292" s="47">
        <v>180</v>
      </c>
      <c r="L292" s="47">
        <v>200</v>
      </c>
      <c r="M292" s="47">
        <f t="shared" si="4"/>
        <v>380</v>
      </c>
      <c r="N292" s="48" t="s">
        <v>840</v>
      </c>
      <c r="O292" s="48" t="s">
        <v>858</v>
      </c>
    </row>
    <row r="293" spans="1:15" ht="127.5" x14ac:dyDescent="0.2">
      <c r="A293" s="45" t="s">
        <v>859</v>
      </c>
      <c r="B293" s="46" t="s">
        <v>838</v>
      </c>
      <c r="C293" s="46" t="s">
        <v>838</v>
      </c>
      <c r="D293" s="46" t="s">
        <v>860</v>
      </c>
      <c r="E293" s="46" t="s">
        <v>68</v>
      </c>
      <c r="F293" s="46" t="s">
        <v>68</v>
      </c>
      <c r="G293" s="46" t="s">
        <v>68</v>
      </c>
      <c r="H293" s="46" t="s">
        <v>68</v>
      </c>
      <c r="I293" s="46" t="s">
        <v>68</v>
      </c>
      <c r="J293" s="46" t="s">
        <v>71</v>
      </c>
      <c r="K293" s="47">
        <v>180</v>
      </c>
      <c r="L293" s="47">
        <v>130</v>
      </c>
      <c r="M293" s="47">
        <f t="shared" si="4"/>
        <v>310</v>
      </c>
      <c r="N293" s="48" t="s">
        <v>840</v>
      </c>
      <c r="O293" s="48" t="s">
        <v>861</v>
      </c>
    </row>
    <row r="294" spans="1:15" ht="127.5" x14ac:dyDescent="0.2">
      <c r="A294" s="45" t="s">
        <v>862</v>
      </c>
      <c r="B294" s="46" t="s">
        <v>838</v>
      </c>
      <c r="C294" s="46" t="s">
        <v>838</v>
      </c>
      <c r="D294" s="46" t="s">
        <v>863</v>
      </c>
      <c r="E294" s="46" t="s">
        <v>68</v>
      </c>
      <c r="F294" s="46" t="s">
        <v>68</v>
      </c>
      <c r="G294" s="46" t="s">
        <v>68</v>
      </c>
      <c r="H294" s="46" t="s">
        <v>68</v>
      </c>
      <c r="I294" s="46" t="s">
        <v>68</v>
      </c>
      <c r="J294" s="46" t="s">
        <v>71</v>
      </c>
      <c r="K294" s="47">
        <v>240</v>
      </c>
      <c r="L294" s="47">
        <v>320</v>
      </c>
      <c r="M294" s="47">
        <f t="shared" si="4"/>
        <v>560</v>
      </c>
      <c r="N294" s="48" t="s">
        <v>840</v>
      </c>
      <c r="O294" s="48" t="s">
        <v>864</v>
      </c>
    </row>
    <row r="295" spans="1:15" ht="51" x14ac:dyDescent="0.2">
      <c r="A295" s="45" t="s">
        <v>865</v>
      </c>
      <c r="B295" s="46" t="s">
        <v>866</v>
      </c>
      <c r="C295" s="46" t="s">
        <v>866</v>
      </c>
      <c r="D295" s="46" t="s">
        <v>839</v>
      </c>
      <c r="E295" s="46" t="s">
        <v>68</v>
      </c>
      <c r="F295" s="46" t="s">
        <v>68</v>
      </c>
      <c r="G295" s="46" t="s">
        <v>68</v>
      </c>
      <c r="H295" s="46" t="s">
        <v>68</v>
      </c>
      <c r="I295" s="46" t="s">
        <v>867</v>
      </c>
      <c r="J295" s="46" t="s">
        <v>71</v>
      </c>
      <c r="K295" s="47">
        <v>150</v>
      </c>
      <c r="L295" s="47">
        <v>60</v>
      </c>
      <c r="M295" s="47">
        <f t="shared" si="4"/>
        <v>210</v>
      </c>
      <c r="N295" s="48" t="s">
        <v>868</v>
      </c>
      <c r="O295" s="48" t="s">
        <v>869</v>
      </c>
    </row>
    <row r="296" spans="1:15" ht="51" x14ac:dyDescent="0.2">
      <c r="A296" s="45" t="s">
        <v>870</v>
      </c>
      <c r="B296" s="46" t="s">
        <v>866</v>
      </c>
      <c r="C296" s="46" t="s">
        <v>866</v>
      </c>
      <c r="D296" s="46" t="s">
        <v>839</v>
      </c>
      <c r="E296" s="46" t="s">
        <v>68</v>
      </c>
      <c r="F296" s="46" t="s">
        <v>68</v>
      </c>
      <c r="G296" s="46" t="s">
        <v>68</v>
      </c>
      <c r="H296" s="46" t="s">
        <v>68</v>
      </c>
      <c r="I296" s="46" t="s">
        <v>871</v>
      </c>
      <c r="J296" s="46" t="s">
        <v>71</v>
      </c>
      <c r="K296" s="47">
        <v>160</v>
      </c>
      <c r="L296" s="47">
        <v>120</v>
      </c>
      <c r="M296" s="47">
        <f t="shared" si="4"/>
        <v>280</v>
      </c>
      <c r="N296" s="48" t="s">
        <v>872</v>
      </c>
      <c r="O296" s="48" t="s">
        <v>873</v>
      </c>
    </row>
    <row r="297" spans="1:15" ht="51" x14ac:dyDescent="0.2">
      <c r="A297" s="45" t="s">
        <v>874</v>
      </c>
      <c r="B297" s="46" t="s">
        <v>866</v>
      </c>
      <c r="C297" s="46" t="s">
        <v>866</v>
      </c>
      <c r="D297" s="46" t="s">
        <v>270</v>
      </c>
      <c r="E297" s="46" t="s">
        <v>68</v>
      </c>
      <c r="F297" s="46" t="s">
        <v>68</v>
      </c>
      <c r="G297" s="46" t="s">
        <v>68</v>
      </c>
      <c r="H297" s="46" t="s">
        <v>68</v>
      </c>
      <c r="I297" s="46" t="s">
        <v>867</v>
      </c>
      <c r="J297" s="46" t="s">
        <v>71</v>
      </c>
      <c r="K297" s="47">
        <v>160</v>
      </c>
      <c r="L297" s="47">
        <v>120</v>
      </c>
      <c r="M297" s="47">
        <f t="shared" si="4"/>
        <v>280</v>
      </c>
      <c r="N297" s="48" t="s">
        <v>875</v>
      </c>
      <c r="O297" s="48" t="s">
        <v>876</v>
      </c>
    </row>
    <row r="298" spans="1:15" ht="51" x14ac:dyDescent="0.2">
      <c r="A298" s="45" t="s">
        <v>877</v>
      </c>
      <c r="B298" s="46" t="s">
        <v>866</v>
      </c>
      <c r="C298" s="46" t="s">
        <v>866</v>
      </c>
      <c r="D298" s="46" t="s">
        <v>270</v>
      </c>
      <c r="E298" s="46" t="s">
        <v>68</v>
      </c>
      <c r="F298" s="46" t="s">
        <v>68</v>
      </c>
      <c r="G298" s="46" t="s">
        <v>68</v>
      </c>
      <c r="H298" s="46" t="s">
        <v>68</v>
      </c>
      <c r="I298" s="46" t="s">
        <v>871</v>
      </c>
      <c r="J298" s="46" t="s">
        <v>71</v>
      </c>
      <c r="K298" s="47">
        <v>180</v>
      </c>
      <c r="L298" s="47">
        <v>320</v>
      </c>
      <c r="M298" s="47">
        <f t="shared" si="4"/>
        <v>500</v>
      </c>
      <c r="N298" s="48" t="s">
        <v>878</v>
      </c>
      <c r="O298" s="48" t="s">
        <v>879</v>
      </c>
    </row>
    <row r="299" spans="1:15" ht="51" x14ac:dyDescent="0.2">
      <c r="A299" s="45" t="s">
        <v>880</v>
      </c>
      <c r="B299" s="46" t="s">
        <v>881</v>
      </c>
      <c r="C299" s="46" t="s">
        <v>881</v>
      </c>
      <c r="D299" s="46" t="s">
        <v>882</v>
      </c>
      <c r="E299" s="46" t="s">
        <v>68</v>
      </c>
      <c r="F299" s="46" t="s">
        <v>68</v>
      </c>
      <c r="G299" s="46" t="s">
        <v>68</v>
      </c>
      <c r="H299" s="46" t="s">
        <v>68</v>
      </c>
      <c r="I299" s="46" t="s">
        <v>68</v>
      </c>
      <c r="J299" s="46" t="s">
        <v>71</v>
      </c>
      <c r="K299" s="47">
        <v>210</v>
      </c>
      <c r="L299" s="47">
        <f>200+30+30</f>
        <v>260</v>
      </c>
      <c r="M299" s="47">
        <f t="shared" si="4"/>
        <v>470</v>
      </c>
      <c r="N299" s="48" t="s">
        <v>883</v>
      </c>
      <c r="O299" s="48" t="s">
        <v>884</v>
      </c>
    </row>
    <row r="300" spans="1:15" ht="102" x14ac:dyDescent="0.2">
      <c r="A300" s="45" t="s">
        <v>885</v>
      </c>
      <c r="B300" s="46" t="s">
        <v>881</v>
      </c>
      <c r="C300" s="46" t="s">
        <v>881</v>
      </c>
      <c r="D300" s="46" t="s">
        <v>882</v>
      </c>
      <c r="E300" s="46" t="s">
        <v>291</v>
      </c>
      <c r="F300" s="46" t="s">
        <v>124</v>
      </c>
      <c r="G300" s="46" t="s">
        <v>68</v>
      </c>
      <c r="H300" s="46" t="s">
        <v>68</v>
      </c>
      <c r="I300" s="46" t="s">
        <v>68</v>
      </c>
      <c r="J300" s="46" t="s">
        <v>71</v>
      </c>
      <c r="K300" s="47">
        <f>ROUND($K$299*2,0)</f>
        <v>420</v>
      </c>
      <c r="L300" s="47">
        <f>L299+100</f>
        <v>360</v>
      </c>
      <c r="M300" s="47">
        <f t="shared" si="4"/>
        <v>780</v>
      </c>
      <c r="N300" s="48" t="s">
        <v>883</v>
      </c>
      <c r="O300" s="48" t="s">
        <v>886</v>
      </c>
    </row>
    <row r="301" spans="1:15" ht="89.25" x14ac:dyDescent="0.2">
      <c r="A301" s="45" t="s">
        <v>887</v>
      </c>
      <c r="B301" s="46" t="s">
        <v>881</v>
      </c>
      <c r="C301" s="46" t="s">
        <v>881</v>
      </c>
      <c r="D301" s="46" t="s">
        <v>882</v>
      </c>
      <c r="E301" s="46" t="s">
        <v>291</v>
      </c>
      <c r="F301" s="46" t="s">
        <v>337</v>
      </c>
      <c r="G301" s="46" t="s">
        <v>129</v>
      </c>
      <c r="H301" s="46" t="s">
        <v>68</v>
      </c>
      <c r="I301" s="46" t="s">
        <v>68</v>
      </c>
      <c r="J301" s="46" t="s">
        <v>71</v>
      </c>
      <c r="K301" s="47">
        <f>ROUND($K$299*2.5,0)</f>
        <v>525</v>
      </c>
      <c r="L301" s="47">
        <f>L299+100+(5*2)</f>
        <v>370</v>
      </c>
      <c r="M301" s="47">
        <f t="shared" si="4"/>
        <v>895</v>
      </c>
      <c r="N301" s="48" t="s">
        <v>883</v>
      </c>
      <c r="O301" s="71" t="s">
        <v>888</v>
      </c>
    </row>
    <row r="302" spans="1:15" ht="76.5" x14ac:dyDescent="0.2">
      <c r="A302" s="45" t="s">
        <v>889</v>
      </c>
      <c r="B302" s="46" t="s">
        <v>881</v>
      </c>
      <c r="C302" s="46" t="s">
        <v>881</v>
      </c>
      <c r="D302" s="46" t="s">
        <v>882</v>
      </c>
      <c r="E302" s="46" t="s">
        <v>291</v>
      </c>
      <c r="F302" s="46" t="s">
        <v>128</v>
      </c>
      <c r="G302" s="46" t="s">
        <v>132</v>
      </c>
      <c r="H302" s="46" t="s">
        <v>68</v>
      </c>
      <c r="I302" s="46" t="s">
        <v>68</v>
      </c>
      <c r="J302" s="46" t="s">
        <v>71</v>
      </c>
      <c r="K302" s="47">
        <f>ROUND($K$299*3,0)</f>
        <v>630</v>
      </c>
      <c r="L302" s="47">
        <f>L299+100+(5*4)</f>
        <v>380</v>
      </c>
      <c r="M302" s="47">
        <f t="shared" si="4"/>
        <v>1010</v>
      </c>
      <c r="N302" s="48" t="s">
        <v>883</v>
      </c>
      <c r="O302" s="71" t="s">
        <v>890</v>
      </c>
    </row>
    <row r="303" spans="1:15" ht="89.25" x14ac:dyDescent="0.2">
      <c r="A303" s="45" t="s">
        <v>891</v>
      </c>
      <c r="B303" s="46" t="s">
        <v>881</v>
      </c>
      <c r="C303" s="46" t="s">
        <v>881</v>
      </c>
      <c r="D303" s="46" t="s">
        <v>882</v>
      </c>
      <c r="E303" s="46" t="s">
        <v>291</v>
      </c>
      <c r="F303" s="46" t="s">
        <v>135</v>
      </c>
      <c r="G303" s="46" t="s">
        <v>136</v>
      </c>
      <c r="H303" s="46" t="s">
        <v>129</v>
      </c>
      <c r="I303" s="46" t="s">
        <v>68</v>
      </c>
      <c r="J303" s="46" t="s">
        <v>71</v>
      </c>
      <c r="K303" s="47">
        <f>ROUND($K$299*2.5,0)</f>
        <v>525</v>
      </c>
      <c r="L303" s="47">
        <f>L299+100+(25*2)</f>
        <v>410</v>
      </c>
      <c r="M303" s="47">
        <f t="shared" si="4"/>
        <v>935</v>
      </c>
      <c r="N303" s="48" t="s">
        <v>883</v>
      </c>
      <c r="O303" s="71" t="s">
        <v>892</v>
      </c>
    </row>
    <row r="304" spans="1:15" ht="89.25" x14ac:dyDescent="0.2">
      <c r="A304" s="45" t="s">
        <v>893</v>
      </c>
      <c r="B304" s="46" t="s">
        <v>881</v>
      </c>
      <c r="C304" s="46" t="s">
        <v>881</v>
      </c>
      <c r="D304" s="46" t="s">
        <v>882</v>
      </c>
      <c r="E304" s="46" t="s">
        <v>291</v>
      </c>
      <c r="F304" s="46" t="s">
        <v>135</v>
      </c>
      <c r="G304" s="46" t="s">
        <v>136</v>
      </c>
      <c r="H304" s="46" t="s">
        <v>132</v>
      </c>
      <c r="I304" s="46" t="s">
        <v>68</v>
      </c>
      <c r="J304" s="46" t="s">
        <v>71</v>
      </c>
      <c r="K304" s="47">
        <f>ROUND($K$299*3,0)</f>
        <v>630</v>
      </c>
      <c r="L304" s="47">
        <f>L299+120+(25*4)</f>
        <v>480</v>
      </c>
      <c r="M304" s="47">
        <f t="shared" si="4"/>
        <v>1110</v>
      </c>
      <c r="N304" s="48" t="s">
        <v>883</v>
      </c>
      <c r="O304" s="71" t="s">
        <v>894</v>
      </c>
    </row>
    <row r="305" spans="1:15" ht="89.25" x14ac:dyDescent="0.2">
      <c r="A305" s="45" t="s">
        <v>895</v>
      </c>
      <c r="B305" s="46" t="s">
        <v>881</v>
      </c>
      <c r="C305" s="46" t="s">
        <v>881</v>
      </c>
      <c r="D305" s="46" t="s">
        <v>882</v>
      </c>
      <c r="E305" s="46" t="s">
        <v>291</v>
      </c>
      <c r="F305" s="46" t="s">
        <v>135</v>
      </c>
      <c r="G305" s="46" t="s">
        <v>136</v>
      </c>
      <c r="H305" s="46" t="s">
        <v>141</v>
      </c>
      <c r="I305" s="46" t="s">
        <v>68</v>
      </c>
      <c r="J305" s="46" t="s">
        <v>71</v>
      </c>
      <c r="K305" s="47">
        <f>ROUND($K$299*3.5,0)</f>
        <v>735</v>
      </c>
      <c r="L305" s="47">
        <f>L299+140+(25*6)</f>
        <v>550</v>
      </c>
      <c r="M305" s="47">
        <f t="shared" si="4"/>
        <v>1285</v>
      </c>
      <c r="N305" s="48" t="s">
        <v>883</v>
      </c>
      <c r="O305" s="71" t="s">
        <v>896</v>
      </c>
    </row>
    <row r="306" spans="1:15" ht="89.25" x14ac:dyDescent="0.2">
      <c r="A306" s="45" t="s">
        <v>897</v>
      </c>
      <c r="B306" s="46" t="s">
        <v>881</v>
      </c>
      <c r="C306" s="46" t="s">
        <v>881</v>
      </c>
      <c r="D306" s="46" t="s">
        <v>882</v>
      </c>
      <c r="E306" s="46" t="s">
        <v>291</v>
      </c>
      <c r="F306" s="46" t="s">
        <v>135</v>
      </c>
      <c r="G306" s="46" t="s">
        <v>144</v>
      </c>
      <c r="H306" s="46" t="s">
        <v>129</v>
      </c>
      <c r="I306" s="46" t="s">
        <v>68</v>
      </c>
      <c r="J306" s="46" t="s">
        <v>71</v>
      </c>
      <c r="K306" s="47">
        <f>ROUND($K$299*3,0)</f>
        <v>630</v>
      </c>
      <c r="L306" s="47">
        <f>L299+100+(50*2)</f>
        <v>460</v>
      </c>
      <c r="M306" s="47">
        <f t="shared" si="4"/>
        <v>1090</v>
      </c>
      <c r="N306" s="48" t="s">
        <v>883</v>
      </c>
      <c r="O306" s="71" t="s">
        <v>898</v>
      </c>
    </row>
    <row r="307" spans="1:15" ht="89.25" x14ac:dyDescent="0.2">
      <c r="A307" s="45" t="s">
        <v>899</v>
      </c>
      <c r="B307" s="46" t="s">
        <v>881</v>
      </c>
      <c r="C307" s="46" t="s">
        <v>881</v>
      </c>
      <c r="D307" s="46" t="s">
        <v>882</v>
      </c>
      <c r="E307" s="46" t="s">
        <v>291</v>
      </c>
      <c r="F307" s="46" t="s">
        <v>135</v>
      </c>
      <c r="G307" s="46" t="s">
        <v>144</v>
      </c>
      <c r="H307" s="46" t="s">
        <v>132</v>
      </c>
      <c r="I307" s="46" t="s">
        <v>68</v>
      </c>
      <c r="J307" s="46" t="s">
        <v>71</v>
      </c>
      <c r="K307" s="47">
        <f>ROUND($K$299*3.5,0)</f>
        <v>735</v>
      </c>
      <c r="L307" s="47">
        <f>L299+120+(50*4)</f>
        <v>580</v>
      </c>
      <c r="M307" s="47">
        <f t="shared" si="4"/>
        <v>1315</v>
      </c>
      <c r="N307" s="48" t="s">
        <v>883</v>
      </c>
      <c r="O307" s="71" t="s">
        <v>900</v>
      </c>
    </row>
    <row r="308" spans="1:15" ht="89.25" x14ac:dyDescent="0.2">
      <c r="A308" s="45" t="s">
        <v>901</v>
      </c>
      <c r="B308" s="46" t="s">
        <v>881</v>
      </c>
      <c r="C308" s="46" t="s">
        <v>881</v>
      </c>
      <c r="D308" s="46" t="s">
        <v>882</v>
      </c>
      <c r="E308" s="46" t="s">
        <v>291</v>
      </c>
      <c r="F308" s="46" t="s">
        <v>135</v>
      </c>
      <c r="G308" s="46" t="s">
        <v>149</v>
      </c>
      <c r="H308" s="46" t="s">
        <v>129</v>
      </c>
      <c r="I308" s="46" t="s">
        <v>68</v>
      </c>
      <c r="J308" s="46" t="s">
        <v>71</v>
      </c>
      <c r="K308" s="47">
        <f>ROUND($K$299*3,0)</f>
        <v>630</v>
      </c>
      <c r="L308" s="47">
        <f>L299+120+(75*2)</f>
        <v>530</v>
      </c>
      <c r="M308" s="47">
        <f t="shared" si="4"/>
        <v>1160</v>
      </c>
      <c r="N308" s="48" t="s">
        <v>883</v>
      </c>
      <c r="O308" s="71" t="s">
        <v>902</v>
      </c>
    </row>
    <row r="309" spans="1:15" ht="89.25" x14ac:dyDescent="0.2">
      <c r="A309" s="45" t="s">
        <v>903</v>
      </c>
      <c r="B309" s="46" t="s">
        <v>881</v>
      </c>
      <c r="C309" s="46" t="s">
        <v>881</v>
      </c>
      <c r="D309" s="46" t="s">
        <v>882</v>
      </c>
      <c r="E309" s="46" t="s">
        <v>291</v>
      </c>
      <c r="F309" s="46" t="s">
        <v>135</v>
      </c>
      <c r="G309" s="46" t="s">
        <v>149</v>
      </c>
      <c r="H309" s="46" t="s">
        <v>132</v>
      </c>
      <c r="I309" s="46" t="s">
        <v>68</v>
      </c>
      <c r="J309" s="46" t="s">
        <v>71</v>
      </c>
      <c r="K309" s="47">
        <f>ROUND($K$299*3.5,0)</f>
        <v>735</v>
      </c>
      <c r="L309" s="47">
        <f>L299+140+(75*4)</f>
        <v>700</v>
      </c>
      <c r="M309" s="47">
        <f t="shared" si="4"/>
        <v>1435</v>
      </c>
      <c r="N309" s="48" t="s">
        <v>883</v>
      </c>
      <c r="O309" s="71" t="s">
        <v>904</v>
      </c>
    </row>
    <row r="310" spans="1:15" ht="89.25" x14ac:dyDescent="0.2">
      <c r="A310" s="45" t="s">
        <v>905</v>
      </c>
      <c r="B310" s="46" t="s">
        <v>881</v>
      </c>
      <c r="C310" s="46" t="s">
        <v>881</v>
      </c>
      <c r="D310" s="46" t="s">
        <v>882</v>
      </c>
      <c r="E310" s="46" t="s">
        <v>291</v>
      </c>
      <c r="F310" s="46" t="s">
        <v>135</v>
      </c>
      <c r="G310" s="46" t="s">
        <v>154</v>
      </c>
      <c r="H310" s="46" t="s">
        <v>129</v>
      </c>
      <c r="I310" s="46" t="s">
        <v>68</v>
      </c>
      <c r="J310" s="46" t="s">
        <v>71</v>
      </c>
      <c r="K310" s="47">
        <f>ROUND($K$299*3,0)</f>
        <v>630</v>
      </c>
      <c r="L310" s="47">
        <f>L299+140+(100*2)</f>
        <v>600</v>
      </c>
      <c r="M310" s="47">
        <f t="shared" si="4"/>
        <v>1230</v>
      </c>
      <c r="N310" s="48" t="s">
        <v>883</v>
      </c>
      <c r="O310" s="71" t="s">
        <v>906</v>
      </c>
    </row>
    <row r="311" spans="1:15" ht="89.25" x14ac:dyDescent="0.2">
      <c r="A311" s="45" t="s">
        <v>907</v>
      </c>
      <c r="B311" s="46" t="s">
        <v>881</v>
      </c>
      <c r="C311" s="46" t="s">
        <v>881</v>
      </c>
      <c r="D311" s="46" t="s">
        <v>882</v>
      </c>
      <c r="E311" s="46" t="s">
        <v>291</v>
      </c>
      <c r="F311" s="46" t="s">
        <v>135</v>
      </c>
      <c r="G311" s="46" t="s">
        <v>154</v>
      </c>
      <c r="H311" s="46" t="s">
        <v>132</v>
      </c>
      <c r="I311" s="46" t="s">
        <v>68</v>
      </c>
      <c r="J311" s="46" t="s">
        <v>71</v>
      </c>
      <c r="K311" s="47">
        <f>ROUND($K$299*3.5,0)</f>
        <v>735</v>
      </c>
      <c r="L311" s="47">
        <f>L299+160+(100*4)</f>
        <v>820</v>
      </c>
      <c r="M311" s="47">
        <f t="shared" si="4"/>
        <v>1555</v>
      </c>
      <c r="N311" s="48" t="s">
        <v>883</v>
      </c>
      <c r="O311" s="71" t="s">
        <v>908</v>
      </c>
    </row>
    <row r="312" spans="1:15" ht="89.25" x14ac:dyDescent="0.2">
      <c r="A312" s="45" t="s">
        <v>909</v>
      </c>
      <c r="B312" s="46" t="s">
        <v>881</v>
      </c>
      <c r="C312" s="46" t="s">
        <v>881</v>
      </c>
      <c r="D312" s="46" t="s">
        <v>882</v>
      </c>
      <c r="E312" s="46" t="s">
        <v>291</v>
      </c>
      <c r="F312" s="46" t="s">
        <v>159</v>
      </c>
      <c r="G312" s="46" t="s">
        <v>132</v>
      </c>
      <c r="H312" s="46" t="s">
        <v>68</v>
      </c>
      <c r="I312" s="46" t="s">
        <v>68</v>
      </c>
      <c r="J312" s="46" t="s">
        <v>71</v>
      </c>
      <c r="K312" s="47">
        <f>ROUND($K$299*2,0)</f>
        <v>420</v>
      </c>
      <c r="L312" s="47">
        <f>L299+100</f>
        <v>360</v>
      </c>
      <c r="M312" s="47">
        <f t="shared" si="4"/>
        <v>780</v>
      </c>
      <c r="N312" s="48" t="s">
        <v>883</v>
      </c>
      <c r="O312" s="71" t="s">
        <v>910</v>
      </c>
    </row>
    <row r="313" spans="1:15" ht="51" x14ac:dyDescent="0.2">
      <c r="A313" s="45" t="s">
        <v>911</v>
      </c>
      <c r="B313" s="46" t="s">
        <v>912</v>
      </c>
      <c r="C313" s="46" t="s">
        <v>912</v>
      </c>
      <c r="D313" s="46" t="s">
        <v>913</v>
      </c>
      <c r="E313" s="46" t="s">
        <v>68</v>
      </c>
      <c r="F313" s="46" t="s">
        <v>68</v>
      </c>
      <c r="G313" s="46" t="s">
        <v>68</v>
      </c>
      <c r="H313" s="46" t="s">
        <v>68</v>
      </c>
      <c r="I313" s="46" t="s">
        <v>68</v>
      </c>
      <c r="J313" s="46" t="s">
        <v>71</v>
      </c>
      <c r="K313" s="47">
        <v>220</v>
      </c>
      <c r="L313" s="47">
        <v>520</v>
      </c>
      <c r="M313" s="47">
        <f t="shared" si="4"/>
        <v>740</v>
      </c>
      <c r="N313" s="46" t="s">
        <v>914</v>
      </c>
      <c r="O313" s="71" t="s">
        <v>915</v>
      </c>
    </row>
    <row r="314" spans="1:15" ht="51" x14ac:dyDescent="0.2">
      <c r="A314" s="45" t="s">
        <v>916</v>
      </c>
      <c r="B314" s="46" t="s">
        <v>917</v>
      </c>
      <c r="C314" s="46" t="s">
        <v>917</v>
      </c>
      <c r="D314" s="46" t="s">
        <v>254</v>
      </c>
      <c r="E314" s="46" t="s">
        <v>68</v>
      </c>
      <c r="F314" s="46" t="s">
        <v>68</v>
      </c>
      <c r="G314" s="46" t="s">
        <v>68</v>
      </c>
      <c r="H314" s="46" t="s">
        <v>68</v>
      </c>
      <c r="I314" s="46" t="s">
        <v>68</v>
      </c>
      <c r="J314" s="46" t="s">
        <v>71</v>
      </c>
      <c r="K314" s="47">
        <v>140</v>
      </c>
      <c r="L314" s="47">
        <v>60</v>
      </c>
      <c r="M314" s="47">
        <f t="shared" si="4"/>
        <v>200</v>
      </c>
      <c r="N314" s="46" t="s">
        <v>918</v>
      </c>
      <c r="O314" s="71" t="s">
        <v>919</v>
      </c>
    </row>
    <row r="315" spans="1:15" ht="51" x14ac:dyDescent="0.2">
      <c r="A315" s="45" t="s">
        <v>920</v>
      </c>
      <c r="B315" s="46" t="s">
        <v>921</v>
      </c>
      <c r="C315" s="46" t="s">
        <v>921</v>
      </c>
      <c r="D315" s="46" t="s">
        <v>254</v>
      </c>
      <c r="E315" s="46" t="s">
        <v>68</v>
      </c>
      <c r="F315" s="46" t="s">
        <v>68</v>
      </c>
      <c r="G315" s="46" t="s">
        <v>68</v>
      </c>
      <c r="H315" s="46" t="s">
        <v>68</v>
      </c>
      <c r="I315" s="46" t="s">
        <v>68</v>
      </c>
      <c r="J315" s="46" t="s">
        <v>71</v>
      </c>
      <c r="K315" s="47">
        <v>140</v>
      </c>
      <c r="L315" s="47">
        <v>60</v>
      </c>
      <c r="M315" s="47">
        <f t="shared" si="4"/>
        <v>200</v>
      </c>
      <c r="N315" s="46" t="s">
        <v>922</v>
      </c>
      <c r="O315" s="71" t="s">
        <v>923</v>
      </c>
    </row>
    <row r="316" spans="1:15" ht="12.75" x14ac:dyDescent="0.2">
      <c r="A316" s="34" t="s">
        <v>924</v>
      </c>
      <c r="B316" s="35" t="s">
        <v>68</v>
      </c>
      <c r="C316" s="35" t="s">
        <v>68</v>
      </c>
      <c r="D316" s="35" t="s">
        <v>68</v>
      </c>
      <c r="E316" s="35" t="s">
        <v>68</v>
      </c>
      <c r="F316" s="35" t="s">
        <v>68</v>
      </c>
      <c r="G316" s="35" t="s">
        <v>68</v>
      </c>
      <c r="H316" s="35" t="s">
        <v>68</v>
      </c>
      <c r="I316" s="35" t="s">
        <v>68</v>
      </c>
      <c r="J316" s="35" t="s">
        <v>68</v>
      </c>
      <c r="K316" s="36" t="s">
        <v>68</v>
      </c>
      <c r="L316" s="36" t="s">
        <v>68</v>
      </c>
      <c r="M316" s="47">
        <f t="shared" si="4"/>
        <v>0</v>
      </c>
      <c r="N316" s="35"/>
      <c r="O316" s="35" t="s">
        <v>68</v>
      </c>
    </row>
    <row r="317" spans="1:15" ht="51" x14ac:dyDescent="0.2">
      <c r="A317" s="45" t="s">
        <v>925</v>
      </c>
      <c r="B317" s="46" t="s">
        <v>926</v>
      </c>
      <c r="C317" s="46" t="s">
        <v>926</v>
      </c>
      <c r="D317" s="46" t="s">
        <v>927</v>
      </c>
      <c r="E317" s="46" t="s">
        <v>254</v>
      </c>
      <c r="F317" s="46" t="s">
        <v>454</v>
      </c>
      <c r="G317" s="46" t="s">
        <v>68</v>
      </c>
      <c r="H317" s="46" t="s">
        <v>68</v>
      </c>
      <c r="I317" s="46"/>
      <c r="J317" s="46" t="s">
        <v>71</v>
      </c>
      <c r="K317" s="47">
        <v>140</v>
      </c>
      <c r="L317" s="47">
        <v>50</v>
      </c>
      <c r="M317" s="47">
        <f t="shared" si="4"/>
        <v>190</v>
      </c>
      <c r="N317" s="46" t="s">
        <v>928</v>
      </c>
      <c r="O317" s="71" t="s">
        <v>929</v>
      </c>
    </row>
    <row r="318" spans="1:15" ht="51" x14ac:dyDescent="0.2">
      <c r="A318" s="45" t="s">
        <v>930</v>
      </c>
      <c r="B318" s="46" t="s">
        <v>926</v>
      </c>
      <c r="C318" s="46" t="s">
        <v>926</v>
      </c>
      <c r="D318" s="46" t="s">
        <v>927</v>
      </c>
      <c r="E318" s="46" t="s">
        <v>257</v>
      </c>
      <c r="F318" s="46" t="s">
        <v>445</v>
      </c>
      <c r="G318" s="46" t="s">
        <v>68</v>
      </c>
      <c r="H318" s="46" t="s">
        <v>68</v>
      </c>
      <c r="I318" s="46"/>
      <c r="J318" s="46" t="s">
        <v>71</v>
      </c>
      <c r="K318" s="47">
        <v>150</v>
      </c>
      <c r="L318" s="47">
        <v>100</v>
      </c>
      <c r="M318" s="47">
        <f t="shared" si="4"/>
        <v>250</v>
      </c>
      <c r="N318" s="46" t="s">
        <v>928</v>
      </c>
      <c r="O318" s="71" t="s">
        <v>931</v>
      </c>
    </row>
    <row r="319" spans="1:15" ht="51" x14ac:dyDescent="0.2">
      <c r="A319" s="45" t="s">
        <v>932</v>
      </c>
      <c r="B319" s="46" t="s">
        <v>926</v>
      </c>
      <c r="C319" s="46" t="s">
        <v>926</v>
      </c>
      <c r="D319" s="46" t="s">
        <v>927</v>
      </c>
      <c r="E319" s="46" t="s">
        <v>257</v>
      </c>
      <c r="F319" s="46" t="s">
        <v>449</v>
      </c>
      <c r="G319" s="46" t="s">
        <v>68</v>
      </c>
      <c r="H319" s="46" t="s">
        <v>68</v>
      </c>
      <c r="I319" s="46"/>
      <c r="J319" s="46" t="s">
        <v>71</v>
      </c>
      <c r="K319" s="47">
        <v>350</v>
      </c>
      <c r="L319" s="47">
        <v>900</v>
      </c>
      <c r="M319" s="47">
        <f t="shared" si="4"/>
        <v>1250</v>
      </c>
      <c r="N319" s="46" t="s">
        <v>928</v>
      </c>
      <c r="O319" s="71" t="s">
        <v>933</v>
      </c>
    </row>
    <row r="320" spans="1:15" ht="51" x14ac:dyDescent="0.2">
      <c r="A320" s="45" t="s">
        <v>934</v>
      </c>
      <c r="B320" s="46" t="s">
        <v>926</v>
      </c>
      <c r="C320" s="46" t="s">
        <v>926</v>
      </c>
      <c r="D320" s="46" t="s">
        <v>935</v>
      </c>
      <c r="E320" s="46" t="s">
        <v>257</v>
      </c>
      <c r="F320" s="46"/>
      <c r="G320" s="46"/>
      <c r="H320" s="46"/>
      <c r="I320" s="46"/>
      <c r="J320" s="46" t="s">
        <v>71</v>
      </c>
      <c r="K320" s="47">
        <v>300</v>
      </c>
      <c r="L320" s="47">
        <v>340</v>
      </c>
      <c r="M320" s="47">
        <f t="shared" si="4"/>
        <v>640</v>
      </c>
      <c r="N320" s="46" t="s">
        <v>928</v>
      </c>
      <c r="O320" s="71" t="s">
        <v>936</v>
      </c>
    </row>
    <row r="321" spans="1:15" ht="51" x14ac:dyDescent="0.2">
      <c r="A321" s="45" t="s">
        <v>937</v>
      </c>
      <c r="B321" s="46" t="s">
        <v>938</v>
      </c>
      <c r="C321" s="46" t="s">
        <v>938</v>
      </c>
      <c r="D321" s="46" t="s">
        <v>257</v>
      </c>
      <c r="E321" s="46" t="s">
        <v>68</v>
      </c>
      <c r="F321" s="46" t="s">
        <v>68</v>
      </c>
      <c r="G321" s="46" t="s">
        <v>68</v>
      </c>
      <c r="H321" s="46" t="s">
        <v>68</v>
      </c>
      <c r="I321" s="46" t="s">
        <v>68</v>
      </c>
      <c r="J321" s="46" t="s">
        <v>71</v>
      </c>
      <c r="K321" s="47">
        <v>140</v>
      </c>
      <c r="L321" s="47">
        <v>60</v>
      </c>
      <c r="M321" s="47">
        <f t="shared" si="4"/>
        <v>200</v>
      </c>
      <c r="N321" s="46" t="s">
        <v>939</v>
      </c>
      <c r="O321" s="71" t="s">
        <v>940</v>
      </c>
    </row>
    <row r="322" spans="1:15" ht="76.5" x14ac:dyDescent="0.2">
      <c r="A322" s="45" t="s">
        <v>941</v>
      </c>
      <c r="B322" s="46" t="s">
        <v>942</v>
      </c>
      <c r="C322" s="46" t="s">
        <v>942</v>
      </c>
      <c r="D322" s="46" t="s">
        <v>943</v>
      </c>
      <c r="E322" s="46" t="s">
        <v>68</v>
      </c>
      <c r="F322" s="46" t="s">
        <v>68</v>
      </c>
      <c r="G322" s="46" t="s">
        <v>68</v>
      </c>
      <c r="H322" s="46" t="s">
        <v>68</v>
      </c>
      <c r="I322" s="46" t="s">
        <v>68</v>
      </c>
      <c r="J322" s="46" t="s">
        <v>71</v>
      </c>
      <c r="K322" s="47">
        <v>200</v>
      </c>
      <c r="L322" s="47">
        <v>320</v>
      </c>
      <c r="M322" s="47">
        <f t="shared" si="4"/>
        <v>520</v>
      </c>
      <c r="N322" s="46" t="s">
        <v>944</v>
      </c>
      <c r="O322" s="71" t="s">
        <v>945</v>
      </c>
    </row>
    <row r="323" spans="1:15" ht="12.75" x14ac:dyDescent="0.2">
      <c r="A323" s="34" t="s">
        <v>946</v>
      </c>
      <c r="B323" s="35" t="s">
        <v>68</v>
      </c>
      <c r="C323" s="35" t="s">
        <v>68</v>
      </c>
      <c r="D323" s="35" t="s">
        <v>68</v>
      </c>
      <c r="E323" s="35" t="s">
        <v>68</v>
      </c>
      <c r="F323" s="35" t="s">
        <v>68</v>
      </c>
      <c r="G323" s="35" t="s">
        <v>68</v>
      </c>
      <c r="H323" s="35" t="s">
        <v>68</v>
      </c>
      <c r="I323" s="35" t="s">
        <v>68</v>
      </c>
      <c r="J323" s="35" t="s">
        <v>68</v>
      </c>
      <c r="K323" s="36" t="s">
        <v>68</v>
      </c>
      <c r="L323" s="36" t="s">
        <v>68</v>
      </c>
      <c r="M323" s="47">
        <f t="shared" si="4"/>
        <v>0</v>
      </c>
      <c r="N323" s="35"/>
      <c r="O323" s="35" t="s">
        <v>68</v>
      </c>
    </row>
    <row r="324" spans="1:15" ht="38.25" x14ac:dyDescent="0.2">
      <c r="A324" s="45" t="s">
        <v>947</v>
      </c>
      <c r="B324" s="46" t="s">
        <v>948</v>
      </c>
      <c r="C324" s="105" t="s">
        <v>6574</v>
      </c>
      <c r="D324" s="46" t="s">
        <v>949</v>
      </c>
      <c r="E324" s="46" t="s">
        <v>254</v>
      </c>
      <c r="F324" s="46" t="s">
        <v>68</v>
      </c>
      <c r="G324" s="46" t="s">
        <v>68</v>
      </c>
      <c r="H324" s="46" t="s">
        <v>68</v>
      </c>
      <c r="I324" s="46" t="s">
        <v>68</v>
      </c>
      <c r="J324" s="46" t="s">
        <v>71</v>
      </c>
      <c r="K324" s="47">
        <v>140</v>
      </c>
      <c r="L324" s="47">
        <v>30</v>
      </c>
      <c r="M324" s="47">
        <f t="shared" si="4"/>
        <v>170</v>
      </c>
      <c r="N324" s="46" t="s">
        <v>950</v>
      </c>
      <c r="O324" s="71" t="s">
        <v>951</v>
      </c>
    </row>
    <row r="325" spans="1:15" ht="51" x14ac:dyDescent="0.2">
      <c r="A325" s="45" t="s">
        <v>952</v>
      </c>
      <c r="B325" s="46" t="s">
        <v>948</v>
      </c>
      <c r="C325" s="105" t="s">
        <v>6574</v>
      </c>
      <c r="D325" s="46" t="s">
        <v>949</v>
      </c>
      <c r="E325" s="46" t="s">
        <v>254</v>
      </c>
      <c r="F325" s="46" t="s">
        <v>953</v>
      </c>
      <c r="G325" s="46" t="s">
        <v>68</v>
      </c>
      <c r="H325" s="46" t="s">
        <v>68</v>
      </c>
      <c r="I325" s="46" t="s">
        <v>68</v>
      </c>
      <c r="J325" s="46" t="s">
        <v>71</v>
      </c>
      <c r="K325" s="47">
        <v>140</v>
      </c>
      <c r="L325" s="47">
        <v>50</v>
      </c>
      <c r="M325" s="47">
        <f t="shared" si="4"/>
        <v>190</v>
      </c>
      <c r="N325" s="46" t="s">
        <v>950</v>
      </c>
      <c r="O325" s="71" t="s">
        <v>954</v>
      </c>
    </row>
    <row r="326" spans="1:15" ht="51" x14ac:dyDescent="0.2">
      <c r="A326" s="45" t="s">
        <v>955</v>
      </c>
      <c r="B326" s="46" t="s">
        <v>948</v>
      </c>
      <c r="C326" s="105" t="s">
        <v>6573</v>
      </c>
      <c r="D326" s="46" t="s">
        <v>956</v>
      </c>
      <c r="E326" s="46" t="s">
        <v>257</v>
      </c>
      <c r="F326" s="46" t="s">
        <v>68</v>
      </c>
      <c r="G326" s="46" t="s">
        <v>68</v>
      </c>
      <c r="H326" s="46" t="s">
        <v>68</v>
      </c>
      <c r="I326" s="46" t="s">
        <v>445</v>
      </c>
      <c r="J326" s="46" t="s">
        <v>71</v>
      </c>
      <c r="K326" s="47">
        <v>170</v>
      </c>
      <c r="L326" s="47">
        <v>150</v>
      </c>
      <c r="M326" s="47">
        <f t="shared" si="4"/>
        <v>320</v>
      </c>
      <c r="N326" s="46" t="s">
        <v>950</v>
      </c>
      <c r="O326" s="71" t="s">
        <v>957</v>
      </c>
    </row>
    <row r="327" spans="1:15" ht="51" x14ac:dyDescent="0.2">
      <c r="A327" s="45" t="s">
        <v>958</v>
      </c>
      <c r="B327" s="46" t="s">
        <v>948</v>
      </c>
      <c r="C327" s="105" t="s">
        <v>6574</v>
      </c>
      <c r="D327" s="46" t="s">
        <v>956</v>
      </c>
      <c r="E327" s="46" t="s">
        <v>257</v>
      </c>
      <c r="F327" s="46" t="s">
        <v>68</v>
      </c>
      <c r="G327" s="46" t="s">
        <v>68</v>
      </c>
      <c r="H327" s="46" t="s">
        <v>68</v>
      </c>
      <c r="I327" s="46" t="s">
        <v>449</v>
      </c>
      <c r="J327" s="46" t="s">
        <v>71</v>
      </c>
      <c r="K327" s="47">
        <v>190</v>
      </c>
      <c r="L327" s="47">
        <v>250</v>
      </c>
      <c r="M327" s="47">
        <f t="shared" ref="M327:M390" si="5">SUM(K327:L327)</f>
        <v>440</v>
      </c>
      <c r="N327" s="46" t="s">
        <v>950</v>
      </c>
      <c r="O327" s="71" t="s">
        <v>959</v>
      </c>
    </row>
    <row r="328" spans="1:15" ht="51" x14ac:dyDescent="0.2">
      <c r="A328" s="45" t="s">
        <v>960</v>
      </c>
      <c r="B328" s="46" t="s">
        <v>948</v>
      </c>
      <c r="C328" s="105" t="s">
        <v>6573</v>
      </c>
      <c r="D328" s="46" t="s">
        <v>956</v>
      </c>
      <c r="E328" s="46" t="s">
        <v>257</v>
      </c>
      <c r="F328" s="46" t="s">
        <v>953</v>
      </c>
      <c r="G328" s="46" t="s">
        <v>68</v>
      </c>
      <c r="H328" s="46" t="s">
        <v>68</v>
      </c>
      <c r="I328" s="46" t="s">
        <v>449</v>
      </c>
      <c r="J328" s="46" t="s">
        <v>71</v>
      </c>
      <c r="K328" s="47">
        <v>250</v>
      </c>
      <c r="L328" s="47">
        <v>540</v>
      </c>
      <c r="M328" s="47">
        <f t="shared" si="5"/>
        <v>790</v>
      </c>
      <c r="N328" s="46" t="s">
        <v>950</v>
      </c>
      <c r="O328" s="71" t="s">
        <v>961</v>
      </c>
    </row>
    <row r="329" spans="1:15" ht="51" x14ac:dyDescent="0.2">
      <c r="A329" s="45" t="s">
        <v>962</v>
      </c>
      <c r="B329" s="46" t="s">
        <v>963</v>
      </c>
      <c r="C329" s="105" t="s">
        <v>6575</v>
      </c>
      <c r="D329" s="46" t="s">
        <v>964</v>
      </c>
      <c r="E329" s="46" t="s">
        <v>254</v>
      </c>
      <c r="F329" s="46" t="s">
        <v>68</v>
      </c>
      <c r="G329" s="46" t="s">
        <v>68</v>
      </c>
      <c r="H329" s="46" t="s">
        <v>68</v>
      </c>
      <c r="I329" s="46" t="s">
        <v>68</v>
      </c>
      <c r="J329" s="46" t="s">
        <v>71</v>
      </c>
      <c r="K329" s="47">
        <v>170</v>
      </c>
      <c r="L329" s="47">
        <v>110</v>
      </c>
      <c r="M329" s="47">
        <f t="shared" si="5"/>
        <v>280</v>
      </c>
      <c r="N329" s="46" t="s">
        <v>950</v>
      </c>
      <c r="O329" s="71" t="s">
        <v>965</v>
      </c>
    </row>
    <row r="330" spans="1:15" ht="51" x14ac:dyDescent="0.2">
      <c r="A330" s="45" t="s">
        <v>966</v>
      </c>
      <c r="B330" s="46" t="s">
        <v>967</v>
      </c>
      <c r="C330" s="46" t="s">
        <v>967</v>
      </c>
      <c r="D330" s="46" t="s">
        <v>964</v>
      </c>
      <c r="E330" s="46" t="s">
        <v>257</v>
      </c>
      <c r="F330" s="46" t="s">
        <v>68</v>
      </c>
      <c r="G330" s="46" t="s">
        <v>68</v>
      </c>
      <c r="H330" s="46" t="s">
        <v>68</v>
      </c>
      <c r="I330" s="46" t="s">
        <v>68</v>
      </c>
      <c r="J330" s="46" t="s">
        <v>71</v>
      </c>
      <c r="K330" s="47">
        <v>180</v>
      </c>
      <c r="L330" s="47">
        <v>80</v>
      </c>
      <c r="M330" s="47">
        <f t="shared" si="5"/>
        <v>260</v>
      </c>
      <c r="N330" s="46" t="s">
        <v>968</v>
      </c>
      <c r="O330" s="71" t="s">
        <v>969</v>
      </c>
    </row>
    <row r="331" spans="1:15" ht="38.25" x14ac:dyDescent="0.2">
      <c r="A331" s="45" t="s">
        <v>970</v>
      </c>
      <c r="B331" s="46" t="s">
        <v>971</v>
      </c>
      <c r="C331" s="46" t="s">
        <v>971</v>
      </c>
      <c r="D331" s="46" t="s">
        <v>964</v>
      </c>
      <c r="E331" s="46" t="s">
        <v>257</v>
      </c>
      <c r="F331" s="46" t="s">
        <v>68</v>
      </c>
      <c r="G331" s="46" t="s">
        <v>68</v>
      </c>
      <c r="H331" s="46" t="s">
        <v>68</v>
      </c>
      <c r="I331" s="46" t="s">
        <v>68</v>
      </c>
      <c r="J331" s="46" t="s">
        <v>71</v>
      </c>
      <c r="K331" s="47">
        <v>140</v>
      </c>
      <c r="L331" s="47">
        <v>60</v>
      </c>
      <c r="M331" s="47">
        <f t="shared" si="5"/>
        <v>200</v>
      </c>
      <c r="N331" s="46" t="s">
        <v>968</v>
      </c>
      <c r="O331" s="71" t="s">
        <v>972</v>
      </c>
    </row>
    <row r="332" spans="1:15" ht="51" x14ac:dyDescent="0.2">
      <c r="A332" s="45" t="s">
        <v>973</v>
      </c>
      <c r="B332" s="46" t="s">
        <v>971</v>
      </c>
      <c r="C332" s="46" t="s">
        <v>971</v>
      </c>
      <c r="D332" s="46" t="s">
        <v>974</v>
      </c>
      <c r="E332" s="46" t="s">
        <v>254</v>
      </c>
      <c r="F332" s="46" t="s">
        <v>68</v>
      </c>
      <c r="G332" s="46" t="s">
        <v>68</v>
      </c>
      <c r="H332" s="46" t="s">
        <v>68</v>
      </c>
      <c r="I332" s="46" t="s">
        <v>68</v>
      </c>
      <c r="J332" s="46" t="s">
        <v>71</v>
      </c>
      <c r="K332" s="47">
        <v>135</v>
      </c>
      <c r="L332" s="47">
        <v>25</v>
      </c>
      <c r="M332" s="47">
        <f t="shared" si="5"/>
        <v>160</v>
      </c>
      <c r="N332" s="46" t="s">
        <v>968</v>
      </c>
      <c r="O332" s="71" t="s">
        <v>975</v>
      </c>
    </row>
    <row r="333" spans="1:15" ht="51" x14ac:dyDescent="0.2">
      <c r="A333" s="45" t="s">
        <v>976</v>
      </c>
      <c r="B333" s="46" t="s">
        <v>971</v>
      </c>
      <c r="C333" s="46" t="s">
        <v>971</v>
      </c>
      <c r="D333" s="46" t="s">
        <v>974</v>
      </c>
      <c r="E333" s="46" t="s">
        <v>257</v>
      </c>
      <c r="F333" s="46" t="s">
        <v>68</v>
      </c>
      <c r="G333" s="46" t="s">
        <v>68</v>
      </c>
      <c r="H333" s="46" t="s">
        <v>68</v>
      </c>
      <c r="I333" s="46" t="s">
        <v>68</v>
      </c>
      <c r="J333" s="46" t="s">
        <v>71</v>
      </c>
      <c r="K333" s="47">
        <v>140</v>
      </c>
      <c r="L333" s="47">
        <v>45</v>
      </c>
      <c r="M333" s="47">
        <f t="shared" si="5"/>
        <v>185</v>
      </c>
      <c r="N333" s="46" t="s">
        <v>968</v>
      </c>
      <c r="O333" s="71" t="s">
        <v>977</v>
      </c>
    </row>
    <row r="334" spans="1:15" ht="51" x14ac:dyDescent="0.2">
      <c r="A334" s="45" t="s">
        <v>978</v>
      </c>
      <c r="B334" s="46" t="s">
        <v>979</v>
      </c>
      <c r="C334" s="46" t="s">
        <v>979</v>
      </c>
      <c r="D334" s="46" t="s">
        <v>254</v>
      </c>
      <c r="E334" s="46" t="s">
        <v>68</v>
      </c>
      <c r="F334" s="46" t="s">
        <v>68</v>
      </c>
      <c r="G334" s="46" t="s">
        <v>68</v>
      </c>
      <c r="H334" s="46" t="s">
        <v>68</v>
      </c>
      <c r="I334" s="46" t="s">
        <v>68</v>
      </c>
      <c r="J334" s="46" t="s">
        <v>71</v>
      </c>
      <c r="K334" s="47">
        <v>130</v>
      </c>
      <c r="L334" s="47">
        <v>30</v>
      </c>
      <c r="M334" s="47">
        <f t="shared" si="5"/>
        <v>160</v>
      </c>
      <c r="N334" s="46" t="s">
        <v>610</v>
      </c>
      <c r="O334" s="71" t="s">
        <v>980</v>
      </c>
    </row>
    <row r="335" spans="1:15" ht="51" x14ac:dyDescent="0.2">
      <c r="A335" s="45" t="s">
        <v>981</v>
      </c>
      <c r="B335" s="46" t="s">
        <v>979</v>
      </c>
      <c r="C335" s="46" t="s">
        <v>979</v>
      </c>
      <c r="D335" s="46" t="s">
        <v>257</v>
      </c>
      <c r="E335" s="46" t="s">
        <v>68</v>
      </c>
      <c r="F335" s="46" t="s">
        <v>68</v>
      </c>
      <c r="G335" s="46" t="s">
        <v>68</v>
      </c>
      <c r="H335" s="46" t="s">
        <v>68</v>
      </c>
      <c r="I335" s="46" t="s">
        <v>68</v>
      </c>
      <c r="J335" s="46" t="s">
        <v>71</v>
      </c>
      <c r="K335" s="47">
        <v>140</v>
      </c>
      <c r="L335" s="47">
        <v>40</v>
      </c>
      <c r="M335" s="47">
        <f t="shared" si="5"/>
        <v>180</v>
      </c>
      <c r="N335" s="46" t="s">
        <v>610</v>
      </c>
      <c r="O335" s="71" t="s">
        <v>982</v>
      </c>
    </row>
    <row r="336" spans="1:15" ht="38.25" x14ac:dyDescent="0.2">
      <c r="A336" s="45" t="s">
        <v>983</v>
      </c>
      <c r="B336" s="46" t="s">
        <v>984</v>
      </c>
      <c r="C336" s="46" t="s">
        <v>984</v>
      </c>
      <c r="D336" s="46" t="s">
        <v>68</v>
      </c>
      <c r="E336" s="46" t="s">
        <v>68</v>
      </c>
      <c r="F336" s="46" t="s">
        <v>68</v>
      </c>
      <c r="G336" s="46" t="s">
        <v>68</v>
      </c>
      <c r="H336" s="46" t="s">
        <v>68</v>
      </c>
      <c r="I336" s="46" t="s">
        <v>68</v>
      </c>
      <c r="J336" s="46" t="s">
        <v>71</v>
      </c>
      <c r="K336" s="47">
        <v>150</v>
      </c>
      <c r="L336" s="47">
        <v>50</v>
      </c>
      <c r="M336" s="47">
        <f t="shared" si="5"/>
        <v>200</v>
      </c>
      <c r="N336" s="46" t="s">
        <v>985</v>
      </c>
      <c r="O336" s="71" t="s">
        <v>986</v>
      </c>
    </row>
    <row r="337" spans="1:15" ht="51" x14ac:dyDescent="0.2">
      <c r="A337" s="45" t="s">
        <v>987</v>
      </c>
      <c r="B337" s="46" t="s">
        <v>988</v>
      </c>
      <c r="C337" s="46" t="s">
        <v>988</v>
      </c>
      <c r="D337" s="46" t="s">
        <v>989</v>
      </c>
      <c r="E337" s="46" t="s">
        <v>68</v>
      </c>
      <c r="F337" s="46" t="s">
        <v>68</v>
      </c>
      <c r="G337" s="46" t="s">
        <v>68</v>
      </c>
      <c r="H337" s="46" t="s">
        <v>68</v>
      </c>
      <c r="I337" s="46" t="s">
        <v>68</v>
      </c>
      <c r="J337" s="46" t="s">
        <v>71</v>
      </c>
      <c r="K337" s="47">
        <v>270</v>
      </c>
      <c r="L337" s="47">
        <v>60</v>
      </c>
      <c r="M337" s="47">
        <f t="shared" si="5"/>
        <v>330</v>
      </c>
      <c r="N337" s="46" t="s">
        <v>990</v>
      </c>
      <c r="O337" s="71" t="s">
        <v>991</v>
      </c>
    </row>
    <row r="338" spans="1:15" ht="25.5" x14ac:dyDescent="0.2">
      <c r="A338" s="45" t="s">
        <v>992</v>
      </c>
      <c r="B338" s="46" t="s">
        <v>993</v>
      </c>
      <c r="C338" s="46" t="s">
        <v>993</v>
      </c>
      <c r="D338" s="46" t="s">
        <v>68</v>
      </c>
      <c r="E338" s="46" t="s">
        <v>68</v>
      </c>
      <c r="F338" s="46" t="s">
        <v>68</v>
      </c>
      <c r="G338" s="46" t="s">
        <v>68</v>
      </c>
      <c r="H338" s="46" t="s">
        <v>68</v>
      </c>
      <c r="I338" s="46" t="s">
        <v>454</v>
      </c>
      <c r="J338" s="46" t="s">
        <v>71</v>
      </c>
      <c r="K338" s="47">
        <v>160</v>
      </c>
      <c r="L338" s="47">
        <v>100</v>
      </c>
      <c r="M338" s="47">
        <f t="shared" si="5"/>
        <v>260</v>
      </c>
      <c r="N338" s="46" t="s">
        <v>994</v>
      </c>
      <c r="O338" s="71" t="s">
        <v>995</v>
      </c>
    </row>
    <row r="339" spans="1:15" ht="25.5" x14ac:dyDescent="0.2">
      <c r="A339" s="45" t="s">
        <v>996</v>
      </c>
      <c r="B339" s="46" t="s">
        <v>993</v>
      </c>
      <c r="C339" s="46" t="s">
        <v>993</v>
      </c>
      <c r="D339" s="46" t="s">
        <v>68</v>
      </c>
      <c r="E339" s="46" t="s">
        <v>68</v>
      </c>
      <c r="F339" s="46" t="s">
        <v>68</v>
      </c>
      <c r="G339" s="46" t="s">
        <v>68</v>
      </c>
      <c r="H339" s="46" t="s">
        <v>68</v>
      </c>
      <c r="I339" s="46" t="s">
        <v>445</v>
      </c>
      <c r="J339" s="46" t="s">
        <v>71</v>
      </c>
      <c r="K339" s="47">
        <v>180</v>
      </c>
      <c r="L339" s="47">
        <v>120</v>
      </c>
      <c r="M339" s="47">
        <f t="shared" si="5"/>
        <v>300</v>
      </c>
      <c r="N339" s="46" t="s">
        <v>994</v>
      </c>
      <c r="O339" s="71" t="s">
        <v>997</v>
      </c>
    </row>
    <row r="340" spans="1:15" ht="25.5" x14ac:dyDescent="0.2">
      <c r="A340" s="45" t="s">
        <v>998</v>
      </c>
      <c r="B340" s="46" t="s">
        <v>993</v>
      </c>
      <c r="C340" s="46" t="s">
        <v>993</v>
      </c>
      <c r="D340" s="46" t="s">
        <v>68</v>
      </c>
      <c r="E340" s="46" t="s">
        <v>68</v>
      </c>
      <c r="F340" s="46" t="s">
        <v>68</v>
      </c>
      <c r="G340" s="46" t="s">
        <v>68</v>
      </c>
      <c r="H340" s="46" t="s">
        <v>68</v>
      </c>
      <c r="I340" s="46" t="s">
        <v>999</v>
      </c>
      <c r="J340" s="46" t="s">
        <v>71</v>
      </c>
      <c r="K340" s="47">
        <v>200</v>
      </c>
      <c r="L340" s="47">
        <v>220</v>
      </c>
      <c r="M340" s="47">
        <f t="shared" si="5"/>
        <v>420</v>
      </c>
      <c r="N340" s="46" t="s">
        <v>994</v>
      </c>
      <c r="O340" s="71" t="s">
        <v>1000</v>
      </c>
    </row>
    <row r="341" spans="1:15" ht="38.25" x14ac:dyDescent="0.2">
      <c r="A341" s="45" t="s">
        <v>1001</v>
      </c>
      <c r="B341" s="46" t="s">
        <v>1002</v>
      </c>
      <c r="C341" s="46" t="s">
        <v>1002</v>
      </c>
      <c r="D341" s="46" t="s">
        <v>1003</v>
      </c>
      <c r="E341" s="46" t="s">
        <v>68</v>
      </c>
      <c r="F341" s="46" t="s">
        <v>68</v>
      </c>
      <c r="G341" s="46" t="s">
        <v>68</v>
      </c>
      <c r="H341" s="46" t="s">
        <v>68</v>
      </c>
      <c r="I341" s="46" t="s">
        <v>454</v>
      </c>
      <c r="J341" s="46" t="s">
        <v>71</v>
      </c>
      <c r="K341" s="47">
        <v>160</v>
      </c>
      <c r="L341" s="47">
        <v>120</v>
      </c>
      <c r="M341" s="47">
        <f t="shared" si="5"/>
        <v>280</v>
      </c>
      <c r="N341" s="46" t="s">
        <v>1004</v>
      </c>
      <c r="O341" s="71" t="s">
        <v>1005</v>
      </c>
    </row>
    <row r="342" spans="1:15" ht="38.25" x14ac:dyDescent="0.2">
      <c r="A342" s="45" t="s">
        <v>1006</v>
      </c>
      <c r="B342" s="46" t="s">
        <v>1002</v>
      </c>
      <c r="C342" s="46" t="s">
        <v>1002</v>
      </c>
      <c r="D342" s="46" t="s">
        <v>1003</v>
      </c>
      <c r="E342" s="46" t="s">
        <v>68</v>
      </c>
      <c r="F342" s="46" t="s">
        <v>68</v>
      </c>
      <c r="G342" s="46" t="s">
        <v>68</v>
      </c>
      <c r="H342" s="46" t="s">
        <v>68</v>
      </c>
      <c r="I342" s="46" t="s">
        <v>445</v>
      </c>
      <c r="J342" s="46" t="s">
        <v>71</v>
      </c>
      <c r="K342" s="47">
        <v>180</v>
      </c>
      <c r="L342" s="47">
        <v>220</v>
      </c>
      <c r="M342" s="47">
        <f t="shared" si="5"/>
        <v>400</v>
      </c>
      <c r="N342" s="46" t="s">
        <v>1004</v>
      </c>
      <c r="O342" s="71" t="s">
        <v>1007</v>
      </c>
    </row>
    <row r="343" spans="1:15" ht="38.25" x14ac:dyDescent="0.2">
      <c r="A343" s="45" t="s">
        <v>1008</v>
      </c>
      <c r="B343" s="46" t="s">
        <v>1002</v>
      </c>
      <c r="C343" s="46" t="s">
        <v>1002</v>
      </c>
      <c r="D343" s="46" t="s">
        <v>1003</v>
      </c>
      <c r="E343" s="46" t="s">
        <v>68</v>
      </c>
      <c r="F343" s="46" t="s">
        <v>68</v>
      </c>
      <c r="G343" s="46" t="s">
        <v>68</v>
      </c>
      <c r="H343" s="46" t="s">
        <v>68</v>
      </c>
      <c r="I343" s="46" t="s">
        <v>999</v>
      </c>
      <c r="J343" s="46" t="s">
        <v>71</v>
      </c>
      <c r="K343" s="47">
        <v>220</v>
      </c>
      <c r="L343" s="47">
        <v>420</v>
      </c>
      <c r="M343" s="47">
        <f t="shared" si="5"/>
        <v>640</v>
      </c>
      <c r="N343" s="46" t="s">
        <v>1004</v>
      </c>
      <c r="O343" s="71" t="s">
        <v>1009</v>
      </c>
    </row>
    <row r="344" spans="1:15" ht="38.25" x14ac:dyDescent="0.2">
      <c r="A344" s="45" t="s">
        <v>1010</v>
      </c>
      <c r="B344" s="46" t="s">
        <v>1011</v>
      </c>
      <c r="C344" s="46" t="s">
        <v>1011</v>
      </c>
      <c r="D344" s="46" t="s">
        <v>68</v>
      </c>
      <c r="E344" s="46" t="s">
        <v>68</v>
      </c>
      <c r="F344" s="46" t="s">
        <v>68</v>
      </c>
      <c r="G344" s="46" t="s">
        <v>68</v>
      </c>
      <c r="H344" s="46" t="s">
        <v>68</v>
      </c>
      <c r="I344" s="46" t="s">
        <v>68</v>
      </c>
      <c r="J344" s="46" t="s">
        <v>71</v>
      </c>
      <c r="K344" s="47">
        <v>150</v>
      </c>
      <c r="L344" s="47">
        <v>30</v>
      </c>
      <c r="M344" s="47">
        <f t="shared" si="5"/>
        <v>180</v>
      </c>
      <c r="N344" s="46" t="s">
        <v>1012</v>
      </c>
      <c r="O344" s="71" t="s">
        <v>1013</v>
      </c>
    </row>
    <row r="345" spans="1:15" ht="63.75" x14ac:dyDescent="0.2">
      <c r="A345" s="45" t="s">
        <v>1014</v>
      </c>
      <c r="B345" s="46" t="s">
        <v>1015</v>
      </c>
      <c r="C345" s="46" t="s">
        <v>1015</v>
      </c>
      <c r="D345" s="46" t="s">
        <v>1016</v>
      </c>
      <c r="E345" s="46" t="s">
        <v>1017</v>
      </c>
      <c r="F345" s="46" t="s">
        <v>1018</v>
      </c>
      <c r="G345" s="46" t="s">
        <v>1019</v>
      </c>
      <c r="H345" s="46" t="s">
        <v>1020</v>
      </c>
      <c r="I345" s="46" t="s">
        <v>445</v>
      </c>
      <c r="J345" s="46" t="s">
        <v>71</v>
      </c>
      <c r="K345" s="47">
        <v>220</v>
      </c>
      <c r="L345" s="47">
        <v>290</v>
      </c>
      <c r="M345" s="47">
        <f t="shared" si="5"/>
        <v>510</v>
      </c>
      <c r="N345" s="46" t="s">
        <v>1021</v>
      </c>
      <c r="O345" s="71" t="s">
        <v>1022</v>
      </c>
    </row>
    <row r="346" spans="1:15" ht="63.75" x14ac:dyDescent="0.2">
      <c r="A346" s="45" t="s">
        <v>1023</v>
      </c>
      <c r="B346" s="46" t="s">
        <v>1015</v>
      </c>
      <c r="C346" s="46" t="s">
        <v>1015</v>
      </c>
      <c r="D346" s="46" t="s">
        <v>1016</v>
      </c>
      <c r="E346" s="46" t="s">
        <v>1017</v>
      </c>
      <c r="F346" s="46" t="s">
        <v>1018</v>
      </c>
      <c r="G346" s="46" t="s">
        <v>1024</v>
      </c>
      <c r="H346" s="46" t="s">
        <v>1020</v>
      </c>
      <c r="I346" s="46" t="s">
        <v>999</v>
      </c>
      <c r="J346" s="46" t="s">
        <v>71</v>
      </c>
      <c r="K346" s="47">
        <v>245</v>
      </c>
      <c r="L346" s="47">
        <v>450</v>
      </c>
      <c r="M346" s="47">
        <f t="shared" si="5"/>
        <v>695</v>
      </c>
      <c r="N346" s="46" t="s">
        <v>1021</v>
      </c>
      <c r="O346" s="71" t="s">
        <v>1025</v>
      </c>
    </row>
    <row r="347" spans="1:15" ht="63.75" x14ac:dyDescent="0.2">
      <c r="A347" s="45" t="s">
        <v>1026</v>
      </c>
      <c r="B347" s="46" t="s">
        <v>1015</v>
      </c>
      <c r="C347" s="46" t="s">
        <v>1015</v>
      </c>
      <c r="D347" s="46" t="s">
        <v>1016</v>
      </c>
      <c r="E347" s="46" t="s">
        <v>1017</v>
      </c>
      <c r="F347" s="46" t="s">
        <v>1027</v>
      </c>
      <c r="G347" s="46" t="s">
        <v>1028</v>
      </c>
      <c r="H347" s="46" t="s">
        <v>1020</v>
      </c>
      <c r="I347" s="46" t="s">
        <v>445</v>
      </c>
      <c r="J347" s="46" t="s">
        <v>71</v>
      </c>
      <c r="K347" s="47">
        <v>240</v>
      </c>
      <c r="L347" s="47">
        <v>430</v>
      </c>
      <c r="M347" s="47">
        <f t="shared" si="5"/>
        <v>670</v>
      </c>
      <c r="N347" s="46" t="s">
        <v>1021</v>
      </c>
      <c r="O347" s="71" t="s">
        <v>1029</v>
      </c>
    </row>
    <row r="348" spans="1:15" ht="63.75" x14ac:dyDescent="0.2">
      <c r="A348" s="45" t="s">
        <v>1030</v>
      </c>
      <c r="B348" s="46" t="s">
        <v>1015</v>
      </c>
      <c r="C348" s="46" t="s">
        <v>1015</v>
      </c>
      <c r="D348" s="46" t="s">
        <v>1016</v>
      </c>
      <c r="E348" s="46" t="s">
        <v>1017</v>
      </c>
      <c r="F348" s="46" t="s">
        <v>1027</v>
      </c>
      <c r="G348" s="46" t="s">
        <v>1031</v>
      </c>
      <c r="H348" s="46" t="s">
        <v>1020</v>
      </c>
      <c r="I348" s="46" t="s">
        <v>999</v>
      </c>
      <c r="J348" s="46" t="s">
        <v>71</v>
      </c>
      <c r="K348" s="47">
        <v>250</v>
      </c>
      <c r="L348" s="47">
        <v>485</v>
      </c>
      <c r="M348" s="47">
        <f t="shared" si="5"/>
        <v>735</v>
      </c>
      <c r="N348" s="46" t="s">
        <v>1021</v>
      </c>
      <c r="O348" s="71" t="s">
        <v>1032</v>
      </c>
    </row>
    <row r="349" spans="1:15" ht="63.75" x14ac:dyDescent="0.2">
      <c r="A349" s="45" t="s">
        <v>1033</v>
      </c>
      <c r="B349" s="46" t="s">
        <v>1015</v>
      </c>
      <c r="C349" s="46" t="s">
        <v>1015</v>
      </c>
      <c r="D349" s="46" t="s">
        <v>1016</v>
      </c>
      <c r="E349" s="46" t="s">
        <v>1017</v>
      </c>
      <c r="F349" s="46" t="s">
        <v>1027</v>
      </c>
      <c r="G349" s="46" t="s">
        <v>1034</v>
      </c>
      <c r="H349" s="46" t="s">
        <v>1020</v>
      </c>
      <c r="I349" s="46" t="s">
        <v>445</v>
      </c>
      <c r="J349" s="46" t="s">
        <v>71</v>
      </c>
      <c r="K349" s="47">
        <v>240</v>
      </c>
      <c r="L349" s="47">
        <v>460</v>
      </c>
      <c r="M349" s="47">
        <f t="shared" si="5"/>
        <v>700</v>
      </c>
      <c r="N349" s="46" t="s">
        <v>1021</v>
      </c>
      <c r="O349" s="71" t="s">
        <v>1035</v>
      </c>
    </row>
    <row r="350" spans="1:15" ht="63.75" x14ac:dyDescent="0.2">
      <c r="A350" s="45" t="s">
        <v>1036</v>
      </c>
      <c r="B350" s="46" t="s">
        <v>1015</v>
      </c>
      <c r="C350" s="46" t="s">
        <v>1015</v>
      </c>
      <c r="D350" s="46" t="s">
        <v>1016</v>
      </c>
      <c r="E350" s="46" t="s">
        <v>1017</v>
      </c>
      <c r="F350" s="46" t="s">
        <v>1027</v>
      </c>
      <c r="G350" s="46" t="s">
        <v>1037</v>
      </c>
      <c r="H350" s="46" t="s">
        <v>1020</v>
      </c>
      <c r="I350" s="46" t="s">
        <v>999</v>
      </c>
      <c r="J350" s="46" t="s">
        <v>71</v>
      </c>
      <c r="K350" s="47">
        <v>275</v>
      </c>
      <c r="L350" s="47">
        <v>665</v>
      </c>
      <c r="M350" s="47">
        <f t="shared" si="5"/>
        <v>940</v>
      </c>
      <c r="N350" s="46" t="s">
        <v>1021</v>
      </c>
      <c r="O350" s="71" t="s">
        <v>1038</v>
      </c>
    </row>
    <row r="351" spans="1:15" ht="63.75" x14ac:dyDescent="0.2">
      <c r="A351" s="45" t="s">
        <v>1039</v>
      </c>
      <c r="B351" s="46" t="s">
        <v>1015</v>
      </c>
      <c r="C351" s="46" t="s">
        <v>1015</v>
      </c>
      <c r="D351" s="46" t="s">
        <v>1016</v>
      </c>
      <c r="E351" s="46" t="s">
        <v>1017</v>
      </c>
      <c r="F351" s="46" t="s">
        <v>1040</v>
      </c>
      <c r="G351" s="46" t="s">
        <v>1041</v>
      </c>
      <c r="H351" s="46" t="s">
        <v>1020</v>
      </c>
      <c r="I351" s="46" t="s">
        <v>445</v>
      </c>
      <c r="J351" s="46" t="s">
        <v>71</v>
      </c>
      <c r="K351" s="47">
        <v>225</v>
      </c>
      <c r="L351" s="47">
        <v>335</v>
      </c>
      <c r="M351" s="47">
        <f t="shared" si="5"/>
        <v>560</v>
      </c>
      <c r="N351" s="46" t="s">
        <v>1021</v>
      </c>
      <c r="O351" s="71" t="s">
        <v>1042</v>
      </c>
    </row>
    <row r="352" spans="1:15" ht="63.75" x14ac:dyDescent="0.2">
      <c r="A352" s="45" t="s">
        <v>1043</v>
      </c>
      <c r="B352" s="46" t="s">
        <v>1015</v>
      </c>
      <c r="C352" s="46" t="s">
        <v>1015</v>
      </c>
      <c r="D352" s="46" t="s">
        <v>1016</v>
      </c>
      <c r="E352" s="46" t="s">
        <v>1017</v>
      </c>
      <c r="F352" s="46" t="s">
        <v>1040</v>
      </c>
      <c r="G352" s="46" t="s">
        <v>1044</v>
      </c>
      <c r="H352" s="46" t="s">
        <v>1020</v>
      </c>
      <c r="I352" s="46" t="s">
        <v>999</v>
      </c>
      <c r="J352" s="46" t="s">
        <v>71</v>
      </c>
      <c r="K352" s="47">
        <v>275</v>
      </c>
      <c r="L352" s="47">
        <v>600</v>
      </c>
      <c r="M352" s="47">
        <f t="shared" si="5"/>
        <v>875</v>
      </c>
      <c r="N352" s="46" t="s">
        <v>1021</v>
      </c>
      <c r="O352" s="71" t="s">
        <v>1045</v>
      </c>
    </row>
    <row r="353" spans="1:15" ht="63.75" x14ac:dyDescent="0.2">
      <c r="A353" s="45" t="s">
        <v>1046</v>
      </c>
      <c r="B353" s="46" t="s">
        <v>1015</v>
      </c>
      <c r="C353" s="46" t="s">
        <v>1015</v>
      </c>
      <c r="D353" s="46" t="s">
        <v>1016</v>
      </c>
      <c r="E353" s="46" t="s">
        <v>1017</v>
      </c>
      <c r="F353" s="46" t="s">
        <v>1040</v>
      </c>
      <c r="G353" s="46" t="s">
        <v>1047</v>
      </c>
      <c r="H353" s="46" t="s">
        <v>1020</v>
      </c>
      <c r="I353" s="46" t="s">
        <v>445</v>
      </c>
      <c r="J353" s="46" t="s">
        <v>71</v>
      </c>
      <c r="K353" s="47">
        <v>220</v>
      </c>
      <c r="L353" s="47">
        <v>330</v>
      </c>
      <c r="M353" s="47">
        <f t="shared" si="5"/>
        <v>550</v>
      </c>
      <c r="N353" s="46" t="s">
        <v>1021</v>
      </c>
      <c r="O353" s="71" t="s">
        <v>1048</v>
      </c>
    </row>
    <row r="354" spans="1:15" ht="63.75" x14ac:dyDescent="0.2">
      <c r="A354" s="45" t="s">
        <v>1049</v>
      </c>
      <c r="B354" s="46" t="s">
        <v>1015</v>
      </c>
      <c r="C354" s="46" t="s">
        <v>1015</v>
      </c>
      <c r="D354" s="46" t="s">
        <v>1016</v>
      </c>
      <c r="E354" s="46" t="s">
        <v>1017</v>
      </c>
      <c r="F354" s="46" t="s">
        <v>1040</v>
      </c>
      <c r="G354" s="46" t="s">
        <v>1047</v>
      </c>
      <c r="H354" s="46" t="s">
        <v>1020</v>
      </c>
      <c r="I354" s="46" t="s">
        <v>999</v>
      </c>
      <c r="J354" s="46" t="s">
        <v>71</v>
      </c>
      <c r="K354" s="47">
        <v>240</v>
      </c>
      <c r="L354" s="47">
        <v>410</v>
      </c>
      <c r="M354" s="47">
        <f t="shared" si="5"/>
        <v>650</v>
      </c>
      <c r="N354" s="46" t="s">
        <v>1021</v>
      </c>
      <c r="O354" s="71" t="s">
        <v>1050</v>
      </c>
    </row>
    <row r="355" spans="1:15" ht="63.75" x14ac:dyDescent="0.2">
      <c r="A355" s="45" t="s">
        <v>1051</v>
      </c>
      <c r="B355" s="46" t="s">
        <v>1015</v>
      </c>
      <c r="C355" s="46" t="s">
        <v>1015</v>
      </c>
      <c r="D355" s="46" t="s">
        <v>1016</v>
      </c>
      <c r="E355" s="46" t="s">
        <v>1017</v>
      </c>
      <c r="F355" s="46" t="s">
        <v>1040</v>
      </c>
      <c r="G355" s="46" t="s">
        <v>1052</v>
      </c>
      <c r="H355" s="46" t="s">
        <v>1020</v>
      </c>
      <c r="I355" s="46" t="s">
        <v>445</v>
      </c>
      <c r="J355" s="46" t="s">
        <v>71</v>
      </c>
      <c r="K355" s="47">
        <v>230</v>
      </c>
      <c r="L355" s="47">
        <v>385</v>
      </c>
      <c r="M355" s="47">
        <f t="shared" si="5"/>
        <v>615</v>
      </c>
      <c r="N355" s="46" t="s">
        <v>1021</v>
      </c>
      <c r="O355" s="71" t="s">
        <v>1053</v>
      </c>
    </row>
    <row r="356" spans="1:15" ht="63.75" x14ac:dyDescent="0.2">
      <c r="A356" s="45" t="s">
        <v>1054</v>
      </c>
      <c r="B356" s="46" t="s">
        <v>1015</v>
      </c>
      <c r="C356" s="46" t="s">
        <v>1015</v>
      </c>
      <c r="D356" s="46" t="s">
        <v>1016</v>
      </c>
      <c r="E356" s="46" t="s">
        <v>1017</v>
      </c>
      <c r="F356" s="46" t="s">
        <v>1040</v>
      </c>
      <c r="G356" s="46" t="s">
        <v>1052</v>
      </c>
      <c r="H356" s="46" t="s">
        <v>1020</v>
      </c>
      <c r="I356" s="46" t="s">
        <v>999</v>
      </c>
      <c r="J356" s="46" t="s">
        <v>71</v>
      </c>
      <c r="K356" s="47">
        <v>250</v>
      </c>
      <c r="L356" s="47">
        <v>480</v>
      </c>
      <c r="M356" s="47">
        <f t="shared" si="5"/>
        <v>730</v>
      </c>
      <c r="N356" s="46" t="s">
        <v>1021</v>
      </c>
      <c r="O356" s="71" t="s">
        <v>1055</v>
      </c>
    </row>
    <row r="357" spans="1:15" ht="63.75" x14ac:dyDescent="0.2">
      <c r="A357" s="45" t="s">
        <v>1056</v>
      </c>
      <c r="B357" s="46" t="s">
        <v>1015</v>
      </c>
      <c r="C357" s="46" t="s">
        <v>1015</v>
      </c>
      <c r="D357" s="46" t="s">
        <v>1016</v>
      </c>
      <c r="E357" s="46" t="s">
        <v>1017</v>
      </c>
      <c r="F357" s="46" t="s">
        <v>1040</v>
      </c>
      <c r="G357" s="46" t="s">
        <v>1057</v>
      </c>
      <c r="H357" s="46" t="s">
        <v>1020</v>
      </c>
      <c r="I357" s="46" t="s">
        <v>445</v>
      </c>
      <c r="J357" s="46" t="s">
        <v>71</v>
      </c>
      <c r="K357" s="47">
        <v>250</v>
      </c>
      <c r="L357" s="47">
        <v>505</v>
      </c>
      <c r="M357" s="47">
        <f t="shared" si="5"/>
        <v>755</v>
      </c>
      <c r="N357" s="46" t="s">
        <v>1021</v>
      </c>
      <c r="O357" s="71" t="s">
        <v>1058</v>
      </c>
    </row>
    <row r="358" spans="1:15" ht="63.75" x14ac:dyDescent="0.2">
      <c r="A358" s="45" t="s">
        <v>1059</v>
      </c>
      <c r="B358" s="46" t="s">
        <v>1015</v>
      </c>
      <c r="C358" s="46" t="s">
        <v>1015</v>
      </c>
      <c r="D358" s="46" t="s">
        <v>1016</v>
      </c>
      <c r="E358" s="46" t="s">
        <v>1017</v>
      </c>
      <c r="F358" s="46" t="s">
        <v>1040</v>
      </c>
      <c r="G358" s="46" t="s">
        <v>1057</v>
      </c>
      <c r="H358" s="46" t="s">
        <v>1020</v>
      </c>
      <c r="I358" s="46" t="s">
        <v>999</v>
      </c>
      <c r="J358" s="46" t="s">
        <v>71</v>
      </c>
      <c r="K358" s="47">
        <v>285</v>
      </c>
      <c r="L358" s="47">
        <v>715</v>
      </c>
      <c r="M358" s="47">
        <f t="shared" si="5"/>
        <v>1000</v>
      </c>
      <c r="N358" s="46" t="s">
        <v>1021</v>
      </c>
      <c r="O358" s="71" t="s">
        <v>1060</v>
      </c>
    </row>
    <row r="359" spans="1:15" ht="51" x14ac:dyDescent="0.2">
      <c r="A359" s="45" t="s">
        <v>1061</v>
      </c>
      <c r="B359" s="46" t="s">
        <v>1062</v>
      </c>
      <c r="C359" s="46" t="s">
        <v>1062</v>
      </c>
      <c r="D359" s="46" t="s">
        <v>1063</v>
      </c>
      <c r="E359" s="46" t="s">
        <v>1064</v>
      </c>
      <c r="F359" s="46" t="s">
        <v>68</v>
      </c>
      <c r="G359" s="46" t="s">
        <v>1065</v>
      </c>
      <c r="H359" s="46" t="s">
        <v>68</v>
      </c>
      <c r="I359" s="46" t="s">
        <v>454</v>
      </c>
      <c r="J359" s="46" t="s">
        <v>71</v>
      </c>
      <c r="K359" s="47">
        <v>180</v>
      </c>
      <c r="L359" s="47">
        <v>90</v>
      </c>
      <c r="M359" s="47">
        <f t="shared" si="5"/>
        <v>270</v>
      </c>
      <c r="N359" s="46" t="s">
        <v>1021</v>
      </c>
      <c r="O359" s="71" t="s">
        <v>1066</v>
      </c>
    </row>
    <row r="360" spans="1:15" ht="51" x14ac:dyDescent="0.2">
      <c r="A360" s="45" t="s">
        <v>1067</v>
      </c>
      <c r="B360" s="46" t="s">
        <v>1062</v>
      </c>
      <c r="C360" s="46" t="s">
        <v>1062</v>
      </c>
      <c r="D360" s="46" t="s">
        <v>1063</v>
      </c>
      <c r="E360" s="46" t="s">
        <v>1064</v>
      </c>
      <c r="F360" s="46" t="s">
        <v>68</v>
      </c>
      <c r="G360" s="46" t="s">
        <v>1065</v>
      </c>
      <c r="H360" s="46" t="s">
        <v>68</v>
      </c>
      <c r="I360" s="46" t="s">
        <v>445</v>
      </c>
      <c r="J360" s="46" t="s">
        <v>71</v>
      </c>
      <c r="K360" s="47">
        <v>180</v>
      </c>
      <c r="L360" s="47">
        <v>130</v>
      </c>
      <c r="M360" s="47">
        <f t="shared" si="5"/>
        <v>310</v>
      </c>
      <c r="N360" s="46" t="s">
        <v>1021</v>
      </c>
      <c r="O360" s="71" t="s">
        <v>1068</v>
      </c>
    </row>
    <row r="361" spans="1:15" ht="51" x14ac:dyDescent="0.2">
      <c r="A361" s="45" t="s">
        <v>1069</v>
      </c>
      <c r="B361" s="46" t="s">
        <v>1062</v>
      </c>
      <c r="C361" s="46" t="s">
        <v>1062</v>
      </c>
      <c r="D361" s="46" t="s">
        <v>1063</v>
      </c>
      <c r="E361" s="46" t="s">
        <v>1064</v>
      </c>
      <c r="F361" s="46" t="s">
        <v>68</v>
      </c>
      <c r="G361" s="46" t="s">
        <v>1065</v>
      </c>
      <c r="H361" s="46" t="s">
        <v>68</v>
      </c>
      <c r="I361" s="46" t="s">
        <v>999</v>
      </c>
      <c r="J361" s="46" t="s">
        <v>71</v>
      </c>
      <c r="K361" s="47">
        <v>180</v>
      </c>
      <c r="L361" s="47">
        <v>210</v>
      </c>
      <c r="M361" s="47">
        <f t="shared" si="5"/>
        <v>390</v>
      </c>
      <c r="N361" s="46" t="s">
        <v>1021</v>
      </c>
      <c r="O361" s="71" t="s">
        <v>1070</v>
      </c>
    </row>
    <row r="362" spans="1:15" ht="51" x14ac:dyDescent="0.2">
      <c r="A362" s="45" t="s">
        <v>1071</v>
      </c>
      <c r="B362" s="46" t="s">
        <v>1062</v>
      </c>
      <c r="C362" s="46" t="s">
        <v>1062</v>
      </c>
      <c r="D362" s="46" t="s">
        <v>1072</v>
      </c>
      <c r="E362" s="46" t="s">
        <v>1064</v>
      </c>
      <c r="F362" s="46" t="s">
        <v>68</v>
      </c>
      <c r="G362" s="46" t="s">
        <v>1065</v>
      </c>
      <c r="H362" s="46" t="s">
        <v>68</v>
      </c>
      <c r="I362" s="46" t="s">
        <v>454</v>
      </c>
      <c r="J362" s="46" t="s">
        <v>71</v>
      </c>
      <c r="K362" s="47">
        <v>180</v>
      </c>
      <c r="L362" s="47">
        <v>90</v>
      </c>
      <c r="M362" s="47">
        <f t="shared" si="5"/>
        <v>270</v>
      </c>
      <c r="N362" s="46" t="s">
        <v>1021</v>
      </c>
      <c r="O362" s="71" t="s">
        <v>1073</v>
      </c>
    </row>
    <row r="363" spans="1:15" ht="51" x14ac:dyDescent="0.2">
      <c r="A363" s="45" t="s">
        <v>1074</v>
      </c>
      <c r="B363" s="46" t="s">
        <v>1062</v>
      </c>
      <c r="C363" s="46" t="s">
        <v>1062</v>
      </c>
      <c r="D363" s="46" t="s">
        <v>1072</v>
      </c>
      <c r="E363" s="46" t="s">
        <v>1064</v>
      </c>
      <c r="F363" s="46" t="s">
        <v>68</v>
      </c>
      <c r="G363" s="46" t="s">
        <v>1065</v>
      </c>
      <c r="H363" s="46" t="s">
        <v>68</v>
      </c>
      <c r="I363" s="46" t="s">
        <v>445</v>
      </c>
      <c r="J363" s="46" t="s">
        <v>71</v>
      </c>
      <c r="K363" s="47">
        <v>180</v>
      </c>
      <c r="L363" s="47">
        <v>130</v>
      </c>
      <c r="M363" s="47">
        <f t="shared" si="5"/>
        <v>310</v>
      </c>
      <c r="N363" s="46" t="s">
        <v>1021</v>
      </c>
      <c r="O363" s="71" t="s">
        <v>1075</v>
      </c>
    </row>
    <row r="364" spans="1:15" ht="51" x14ac:dyDescent="0.2">
      <c r="A364" s="45" t="s">
        <v>1076</v>
      </c>
      <c r="B364" s="46" t="s">
        <v>1062</v>
      </c>
      <c r="C364" s="46" t="s">
        <v>1062</v>
      </c>
      <c r="D364" s="46" t="s">
        <v>1072</v>
      </c>
      <c r="E364" s="46" t="s">
        <v>1064</v>
      </c>
      <c r="F364" s="46" t="s">
        <v>68</v>
      </c>
      <c r="G364" s="46" t="s">
        <v>1065</v>
      </c>
      <c r="H364" s="46" t="s">
        <v>68</v>
      </c>
      <c r="I364" s="46" t="s">
        <v>999</v>
      </c>
      <c r="J364" s="46" t="s">
        <v>71</v>
      </c>
      <c r="K364" s="47">
        <v>180</v>
      </c>
      <c r="L364" s="47">
        <v>210</v>
      </c>
      <c r="M364" s="47">
        <f t="shared" si="5"/>
        <v>390</v>
      </c>
      <c r="N364" s="46" t="s">
        <v>1021</v>
      </c>
      <c r="O364" s="71" t="s">
        <v>1077</v>
      </c>
    </row>
    <row r="365" spans="1:15" ht="51" x14ac:dyDescent="0.2">
      <c r="A365" s="45" t="s">
        <v>1078</v>
      </c>
      <c r="B365" s="46" t="s">
        <v>1062</v>
      </c>
      <c r="C365" s="46" t="s">
        <v>1062</v>
      </c>
      <c r="D365" s="46" t="s">
        <v>1016</v>
      </c>
      <c r="E365" s="46" t="s">
        <v>1064</v>
      </c>
      <c r="F365" s="46" t="s">
        <v>1079</v>
      </c>
      <c r="G365" s="46" t="s">
        <v>1079</v>
      </c>
      <c r="H365" s="46"/>
      <c r="I365" s="46" t="s">
        <v>454</v>
      </c>
      <c r="J365" s="46" t="s">
        <v>71</v>
      </c>
      <c r="K365" s="47">
        <v>270</v>
      </c>
      <c r="L365" s="47">
        <v>100</v>
      </c>
      <c r="M365" s="47">
        <f t="shared" si="5"/>
        <v>370</v>
      </c>
      <c r="N365" s="46" t="s">
        <v>1021</v>
      </c>
      <c r="O365" s="71" t="s">
        <v>1080</v>
      </c>
    </row>
    <row r="366" spans="1:15" ht="51" x14ac:dyDescent="0.2">
      <c r="A366" s="45" t="s">
        <v>1081</v>
      </c>
      <c r="B366" s="46" t="s">
        <v>1062</v>
      </c>
      <c r="C366" s="46" t="s">
        <v>1062</v>
      </c>
      <c r="D366" s="46" t="s">
        <v>1016</v>
      </c>
      <c r="E366" s="46" t="s">
        <v>1064</v>
      </c>
      <c r="F366" s="46" t="s">
        <v>1079</v>
      </c>
      <c r="G366" s="46" t="s">
        <v>1079</v>
      </c>
      <c r="H366" s="46"/>
      <c r="I366" s="46" t="s">
        <v>445</v>
      </c>
      <c r="J366" s="46" t="s">
        <v>71</v>
      </c>
      <c r="K366" s="47">
        <v>270</v>
      </c>
      <c r="L366" s="47">
        <v>150</v>
      </c>
      <c r="M366" s="47">
        <f t="shared" si="5"/>
        <v>420</v>
      </c>
      <c r="N366" s="46" t="s">
        <v>1021</v>
      </c>
      <c r="O366" s="71" t="s">
        <v>1082</v>
      </c>
    </row>
    <row r="367" spans="1:15" ht="51" x14ac:dyDescent="0.2">
      <c r="A367" s="45" t="s">
        <v>1083</v>
      </c>
      <c r="B367" s="46" t="s">
        <v>1062</v>
      </c>
      <c r="C367" s="46" t="s">
        <v>1062</v>
      </c>
      <c r="D367" s="46" t="s">
        <v>1016</v>
      </c>
      <c r="E367" s="46" t="s">
        <v>1064</v>
      </c>
      <c r="F367" s="46" t="s">
        <v>1079</v>
      </c>
      <c r="G367" s="46" t="s">
        <v>1079</v>
      </c>
      <c r="H367" s="46"/>
      <c r="I367" s="46" t="s">
        <v>999</v>
      </c>
      <c r="J367" s="46" t="s">
        <v>71</v>
      </c>
      <c r="K367" s="47">
        <v>270</v>
      </c>
      <c r="L367" s="47">
        <v>410</v>
      </c>
      <c r="M367" s="47">
        <f t="shared" si="5"/>
        <v>680</v>
      </c>
      <c r="N367" s="46" t="s">
        <v>1021</v>
      </c>
      <c r="O367" s="71" t="s">
        <v>1084</v>
      </c>
    </row>
    <row r="368" spans="1:15" ht="51" x14ac:dyDescent="0.2">
      <c r="A368" s="45" t="s">
        <v>1085</v>
      </c>
      <c r="B368" s="46" t="s">
        <v>1086</v>
      </c>
      <c r="C368" s="46" t="s">
        <v>1086</v>
      </c>
      <c r="D368" s="46" t="s">
        <v>1087</v>
      </c>
      <c r="E368" s="46" t="s">
        <v>1088</v>
      </c>
      <c r="F368" s="46" t="s">
        <v>1089</v>
      </c>
      <c r="G368" s="46" t="s">
        <v>68</v>
      </c>
      <c r="H368" s="46" t="s">
        <v>68</v>
      </c>
      <c r="I368" s="46" t="s">
        <v>68</v>
      </c>
      <c r="J368" s="46" t="s">
        <v>71</v>
      </c>
      <c r="K368" s="47">
        <v>230</v>
      </c>
      <c r="L368" s="47">
        <v>180</v>
      </c>
      <c r="M368" s="47">
        <f t="shared" si="5"/>
        <v>410</v>
      </c>
      <c r="N368" s="46" t="s">
        <v>1090</v>
      </c>
      <c r="O368" s="71" t="s">
        <v>1091</v>
      </c>
    </row>
    <row r="369" spans="1:15" ht="51" x14ac:dyDescent="0.2">
      <c r="A369" s="45" t="s">
        <v>1092</v>
      </c>
      <c r="B369" s="46" t="s">
        <v>1086</v>
      </c>
      <c r="C369" s="46" t="s">
        <v>1086</v>
      </c>
      <c r="D369" s="46" t="s">
        <v>1087</v>
      </c>
      <c r="E369" s="46" t="s">
        <v>1093</v>
      </c>
      <c r="F369" s="46" t="s">
        <v>1089</v>
      </c>
      <c r="G369" s="46" t="s">
        <v>68</v>
      </c>
      <c r="H369" s="46" t="s">
        <v>68</v>
      </c>
      <c r="I369" s="46" t="s">
        <v>68</v>
      </c>
      <c r="J369" s="46" t="s">
        <v>71</v>
      </c>
      <c r="K369" s="47">
        <v>245</v>
      </c>
      <c r="L369" s="47">
        <v>275</v>
      </c>
      <c r="M369" s="47">
        <f t="shared" si="5"/>
        <v>520</v>
      </c>
      <c r="N369" s="46" t="s">
        <v>1090</v>
      </c>
      <c r="O369" s="71" t="s">
        <v>1094</v>
      </c>
    </row>
    <row r="370" spans="1:15" ht="51" x14ac:dyDescent="0.2">
      <c r="A370" s="45" t="s">
        <v>1095</v>
      </c>
      <c r="B370" s="46" t="s">
        <v>1086</v>
      </c>
      <c r="C370" s="46" t="s">
        <v>1086</v>
      </c>
      <c r="D370" s="46" t="s">
        <v>1087</v>
      </c>
      <c r="E370" s="46" t="s">
        <v>1096</v>
      </c>
      <c r="F370" s="46" t="s">
        <v>1089</v>
      </c>
      <c r="G370" s="46" t="s">
        <v>68</v>
      </c>
      <c r="H370" s="46" t="s">
        <v>68</v>
      </c>
      <c r="I370" s="46" t="s">
        <v>68</v>
      </c>
      <c r="J370" s="46" t="s">
        <v>71</v>
      </c>
      <c r="K370" s="47">
        <v>250</v>
      </c>
      <c r="L370" s="47">
        <v>300</v>
      </c>
      <c r="M370" s="47">
        <f t="shared" si="5"/>
        <v>550</v>
      </c>
      <c r="N370" s="46" t="s">
        <v>1090</v>
      </c>
      <c r="O370" s="71" t="s">
        <v>1097</v>
      </c>
    </row>
    <row r="371" spans="1:15" ht="51" x14ac:dyDescent="0.2">
      <c r="A371" s="45" t="s">
        <v>1098</v>
      </c>
      <c r="B371" s="46" t="s">
        <v>1086</v>
      </c>
      <c r="C371" s="46" t="s">
        <v>1086</v>
      </c>
      <c r="D371" s="46" t="s">
        <v>1087</v>
      </c>
      <c r="E371" s="46" t="s">
        <v>1093</v>
      </c>
      <c r="F371" s="46" t="s">
        <v>1099</v>
      </c>
      <c r="G371" s="46" t="s">
        <v>68</v>
      </c>
      <c r="H371" s="46" t="s">
        <v>68</v>
      </c>
      <c r="I371" s="46" t="s">
        <v>68</v>
      </c>
      <c r="J371" s="46" t="s">
        <v>71</v>
      </c>
      <c r="K371" s="47">
        <v>250</v>
      </c>
      <c r="L371" s="47">
        <v>300</v>
      </c>
      <c r="M371" s="47">
        <f t="shared" si="5"/>
        <v>550</v>
      </c>
      <c r="N371" s="46" t="s">
        <v>1090</v>
      </c>
      <c r="O371" s="71" t="s">
        <v>1100</v>
      </c>
    </row>
    <row r="372" spans="1:15" ht="51" x14ac:dyDescent="0.2">
      <c r="A372" s="45" t="s">
        <v>1101</v>
      </c>
      <c r="B372" s="46" t="s">
        <v>1086</v>
      </c>
      <c r="C372" s="46" t="s">
        <v>1086</v>
      </c>
      <c r="D372" s="46" t="s">
        <v>1087</v>
      </c>
      <c r="E372" s="46" t="s">
        <v>1096</v>
      </c>
      <c r="F372" s="46" t="s">
        <v>1099</v>
      </c>
      <c r="G372" s="46" t="s">
        <v>68</v>
      </c>
      <c r="H372" s="46" t="s">
        <v>68</v>
      </c>
      <c r="I372" s="46" t="s">
        <v>68</v>
      </c>
      <c r="J372" s="46" t="s">
        <v>71</v>
      </c>
      <c r="K372" s="47">
        <v>260</v>
      </c>
      <c r="L372" s="47">
        <v>385</v>
      </c>
      <c r="M372" s="47">
        <f t="shared" si="5"/>
        <v>645</v>
      </c>
      <c r="N372" s="46" t="s">
        <v>1090</v>
      </c>
      <c r="O372" s="71" t="s">
        <v>1102</v>
      </c>
    </row>
    <row r="373" spans="1:15" ht="51" x14ac:dyDescent="0.2">
      <c r="A373" s="45" t="s">
        <v>1103</v>
      </c>
      <c r="B373" s="46" t="s">
        <v>1086</v>
      </c>
      <c r="C373" s="46" t="s">
        <v>1086</v>
      </c>
      <c r="D373" s="46" t="s">
        <v>1017</v>
      </c>
      <c r="E373" s="46" t="s">
        <v>1104</v>
      </c>
      <c r="F373" s="46" t="s">
        <v>1099</v>
      </c>
      <c r="G373" s="46" t="s">
        <v>68</v>
      </c>
      <c r="H373" s="46" t="s">
        <v>68</v>
      </c>
      <c r="I373" s="46" t="s">
        <v>68</v>
      </c>
      <c r="J373" s="46" t="s">
        <v>71</v>
      </c>
      <c r="K373" s="47">
        <v>250</v>
      </c>
      <c r="L373" s="47">
        <v>315</v>
      </c>
      <c r="M373" s="47">
        <f t="shared" si="5"/>
        <v>565</v>
      </c>
      <c r="N373" s="46" t="s">
        <v>1090</v>
      </c>
      <c r="O373" s="71" t="s">
        <v>1105</v>
      </c>
    </row>
    <row r="374" spans="1:15" ht="51" x14ac:dyDescent="0.2">
      <c r="A374" s="45" t="s">
        <v>1106</v>
      </c>
      <c r="B374" s="46" t="s">
        <v>1086</v>
      </c>
      <c r="C374" s="46" t="s">
        <v>1086</v>
      </c>
      <c r="D374" s="46" t="s">
        <v>1017</v>
      </c>
      <c r="E374" s="46" t="s">
        <v>1107</v>
      </c>
      <c r="F374" s="46" t="s">
        <v>1099</v>
      </c>
      <c r="G374" s="46" t="s">
        <v>68</v>
      </c>
      <c r="H374" s="46" t="s">
        <v>68</v>
      </c>
      <c r="I374" s="46" t="s">
        <v>68</v>
      </c>
      <c r="J374" s="46" t="s">
        <v>71</v>
      </c>
      <c r="K374" s="47">
        <v>260</v>
      </c>
      <c r="L374" s="47">
        <v>360</v>
      </c>
      <c r="M374" s="47">
        <f t="shared" si="5"/>
        <v>620</v>
      </c>
      <c r="N374" s="46" t="s">
        <v>1090</v>
      </c>
      <c r="O374" s="71" t="s">
        <v>1108</v>
      </c>
    </row>
    <row r="375" spans="1:15" ht="51" x14ac:dyDescent="0.2">
      <c r="A375" s="45" t="s">
        <v>1109</v>
      </c>
      <c r="B375" s="46" t="s">
        <v>1086</v>
      </c>
      <c r="C375" s="46" t="s">
        <v>1086</v>
      </c>
      <c r="D375" s="46" t="s">
        <v>1017</v>
      </c>
      <c r="E375" s="46" t="s">
        <v>1110</v>
      </c>
      <c r="F375" s="46" t="s">
        <v>1099</v>
      </c>
      <c r="G375" s="46" t="s">
        <v>68</v>
      </c>
      <c r="H375" s="46" t="s">
        <v>68</v>
      </c>
      <c r="I375" s="46" t="s">
        <v>68</v>
      </c>
      <c r="J375" s="46" t="s">
        <v>71</v>
      </c>
      <c r="K375" s="47">
        <v>270</v>
      </c>
      <c r="L375" s="47">
        <v>400</v>
      </c>
      <c r="M375" s="47">
        <f t="shared" si="5"/>
        <v>670</v>
      </c>
      <c r="N375" s="46" t="s">
        <v>1090</v>
      </c>
      <c r="O375" s="71" t="s">
        <v>1111</v>
      </c>
    </row>
    <row r="376" spans="1:15" ht="51" x14ac:dyDescent="0.2">
      <c r="A376" s="45" t="s">
        <v>1112</v>
      </c>
      <c r="B376" s="46" t="s">
        <v>1086</v>
      </c>
      <c r="C376" s="46" t="s">
        <v>1086</v>
      </c>
      <c r="D376" s="46" t="s">
        <v>1017</v>
      </c>
      <c r="E376" s="46" t="s">
        <v>1113</v>
      </c>
      <c r="F376" s="46" t="s">
        <v>1099</v>
      </c>
      <c r="G376" s="46" t="s">
        <v>68</v>
      </c>
      <c r="H376" s="46" t="s">
        <v>68</v>
      </c>
      <c r="I376" s="46" t="s">
        <v>68</v>
      </c>
      <c r="J376" s="46" t="s">
        <v>71</v>
      </c>
      <c r="K376" s="47">
        <v>400</v>
      </c>
      <c r="L376" s="47">
        <v>910</v>
      </c>
      <c r="M376" s="47">
        <f t="shared" si="5"/>
        <v>1310</v>
      </c>
      <c r="N376" s="46" t="s">
        <v>1090</v>
      </c>
      <c r="O376" s="71" t="s">
        <v>1114</v>
      </c>
    </row>
    <row r="377" spans="1:15" ht="63.75" x14ac:dyDescent="0.2">
      <c r="A377" s="45" t="s">
        <v>1115</v>
      </c>
      <c r="B377" s="46" t="s">
        <v>1086</v>
      </c>
      <c r="C377" s="46" t="s">
        <v>1086</v>
      </c>
      <c r="D377" s="46" t="s">
        <v>1116</v>
      </c>
      <c r="E377" s="46" t="s">
        <v>1117</v>
      </c>
      <c r="F377" s="46" t="s">
        <v>1093</v>
      </c>
      <c r="G377" s="46" t="s">
        <v>1099</v>
      </c>
      <c r="H377" s="46" t="s">
        <v>68</v>
      </c>
      <c r="I377" s="46" t="s">
        <v>68</v>
      </c>
      <c r="J377" s="46" t="s">
        <v>71</v>
      </c>
      <c r="K377" s="47">
        <v>435</v>
      </c>
      <c r="L377" s="47">
        <v>810</v>
      </c>
      <c r="M377" s="47">
        <f t="shared" si="5"/>
        <v>1245</v>
      </c>
      <c r="N377" s="46" t="s">
        <v>1090</v>
      </c>
      <c r="O377" s="71" t="s">
        <v>1118</v>
      </c>
    </row>
    <row r="378" spans="1:15" ht="63.75" x14ac:dyDescent="0.2">
      <c r="A378" s="45" t="s">
        <v>1119</v>
      </c>
      <c r="B378" s="46" t="s">
        <v>1086</v>
      </c>
      <c r="C378" s="46" t="s">
        <v>1086</v>
      </c>
      <c r="D378" s="46" t="s">
        <v>1116</v>
      </c>
      <c r="E378" s="46" t="s">
        <v>1117</v>
      </c>
      <c r="F378" s="46" t="s">
        <v>1096</v>
      </c>
      <c r="G378" s="46" t="s">
        <v>1099</v>
      </c>
      <c r="H378" s="46" t="s">
        <v>68</v>
      </c>
      <c r="I378" s="46" t="s">
        <v>68</v>
      </c>
      <c r="J378" s="46" t="s">
        <v>71</v>
      </c>
      <c r="K378" s="47">
        <v>460</v>
      </c>
      <c r="L378" s="47">
        <v>960</v>
      </c>
      <c r="M378" s="47">
        <f t="shared" si="5"/>
        <v>1420</v>
      </c>
      <c r="N378" s="46" t="s">
        <v>1090</v>
      </c>
      <c r="O378" s="71" t="s">
        <v>1120</v>
      </c>
    </row>
    <row r="379" spans="1:15" ht="63.75" x14ac:dyDescent="0.2">
      <c r="A379" s="45" t="s">
        <v>1121</v>
      </c>
      <c r="B379" s="46" t="s">
        <v>1086</v>
      </c>
      <c r="C379" s="46" t="s">
        <v>1086</v>
      </c>
      <c r="D379" s="46" t="s">
        <v>1116</v>
      </c>
      <c r="E379" s="46" t="s">
        <v>1117</v>
      </c>
      <c r="F379" s="46" t="s">
        <v>1122</v>
      </c>
      <c r="G379" s="46" t="s">
        <v>1099</v>
      </c>
      <c r="H379" s="46" t="s">
        <v>68</v>
      </c>
      <c r="I379" s="46" t="s">
        <v>68</v>
      </c>
      <c r="J379" s="46" t="s">
        <v>71</v>
      </c>
      <c r="K379" s="47">
        <v>520</v>
      </c>
      <c r="L379" s="47">
        <v>1160</v>
      </c>
      <c r="M379" s="47">
        <f t="shared" si="5"/>
        <v>1680</v>
      </c>
      <c r="N379" s="46" t="s">
        <v>1090</v>
      </c>
      <c r="O379" s="71" t="s">
        <v>1123</v>
      </c>
    </row>
    <row r="380" spans="1:15" ht="63.75" x14ac:dyDescent="0.2">
      <c r="A380" s="45" t="s">
        <v>1124</v>
      </c>
      <c r="B380" s="46" t="s">
        <v>1086</v>
      </c>
      <c r="C380" s="46" t="s">
        <v>1086</v>
      </c>
      <c r="D380" s="46" t="s">
        <v>1116</v>
      </c>
      <c r="E380" s="46" t="s">
        <v>1117</v>
      </c>
      <c r="F380" s="46" t="s">
        <v>1125</v>
      </c>
      <c r="G380" s="46" t="s">
        <v>1099</v>
      </c>
      <c r="H380" s="46" t="s">
        <v>68</v>
      </c>
      <c r="I380" s="46" t="s">
        <v>68</v>
      </c>
      <c r="J380" s="46" t="s">
        <v>71</v>
      </c>
      <c r="K380" s="47">
        <v>570</v>
      </c>
      <c r="L380" s="47">
        <v>1360</v>
      </c>
      <c r="M380" s="47">
        <f t="shared" si="5"/>
        <v>1930</v>
      </c>
      <c r="N380" s="46" t="s">
        <v>1090</v>
      </c>
      <c r="O380" s="71" t="s">
        <v>1126</v>
      </c>
    </row>
    <row r="381" spans="1:15" ht="63.75" x14ac:dyDescent="0.2">
      <c r="A381" s="45" t="s">
        <v>1127</v>
      </c>
      <c r="B381" s="46" t="s">
        <v>1086</v>
      </c>
      <c r="C381" s="46" t="s">
        <v>1086</v>
      </c>
      <c r="D381" s="46" t="s">
        <v>1116</v>
      </c>
      <c r="E381" s="46" t="s">
        <v>1128</v>
      </c>
      <c r="F381" s="46" t="s">
        <v>1093</v>
      </c>
      <c r="G381" s="46" t="s">
        <v>1099</v>
      </c>
      <c r="H381" s="46" t="s">
        <v>68</v>
      </c>
      <c r="I381" s="46" t="s">
        <v>68</v>
      </c>
      <c r="J381" s="46" t="s">
        <v>71</v>
      </c>
      <c r="K381" s="47">
        <v>415</v>
      </c>
      <c r="L381" s="47">
        <v>660</v>
      </c>
      <c r="M381" s="47">
        <f t="shared" si="5"/>
        <v>1075</v>
      </c>
      <c r="N381" s="46" t="s">
        <v>1090</v>
      </c>
      <c r="O381" s="71" t="s">
        <v>1129</v>
      </c>
    </row>
    <row r="382" spans="1:15" ht="63.75" x14ac:dyDescent="0.2">
      <c r="A382" s="45" t="s">
        <v>1130</v>
      </c>
      <c r="B382" s="46" t="s">
        <v>1086</v>
      </c>
      <c r="C382" s="46" t="s">
        <v>1086</v>
      </c>
      <c r="D382" s="46" t="s">
        <v>1116</v>
      </c>
      <c r="E382" s="46" t="s">
        <v>1128</v>
      </c>
      <c r="F382" s="46" t="s">
        <v>1096</v>
      </c>
      <c r="G382" s="46" t="s">
        <v>1099</v>
      </c>
      <c r="H382" s="46" t="s">
        <v>68</v>
      </c>
      <c r="I382" s="46" t="s">
        <v>68</v>
      </c>
      <c r="J382" s="46" t="s">
        <v>71</v>
      </c>
      <c r="K382" s="47">
        <v>430</v>
      </c>
      <c r="L382" s="47">
        <v>730</v>
      </c>
      <c r="M382" s="47">
        <f t="shared" si="5"/>
        <v>1160</v>
      </c>
      <c r="N382" s="46" t="s">
        <v>1090</v>
      </c>
      <c r="O382" s="71" t="s">
        <v>1131</v>
      </c>
    </row>
    <row r="383" spans="1:15" ht="63.75" x14ac:dyDescent="0.2">
      <c r="A383" s="45" t="s">
        <v>1132</v>
      </c>
      <c r="B383" s="46" t="s">
        <v>1086</v>
      </c>
      <c r="C383" s="46" t="s">
        <v>1086</v>
      </c>
      <c r="D383" s="46" t="s">
        <v>1116</v>
      </c>
      <c r="E383" s="46" t="s">
        <v>1128</v>
      </c>
      <c r="F383" s="46" t="s">
        <v>1122</v>
      </c>
      <c r="G383" s="46" t="s">
        <v>1099</v>
      </c>
      <c r="H383" s="46" t="s">
        <v>68</v>
      </c>
      <c r="I383" s="46" t="s">
        <v>68</v>
      </c>
      <c r="J383" s="46" t="s">
        <v>71</v>
      </c>
      <c r="K383" s="47">
        <v>450</v>
      </c>
      <c r="L383" s="47">
        <v>810</v>
      </c>
      <c r="M383" s="47">
        <f t="shared" si="5"/>
        <v>1260</v>
      </c>
      <c r="N383" s="46" t="s">
        <v>1090</v>
      </c>
      <c r="O383" s="71" t="s">
        <v>1133</v>
      </c>
    </row>
    <row r="384" spans="1:15" ht="63.75" x14ac:dyDescent="0.2">
      <c r="A384" s="45" t="s">
        <v>1134</v>
      </c>
      <c r="B384" s="46" t="s">
        <v>1086</v>
      </c>
      <c r="C384" s="46" t="s">
        <v>1086</v>
      </c>
      <c r="D384" s="46" t="s">
        <v>1116</v>
      </c>
      <c r="E384" s="46" t="s">
        <v>1128</v>
      </c>
      <c r="F384" s="46" t="s">
        <v>1125</v>
      </c>
      <c r="G384" s="46" t="s">
        <v>1099</v>
      </c>
      <c r="H384" s="46" t="s">
        <v>68</v>
      </c>
      <c r="I384" s="46" t="s">
        <v>68</v>
      </c>
      <c r="J384" s="46" t="s">
        <v>71</v>
      </c>
      <c r="K384" s="47">
        <v>500</v>
      </c>
      <c r="L384" s="47">
        <v>910</v>
      </c>
      <c r="M384" s="47">
        <f t="shared" si="5"/>
        <v>1410</v>
      </c>
      <c r="N384" s="46" t="s">
        <v>1090</v>
      </c>
      <c r="O384" s="71" t="s">
        <v>1135</v>
      </c>
    </row>
    <row r="385" spans="1:15" ht="63.75" x14ac:dyDescent="0.2">
      <c r="A385" s="45" t="s">
        <v>1136</v>
      </c>
      <c r="B385" s="46" t="s">
        <v>1086</v>
      </c>
      <c r="C385" s="46" t="s">
        <v>1086</v>
      </c>
      <c r="D385" s="46" t="s">
        <v>1116</v>
      </c>
      <c r="E385" s="46" t="s">
        <v>1137</v>
      </c>
      <c r="F385" s="46" t="s">
        <v>1093</v>
      </c>
      <c r="G385" s="46" t="s">
        <v>1099</v>
      </c>
      <c r="H385" s="46" t="s">
        <v>68</v>
      </c>
      <c r="I385" s="46" t="s">
        <v>68</v>
      </c>
      <c r="J385" s="46" t="s">
        <v>71</v>
      </c>
      <c r="K385" s="47">
        <v>430</v>
      </c>
      <c r="L385" s="47">
        <v>750</v>
      </c>
      <c r="M385" s="47">
        <f t="shared" si="5"/>
        <v>1180</v>
      </c>
      <c r="N385" s="46" t="s">
        <v>1090</v>
      </c>
      <c r="O385" s="71" t="s">
        <v>1138</v>
      </c>
    </row>
    <row r="386" spans="1:15" ht="63.75" x14ac:dyDescent="0.2">
      <c r="A386" s="45" t="s">
        <v>1139</v>
      </c>
      <c r="B386" s="46" t="s">
        <v>1086</v>
      </c>
      <c r="C386" s="46" t="s">
        <v>1086</v>
      </c>
      <c r="D386" s="46" t="s">
        <v>1116</v>
      </c>
      <c r="E386" s="46" t="s">
        <v>1137</v>
      </c>
      <c r="F386" s="46" t="s">
        <v>1096</v>
      </c>
      <c r="G386" s="46" t="s">
        <v>1099</v>
      </c>
      <c r="H386" s="46" t="s">
        <v>68</v>
      </c>
      <c r="I386" s="46" t="s">
        <v>68</v>
      </c>
      <c r="J386" s="46" t="s">
        <v>71</v>
      </c>
      <c r="K386" s="47">
        <v>450</v>
      </c>
      <c r="L386" s="47">
        <v>795</v>
      </c>
      <c r="M386" s="47">
        <f t="shared" si="5"/>
        <v>1245</v>
      </c>
      <c r="N386" s="46" t="s">
        <v>1090</v>
      </c>
      <c r="O386" s="71" t="s">
        <v>1140</v>
      </c>
    </row>
    <row r="387" spans="1:15" ht="63.75" x14ac:dyDescent="0.2">
      <c r="A387" s="45" t="s">
        <v>1141</v>
      </c>
      <c r="B387" s="46" t="s">
        <v>1086</v>
      </c>
      <c r="C387" s="46" t="s">
        <v>1086</v>
      </c>
      <c r="D387" s="46" t="s">
        <v>1116</v>
      </c>
      <c r="E387" s="46" t="s">
        <v>1137</v>
      </c>
      <c r="F387" s="46" t="s">
        <v>1122</v>
      </c>
      <c r="G387" s="46" t="s">
        <v>1099</v>
      </c>
      <c r="H387" s="46" t="s">
        <v>68</v>
      </c>
      <c r="I387" s="46" t="s">
        <v>68</v>
      </c>
      <c r="J387" s="46" t="s">
        <v>71</v>
      </c>
      <c r="K387" s="47">
        <v>480</v>
      </c>
      <c r="L387" s="47">
        <v>945</v>
      </c>
      <c r="M387" s="47">
        <f t="shared" si="5"/>
        <v>1425</v>
      </c>
      <c r="N387" s="46" t="s">
        <v>1090</v>
      </c>
      <c r="O387" s="71" t="s">
        <v>1142</v>
      </c>
    </row>
    <row r="388" spans="1:15" ht="63.75" x14ac:dyDescent="0.2">
      <c r="A388" s="45" t="s">
        <v>1143</v>
      </c>
      <c r="B388" s="46" t="s">
        <v>1086</v>
      </c>
      <c r="C388" s="46" t="s">
        <v>1086</v>
      </c>
      <c r="D388" s="46" t="s">
        <v>1116</v>
      </c>
      <c r="E388" s="46" t="s">
        <v>1137</v>
      </c>
      <c r="F388" s="46" t="s">
        <v>1125</v>
      </c>
      <c r="G388" s="46" t="s">
        <v>1099</v>
      </c>
      <c r="H388" s="46" t="s">
        <v>68</v>
      </c>
      <c r="I388" s="46" t="s">
        <v>68</v>
      </c>
      <c r="J388" s="46" t="s">
        <v>71</v>
      </c>
      <c r="K388" s="47">
        <v>520</v>
      </c>
      <c r="L388" s="47">
        <v>1000</v>
      </c>
      <c r="M388" s="47">
        <f t="shared" si="5"/>
        <v>1520</v>
      </c>
      <c r="N388" s="46" t="s">
        <v>1090</v>
      </c>
      <c r="O388" s="71" t="s">
        <v>1144</v>
      </c>
    </row>
    <row r="389" spans="1:15" ht="63.75" x14ac:dyDescent="0.2">
      <c r="A389" s="45" t="s">
        <v>1145</v>
      </c>
      <c r="B389" s="46" t="s">
        <v>1086</v>
      </c>
      <c r="C389" s="46" t="s">
        <v>1086</v>
      </c>
      <c r="D389" s="46" t="s">
        <v>1116</v>
      </c>
      <c r="E389" s="46" t="s">
        <v>1146</v>
      </c>
      <c r="F389" s="46" t="s">
        <v>1093</v>
      </c>
      <c r="G389" s="46" t="s">
        <v>1099</v>
      </c>
      <c r="H389" s="46" t="s">
        <v>68</v>
      </c>
      <c r="I389" s="46" t="s">
        <v>68</v>
      </c>
      <c r="J389" s="46" t="s">
        <v>71</v>
      </c>
      <c r="K389" s="47">
        <v>415</v>
      </c>
      <c r="L389" s="47">
        <v>650</v>
      </c>
      <c r="M389" s="47">
        <f t="shared" si="5"/>
        <v>1065</v>
      </c>
      <c r="N389" s="46" t="s">
        <v>1090</v>
      </c>
      <c r="O389" s="71" t="s">
        <v>1147</v>
      </c>
    </row>
    <row r="390" spans="1:15" ht="63.75" x14ac:dyDescent="0.2">
      <c r="A390" s="45" t="s">
        <v>1148</v>
      </c>
      <c r="B390" s="46" t="s">
        <v>1086</v>
      </c>
      <c r="C390" s="46" t="s">
        <v>1086</v>
      </c>
      <c r="D390" s="46" t="s">
        <v>1116</v>
      </c>
      <c r="E390" s="46" t="s">
        <v>1146</v>
      </c>
      <c r="F390" s="46" t="s">
        <v>1096</v>
      </c>
      <c r="G390" s="46" t="s">
        <v>1099</v>
      </c>
      <c r="H390" s="46" t="s">
        <v>68</v>
      </c>
      <c r="I390" s="46" t="s">
        <v>68</v>
      </c>
      <c r="J390" s="46" t="s">
        <v>71</v>
      </c>
      <c r="K390" s="47">
        <v>440</v>
      </c>
      <c r="L390" s="47">
        <v>730</v>
      </c>
      <c r="M390" s="47">
        <f t="shared" si="5"/>
        <v>1170</v>
      </c>
      <c r="N390" s="46" t="s">
        <v>1090</v>
      </c>
      <c r="O390" s="71" t="s">
        <v>1149</v>
      </c>
    </row>
    <row r="391" spans="1:15" ht="63.75" x14ac:dyDescent="0.2">
      <c r="A391" s="45" t="s">
        <v>1150</v>
      </c>
      <c r="B391" s="46" t="s">
        <v>1086</v>
      </c>
      <c r="C391" s="46" t="s">
        <v>1086</v>
      </c>
      <c r="D391" s="46" t="s">
        <v>1116</v>
      </c>
      <c r="E391" s="46" t="s">
        <v>1146</v>
      </c>
      <c r="F391" s="46" t="s">
        <v>1122</v>
      </c>
      <c r="G391" s="46" t="s">
        <v>1099</v>
      </c>
      <c r="H391" s="46" t="s">
        <v>68</v>
      </c>
      <c r="I391" s="46" t="s">
        <v>68</v>
      </c>
      <c r="J391" s="46" t="s">
        <v>71</v>
      </c>
      <c r="K391" s="47">
        <v>480</v>
      </c>
      <c r="L391" s="47">
        <v>830</v>
      </c>
      <c r="M391" s="47">
        <f t="shared" ref="M391:M446" si="6">SUM(K391:L391)</f>
        <v>1310</v>
      </c>
      <c r="N391" s="46" t="s">
        <v>1090</v>
      </c>
      <c r="O391" s="71" t="s">
        <v>1151</v>
      </c>
    </row>
    <row r="392" spans="1:15" ht="63.75" x14ac:dyDescent="0.2">
      <c r="A392" s="45" t="s">
        <v>1152</v>
      </c>
      <c r="B392" s="46" t="s">
        <v>1086</v>
      </c>
      <c r="C392" s="46" t="s">
        <v>1086</v>
      </c>
      <c r="D392" s="46" t="s">
        <v>1116</v>
      </c>
      <c r="E392" s="46" t="s">
        <v>1146</v>
      </c>
      <c r="F392" s="46" t="s">
        <v>1125</v>
      </c>
      <c r="G392" s="46" t="s">
        <v>1099</v>
      </c>
      <c r="H392" s="46" t="s">
        <v>68</v>
      </c>
      <c r="I392" s="46" t="s">
        <v>68</v>
      </c>
      <c r="J392" s="46" t="s">
        <v>71</v>
      </c>
      <c r="K392" s="47">
        <v>510</v>
      </c>
      <c r="L392" s="47">
        <v>940</v>
      </c>
      <c r="M392" s="47">
        <f t="shared" si="6"/>
        <v>1450</v>
      </c>
      <c r="N392" s="46" t="s">
        <v>1090</v>
      </c>
      <c r="O392" s="71" t="s">
        <v>1153</v>
      </c>
    </row>
    <row r="393" spans="1:15" ht="38.25" x14ac:dyDescent="0.2">
      <c r="A393" s="45" t="s">
        <v>1154</v>
      </c>
      <c r="B393" s="81" t="s">
        <v>1155</v>
      </c>
      <c r="C393" s="81" t="s">
        <v>1155</v>
      </c>
      <c r="D393" s="81" t="s">
        <v>257</v>
      </c>
      <c r="E393" s="81" t="s">
        <v>68</v>
      </c>
      <c r="F393" s="81" t="s">
        <v>68</v>
      </c>
      <c r="G393" s="81" t="s">
        <v>68</v>
      </c>
      <c r="H393" s="81" t="s">
        <v>68</v>
      </c>
      <c r="I393" s="81" t="s">
        <v>68</v>
      </c>
      <c r="J393" s="81" t="s">
        <v>1156</v>
      </c>
      <c r="K393" s="47">
        <v>150</v>
      </c>
      <c r="L393" s="47">
        <v>70</v>
      </c>
      <c r="M393" s="47">
        <f t="shared" si="6"/>
        <v>220</v>
      </c>
      <c r="N393" s="46" t="s">
        <v>1157</v>
      </c>
      <c r="O393" s="71" t="s">
        <v>1158</v>
      </c>
    </row>
    <row r="394" spans="1:15" ht="25.5" x14ac:dyDescent="0.2">
      <c r="A394" s="45" t="s">
        <v>1159</v>
      </c>
      <c r="B394" s="81" t="s">
        <v>1160</v>
      </c>
      <c r="C394" s="81" t="s">
        <v>1160</v>
      </c>
      <c r="D394" s="81" t="s">
        <v>254</v>
      </c>
      <c r="E394" s="81" t="s">
        <v>68</v>
      </c>
      <c r="F394" s="81" t="s">
        <v>68</v>
      </c>
      <c r="G394" s="81" t="s">
        <v>68</v>
      </c>
      <c r="H394" s="81" t="s">
        <v>68</v>
      </c>
      <c r="I394" s="81" t="s">
        <v>68</v>
      </c>
      <c r="J394" s="81" t="s">
        <v>71</v>
      </c>
      <c r="K394" s="47">
        <v>160</v>
      </c>
      <c r="L394" s="47">
        <v>70</v>
      </c>
      <c r="M394" s="47">
        <f t="shared" si="6"/>
        <v>230</v>
      </c>
      <c r="N394" s="46" t="s">
        <v>1161</v>
      </c>
      <c r="O394" s="71" t="s">
        <v>1162</v>
      </c>
    </row>
    <row r="395" spans="1:15" ht="25.5" x14ac:dyDescent="0.2">
      <c r="A395" s="45" t="s">
        <v>1163</v>
      </c>
      <c r="B395" s="81" t="s">
        <v>1160</v>
      </c>
      <c r="C395" s="81" t="s">
        <v>1160</v>
      </c>
      <c r="D395" s="81" t="s">
        <v>1164</v>
      </c>
      <c r="E395" s="81" t="s">
        <v>68</v>
      </c>
      <c r="F395" s="81" t="s">
        <v>68</v>
      </c>
      <c r="G395" s="81" t="s">
        <v>68</v>
      </c>
      <c r="H395" s="81" t="s">
        <v>68</v>
      </c>
      <c r="I395" s="81" t="s">
        <v>68</v>
      </c>
      <c r="J395" s="81" t="s">
        <v>71</v>
      </c>
      <c r="K395" s="47">
        <v>180</v>
      </c>
      <c r="L395" s="47">
        <v>150</v>
      </c>
      <c r="M395" s="47">
        <f t="shared" si="6"/>
        <v>330</v>
      </c>
      <c r="N395" s="46" t="s">
        <v>1161</v>
      </c>
      <c r="O395" s="71" t="s">
        <v>1165</v>
      </c>
    </row>
    <row r="396" spans="1:15" ht="25.5" x14ac:dyDescent="0.2">
      <c r="A396" s="45" t="s">
        <v>1166</v>
      </c>
      <c r="B396" s="81" t="s">
        <v>1160</v>
      </c>
      <c r="C396" s="81" t="s">
        <v>1160</v>
      </c>
      <c r="D396" s="81" t="s">
        <v>1017</v>
      </c>
      <c r="E396" s="81" t="s">
        <v>68</v>
      </c>
      <c r="F396" s="81" t="s">
        <v>68</v>
      </c>
      <c r="G396" s="81" t="s">
        <v>68</v>
      </c>
      <c r="H396" s="81" t="s">
        <v>68</v>
      </c>
      <c r="I396" s="81" t="s">
        <v>68</v>
      </c>
      <c r="J396" s="81" t="s">
        <v>71</v>
      </c>
      <c r="K396" s="47">
        <v>200</v>
      </c>
      <c r="L396" s="47">
        <v>260</v>
      </c>
      <c r="M396" s="47">
        <f t="shared" si="6"/>
        <v>460</v>
      </c>
      <c r="N396" s="46" t="s">
        <v>1161</v>
      </c>
      <c r="O396" s="71" t="s">
        <v>1167</v>
      </c>
    </row>
    <row r="397" spans="1:15" ht="38.25" x14ac:dyDescent="0.2">
      <c r="A397" s="45" t="s">
        <v>1168</v>
      </c>
      <c r="B397" s="46" t="s">
        <v>1169</v>
      </c>
      <c r="C397" s="46" t="s">
        <v>1169</v>
      </c>
      <c r="D397" s="46" t="s">
        <v>1170</v>
      </c>
      <c r="E397" s="46" t="s">
        <v>1171</v>
      </c>
      <c r="F397" s="46" t="s">
        <v>68</v>
      </c>
      <c r="G397" s="46" t="s">
        <v>68</v>
      </c>
      <c r="H397" s="46" t="s">
        <v>68</v>
      </c>
      <c r="I397" s="46" t="s">
        <v>454</v>
      </c>
      <c r="J397" s="46" t="s">
        <v>71</v>
      </c>
      <c r="K397" s="47">
        <v>300</v>
      </c>
      <c r="L397" s="47">
        <v>510</v>
      </c>
      <c r="M397" s="47">
        <f t="shared" si="6"/>
        <v>810</v>
      </c>
      <c r="N397" s="46" t="s">
        <v>1172</v>
      </c>
      <c r="O397" s="71" t="s">
        <v>1173</v>
      </c>
    </row>
    <row r="398" spans="1:15" ht="38.25" x14ac:dyDescent="0.2">
      <c r="A398" s="45" t="s">
        <v>1174</v>
      </c>
      <c r="B398" s="46" t="s">
        <v>1169</v>
      </c>
      <c r="C398" s="46" t="s">
        <v>1169</v>
      </c>
      <c r="D398" s="46" t="s">
        <v>1170</v>
      </c>
      <c r="E398" s="46" t="s">
        <v>1171</v>
      </c>
      <c r="F398" s="46"/>
      <c r="G398" s="46"/>
      <c r="H398" s="46"/>
      <c r="I398" s="46" t="s">
        <v>445</v>
      </c>
      <c r="J398" s="46" t="s">
        <v>71</v>
      </c>
      <c r="K398" s="47">
        <v>300</v>
      </c>
      <c r="L398" s="47">
        <v>910</v>
      </c>
      <c r="M398" s="47">
        <f t="shared" si="6"/>
        <v>1210</v>
      </c>
      <c r="N398" s="46" t="s">
        <v>1172</v>
      </c>
      <c r="O398" s="71" t="s">
        <v>1175</v>
      </c>
    </row>
    <row r="399" spans="1:15" ht="38.25" x14ac:dyDescent="0.2">
      <c r="A399" s="45" t="s">
        <v>1176</v>
      </c>
      <c r="B399" s="46" t="s">
        <v>1177</v>
      </c>
      <c r="C399" s="46" t="s">
        <v>1177</v>
      </c>
      <c r="D399" s="46" t="s">
        <v>1178</v>
      </c>
      <c r="E399" s="46" t="s">
        <v>68</v>
      </c>
      <c r="F399" s="46" t="s">
        <v>68</v>
      </c>
      <c r="G399" s="46" t="s">
        <v>68</v>
      </c>
      <c r="H399" s="46" t="s">
        <v>68</v>
      </c>
      <c r="I399" s="46" t="s">
        <v>68</v>
      </c>
      <c r="J399" s="46" t="s">
        <v>71</v>
      </c>
      <c r="K399" s="47">
        <v>130</v>
      </c>
      <c r="L399" s="47">
        <v>30</v>
      </c>
      <c r="M399" s="47">
        <f t="shared" si="6"/>
        <v>160</v>
      </c>
      <c r="N399" s="46"/>
      <c r="O399" s="71" t="s">
        <v>1179</v>
      </c>
    </row>
    <row r="400" spans="1:15" ht="25.5" x14ac:dyDescent="0.2">
      <c r="A400" s="45" t="s">
        <v>1180</v>
      </c>
      <c r="B400" s="46" t="s">
        <v>1181</v>
      </c>
      <c r="C400" s="46" t="s">
        <v>1181</v>
      </c>
      <c r="D400" s="82" t="s">
        <v>1182</v>
      </c>
      <c r="E400" s="46" t="s">
        <v>1183</v>
      </c>
      <c r="F400" s="46" t="s">
        <v>68</v>
      </c>
      <c r="G400" s="46" t="s">
        <v>68</v>
      </c>
      <c r="H400" s="46" t="s">
        <v>68</v>
      </c>
      <c r="I400" s="46" t="s">
        <v>68</v>
      </c>
      <c r="J400" s="46" t="s">
        <v>71</v>
      </c>
      <c r="K400" s="47">
        <v>65</v>
      </c>
      <c r="L400" s="47">
        <v>0</v>
      </c>
      <c r="M400" s="47">
        <f t="shared" si="6"/>
        <v>65</v>
      </c>
      <c r="N400" s="46"/>
      <c r="O400" s="71" t="s">
        <v>68</v>
      </c>
    </row>
    <row r="401" spans="1:15" ht="12.75" x14ac:dyDescent="0.2">
      <c r="A401" s="34" t="s">
        <v>1184</v>
      </c>
      <c r="B401" s="35" t="s">
        <v>68</v>
      </c>
      <c r="C401" s="35" t="s">
        <v>68</v>
      </c>
      <c r="D401" s="35" t="s">
        <v>68</v>
      </c>
      <c r="E401" s="35" t="s">
        <v>68</v>
      </c>
      <c r="F401" s="35" t="s">
        <v>68</v>
      </c>
      <c r="G401" s="35" t="s">
        <v>68</v>
      </c>
      <c r="H401" s="35" t="s">
        <v>68</v>
      </c>
      <c r="I401" s="35" t="s">
        <v>68</v>
      </c>
      <c r="J401" s="35" t="s">
        <v>68</v>
      </c>
      <c r="K401" s="36" t="s">
        <v>68</v>
      </c>
      <c r="L401" s="36" t="s">
        <v>68</v>
      </c>
      <c r="M401" s="47">
        <f t="shared" si="6"/>
        <v>0</v>
      </c>
      <c r="N401" s="35"/>
      <c r="O401" s="35" t="s">
        <v>68</v>
      </c>
    </row>
    <row r="402" spans="1:15" ht="25.5" x14ac:dyDescent="0.2">
      <c r="A402" s="45" t="s">
        <v>1185</v>
      </c>
      <c r="B402" s="46" t="s">
        <v>1186</v>
      </c>
      <c r="C402" s="46" t="s">
        <v>1186</v>
      </c>
      <c r="D402" s="46" t="s">
        <v>68</v>
      </c>
      <c r="E402" s="46" t="s">
        <v>68</v>
      </c>
      <c r="F402" s="46" t="s">
        <v>68</v>
      </c>
      <c r="G402" s="46" t="s">
        <v>68</v>
      </c>
      <c r="H402" s="46" t="s">
        <v>68</v>
      </c>
      <c r="I402" s="46" t="s">
        <v>68</v>
      </c>
      <c r="J402" s="46" t="s">
        <v>68</v>
      </c>
      <c r="K402" s="47" t="s">
        <v>68</v>
      </c>
      <c r="L402" s="47" t="s">
        <v>68</v>
      </c>
      <c r="M402" s="47">
        <f t="shared" si="6"/>
        <v>0</v>
      </c>
      <c r="N402" s="46"/>
      <c r="O402" s="71" t="s">
        <v>1187</v>
      </c>
    </row>
    <row r="403" spans="1:15" ht="25.5" x14ac:dyDescent="0.2">
      <c r="A403" s="45" t="s">
        <v>1188</v>
      </c>
      <c r="B403" s="46" t="s">
        <v>1189</v>
      </c>
      <c r="C403" s="46" t="s">
        <v>1189</v>
      </c>
      <c r="D403" s="46" t="s">
        <v>68</v>
      </c>
      <c r="E403" s="46" t="s">
        <v>68</v>
      </c>
      <c r="F403" s="46" t="s">
        <v>68</v>
      </c>
      <c r="G403" s="46" t="s">
        <v>68</v>
      </c>
      <c r="H403" s="46" t="s">
        <v>68</v>
      </c>
      <c r="I403" s="46" t="s">
        <v>68</v>
      </c>
      <c r="J403" s="46" t="s">
        <v>68</v>
      </c>
      <c r="K403" s="47" t="s">
        <v>68</v>
      </c>
      <c r="L403" s="47" t="s">
        <v>68</v>
      </c>
      <c r="M403" s="47">
        <f t="shared" si="6"/>
        <v>0</v>
      </c>
      <c r="N403" s="46"/>
      <c r="O403" s="71" t="s">
        <v>1190</v>
      </c>
    </row>
    <row r="404" spans="1:15" ht="25.5" x14ac:dyDescent="0.2">
      <c r="A404" s="45" t="s">
        <v>1191</v>
      </c>
      <c r="B404" s="46" t="s">
        <v>1192</v>
      </c>
      <c r="C404" s="46" t="s">
        <v>1192</v>
      </c>
      <c r="D404" s="46" t="s">
        <v>68</v>
      </c>
      <c r="E404" s="46" t="s">
        <v>68</v>
      </c>
      <c r="F404" s="46" t="s">
        <v>68</v>
      </c>
      <c r="G404" s="46" t="s">
        <v>68</v>
      </c>
      <c r="H404" s="46" t="s">
        <v>68</v>
      </c>
      <c r="I404" s="46" t="s">
        <v>68</v>
      </c>
      <c r="J404" s="46" t="s">
        <v>68</v>
      </c>
      <c r="K404" s="47" t="s">
        <v>68</v>
      </c>
      <c r="L404" s="47" t="s">
        <v>68</v>
      </c>
      <c r="M404" s="47">
        <f t="shared" si="6"/>
        <v>0</v>
      </c>
      <c r="N404" s="46"/>
      <c r="O404" s="71" t="s">
        <v>1193</v>
      </c>
    </row>
    <row r="405" spans="1:15" ht="25.5" x14ac:dyDescent="0.2">
      <c r="A405" s="45" t="s">
        <v>1194</v>
      </c>
      <c r="B405" s="46" t="s">
        <v>1195</v>
      </c>
      <c r="C405" s="46" t="s">
        <v>1195</v>
      </c>
      <c r="D405" s="46" t="s">
        <v>68</v>
      </c>
      <c r="E405" s="46" t="s">
        <v>68</v>
      </c>
      <c r="F405" s="46" t="s">
        <v>68</v>
      </c>
      <c r="G405" s="46" t="s">
        <v>68</v>
      </c>
      <c r="H405" s="46" t="s">
        <v>68</v>
      </c>
      <c r="I405" s="46" t="s">
        <v>68</v>
      </c>
      <c r="J405" s="46" t="s">
        <v>68</v>
      </c>
      <c r="K405" s="47" t="s">
        <v>68</v>
      </c>
      <c r="L405" s="47" t="s">
        <v>68</v>
      </c>
      <c r="M405" s="47">
        <f t="shared" si="6"/>
        <v>0</v>
      </c>
      <c r="N405" s="46"/>
      <c r="O405" s="71" t="s">
        <v>1196</v>
      </c>
    </row>
    <row r="406" spans="1:15" ht="12.75" x14ac:dyDescent="0.2">
      <c r="A406" s="34" t="s">
        <v>1197</v>
      </c>
      <c r="B406" s="35" t="s">
        <v>68</v>
      </c>
      <c r="C406" s="35" t="s">
        <v>68</v>
      </c>
      <c r="D406" s="35" t="s">
        <v>68</v>
      </c>
      <c r="E406" s="35" t="s">
        <v>68</v>
      </c>
      <c r="F406" s="35" t="s">
        <v>68</v>
      </c>
      <c r="G406" s="35" t="s">
        <v>68</v>
      </c>
      <c r="H406" s="35" t="s">
        <v>68</v>
      </c>
      <c r="I406" s="35" t="s">
        <v>68</v>
      </c>
      <c r="J406" s="35" t="s">
        <v>68</v>
      </c>
      <c r="K406" s="36" t="s">
        <v>68</v>
      </c>
      <c r="L406" s="36" t="s">
        <v>68</v>
      </c>
      <c r="M406" s="47">
        <f t="shared" si="6"/>
        <v>0</v>
      </c>
      <c r="N406" s="35"/>
      <c r="O406" s="35" t="s">
        <v>68</v>
      </c>
    </row>
    <row r="407" spans="1:15" ht="38.25" x14ac:dyDescent="0.2">
      <c r="A407" s="45" t="s">
        <v>1198</v>
      </c>
      <c r="B407" s="46" t="s">
        <v>1199</v>
      </c>
      <c r="C407" s="46" t="s">
        <v>1199</v>
      </c>
      <c r="D407" s="46" t="s">
        <v>1200</v>
      </c>
      <c r="E407" s="46" t="s">
        <v>68</v>
      </c>
      <c r="F407" s="46" t="s">
        <v>68</v>
      </c>
      <c r="G407" s="46" t="s">
        <v>68</v>
      </c>
      <c r="H407" s="46" t="s">
        <v>1201</v>
      </c>
      <c r="I407" s="46" t="s">
        <v>68</v>
      </c>
      <c r="J407" s="46" t="s">
        <v>71</v>
      </c>
      <c r="K407" s="47">
        <v>900</v>
      </c>
      <c r="L407" s="47">
        <v>1800</v>
      </c>
      <c r="M407" s="47">
        <f t="shared" si="6"/>
        <v>2700</v>
      </c>
      <c r="N407" s="46" t="s">
        <v>1202</v>
      </c>
      <c r="O407" s="71" t="s">
        <v>1203</v>
      </c>
    </row>
    <row r="408" spans="1:15" ht="51" x14ac:dyDescent="0.2">
      <c r="A408" s="45" t="s">
        <v>1204</v>
      </c>
      <c r="B408" s="46" t="s">
        <v>1205</v>
      </c>
      <c r="C408" s="46" t="s">
        <v>1205</v>
      </c>
      <c r="D408" s="46" t="s">
        <v>1200</v>
      </c>
      <c r="E408" s="46" t="s">
        <v>68</v>
      </c>
      <c r="F408" s="46" t="s">
        <v>68</v>
      </c>
      <c r="G408" s="46" t="s">
        <v>1206</v>
      </c>
      <c r="H408" s="46" t="s">
        <v>68</v>
      </c>
      <c r="I408" s="46" t="s">
        <v>68</v>
      </c>
      <c r="J408" s="46" t="s">
        <v>71</v>
      </c>
      <c r="K408" s="47">
        <v>300</v>
      </c>
      <c r="L408" s="47">
        <v>500</v>
      </c>
      <c r="M408" s="47">
        <f t="shared" si="6"/>
        <v>800</v>
      </c>
      <c r="N408" s="46" t="s">
        <v>1207</v>
      </c>
      <c r="O408" s="71" t="s">
        <v>1208</v>
      </c>
    </row>
    <row r="409" spans="1:15" ht="51" x14ac:dyDescent="0.2">
      <c r="A409" s="45" t="s">
        <v>1209</v>
      </c>
      <c r="B409" s="46" t="s">
        <v>1210</v>
      </c>
      <c r="C409" s="46" t="s">
        <v>1210</v>
      </c>
      <c r="D409" s="46" t="s">
        <v>1200</v>
      </c>
      <c r="E409" s="46" t="s">
        <v>68</v>
      </c>
      <c r="F409" s="46" t="s">
        <v>68</v>
      </c>
      <c r="G409" s="46" t="s">
        <v>68</v>
      </c>
      <c r="H409" s="46" t="s">
        <v>68</v>
      </c>
      <c r="I409" s="46" t="s">
        <v>68</v>
      </c>
      <c r="J409" s="46" t="s">
        <v>71</v>
      </c>
      <c r="K409" s="47">
        <v>200</v>
      </c>
      <c r="L409" s="47">
        <v>200</v>
      </c>
      <c r="M409" s="47">
        <f t="shared" si="6"/>
        <v>400</v>
      </c>
      <c r="N409" s="46" t="s">
        <v>1211</v>
      </c>
      <c r="O409" s="71" t="s">
        <v>1212</v>
      </c>
    </row>
    <row r="410" spans="1:15" ht="12.75" x14ac:dyDescent="0.2">
      <c r="A410" s="34" t="s">
        <v>1213</v>
      </c>
      <c r="B410" s="35" t="s">
        <v>68</v>
      </c>
      <c r="C410" s="35" t="s">
        <v>68</v>
      </c>
      <c r="D410" s="35" t="s">
        <v>68</v>
      </c>
      <c r="E410" s="35" t="s">
        <v>68</v>
      </c>
      <c r="F410" s="35" t="s">
        <v>68</v>
      </c>
      <c r="G410" s="35" t="s">
        <v>68</v>
      </c>
      <c r="H410" s="35" t="s">
        <v>68</v>
      </c>
      <c r="I410" s="35" t="s">
        <v>68</v>
      </c>
      <c r="J410" s="35" t="s">
        <v>68</v>
      </c>
      <c r="K410" s="36" t="s">
        <v>68</v>
      </c>
      <c r="L410" s="36" t="s">
        <v>68</v>
      </c>
      <c r="M410" s="47">
        <f t="shared" si="6"/>
        <v>0</v>
      </c>
      <c r="N410" s="35"/>
      <c r="O410" s="35" t="s">
        <v>68</v>
      </c>
    </row>
    <row r="411" spans="1:15" ht="51" x14ac:dyDescent="0.2">
      <c r="A411" s="45" t="s">
        <v>1214</v>
      </c>
      <c r="B411" s="46" t="s">
        <v>1215</v>
      </c>
      <c r="C411" s="46" t="s">
        <v>1215</v>
      </c>
      <c r="D411" s="46" t="s">
        <v>1216</v>
      </c>
      <c r="E411" s="46" t="s">
        <v>1217</v>
      </c>
      <c r="F411" s="46"/>
      <c r="G411" s="46"/>
      <c r="H411" s="46" t="s">
        <v>68</v>
      </c>
      <c r="I411" s="46" t="s">
        <v>68</v>
      </c>
      <c r="J411" s="46" t="s">
        <v>71</v>
      </c>
      <c r="K411" s="47">
        <v>600</v>
      </c>
      <c r="L411" s="47">
        <v>0</v>
      </c>
      <c r="M411" s="47">
        <f t="shared" si="6"/>
        <v>600</v>
      </c>
      <c r="N411" s="46" t="s">
        <v>1218</v>
      </c>
      <c r="O411" s="71" t="s">
        <v>1219</v>
      </c>
    </row>
    <row r="412" spans="1:15" ht="51" x14ac:dyDescent="0.2">
      <c r="A412" s="45" t="s">
        <v>1220</v>
      </c>
      <c r="B412" s="46" t="s">
        <v>1221</v>
      </c>
      <c r="C412" s="46" t="s">
        <v>1221</v>
      </c>
      <c r="D412" s="46" t="s">
        <v>1216</v>
      </c>
      <c r="E412" s="46" t="s">
        <v>1222</v>
      </c>
      <c r="F412" s="46"/>
      <c r="G412" s="46"/>
      <c r="H412" s="46" t="s">
        <v>68</v>
      </c>
      <c r="I412" s="46" t="s">
        <v>68</v>
      </c>
      <c r="J412" s="46" t="s">
        <v>71</v>
      </c>
      <c r="K412" s="47">
        <v>800</v>
      </c>
      <c r="L412" s="47">
        <v>0</v>
      </c>
      <c r="M412" s="47">
        <f t="shared" si="6"/>
        <v>800</v>
      </c>
      <c r="N412" s="46" t="s">
        <v>1218</v>
      </c>
      <c r="O412" s="71" t="s">
        <v>1223</v>
      </c>
    </row>
    <row r="413" spans="1:15" ht="51" x14ac:dyDescent="0.2">
      <c r="A413" s="45" t="s">
        <v>1224</v>
      </c>
      <c r="B413" s="46" t="s">
        <v>1225</v>
      </c>
      <c r="C413" s="46" t="s">
        <v>1225</v>
      </c>
      <c r="D413" s="46" t="s">
        <v>1226</v>
      </c>
      <c r="E413" s="46"/>
      <c r="F413" s="46"/>
      <c r="G413" s="46" t="s">
        <v>68</v>
      </c>
      <c r="H413" s="46" t="s">
        <v>68</v>
      </c>
      <c r="I413" s="46" t="s">
        <v>68</v>
      </c>
      <c r="J413" s="46" t="s">
        <v>71</v>
      </c>
      <c r="K413" s="47">
        <v>250</v>
      </c>
      <c r="L413" s="47">
        <v>0</v>
      </c>
      <c r="M413" s="47">
        <f t="shared" si="6"/>
        <v>250</v>
      </c>
      <c r="N413" s="46" t="s">
        <v>1218</v>
      </c>
      <c r="O413" s="71" t="s">
        <v>1227</v>
      </c>
    </row>
    <row r="414" spans="1:15" ht="38.25" x14ac:dyDescent="0.2">
      <c r="A414" s="45" t="s">
        <v>1228</v>
      </c>
      <c r="B414" s="46" t="s">
        <v>1229</v>
      </c>
      <c r="C414" s="46" t="s">
        <v>1229</v>
      </c>
      <c r="D414" s="46" t="s">
        <v>1230</v>
      </c>
      <c r="E414" s="46" t="s">
        <v>68</v>
      </c>
      <c r="F414" s="46" t="s">
        <v>68</v>
      </c>
      <c r="G414" s="46" t="s">
        <v>68</v>
      </c>
      <c r="H414" s="46" t="s">
        <v>68</v>
      </c>
      <c r="I414" s="46" t="s">
        <v>68</v>
      </c>
      <c r="J414" s="46" t="s">
        <v>71</v>
      </c>
      <c r="K414" s="47">
        <v>250</v>
      </c>
      <c r="L414" s="47">
        <v>0</v>
      </c>
      <c r="M414" s="47">
        <f t="shared" si="6"/>
        <v>250</v>
      </c>
      <c r="N414" s="46" t="s">
        <v>1218</v>
      </c>
      <c r="O414" s="71" t="s">
        <v>1231</v>
      </c>
    </row>
    <row r="415" spans="1:15" ht="63.75" x14ac:dyDescent="0.2">
      <c r="A415" s="45" t="s">
        <v>1232</v>
      </c>
      <c r="B415" s="46" t="s">
        <v>1229</v>
      </c>
      <c r="C415" s="46" t="s">
        <v>1229</v>
      </c>
      <c r="D415" s="46" t="s">
        <v>1226</v>
      </c>
      <c r="E415" s="46" t="s">
        <v>1233</v>
      </c>
      <c r="F415" s="46"/>
      <c r="G415" s="46"/>
      <c r="H415" s="46" t="s">
        <v>68</v>
      </c>
      <c r="I415" s="46" t="s">
        <v>68</v>
      </c>
      <c r="J415" s="46" t="s">
        <v>71</v>
      </c>
      <c r="K415" s="47">
        <v>400</v>
      </c>
      <c r="L415" s="47">
        <v>20</v>
      </c>
      <c r="M415" s="47">
        <f t="shared" si="6"/>
        <v>420</v>
      </c>
      <c r="N415" s="46" t="s">
        <v>1218</v>
      </c>
      <c r="O415" s="71" t="s">
        <v>1234</v>
      </c>
    </row>
    <row r="416" spans="1:15" ht="51" x14ac:dyDescent="0.2">
      <c r="A416" s="45" t="s">
        <v>1235</v>
      </c>
      <c r="B416" s="46" t="s">
        <v>1229</v>
      </c>
      <c r="C416" s="46" t="s">
        <v>1229</v>
      </c>
      <c r="D416" s="46" t="s">
        <v>1216</v>
      </c>
      <c r="E416" s="46" t="s">
        <v>1233</v>
      </c>
      <c r="F416" s="46"/>
      <c r="G416" s="46"/>
      <c r="H416" s="46" t="s">
        <v>68</v>
      </c>
      <c r="I416" s="46" t="s">
        <v>68</v>
      </c>
      <c r="J416" s="46" t="s">
        <v>71</v>
      </c>
      <c r="K416" s="47">
        <v>800</v>
      </c>
      <c r="L416" s="47">
        <v>0</v>
      </c>
      <c r="M416" s="47">
        <f t="shared" si="6"/>
        <v>800</v>
      </c>
      <c r="N416" s="46" t="s">
        <v>1218</v>
      </c>
      <c r="O416" s="71" t="s">
        <v>1236</v>
      </c>
    </row>
    <row r="417" spans="1:15" ht="51" x14ac:dyDescent="0.2">
      <c r="A417" s="45" t="s">
        <v>1237</v>
      </c>
      <c r="B417" s="46" t="s">
        <v>1238</v>
      </c>
      <c r="C417" s="46" t="s">
        <v>1238</v>
      </c>
      <c r="D417" s="46" t="s">
        <v>1239</v>
      </c>
      <c r="E417" s="46"/>
      <c r="F417" s="46"/>
      <c r="G417" s="46"/>
      <c r="H417" s="46"/>
      <c r="I417" s="46"/>
      <c r="J417" s="46" t="s">
        <v>71</v>
      </c>
      <c r="K417" s="47">
        <v>180</v>
      </c>
      <c r="L417" s="47">
        <v>0</v>
      </c>
      <c r="M417" s="47">
        <f t="shared" si="6"/>
        <v>180</v>
      </c>
      <c r="N417" s="46" t="s">
        <v>1218</v>
      </c>
      <c r="O417" s="71" t="s">
        <v>1240</v>
      </c>
    </row>
    <row r="418" spans="1:15" ht="51" x14ac:dyDescent="0.2">
      <c r="A418" s="45" t="s">
        <v>1241</v>
      </c>
      <c r="B418" s="46" t="s">
        <v>1238</v>
      </c>
      <c r="C418" s="46" t="s">
        <v>1238</v>
      </c>
      <c r="D418" s="46" t="s">
        <v>1226</v>
      </c>
      <c r="E418" s="46" t="s">
        <v>1242</v>
      </c>
      <c r="F418" s="46" t="s">
        <v>68</v>
      </c>
      <c r="G418" s="46" t="s">
        <v>68</v>
      </c>
      <c r="H418" s="46" t="s">
        <v>68</v>
      </c>
      <c r="I418" s="46" t="s">
        <v>68</v>
      </c>
      <c r="J418" s="46" t="s">
        <v>71</v>
      </c>
      <c r="K418" s="47">
        <v>250</v>
      </c>
      <c r="L418" s="47">
        <v>0</v>
      </c>
      <c r="M418" s="47">
        <f t="shared" si="6"/>
        <v>250</v>
      </c>
      <c r="N418" s="46" t="s">
        <v>1218</v>
      </c>
      <c r="O418" s="71" t="s">
        <v>1243</v>
      </c>
    </row>
    <row r="419" spans="1:15" ht="38.25" x14ac:dyDescent="0.2">
      <c r="A419" s="45" t="s">
        <v>1244</v>
      </c>
      <c r="B419" s="46" t="s">
        <v>1245</v>
      </c>
      <c r="C419" s="46" t="s">
        <v>1245</v>
      </c>
      <c r="D419" s="46" t="s">
        <v>1216</v>
      </c>
      <c r="E419" s="46" t="s">
        <v>1242</v>
      </c>
      <c r="F419" s="46"/>
      <c r="G419" s="46" t="s">
        <v>68</v>
      </c>
      <c r="H419" s="46" t="s">
        <v>68</v>
      </c>
      <c r="I419" s="46" t="s">
        <v>68</v>
      </c>
      <c r="J419" s="46" t="s">
        <v>71</v>
      </c>
      <c r="K419" s="47">
        <v>500</v>
      </c>
      <c r="L419" s="47">
        <v>0</v>
      </c>
      <c r="M419" s="47">
        <f t="shared" si="6"/>
        <v>500</v>
      </c>
      <c r="N419" s="46" t="s">
        <v>1218</v>
      </c>
      <c r="O419" s="71" t="s">
        <v>1246</v>
      </c>
    </row>
    <row r="420" spans="1:15" ht="51" x14ac:dyDescent="0.2">
      <c r="A420" s="45" t="s">
        <v>1247</v>
      </c>
      <c r="B420" s="46" t="s">
        <v>1248</v>
      </c>
      <c r="C420" s="46" t="s">
        <v>1248</v>
      </c>
      <c r="D420" s="46" t="s">
        <v>1239</v>
      </c>
      <c r="E420" s="46"/>
      <c r="F420" s="46"/>
      <c r="G420" s="46"/>
      <c r="H420" s="46"/>
      <c r="I420" s="46"/>
      <c r="J420" s="46" t="s">
        <v>71</v>
      </c>
      <c r="K420" s="47">
        <v>180</v>
      </c>
      <c r="L420" s="47">
        <v>0</v>
      </c>
      <c r="M420" s="47">
        <f t="shared" si="6"/>
        <v>180</v>
      </c>
      <c r="N420" s="46" t="s">
        <v>1218</v>
      </c>
      <c r="O420" s="71" t="s">
        <v>1249</v>
      </c>
    </row>
    <row r="421" spans="1:15" ht="51" x14ac:dyDescent="0.2">
      <c r="A421" s="45" t="s">
        <v>1250</v>
      </c>
      <c r="B421" s="46" t="s">
        <v>1248</v>
      </c>
      <c r="C421" s="46" t="s">
        <v>1248</v>
      </c>
      <c r="D421" s="46" t="s">
        <v>1226</v>
      </c>
      <c r="E421" s="46" t="s">
        <v>1233</v>
      </c>
      <c r="F421" s="46"/>
      <c r="G421" s="46" t="s">
        <v>68</v>
      </c>
      <c r="H421" s="46" t="s">
        <v>68</v>
      </c>
      <c r="I421" s="46" t="s">
        <v>68</v>
      </c>
      <c r="J421" s="46" t="s">
        <v>71</v>
      </c>
      <c r="K421" s="47">
        <v>250</v>
      </c>
      <c r="L421" s="47">
        <v>0</v>
      </c>
      <c r="M421" s="47">
        <f t="shared" si="6"/>
        <v>250</v>
      </c>
      <c r="N421" s="46" t="s">
        <v>1218</v>
      </c>
      <c r="O421" s="71" t="s">
        <v>1251</v>
      </c>
    </row>
    <row r="422" spans="1:15" ht="38.25" x14ac:dyDescent="0.2">
      <c r="A422" s="45" t="s">
        <v>1252</v>
      </c>
      <c r="B422" s="46" t="s">
        <v>1248</v>
      </c>
      <c r="C422" s="46" t="s">
        <v>1248</v>
      </c>
      <c r="D422" s="46" t="s">
        <v>1216</v>
      </c>
      <c r="E422" s="46" t="s">
        <v>1233</v>
      </c>
      <c r="F422" s="46"/>
      <c r="G422" s="46"/>
      <c r="H422" s="46"/>
      <c r="I422" s="46"/>
      <c r="J422" s="46" t="s">
        <v>71</v>
      </c>
      <c r="K422" s="47">
        <v>500</v>
      </c>
      <c r="L422" s="47">
        <v>0</v>
      </c>
      <c r="M422" s="47">
        <f t="shared" si="6"/>
        <v>500</v>
      </c>
      <c r="N422" s="46" t="s">
        <v>1218</v>
      </c>
      <c r="O422" s="71" t="s">
        <v>1253</v>
      </c>
    </row>
    <row r="423" spans="1:15" ht="38.25" x14ac:dyDescent="0.2">
      <c r="A423" s="45" t="s">
        <v>1254</v>
      </c>
      <c r="B423" s="46" t="s">
        <v>1255</v>
      </c>
      <c r="C423" s="46" t="s">
        <v>1255</v>
      </c>
      <c r="D423" s="46" t="s">
        <v>1256</v>
      </c>
      <c r="E423" s="46" t="s">
        <v>1233</v>
      </c>
      <c r="F423" s="46"/>
      <c r="G423" s="46" t="s">
        <v>68</v>
      </c>
      <c r="H423" s="46" t="s">
        <v>68</v>
      </c>
      <c r="I423" s="46" t="s">
        <v>68</v>
      </c>
      <c r="J423" s="46" t="s">
        <v>71</v>
      </c>
      <c r="K423" s="47">
        <v>200</v>
      </c>
      <c r="L423" s="47">
        <v>0</v>
      </c>
      <c r="M423" s="47">
        <f t="shared" si="6"/>
        <v>200</v>
      </c>
      <c r="N423" s="46" t="s">
        <v>1218</v>
      </c>
      <c r="O423" s="71" t="s">
        <v>1257</v>
      </c>
    </row>
    <row r="424" spans="1:15" ht="12.75" x14ac:dyDescent="0.2">
      <c r="A424" s="34" t="s">
        <v>1258</v>
      </c>
      <c r="B424" s="35" t="s">
        <v>68</v>
      </c>
      <c r="C424" s="35" t="s">
        <v>68</v>
      </c>
      <c r="D424" s="35" t="s">
        <v>68</v>
      </c>
      <c r="E424" s="35" t="s">
        <v>68</v>
      </c>
      <c r="F424" s="35" t="s">
        <v>68</v>
      </c>
      <c r="G424" s="35" t="s">
        <v>68</v>
      </c>
      <c r="H424" s="35" t="s">
        <v>68</v>
      </c>
      <c r="I424" s="35" t="s">
        <v>68</v>
      </c>
      <c r="J424" s="35" t="s">
        <v>68</v>
      </c>
      <c r="K424" s="36" t="s">
        <v>68</v>
      </c>
      <c r="L424" s="36" t="s">
        <v>68</v>
      </c>
      <c r="M424" s="47">
        <f t="shared" si="6"/>
        <v>0</v>
      </c>
      <c r="N424" s="35"/>
      <c r="O424" s="35" t="s">
        <v>68</v>
      </c>
    </row>
    <row r="425" spans="1:15" ht="25.5" x14ac:dyDescent="0.2">
      <c r="A425" s="45" t="s">
        <v>1259</v>
      </c>
      <c r="B425" s="46" t="s">
        <v>1260</v>
      </c>
      <c r="C425" s="46" t="s">
        <v>1260</v>
      </c>
      <c r="D425" s="46" t="s">
        <v>676</v>
      </c>
      <c r="E425" s="46" t="s">
        <v>254</v>
      </c>
      <c r="F425" s="46" t="s">
        <v>68</v>
      </c>
      <c r="G425" s="46" t="s">
        <v>68</v>
      </c>
      <c r="H425" s="46" t="s">
        <v>68</v>
      </c>
      <c r="I425" s="46" t="s">
        <v>68</v>
      </c>
      <c r="J425" s="46" t="s">
        <v>71</v>
      </c>
      <c r="K425" s="47">
        <v>130</v>
      </c>
      <c r="L425" s="47">
        <v>10</v>
      </c>
      <c r="M425" s="47">
        <f t="shared" si="6"/>
        <v>140</v>
      </c>
      <c r="N425" s="46" t="s">
        <v>1261</v>
      </c>
      <c r="O425" s="71" t="s">
        <v>1262</v>
      </c>
    </row>
    <row r="426" spans="1:15" ht="25.5" x14ac:dyDescent="0.2">
      <c r="A426" s="45" t="s">
        <v>1263</v>
      </c>
      <c r="B426" s="46" t="s">
        <v>1260</v>
      </c>
      <c r="C426" s="46" t="s">
        <v>1260</v>
      </c>
      <c r="D426" s="46" t="s">
        <v>676</v>
      </c>
      <c r="E426" s="46" t="s">
        <v>1017</v>
      </c>
      <c r="F426" s="46" t="s">
        <v>68</v>
      </c>
      <c r="G426" s="46" t="s">
        <v>68</v>
      </c>
      <c r="H426" s="46" t="s">
        <v>68</v>
      </c>
      <c r="I426" s="46" t="s">
        <v>68</v>
      </c>
      <c r="J426" s="46" t="s">
        <v>71</v>
      </c>
      <c r="K426" s="47">
        <v>130</v>
      </c>
      <c r="L426" s="47">
        <v>20</v>
      </c>
      <c r="M426" s="47">
        <f t="shared" si="6"/>
        <v>150</v>
      </c>
      <c r="N426" s="46" t="s">
        <v>1261</v>
      </c>
      <c r="O426" s="71" t="s">
        <v>1264</v>
      </c>
    </row>
    <row r="427" spans="1:15" ht="25.5" x14ac:dyDescent="0.2">
      <c r="A427" s="45" t="s">
        <v>1265</v>
      </c>
      <c r="B427" s="46" t="s">
        <v>1260</v>
      </c>
      <c r="C427" s="46" t="s">
        <v>1260</v>
      </c>
      <c r="D427" s="46" t="s">
        <v>692</v>
      </c>
      <c r="E427" s="46" t="s">
        <v>1266</v>
      </c>
      <c r="F427" s="46" t="s">
        <v>1267</v>
      </c>
      <c r="G427" s="46" t="s">
        <v>68</v>
      </c>
      <c r="H427" s="46" t="s">
        <v>68</v>
      </c>
      <c r="I427" s="46" t="s">
        <v>68</v>
      </c>
      <c r="J427" s="46" t="s">
        <v>71</v>
      </c>
      <c r="K427" s="47">
        <v>140</v>
      </c>
      <c r="L427" s="47">
        <v>50</v>
      </c>
      <c r="M427" s="47">
        <f t="shared" si="6"/>
        <v>190</v>
      </c>
      <c r="N427" s="46" t="s">
        <v>1261</v>
      </c>
      <c r="O427" s="71" t="s">
        <v>1268</v>
      </c>
    </row>
    <row r="428" spans="1:15" ht="38.25" x14ac:dyDescent="0.2">
      <c r="A428" s="45" t="s">
        <v>1269</v>
      </c>
      <c r="B428" s="46" t="s">
        <v>1260</v>
      </c>
      <c r="C428" s="46" t="s">
        <v>1260</v>
      </c>
      <c r="D428" s="46" t="s">
        <v>692</v>
      </c>
      <c r="E428" s="46" t="s">
        <v>1266</v>
      </c>
      <c r="F428" s="46" t="s">
        <v>1270</v>
      </c>
      <c r="G428" s="46" t="s">
        <v>1271</v>
      </c>
      <c r="H428" s="46" t="s">
        <v>68</v>
      </c>
      <c r="I428" s="46" t="s">
        <v>68</v>
      </c>
      <c r="J428" s="46" t="s">
        <v>71</v>
      </c>
      <c r="K428" s="47">
        <v>145</v>
      </c>
      <c r="L428" s="47">
        <v>55</v>
      </c>
      <c r="M428" s="47">
        <f t="shared" si="6"/>
        <v>200</v>
      </c>
      <c r="N428" s="46" t="s">
        <v>1261</v>
      </c>
      <c r="O428" s="71" t="s">
        <v>1272</v>
      </c>
    </row>
    <row r="429" spans="1:15" ht="12.75" x14ac:dyDescent="0.2">
      <c r="A429" s="34" t="s">
        <v>1273</v>
      </c>
      <c r="B429" s="35" t="s">
        <v>68</v>
      </c>
      <c r="C429" s="35" t="s">
        <v>68</v>
      </c>
      <c r="D429" s="35" t="s">
        <v>68</v>
      </c>
      <c r="E429" s="35" t="s">
        <v>68</v>
      </c>
      <c r="F429" s="35" t="s">
        <v>68</v>
      </c>
      <c r="G429" s="35" t="s">
        <v>68</v>
      </c>
      <c r="H429" s="35" t="s">
        <v>68</v>
      </c>
      <c r="I429" s="35" t="s">
        <v>68</v>
      </c>
      <c r="J429" s="35" t="s">
        <v>68</v>
      </c>
      <c r="K429" s="36" t="s">
        <v>68</v>
      </c>
      <c r="L429" s="36" t="s">
        <v>68</v>
      </c>
      <c r="M429" s="47">
        <f t="shared" si="6"/>
        <v>0</v>
      </c>
      <c r="N429" s="35"/>
      <c r="O429" s="35" t="s">
        <v>68</v>
      </c>
    </row>
    <row r="430" spans="1:15" ht="89.25" x14ac:dyDescent="0.2">
      <c r="A430" s="45" t="s">
        <v>1274</v>
      </c>
      <c r="B430" s="46" t="s">
        <v>1275</v>
      </c>
      <c r="C430" s="46" t="s">
        <v>1275</v>
      </c>
      <c r="D430" s="46" t="s">
        <v>1276</v>
      </c>
      <c r="E430" s="46" t="s">
        <v>1277</v>
      </c>
      <c r="F430" s="46" t="s">
        <v>68</v>
      </c>
      <c r="G430" s="46" t="s">
        <v>68</v>
      </c>
      <c r="H430" s="46" t="s">
        <v>68</v>
      </c>
      <c r="I430" s="46" t="s">
        <v>68</v>
      </c>
      <c r="J430" s="46" t="s">
        <v>71</v>
      </c>
      <c r="K430" s="47">
        <v>400</v>
      </c>
      <c r="L430" s="47">
        <v>0</v>
      </c>
      <c r="M430" s="47">
        <f t="shared" si="6"/>
        <v>400</v>
      </c>
      <c r="N430" s="46" t="s">
        <v>1278</v>
      </c>
      <c r="O430" s="71" t="s">
        <v>1279</v>
      </c>
    </row>
    <row r="431" spans="1:15" ht="89.25" x14ac:dyDescent="0.2">
      <c r="A431" s="45" t="s">
        <v>1280</v>
      </c>
      <c r="B431" s="46" t="s">
        <v>1275</v>
      </c>
      <c r="C431" s="46" t="s">
        <v>1275</v>
      </c>
      <c r="D431" s="46" t="s">
        <v>1281</v>
      </c>
      <c r="E431" s="46" t="s">
        <v>1277</v>
      </c>
      <c r="F431" s="46" t="s">
        <v>68</v>
      </c>
      <c r="G431" s="46" t="s">
        <v>68</v>
      </c>
      <c r="H431" s="46" t="s">
        <v>68</v>
      </c>
      <c r="I431" s="46" t="s">
        <v>68</v>
      </c>
      <c r="J431" s="46" t="s">
        <v>71</v>
      </c>
      <c r="K431" s="47">
        <v>400</v>
      </c>
      <c r="L431" s="47">
        <v>0</v>
      </c>
      <c r="M431" s="47">
        <f t="shared" si="6"/>
        <v>400</v>
      </c>
      <c r="N431" s="46" t="s">
        <v>1278</v>
      </c>
      <c r="O431" s="71" t="s">
        <v>1282</v>
      </c>
    </row>
    <row r="432" spans="1:15" ht="89.25" x14ac:dyDescent="0.2">
      <c r="A432" s="45" t="s">
        <v>1283</v>
      </c>
      <c r="B432" s="46" t="s">
        <v>1275</v>
      </c>
      <c r="C432" s="46" t="s">
        <v>1275</v>
      </c>
      <c r="D432" s="46" t="s">
        <v>1284</v>
      </c>
      <c r="E432" s="46" t="s">
        <v>1277</v>
      </c>
      <c r="F432" s="46" t="s">
        <v>68</v>
      </c>
      <c r="G432" s="46" t="s">
        <v>68</v>
      </c>
      <c r="H432" s="46" t="s">
        <v>68</v>
      </c>
      <c r="I432" s="46" t="s">
        <v>68</v>
      </c>
      <c r="J432" s="46" t="s">
        <v>71</v>
      </c>
      <c r="K432" s="47">
        <v>800</v>
      </c>
      <c r="L432" s="47">
        <v>0</v>
      </c>
      <c r="M432" s="47">
        <f t="shared" si="6"/>
        <v>800</v>
      </c>
      <c r="N432" s="46" t="s">
        <v>1278</v>
      </c>
      <c r="O432" s="71" t="s">
        <v>1285</v>
      </c>
    </row>
    <row r="433" spans="1:15" ht="12.75" x14ac:dyDescent="0.2">
      <c r="A433" s="34" t="s">
        <v>1286</v>
      </c>
      <c r="B433" s="35" t="s">
        <v>68</v>
      </c>
      <c r="C433" s="35" t="s">
        <v>68</v>
      </c>
      <c r="D433" s="35" t="s">
        <v>68</v>
      </c>
      <c r="E433" s="35" t="s">
        <v>68</v>
      </c>
      <c r="F433" s="35" t="s">
        <v>68</v>
      </c>
      <c r="G433" s="35" t="s">
        <v>68</v>
      </c>
      <c r="H433" s="35" t="s">
        <v>68</v>
      </c>
      <c r="I433" s="35" t="s">
        <v>68</v>
      </c>
      <c r="J433" s="35" t="s">
        <v>68</v>
      </c>
      <c r="K433" s="36" t="s">
        <v>68</v>
      </c>
      <c r="L433" s="36" t="s">
        <v>68</v>
      </c>
      <c r="M433" s="47">
        <f t="shared" si="6"/>
        <v>0</v>
      </c>
      <c r="N433" s="35"/>
      <c r="O433" s="35" t="s">
        <v>68</v>
      </c>
    </row>
    <row r="434" spans="1:15" ht="38.25" x14ac:dyDescent="0.2">
      <c r="A434" s="45" t="s">
        <v>1287</v>
      </c>
      <c r="B434" s="46" t="s">
        <v>1288</v>
      </c>
      <c r="C434" s="46" t="s">
        <v>1288</v>
      </c>
      <c r="D434" s="46" t="s">
        <v>1289</v>
      </c>
      <c r="E434" s="46" t="s">
        <v>257</v>
      </c>
      <c r="F434" s="46" t="s">
        <v>68</v>
      </c>
      <c r="G434" s="46" t="s">
        <v>68</v>
      </c>
      <c r="H434" s="46" t="s">
        <v>68</v>
      </c>
      <c r="I434" s="46" t="s">
        <v>68</v>
      </c>
      <c r="J434" s="46" t="s">
        <v>71</v>
      </c>
      <c r="K434" s="47">
        <v>150</v>
      </c>
      <c r="L434" s="47">
        <v>90</v>
      </c>
      <c r="M434" s="47">
        <f t="shared" si="6"/>
        <v>240</v>
      </c>
      <c r="N434" s="46" t="s">
        <v>1290</v>
      </c>
      <c r="O434" s="71" t="s">
        <v>1291</v>
      </c>
    </row>
    <row r="435" spans="1:15" ht="38.25" x14ac:dyDescent="0.2">
      <c r="A435" s="45" t="s">
        <v>1292</v>
      </c>
      <c r="B435" s="46" t="s">
        <v>1293</v>
      </c>
      <c r="C435" s="46" t="s">
        <v>1293</v>
      </c>
      <c r="D435" s="46" t="s">
        <v>1289</v>
      </c>
      <c r="E435" s="46" t="s">
        <v>257</v>
      </c>
      <c r="F435" s="46" t="s">
        <v>68</v>
      </c>
      <c r="G435" s="46" t="s">
        <v>68</v>
      </c>
      <c r="H435" s="46" t="s">
        <v>68</v>
      </c>
      <c r="I435" s="46" t="s">
        <v>68</v>
      </c>
      <c r="J435" s="46" t="s">
        <v>71</v>
      </c>
      <c r="K435" s="47">
        <v>150</v>
      </c>
      <c r="L435" s="47">
        <v>80</v>
      </c>
      <c r="M435" s="47">
        <f t="shared" si="6"/>
        <v>230</v>
      </c>
      <c r="N435" s="46" t="s">
        <v>1294</v>
      </c>
      <c r="O435" s="71" t="s">
        <v>1295</v>
      </c>
    </row>
    <row r="436" spans="1:15" ht="38.25" x14ac:dyDescent="0.2">
      <c r="A436" s="45" t="s">
        <v>1296</v>
      </c>
      <c r="B436" s="46" t="s">
        <v>1297</v>
      </c>
      <c r="C436" s="46" t="s">
        <v>1297</v>
      </c>
      <c r="D436" s="46" t="s">
        <v>1289</v>
      </c>
      <c r="E436" s="46" t="s">
        <v>257</v>
      </c>
      <c r="F436" s="46" t="s">
        <v>68</v>
      </c>
      <c r="G436" s="46" t="s">
        <v>68</v>
      </c>
      <c r="H436" s="46" t="s">
        <v>68</v>
      </c>
      <c r="I436" s="46" t="s">
        <v>68</v>
      </c>
      <c r="J436" s="46" t="s">
        <v>71</v>
      </c>
      <c r="K436" s="47">
        <v>150</v>
      </c>
      <c r="L436" s="47">
        <v>85</v>
      </c>
      <c r="M436" s="47">
        <f t="shared" si="6"/>
        <v>235</v>
      </c>
      <c r="N436" s="46" t="s">
        <v>1298</v>
      </c>
      <c r="O436" s="71" t="s">
        <v>1299</v>
      </c>
    </row>
    <row r="437" spans="1:15" ht="25.5" x14ac:dyDescent="0.2">
      <c r="A437" s="45" t="s">
        <v>1300</v>
      </c>
      <c r="B437" s="46" t="s">
        <v>1301</v>
      </c>
      <c r="C437" s="46" t="s">
        <v>1301</v>
      </c>
      <c r="D437" s="46" t="s">
        <v>1289</v>
      </c>
      <c r="E437" s="46" t="s">
        <v>257</v>
      </c>
      <c r="F437" s="46" t="s">
        <v>68</v>
      </c>
      <c r="G437" s="46" t="s">
        <v>68</v>
      </c>
      <c r="H437" s="46" t="s">
        <v>68</v>
      </c>
      <c r="I437" s="46" t="s">
        <v>68</v>
      </c>
      <c r="J437" s="46" t="s">
        <v>71</v>
      </c>
      <c r="K437" s="47">
        <v>150</v>
      </c>
      <c r="L437" s="47">
        <v>25</v>
      </c>
      <c r="M437" s="47">
        <f t="shared" si="6"/>
        <v>175</v>
      </c>
      <c r="N437" s="46" t="s">
        <v>1302</v>
      </c>
      <c r="O437" s="71" t="s">
        <v>1303</v>
      </c>
    </row>
    <row r="438" spans="1:15" ht="12.75" x14ac:dyDescent="0.2">
      <c r="A438" s="34" t="s">
        <v>1304</v>
      </c>
      <c r="B438" s="35" t="s">
        <v>68</v>
      </c>
      <c r="C438" s="35" t="s">
        <v>68</v>
      </c>
      <c r="D438" s="35" t="s">
        <v>68</v>
      </c>
      <c r="E438" s="35" t="s">
        <v>68</v>
      </c>
      <c r="F438" s="35" t="s">
        <v>68</v>
      </c>
      <c r="G438" s="35" t="s">
        <v>68</v>
      </c>
      <c r="H438" s="35" t="s">
        <v>68</v>
      </c>
      <c r="I438" s="35" t="s">
        <v>68</v>
      </c>
      <c r="J438" s="35" t="s">
        <v>68</v>
      </c>
      <c r="K438" s="36" t="s">
        <v>68</v>
      </c>
      <c r="L438" s="36" t="s">
        <v>68</v>
      </c>
      <c r="M438" s="47">
        <f t="shared" si="6"/>
        <v>0</v>
      </c>
      <c r="N438" s="35"/>
      <c r="O438" s="35" t="s">
        <v>68</v>
      </c>
    </row>
    <row r="439" spans="1:15" ht="38.25" x14ac:dyDescent="0.2">
      <c r="A439" s="45" t="s">
        <v>1305</v>
      </c>
      <c r="B439" s="46" t="s">
        <v>1306</v>
      </c>
      <c r="C439" s="46" t="s">
        <v>1306</v>
      </c>
      <c r="D439" s="46" t="s">
        <v>1307</v>
      </c>
      <c r="E439" s="46" t="s">
        <v>1308</v>
      </c>
      <c r="F439" s="46" t="s">
        <v>68</v>
      </c>
      <c r="G439" s="46" t="s">
        <v>68</v>
      </c>
      <c r="H439" s="46" t="s">
        <v>68</v>
      </c>
      <c r="I439" s="46" t="s">
        <v>68</v>
      </c>
      <c r="J439" s="46" t="s">
        <v>71</v>
      </c>
      <c r="K439" s="47">
        <v>150</v>
      </c>
      <c r="L439" s="47">
        <v>50</v>
      </c>
      <c r="M439" s="47">
        <f t="shared" si="6"/>
        <v>200</v>
      </c>
      <c r="N439" s="46" t="s">
        <v>1309</v>
      </c>
      <c r="O439" s="71" t="s">
        <v>1310</v>
      </c>
    </row>
    <row r="440" spans="1:15" ht="38.25" x14ac:dyDescent="0.2">
      <c r="A440" s="45" t="s">
        <v>1311</v>
      </c>
      <c r="B440" s="46" t="s">
        <v>1306</v>
      </c>
      <c r="C440" s="46" t="s">
        <v>1306</v>
      </c>
      <c r="D440" s="46" t="s">
        <v>1312</v>
      </c>
      <c r="E440" s="46" t="s">
        <v>68</v>
      </c>
      <c r="F440" s="46" t="s">
        <v>68</v>
      </c>
      <c r="G440" s="46" t="s">
        <v>68</v>
      </c>
      <c r="H440" s="46" t="s">
        <v>68</v>
      </c>
      <c r="I440" s="46" t="s">
        <v>68</v>
      </c>
      <c r="J440" s="46" t="s">
        <v>71</v>
      </c>
      <c r="K440" s="47">
        <v>180</v>
      </c>
      <c r="L440" s="47">
        <v>120</v>
      </c>
      <c r="M440" s="47">
        <f t="shared" si="6"/>
        <v>300</v>
      </c>
      <c r="N440" s="46" t="s">
        <v>1313</v>
      </c>
      <c r="O440" s="71" t="s">
        <v>1314</v>
      </c>
    </row>
    <row r="441" spans="1:15" ht="51" x14ac:dyDescent="0.2">
      <c r="A441" s="45" t="s">
        <v>1315</v>
      </c>
      <c r="B441" s="46" t="s">
        <v>1316</v>
      </c>
      <c r="C441" s="46" t="s">
        <v>1316</v>
      </c>
      <c r="D441" s="46" t="s">
        <v>257</v>
      </c>
      <c r="E441" s="46" t="s">
        <v>1317</v>
      </c>
      <c r="F441" s="46" t="s">
        <v>68</v>
      </c>
      <c r="G441" s="46" t="s">
        <v>68</v>
      </c>
      <c r="H441" s="46" t="s">
        <v>68</v>
      </c>
      <c r="I441" s="46" t="s">
        <v>68</v>
      </c>
      <c r="J441" s="46" t="s">
        <v>71</v>
      </c>
      <c r="K441" s="47">
        <v>150</v>
      </c>
      <c r="L441" s="47">
        <v>80</v>
      </c>
      <c r="M441" s="47">
        <f t="shared" si="6"/>
        <v>230</v>
      </c>
      <c r="N441" s="46" t="s">
        <v>1318</v>
      </c>
      <c r="O441" s="71" t="s">
        <v>1319</v>
      </c>
    </row>
    <row r="442" spans="1:15" ht="51" x14ac:dyDescent="0.2">
      <c r="A442" s="45" t="s">
        <v>1320</v>
      </c>
      <c r="B442" s="46" t="s">
        <v>1316</v>
      </c>
      <c r="C442" s="46" t="s">
        <v>1316</v>
      </c>
      <c r="D442" s="46" t="s">
        <v>257</v>
      </c>
      <c r="E442" s="46" t="s">
        <v>1321</v>
      </c>
      <c r="F442" s="46" t="s">
        <v>68</v>
      </c>
      <c r="G442" s="46" t="s">
        <v>68</v>
      </c>
      <c r="H442" s="46" t="s">
        <v>68</v>
      </c>
      <c r="I442" s="46" t="s">
        <v>68</v>
      </c>
      <c r="J442" s="46" t="s">
        <v>71</v>
      </c>
      <c r="K442" s="47">
        <v>170</v>
      </c>
      <c r="L442" s="47">
        <v>150</v>
      </c>
      <c r="M442" s="47">
        <f t="shared" si="6"/>
        <v>320</v>
      </c>
      <c r="N442" s="46" t="s">
        <v>1318</v>
      </c>
      <c r="O442" s="71" t="s">
        <v>1322</v>
      </c>
    </row>
    <row r="443" spans="1:15" ht="38.25" x14ac:dyDescent="0.2">
      <c r="A443" s="45" t="s">
        <v>1323</v>
      </c>
      <c r="B443" s="46" t="s">
        <v>1324</v>
      </c>
      <c r="C443" s="46" t="s">
        <v>1324</v>
      </c>
      <c r="D443" s="46" t="s">
        <v>1325</v>
      </c>
      <c r="E443" s="46" t="s">
        <v>68</v>
      </c>
      <c r="F443" s="46" t="s">
        <v>68</v>
      </c>
      <c r="G443" s="46" t="s">
        <v>68</v>
      </c>
      <c r="H443" s="46" t="s">
        <v>68</v>
      </c>
      <c r="I443" s="46" t="s">
        <v>68</v>
      </c>
      <c r="J443" s="46" t="s">
        <v>71</v>
      </c>
      <c r="K443" s="47">
        <v>150</v>
      </c>
      <c r="L443" s="47">
        <v>50</v>
      </c>
      <c r="M443" s="47">
        <f t="shared" si="6"/>
        <v>200</v>
      </c>
      <c r="N443" s="46" t="s">
        <v>1326</v>
      </c>
      <c r="O443" s="71" t="s">
        <v>1327</v>
      </c>
    </row>
    <row r="444" spans="1:15" ht="63.75" x14ac:dyDescent="0.2">
      <c r="A444" s="45" t="s">
        <v>1328</v>
      </c>
      <c r="B444" s="46" t="s">
        <v>1329</v>
      </c>
      <c r="C444" s="46" t="s">
        <v>1329</v>
      </c>
      <c r="D444" s="46" t="s">
        <v>68</v>
      </c>
      <c r="E444" s="46" t="s">
        <v>68</v>
      </c>
      <c r="F444" s="46" t="s">
        <v>68</v>
      </c>
      <c r="G444" s="46" t="s">
        <v>68</v>
      </c>
      <c r="H444" s="46" t="s">
        <v>68</v>
      </c>
      <c r="I444" s="46" t="s">
        <v>68</v>
      </c>
      <c r="J444" s="46" t="s">
        <v>71</v>
      </c>
      <c r="K444" s="47">
        <v>900</v>
      </c>
      <c r="L444" s="47">
        <v>0</v>
      </c>
      <c r="M444" s="47">
        <f t="shared" si="6"/>
        <v>900</v>
      </c>
      <c r="N444" s="46" t="s">
        <v>1278</v>
      </c>
      <c r="O444" s="71" t="s">
        <v>1330</v>
      </c>
    </row>
    <row r="445" spans="1:15" ht="51" x14ac:dyDescent="0.2">
      <c r="A445" s="45" t="s">
        <v>1331</v>
      </c>
      <c r="B445" s="46" t="s">
        <v>1332</v>
      </c>
      <c r="C445" s="46" t="s">
        <v>1332</v>
      </c>
      <c r="D445" s="46" t="s">
        <v>1333</v>
      </c>
      <c r="E445" s="46" t="s">
        <v>1334</v>
      </c>
      <c r="F445" s="46" t="s">
        <v>1335</v>
      </c>
      <c r="G445" s="46"/>
      <c r="H445" s="46" t="s">
        <v>68</v>
      </c>
      <c r="I445" s="46" t="s">
        <v>68</v>
      </c>
      <c r="J445" s="46" t="s">
        <v>71</v>
      </c>
      <c r="K445" s="47">
        <v>210</v>
      </c>
      <c r="L445" s="47">
        <v>400</v>
      </c>
      <c r="M445" s="47">
        <f t="shared" si="6"/>
        <v>610</v>
      </c>
      <c r="N445" s="46" t="s">
        <v>1336</v>
      </c>
      <c r="O445" s="71" t="s">
        <v>1337</v>
      </c>
    </row>
    <row r="446" spans="1:15" ht="51" x14ac:dyDescent="0.2">
      <c r="A446" s="45" t="s">
        <v>1338</v>
      </c>
      <c r="B446" s="46" t="s">
        <v>1339</v>
      </c>
      <c r="C446" s="46" t="s">
        <v>1339</v>
      </c>
      <c r="D446" s="46" t="s">
        <v>1333</v>
      </c>
      <c r="E446" s="46" t="s">
        <v>1334</v>
      </c>
      <c r="F446" s="46" t="s">
        <v>1335</v>
      </c>
      <c r="G446" s="46" t="s">
        <v>68</v>
      </c>
      <c r="H446" s="46" t="s">
        <v>68</v>
      </c>
      <c r="I446" s="46" t="s">
        <v>68</v>
      </c>
      <c r="J446" s="46" t="s">
        <v>71</v>
      </c>
      <c r="K446" s="47">
        <v>230</v>
      </c>
      <c r="L446" s="47">
        <v>530</v>
      </c>
      <c r="M446" s="47">
        <f t="shared" si="6"/>
        <v>760</v>
      </c>
      <c r="N446" s="46" t="s">
        <v>1340</v>
      </c>
      <c r="O446" s="71" t="s">
        <v>1341</v>
      </c>
    </row>
  </sheetData>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121"/>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26.7109375" customWidth="1"/>
    <col min="11" max="11" width="18.42578125" customWidth="1"/>
    <col min="12" max="12" width="25.85546875" customWidth="1"/>
    <col min="13" max="13" width="19.42578125" customWidth="1"/>
    <col min="14" max="14" width="38.42578125" customWidth="1"/>
    <col min="15" max="15" width="39.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23.28515625" hidden="1" customWidth="1"/>
    <col min="61" max="61" width="28.28515625" hidden="1" customWidth="1"/>
  </cols>
  <sheetData>
    <row r="1" spans="1:61" ht="51"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1342</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1343</v>
      </c>
      <c r="AZ1" s="21"/>
      <c r="BA1" s="9" t="s">
        <v>60</v>
      </c>
      <c r="BB1" s="9" t="s">
        <v>1344</v>
      </c>
      <c r="BC1" s="9" t="s">
        <v>1345</v>
      </c>
      <c r="BD1" s="9" t="s">
        <v>61</v>
      </c>
      <c r="BE1" s="9" t="s">
        <v>62</v>
      </c>
      <c r="BF1" s="9" t="s">
        <v>63</v>
      </c>
      <c r="BG1" s="22" t="s">
        <v>64</v>
      </c>
      <c r="BH1" s="9" t="s">
        <v>65</v>
      </c>
      <c r="BI1" s="9" t="s">
        <v>66</v>
      </c>
    </row>
    <row r="2" spans="1:61" ht="25.5" hidden="1" x14ac:dyDescent="0.2">
      <c r="A2" s="23" t="s">
        <v>1346</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1347</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AZ2" s="86"/>
      <c r="BA2" s="26"/>
      <c r="BB2" s="26"/>
      <c r="BC2" s="26"/>
      <c r="BD2" s="24"/>
      <c r="BE2" s="27" t="s">
        <v>1346</v>
      </c>
      <c r="BF2" s="24"/>
      <c r="BG2" s="33"/>
      <c r="BH2" s="27" t="s">
        <v>1348</v>
      </c>
      <c r="BI2" s="24" t="s">
        <v>68</v>
      </c>
    </row>
    <row r="3" spans="1:61" ht="25.5" hidden="1" x14ac:dyDescent="0.2">
      <c r="A3" s="34" t="s">
        <v>1349</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1347</v>
      </c>
      <c r="R3" s="38" t="s">
        <v>1350</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AZ3" s="86"/>
      <c r="BA3" s="37"/>
      <c r="BB3" s="37"/>
      <c r="BC3" s="37"/>
      <c r="BD3" s="35"/>
      <c r="BE3" s="35" t="e">
        <v>#REF!</v>
      </c>
      <c r="BF3" s="35"/>
      <c r="BG3" s="44"/>
      <c r="BH3" s="38" t="s">
        <v>1351</v>
      </c>
      <c r="BI3" s="35" t="s">
        <v>68</v>
      </c>
    </row>
    <row r="4" spans="1:61" ht="51" x14ac:dyDescent="0.2">
      <c r="A4" s="45" t="s">
        <v>1352</v>
      </c>
      <c r="B4" s="46"/>
      <c r="C4" s="46" t="s">
        <v>1353</v>
      </c>
      <c r="D4" s="46" t="s">
        <v>1354</v>
      </c>
      <c r="E4" s="46" t="s">
        <v>1355</v>
      </c>
      <c r="F4" s="46" t="s">
        <v>68</v>
      </c>
      <c r="G4" s="46" t="s">
        <v>68</v>
      </c>
      <c r="H4" s="46" t="s">
        <v>68</v>
      </c>
      <c r="I4" s="46" t="s">
        <v>68</v>
      </c>
      <c r="J4" s="46" t="s">
        <v>71</v>
      </c>
      <c r="K4" s="47">
        <v>140</v>
      </c>
      <c r="L4" s="47">
        <v>20</v>
      </c>
      <c r="M4" s="47">
        <v>160</v>
      </c>
      <c r="N4" s="46" t="s">
        <v>1356</v>
      </c>
      <c r="O4" s="71" t="s">
        <v>1357</v>
      </c>
      <c r="P4" s="46" t="s">
        <v>1358</v>
      </c>
      <c r="Q4" s="46" t="s">
        <v>1347</v>
      </c>
      <c r="R4" s="46" t="s">
        <v>1350</v>
      </c>
      <c r="S4" s="49">
        <v>40</v>
      </c>
      <c r="T4" s="49">
        <v>200</v>
      </c>
      <c r="U4" s="67">
        <v>0.45</v>
      </c>
      <c r="V4" s="67">
        <v>0.52222222222222225</v>
      </c>
      <c r="W4" s="51">
        <v>0.14285714285714285</v>
      </c>
      <c r="X4" s="52">
        <v>20</v>
      </c>
      <c r="Y4" s="52">
        <v>30</v>
      </c>
      <c r="Z4" s="52">
        <v>60</v>
      </c>
      <c r="AA4" s="52">
        <v>110</v>
      </c>
      <c r="AB4" s="53">
        <v>0.55000000000000004</v>
      </c>
      <c r="AC4" s="54">
        <v>90</v>
      </c>
      <c r="AD4" s="55">
        <v>0.45</v>
      </c>
      <c r="AE4" s="56">
        <v>2</v>
      </c>
      <c r="AF4" s="57" t="s">
        <v>72</v>
      </c>
      <c r="AG4" s="58">
        <v>70</v>
      </c>
      <c r="AH4" s="58">
        <v>20</v>
      </c>
      <c r="AI4" s="58">
        <v>90</v>
      </c>
      <c r="AJ4" s="49">
        <v>22.5</v>
      </c>
      <c r="AK4" s="49">
        <v>112.5</v>
      </c>
      <c r="AL4" s="52">
        <v>11.25</v>
      </c>
      <c r="AM4" s="52">
        <v>42.5</v>
      </c>
      <c r="AN4" s="52">
        <v>53.75</v>
      </c>
      <c r="AO4" s="59">
        <v>0.4777777777777778</v>
      </c>
      <c r="AP4" s="60">
        <v>58.75</v>
      </c>
      <c r="AQ4" s="61">
        <v>0.52222222222222225</v>
      </c>
      <c r="AR4" s="60" t="s">
        <v>78</v>
      </c>
      <c r="AS4" s="62">
        <v>210</v>
      </c>
      <c r="AT4" s="62">
        <v>30</v>
      </c>
      <c r="AU4" s="62">
        <v>240</v>
      </c>
      <c r="AV4" s="62">
        <v>300</v>
      </c>
      <c r="AW4" s="47" t="s">
        <v>74</v>
      </c>
      <c r="AX4" s="64"/>
      <c r="AY4" s="64" t="s">
        <v>1359</v>
      </c>
      <c r="AZ4" s="86"/>
      <c r="BA4" s="46" t="s">
        <v>74</v>
      </c>
      <c r="BB4" s="26"/>
      <c r="BC4" s="26"/>
      <c r="BD4" s="70" t="s">
        <v>1360</v>
      </c>
      <c r="BE4" s="46" t="e">
        <v>#REF!</v>
      </c>
      <c r="BF4" s="46" t="s">
        <v>79</v>
      </c>
      <c r="BG4" s="65">
        <v>0.5</v>
      </c>
      <c r="BH4" s="66" t="s">
        <v>1361</v>
      </c>
      <c r="BI4" s="63" t="s">
        <v>1362</v>
      </c>
    </row>
    <row r="5" spans="1:61" ht="51" x14ac:dyDescent="0.2">
      <c r="A5" s="45" t="s">
        <v>1363</v>
      </c>
      <c r="B5" s="46"/>
      <c r="C5" s="46" t="s">
        <v>1353</v>
      </c>
      <c r="D5" s="46" t="s">
        <v>1364</v>
      </c>
      <c r="E5" s="46" t="s">
        <v>1355</v>
      </c>
      <c r="F5" s="46" t="s">
        <v>1365</v>
      </c>
      <c r="G5" s="46" t="s">
        <v>68</v>
      </c>
      <c r="H5" s="46" t="s">
        <v>68</v>
      </c>
      <c r="I5" s="46" t="s">
        <v>68</v>
      </c>
      <c r="J5" s="46" t="s">
        <v>71</v>
      </c>
      <c r="K5" s="47">
        <v>150</v>
      </c>
      <c r="L5" s="47">
        <v>65</v>
      </c>
      <c r="M5" s="47">
        <v>215</v>
      </c>
      <c r="N5" s="46" t="s">
        <v>1356</v>
      </c>
      <c r="O5" s="71" t="s">
        <v>1366</v>
      </c>
      <c r="P5" s="46" t="s">
        <v>1358</v>
      </c>
      <c r="Q5" s="46" t="s">
        <v>1347</v>
      </c>
      <c r="R5" s="46" t="s">
        <v>1350</v>
      </c>
      <c r="S5" s="49">
        <v>53.75</v>
      </c>
      <c r="T5" s="49">
        <v>268.75</v>
      </c>
      <c r="U5" s="67">
        <v>0.34651162790697676</v>
      </c>
      <c r="V5" s="67">
        <v>0.32857142857142857</v>
      </c>
      <c r="W5" s="51">
        <v>0.43333333333333335</v>
      </c>
      <c r="X5" s="52">
        <v>26.875</v>
      </c>
      <c r="Y5" s="52">
        <v>30</v>
      </c>
      <c r="Z5" s="52">
        <v>118.75</v>
      </c>
      <c r="AA5" s="52">
        <v>175.625</v>
      </c>
      <c r="AB5" s="53">
        <v>0.65348837209302324</v>
      </c>
      <c r="AC5" s="54">
        <v>93.125</v>
      </c>
      <c r="AD5" s="55">
        <v>0.34651162790697676</v>
      </c>
      <c r="AE5" s="56">
        <v>2</v>
      </c>
      <c r="AF5" s="57" t="s">
        <v>72</v>
      </c>
      <c r="AG5" s="58">
        <v>75</v>
      </c>
      <c r="AH5" s="58">
        <v>65</v>
      </c>
      <c r="AI5" s="58">
        <v>140</v>
      </c>
      <c r="AJ5" s="49">
        <v>35</v>
      </c>
      <c r="AK5" s="49">
        <v>175</v>
      </c>
      <c r="AL5" s="52">
        <v>17.5</v>
      </c>
      <c r="AM5" s="52">
        <v>100</v>
      </c>
      <c r="AN5" s="52">
        <v>117.5</v>
      </c>
      <c r="AO5" s="59">
        <v>0.67142857142857137</v>
      </c>
      <c r="AP5" s="60">
        <v>57.5</v>
      </c>
      <c r="AQ5" s="61">
        <v>0.32857142857142857</v>
      </c>
      <c r="AR5" s="60" t="s">
        <v>78</v>
      </c>
      <c r="AS5" s="62">
        <v>225</v>
      </c>
      <c r="AT5" s="62">
        <v>98</v>
      </c>
      <c r="AU5" s="62">
        <v>323</v>
      </c>
      <c r="AV5" s="62">
        <v>403.75</v>
      </c>
      <c r="AW5" s="47" t="s">
        <v>74</v>
      </c>
      <c r="AX5" s="64"/>
      <c r="AY5" s="64" t="s">
        <v>1367</v>
      </c>
      <c r="AZ5" s="86"/>
      <c r="BA5" s="46" t="s">
        <v>74</v>
      </c>
      <c r="BB5" s="26"/>
      <c r="BC5" s="26"/>
      <c r="BD5" s="70" t="s">
        <v>1368</v>
      </c>
      <c r="BE5" s="46" t="e">
        <v>#REF!</v>
      </c>
      <c r="BF5" s="46" t="s">
        <v>79</v>
      </c>
      <c r="BG5" s="65">
        <v>0.5</v>
      </c>
      <c r="BH5" s="66" t="s">
        <v>1369</v>
      </c>
      <c r="BI5" s="63" t="s">
        <v>1370</v>
      </c>
    </row>
    <row r="6" spans="1:61" ht="63.75" x14ac:dyDescent="0.2">
      <c r="A6" s="45" t="s">
        <v>1371</v>
      </c>
      <c r="B6" s="46"/>
      <c r="C6" s="46" t="s">
        <v>1353</v>
      </c>
      <c r="D6" s="46" t="s">
        <v>1364</v>
      </c>
      <c r="E6" s="46" t="s">
        <v>1355</v>
      </c>
      <c r="F6" s="46" t="s">
        <v>1372</v>
      </c>
      <c r="G6" s="46" t="s">
        <v>68</v>
      </c>
      <c r="H6" s="46" t="s">
        <v>68</v>
      </c>
      <c r="I6" s="46" t="s">
        <v>68</v>
      </c>
      <c r="J6" s="46" t="s">
        <v>71</v>
      </c>
      <c r="K6" s="47">
        <v>160</v>
      </c>
      <c r="L6" s="47">
        <v>90</v>
      </c>
      <c r="M6" s="47">
        <v>250</v>
      </c>
      <c r="N6" s="46" t="s">
        <v>1356</v>
      </c>
      <c r="O6" s="71" t="s">
        <v>1373</v>
      </c>
      <c r="P6" s="46" t="s">
        <v>1358</v>
      </c>
      <c r="Q6" s="46" t="s">
        <v>1347</v>
      </c>
      <c r="R6" s="46" t="s">
        <v>1350</v>
      </c>
      <c r="S6" s="49">
        <v>62.5</v>
      </c>
      <c r="T6" s="49">
        <v>312.5</v>
      </c>
      <c r="U6" s="67">
        <v>0.316</v>
      </c>
      <c r="V6" s="28">
        <v>0.27647058823529413</v>
      </c>
      <c r="W6" s="51">
        <v>0.5625</v>
      </c>
      <c r="X6" s="52">
        <v>31.25</v>
      </c>
      <c r="Y6" s="52">
        <v>30</v>
      </c>
      <c r="Z6" s="52">
        <v>152.5</v>
      </c>
      <c r="AA6" s="52">
        <v>213.75</v>
      </c>
      <c r="AB6" s="53">
        <v>0.68400000000000005</v>
      </c>
      <c r="AC6" s="54">
        <v>98.75</v>
      </c>
      <c r="AD6" s="55">
        <v>0.316</v>
      </c>
      <c r="AE6" s="56">
        <v>2</v>
      </c>
      <c r="AF6" s="57" t="s">
        <v>72</v>
      </c>
      <c r="AG6" s="58">
        <v>80</v>
      </c>
      <c r="AH6" s="58">
        <v>90</v>
      </c>
      <c r="AI6" s="58">
        <v>170</v>
      </c>
      <c r="AJ6" s="49">
        <v>42.5</v>
      </c>
      <c r="AK6" s="49">
        <v>212.5</v>
      </c>
      <c r="AL6" s="52">
        <v>21.25</v>
      </c>
      <c r="AM6" s="52">
        <v>132.5</v>
      </c>
      <c r="AN6" s="52">
        <v>153.75</v>
      </c>
      <c r="AO6" s="59">
        <v>0.72352941176470587</v>
      </c>
      <c r="AP6" s="60">
        <v>58.75</v>
      </c>
      <c r="AQ6" s="61">
        <v>0.27647058823529413</v>
      </c>
      <c r="AR6" s="60" t="s">
        <v>78</v>
      </c>
      <c r="AS6" s="62">
        <v>240</v>
      </c>
      <c r="AT6" s="62">
        <v>135</v>
      </c>
      <c r="AU6" s="62">
        <v>375</v>
      </c>
      <c r="AV6" s="62">
        <v>468.75</v>
      </c>
      <c r="AW6" s="47" t="s">
        <v>74</v>
      </c>
      <c r="AX6" s="64"/>
      <c r="AY6" s="64" t="s">
        <v>1374</v>
      </c>
      <c r="AZ6" s="86"/>
      <c r="BA6" s="46" t="s">
        <v>74</v>
      </c>
      <c r="BB6" s="26"/>
      <c r="BC6" s="26"/>
      <c r="BD6" s="70" t="s">
        <v>1368</v>
      </c>
      <c r="BE6" s="46" t="e">
        <v>#REF!</v>
      </c>
      <c r="BF6" s="46" t="s">
        <v>79</v>
      </c>
      <c r="BG6" s="65">
        <v>0.5</v>
      </c>
      <c r="BH6" s="66" t="s">
        <v>1375</v>
      </c>
      <c r="BI6" s="63" t="s">
        <v>1376</v>
      </c>
    </row>
    <row r="7" spans="1:61" ht="51" x14ac:dyDescent="0.2">
      <c r="A7" s="45" t="s">
        <v>1377</v>
      </c>
      <c r="B7" s="46"/>
      <c r="C7" s="46" t="s">
        <v>1353</v>
      </c>
      <c r="D7" s="46" t="s">
        <v>1378</v>
      </c>
      <c r="E7" s="46" t="s">
        <v>1355</v>
      </c>
      <c r="F7" s="46" t="s">
        <v>1365</v>
      </c>
      <c r="G7" s="46" t="s">
        <v>68</v>
      </c>
      <c r="H7" s="46" t="s">
        <v>68</v>
      </c>
      <c r="I7" s="46" t="s">
        <v>68</v>
      </c>
      <c r="J7" s="46" t="s">
        <v>71</v>
      </c>
      <c r="K7" s="47">
        <v>160</v>
      </c>
      <c r="L7" s="47">
        <v>90</v>
      </c>
      <c r="M7" s="47">
        <v>250</v>
      </c>
      <c r="N7" s="46" t="s">
        <v>1356</v>
      </c>
      <c r="O7" s="71" t="s">
        <v>1379</v>
      </c>
      <c r="P7" s="46" t="s">
        <v>1358</v>
      </c>
      <c r="Q7" s="46" t="s">
        <v>1347</v>
      </c>
      <c r="R7" s="46" t="s">
        <v>1350</v>
      </c>
      <c r="S7" s="49">
        <v>62.5</v>
      </c>
      <c r="T7" s="49">
        <v>312.5</v>
      </c>
      <c r="U7" s="67">
        <v>0.316</v>
      </c>
      <c r="V7" s="28">
        <v>0.27647058823529413</v>
      </c>
      <c r="W7" s="51">
        <v>0.5625</v>
      </c>
      <c r="X7" s="52">
        <v>31.25</v>
      </c>
      <c r="Y7" s="52">
        <v>30</v>
      </c>
      <c r="Z7" s="52">
        <v>152.5</v>
      </c>
      <c r="AA7" s="52">
        <v>213.75</v>
      </c>
      <c r="AB7" s="53">
        <v>0.68400000000000005</v>
      </c>
      <c r="AC7" s="54">
        <v>98.75</v>
      </c>
      <c r="AD7" s="55">
        <v>0.316</v>
      </c>
      <c r="AE7" s="56">
        <v>2</v>
      </c>
      <c r="AF7" s="57" t="s">
        <v>72</v>
      </c>
      <c r="AG7" s="58">
        <v>80</v>
      </c>
      <c r="AH7" s="58">
        <v>90</v>
      </c>
      <c r="AI7" s="58">
        <v>170</v>
      </c>
      <c r="AJ7" s="49">
        <v>42.5</v>
      </c>
      <c r="AK7" s="49">
        <v>212.5</v>
      </c>
      <c r="AL7" s="52">
        <v>21.25</v>
      </c>
      <c r="AM7" s="52">
        <v>132.5</v>
      </c>
      <c r="AN7" s="52">
        <v>153.75</v>
      </c>
      <c r="AO7" s="59">
        <v>0.72352941176470587</v>
      </c>
      <c r="AP7" s="60">
        <v>58.75</v>
      </c>
      <c r="AQ7" s="61">
        <v>0.27647058823529413</v>
      </c>
      <c r="AR7" s="60" t="s">
        <v>78</v>
      </c>
      <c r="AS7" s="62">
        <v>240</v>
      </c>
      <c r="AT7" s="62">
        <v>135</v>
      </c>
      <c r="AU7" s="62">
        <v>375</v>
      </c>
      <c r="AV7" s="62">
        <v>468.75</v>
      </c>
      <c r="AW7" s="47" t="s">
        <v>74</v>
      </c>
      <c r="AX7" s="64"/>
      <c r="AY7" s="64" t="s">
        <v>1380</v>
      </c>
      <c r="AZ7" s="86"/>
      <c r="BA7" s="46" t="s">
        <v>74</v>
      </c>
      <c r="BB7" s="26"/>
      <c r="BC7" s="26"/>
      <c r="BD7" s="70" t="s">
        <v>1381</v>
      </c>
      <c r="BE7" s="46" t="e">
        <v>#REF!</v>
      </c>
      <c r="BF7" s="46" t="s">
        <v>79</v>
      </c>
      <c r="BG7" s="65">
        <v>0.5</v>
      </c>
      <c r="BH7" s="66" t="s">
        <v>1382</v>
      </c>
      <c r="BI7" s="63" t="s">
        <v>1383</v>
      </c>
    </row>
    <row r="8" spans="1:61" ht="63.75" x14ac:dyDescent="0.2">
      <c r="A8" s="45" t="s">
        <v>1384</v>
      </c>
      <c r="B8" s="46"/>
      <c r="C8" s="46" t="s">
        <v>1353</v>
      </c>
      <c r="D8" s="46" t="s">
        <v>1378</v>
      </c>
      <c r="E8" s="46" t="s">
        <v>1355</v>
      </c>
      <c r="F8" s="46" t="s">
        <v>1372</v>
      </c>
      <c r="G8" s="46" t="s">
        <v>68</v>
      </c>
      <c r="H8" s="46" t="s">
        <v>68</v>
      </c>
      <c r="I8" s="46" t="s">
        <v>68</v>
      </c>
      <c r="J8" s="46" t="s">
        <v>71</v>
      </c>
      <c r="K8" s="47">
        <v>165</v>
      </c>
      <c r="L8" s="47">
        <v>120</v>
      </c>
      <c r="M8" s="47">
        <v>285</v>
      </c>
      <c r="N8" s="46" t="s">
        <v>1356</v>
      </c>
      <c r="O8" s="71" t="s">
        <v>1385</v>
      </c>
      <c r="P8" s="46" t="s">
        <v>1358</v>
      </c>
      <c r="Q8" s="46" t="s">
        <v>1347</v>
      </c>
      <c r="R8" s="46" t="s">
        <v>1350</v>
      </c>
      <c r="S8" s="49">
        <v>71.25</v>
      </c>
      <c r="T8" s="49">
        <v>356.25</v>
      </c>
      <c r="U8" s="28">
        <v>0.27894736842105261</v>
      </c>
      <c r="V8" s="28">
        <v>0.22592592592592592</v>
      </c>
      <c r="W8" s="51">
        <v>0.72727272727272729</v>
      </c>
      <c r="X8" s="52">
        <v>35.625</v>
      </c>
      <c r="Y8" s="52">
        <v>30</v>
      </c>
      <c r="Z8" s="52">
        <v>191.25</v>
      </c>
      <c r="AA8" s="52">
        <v>256.875</v>
      </c>
      <c r="AB8" s="53">
        <v>0.72105263157894739</v>
      </c>
      <c r="AC8" s="54">
        <v>99.375</v>
      </c>
      <c r="AD8" s="55">
        <v>0.27894736842105261</v>
      </c>
      <c r="AE8" s="56">
        <v>2</v>
      </c>
      <c r="AF8" s="57" t="s">
        <v>72</v>
      </c>
      <c r="AG8" s="58">
        <v>82.5</v>
      </c>
      <c r="AH8" s="58">
        <v>120</v>
      </c>
      <c r="AI8" s="58">
        <v>202.5</v>
      </c>
      <c r="AJ8" s="49">
        <v>50.625</v>
      </c>
      <c r="AK8" s="49">
        <v>253.125</v>
      </c>
      <c r="AL8" s="52">
        <v>25.3125</v>
      </c>
      <c r="AM8" s="52">
        <v>170.625</v>
      </c>
      <c r="AN8" s="52">
        <v>195.9375</v>
      </c>
      <c r="AO8" s="59">
        <v>0.77407407407407403</v>
      </c>
      <c r="AP8" s="60">
        <v>57.1875</v>
      </c>
      <c r="AQ8" s="61">
        <v>0.22592592592592592</v>
      </c>
      <c r="AR8" s="60" t="s">
        <v>78</v>
      </c>
      <c r="AS8" s="62">
        <v>248</v>
      </c>
      <c r="AT8" s="62">
        <v>180</v>
      </c>
      <c r="AU8" s="62">
        <v>428</v>
      </c>
      <c r="AV8" s="62">
        <v>535</v>
      </c>
      <c r="AW8" s="47" t="s">
        <v>74</v>
      </c>
      <c r="AX8" s="64"/>
      <c r="AY8" s="64" t="s">
        <v>1386</v>
      </c>
      <c r="AZ8" s="86"/>
      <c r="BA8" s="46" t="s">
        <v>74</v>
      </c>
      <c r="BB8" s="26"/>
      <c r="BC8" s="26"/>
      <c r="BD8" s="70" t="s">
        <v>1381</v>
      </c>
      <c r="BE8" s="46" t="e">
        <v>#REF!</v>
      </c>
      <c r="BF8" s="46" t="s">
        <v>79</v>
      </c>
      <c r="BG8" s="65">
        <v>0.5</v>
      </c>
      <c r="BH8" s="66" t="s">
        <v>1387</v>
      </c>
      <c r="BI8" s="63" t="s">
        <v>1388</v>
      </c>
    </row>
    <row r="9" spans="1:61" ht="63.75" x14ac:dyDescent="0.2">
      <c r="A9" s="45" t="s">
        <v>1389</v>
      </c>
      <c r="B9" s="46"/>
      <c r="C9" s="46" t="s">
        <v>1390</v>
      </c>
      <c r="D9" s="46" t="s">
        <v>1364</v>
      </c>
      <c r="E9" s="46" t="s">
        <v>1355</v>
      </c>
      <c r="F9" s="46" t="s">
        <v>1365</v>
      </c>
      <c r="G9" s="46" t="s">
        <v>68</v>
      </c>
      <c r="H9" s="46" t="s">
        <v>68</v>
      </c>
      <c r="I9" s="46" t="s">
        <v>68</v>
      </c>
      <c r="J9" s="46" t="s">
        <v>71</v>
      </c>
      <c r="K9" s="47">
        <v>175</v>
      </c>
      <c r="L9" s="47">
        <v>190</v>
      </c>
      <c r="M9" s="47">
        <v>365</v>
      </c>
      <c r="N9" s="46" t="s">
        <v>1356</v>
      </c>
      <c r="O9" s="71" t="s">
        <v>1391</v>
      </c>
      <c r="P9" s="46" t="s">
        <v>1358</v>
      </c>
      <c r="Q9" s="46" t="s">
        <v>1347</v>
      </c>
      <c r="R9" s="46" t="s">
        <v>1350</v>
      </c>
      <c r="S9" s="49">
        <v>91.25</v>
      </c>
      <c r="T9" s="49">
        <v>456.25</v>
      </c>
      <c r="U9" s="28">
        <v>0.21780821917808219</v>
      </c>
      <c r="V9" s="50">
        <v>0.15225225225225225</v>
      </c>
      <c r="W9" s="74">
        <v>1.0857142857142856</v>
      </c>
      <c r="X9" s="52">
        <v>45.625</v>
      </c>
      <c r="Y9" s="52">
        <v>30</v>
      </c>
      <c r="Z9" s="52">
        <v>281.25</v>
      </c>
      <c r="AA9" s="52">
        <v>356.875</v>
      </c>
      <c r="AB9" s="53">
        <v>0.78219178082191776</v>
      </c>
      <c r="AC9" s="54">
        <v>99.375</v>
      </c>
      <c r="AD9" s="55">
        <v>0.21780821917808219</v>
      </c>
      <c r="AE9" s="56">
        <v>2</v>
      </c>
      <c r="AF9" s="57" t="s">
        <v>72</v>
      </c>
      <c r="AG9" s="58">
        <v>87.5</v>
      </c>
      <c r="AH9" s="58">
        <v>190</v>
      </c>
      <c r="AI9" s="58">
        <v>277.5</v>
      </c>
      <c r="AJ9" s="49">
        <v>69.375</v>
      </c>
      <c r="AK9" s="49">
        <v>346.875</v>
      </c>
      <c r="AL9" s="52">
        <v>34.6875</v>
      </c>
      <c r="AM9" s="52">
        <v>259.375</v>
      </c>
      <c r="AN9" s="52">
        <v>294.0625</v>
      </c>
      <c r="AO9" s="59">
        <v>0.84774774774774775</v>
      </c>
      <c r="AP9" s="60">
        <v>52.8125</v>
      </c>
      <c r="AQ9" s="61">
        <v>0.15225225225225225</v>
      </c>
      <c r="AR9" s="60" t="s">
        <v>73</v>
      </c>
      <c r="AS9" s="62">
        <v>263</v>
      </c>
      <c r="AT9" s="62">
        <v>285</v>
      </c>
      <c r="AU9" s="62">
        <v>548</v>
      </c>
      <c r="AV9" s="62">
        <v>685</v>
      </c>
      <c r="AW9" s="47" t="s">
        <v>74</v>
      </c>
      <c r="AX9" s="64"/>
      <c r="AY9" s="64" t="s">
        <v>1392</v>
      </c>
      <c r="AZ9" s="86"/>
      <c r="BA9" s="46" t="s">
        <v>74</v>
      </c>
      <c r="BB9" s="26"/>
      <c r="BC9" s="26"/>
      <c r="BD9" s="70" t="s">
        <v>1393</v>
      </c>
      <c r="BE9" s="46" t="e">
        <v>#REF!</v>
      </c>
      <c r="BF9" s="46" t="s">
        <v>79</v>
      </c>
      <c r="BG9" s="65">
        <v>0.5</v>
      </c>
      <c r="BH9" s="66"/>
      <c r="BI9" s="63" t="s">
        <v>1394</v>
      </c>
    </row>
    <row r="10" spans="1:61" ht="63.75" x14ac:dyDescent="0.2">
      <c r="A10" s="45" t="s">
        <v>1395</v>
      </c>
      <c r="B10" s="46"/>
      <c r="C10" s="46" t="s">
        <v>1390</v>
      </c>
      <c r="D10" s="46" t="s">
        <v>1396</v>
      </c>
      <c r="E10" s="46" t="s">
        <v>1355</v>
      </c>
      <c r="F10" s="46" t="s">
        <v>1365</v>
      </c>
      <c r="G10" s="46" t="s">
        <v>68</v>
      </c>
      <c r="H10" s="46" t="s">
        <v>68</v>
      </c>
      <c r="I10" s="46" t="s">
        <v>68</v>
      </c>
      <c r="J10" s="46" t="s">
        <v>71</v>
      </c>
      <c r="K10" s="47">
        <v>180</v>
      </c>
      <c r="L10" s="47">
        <v>200</v>
      </c>
      <c r="M10" s="47">
        <v>380</v>
      </c>
      <c r="N10" s="46" t="s">
        <v>1356</v>
      </c>
      <c r="O10" s="71" t="s">
        <v>1397</v>
      </c>
      <c r="P10" s="46" t="s">
        <v>1358</v>
      </c>
      <c r="Q10" s="46" t="s">
        <v>1347</v>
      </c>
      <c r="R10" s="46" t="s">
        <v>1350</v>
      </c>
      <c r="S10" s="49">
        <v>95</v>
      </c>
      <c r="T10" s="49">
        <v>475</v>
      </c>
      <c r="U10" s="28">
        <v>0.21578947368421053</v>
      </c>
      <c r="V10" s="50">
        <v>0.14827586206896551</v>
      </c>
      <c r="W10" s="74">
        <v>1.1111111111111112</v>
      </c>
      <c r="X10" s="52">
        <v>47.5</v>
      </c>
      <c r="Y10" s="52">
        <v>30</v>
      </c>
      <c r="Z10" s="52">
        <v>295</v>
      </c>
      <c r="AA10" s="52">
        <v>372.5</v>
      </c>
      <c r="AB10" s="53">
        <v>0.78421052631578947</v>
      </c>
      <c r="AC10" s="54">
        <v>102.5</v>
      </c>
      <c r="AD10" s="55">
        <v>0.21578947368421053</v>
      </c>
      <c r="AE10" s="56">
        <v>2</v>
      </c>
      <c r="AF10" s="57" t="s">
        <v>72</v>
      </c>
      <c r="AG10" s="58">
        <v>90</v>
      </c>
      <c r="AH10" s="58">
        <v>200</v>
      </c>
      <c r="AI10" s="58">
        <v>290</v>
      </c>
      <c r="AJ10" s="49">
        <v>72.5</v>
      </c>
      <c r="AK10" s="49">
        <v>362.5</v>
      </c>
      <c r="AL10" s="52">
        <v>36.25</v>
      </c>
      <c r="AM10" s="52">
        <v>272.5</v>
      </c>
      <c r="AN10" s="52">
        <v>308.75</v>
      </c>
      <c r="AO10" s="59">
        <v>0.85172413793103452</v>
      </c>
      <c r="AP10" s="60">
        <v>53.75</v>
      </c>
      <c r="AQ10" s="61">
        <v>0.14827586206896551</v>
      </c>
      <c r="AR10" s="60" t="s">
        <v>73</v>
      </c>
      <c r="AS10" s="62">
        <v>270</v>
      </c>
      <c r="AT10" s="62">
        <v>300</v>
      </c>
      <c r="AU10" s="62">
        <v>570</v>
      </c>
      <c r="AV10" s="62">
        <v>712.5</v>
      </c>
      <c r="AW10" s="47" t="s">
        <v>74</v>
      </c>
      <c r="AX10" s="64"/>
      <c r="AY10" s="64" t="s">
        <v>1398</v>
      </c>
      <c r="AZ10" s="86"/>
      <c r="BA10" s="46" t="s">
        <v>74</v>
      </c>
      <c r="BB10" s="26"/>
      <c r="BC10" s="26"/>
      <c r="BD10" s="70" t="s">
        <v>1399</v>
      </c>
      <c r="BE10" s="46" t="e">
        <v>#REF!</v>
      </c>
      <c r="BF10" s="46" t="s">
        <v>79</v>
      </c>
      <c r="BG10" s="65">
        <v>0.5</v>
      </c>
      <c r="BH10" s="66"/>
      <c r="BI10" s="63" t="s">
        <v>1400</v>
      </c>
    </row>
    <row r="11" spans="1:61" ht="76.5" x14ac:dyDescent="0.2">
      <c r="A11" s="45" t="s">
        <v>1401</v>
      </c>
      <c r="B11" s="46"/>
      <c r="C11" s="46" t="s">
        <v>1390</v>
      </c>
      <c r="D11" s="46" t="s">
        <v>1396</v>
      </c>
      <c r="E11" s="46" t="s">
        <v>1355</v>
      </c>
      <c r="F11" s="46" t="s">
        <v>1372</v>
      </c>
      <c r="G11" s="46" t="s">
        <v>68</v>
      </c>
      <c r="H11" s="46" t="s">
        <v>68</v>
      </c>
      <c r="I11" s="46" t="s">
        <v>68</v>
      </c>
      <c r="J11" s="46" t="s">
        <v>71</v>
      </c>
      <c r="K11" s="47">
        <v>210</v>
      </c>
      <c r="L11" s="47">
        <v>350</v>
      </c>
      <c r="M11" s="47">
        <v>560</v>
      </c>
      <c r="N11" s="46" t="s">
        <v>1356</v>
      </c>
      <c r="O11" s="71" t="s">
        <v>1402</v>
      </c>
      <c r="P11" s="46" t="s">
        <v>1358</v>
      </c>
      <c r="Q11" s="46" t="s">
        <v>1347</v>
      </c>
      <c r="R11" s="46" t="s">
        <v>1350</v>
      </c>
      <c r="S11" s="49">
        <v>140</v>
      </c>
      <c r="T11" s="49">
        <v>700</v>
      </c>
      <c r="U11" s="50">
        <v>0.15714285714285714</v>
      </c>
      <c r="V11" s="50">
        <v>8.461538461538462E-2</v>
      </c>
      <c r="W11" s="77">
        <v>1.6666666666666667</v>
      </c>
      <c r="X11" s="52">
        <v>70</v>
      </c>
      <c r="Y11" s="52">
        <v>30</v>
      </c>
      <c r="Z11" s="52">
        <v>490</v>
      </c>
      <c r="AA11" s="52">
        <v>590</v>
      </c>
      <c r="AB11" s="53">
        <v>0.84285714285714286</v>
      </c>
      <c r="AC11" s="54">
        <v>110</v>
      </c>
      <c r="AD11" s="55">
        <v>0.15714285714285714</v>
      </c>
      <c r="AE11" s="56">
        <v>2</v>
      </c>
      <c r="AF11" s="57" t="s">
        <v>72</v>
      </c>
      <c r="AG11" s="58">
        <v>105</v>
      </c>
      <c r="AH11" s="58">
        <v>350</v>
      </c>
      <c r="AI11" s="58">
        <v>455</v>
      </c>
      <c r="AJ11" s="49">
        <v>113.75</v>
      </c>
      <c r="AK11" s="49">
        <v>568.75</v>
      </c>
      <c r="AL11" s="52">
        <v>56.875</v>
      </c>
      <c r="AM11" s="52">
        <v>463.75</v>
      </c>
      <c r="AN11" s="52">
        <v>520.625</v>
      </c>
      <c r="AO11" s="59">
        <v>0.91538461538461535</v>
      </c>
      <c r="AP11" s="60">
        <v>48.125</v>
      </c>
      <c r="AQ11" s="61">
        <v>8.461538461538462E-2</v>
      </c>
      <c r="AR11" s="60" t="s">
        <v>73</v>
      </c>
      <c r="AS11" s="62">
        <v>315</v>
      </c>
      <c r="AT11" s="62">
        <v>525</v>
      </c>
      <c r="AU11" s="62">
        <v>840</v>
      </c>
      <c r="AV11" s="62">
        <v>1050</v>
      </c>
      <c r="AW11" s="47" t="s">
        <v>74</v>
      </c>
      <c r="AX11" s="64"/>
      <c r="AY11" s="64" t="s">
        <v>1403</v>
      </c>
      <c r="AZ11" s="86"/>
      <c r="BA11" s="46" t="s">
        <v>74</v>
      </c>
      <c r="BB11" s="26"/>
      <c r="BC11" s="26"/>
      <c r="BD11" s="70" t="s">
        <v>1404</v>
      </c>
      <c r="BE11" s="46" t="e">
        <v>#REF!</v>
      </c>
      <c r="BF11" s="46" t="s">
        <v>79</v>
      </c>
      <c r="BG11" s="65">
        <v>0.5</v>
      </c>
      <c r="BH11" s="66"/>
      <c r="BI11" s="63" t="s">
        <v>1405</v>
      </c>
    </row>
    <row r="12" spans="1:61" ht="89.25" x14ac:dyDescent="0.2">
      <c r="A12" s="45" t="s">
        <v>1406</v>
      </c>
      <c r="B12" s="46"/>
      <c r="C12" s="46" t="s">
        <v>1407</v>
      </c>
      <c r="D12" s="46" t="s">
        <v>1334</v>
      </c>
      <c r="E12" s="46" t="s">
        <v>1354</v>
      </c>
      <c r="F12" s="46" t="s">
        <v>1355</v>
      </c>
      <c r="G12" s="46" t="s">
        <v>68</v>
      </c>
      <c r="H12" s="46" t="s">
        <v>1408</v>
      </c>
      <c r="I12" s="46" t="s">
        <v>68</v>
      </c>
      <c r="J12" s="46" t="s">
        <v>71</v>
      </c>
      <c r="K12" s="47">
        <v>200</v>
      </c>
      <c r="L12" s="47">
        <v>120</v>
      </c>
      <c r="M12" s="47">
        <v>320</v>
      </c>
      <c r="N12" s="46" t="s">
        <v>1409</v>
      </c>
      <c r="O12" s="71" t="s">
        <v>1410</v>
      </c>
      <c r="P12" s="46" t="s">
        <v>1411</v>
      </c>
      <c r="Q12" s="46" t="s">
        <v>1347</v>
      </c>
      <c r="R12" s="46" t="s">
        <v>1350</v>
      </c>
      <c r="S12" s="49">
        <v>80</v>
      </c>
      <c r="T12" s="49">
        <v>400</v>
      </c>
      <c r="U12" s="67">
        <v>0.32500000000000001</v>
      </c>
      <c r="V12" s="67">
        <v>0.4</v>
      </c>
      <c r="W12" s="51">
        <v>0.6</v>
      </c>
      <c r="X12" s="52">
        <v>40</v>
      </c>
      <c r="Y12" s="52">
        <v>30</v>
      </c>
      <c r="Z12" s="52">
        <v>200</v>
      </c>
      <c r="AA12" s="52">
        <v>270</v>
      </c>
      <c r="AB12" s="53">
        <v>0.67500000000000004</v>
      </c>
      <c r="AC12" s="72">
        <v>130</v>
      </c>
      <c r="AD12" s="55">
        <v>0.32500000000000001</v>
      </c>
      <c r="AE12" s="73">
        <v>3</v>
      </c>
      <c r="AF12" s="57" t="s">
        <v>95</v>
      </c>
      <c r="AG12" s="58">
        <v>200</v>
      </c>
      <c r="AH12" s="58">
        <v>120</v>
      </c>
      <c r="AI12" s="58">
        <v>320</v>
      </c>
      <c r="AJ12" s="49">
        <v>80</v>
      </c>
      <c r="AK12" s="49">
        <v>400</v>
      </c>
      <c r="AL12" s="52">
        <v>40</v>
      </c>
      <c r="AM12" s="52">
        <v>200</v>
      </c>
      <c r="AN12" s="52">
        <v>240</v>
      </c>
      <c r="AO12" s="59">
        <v>0.6</v>
      </c>
      <c r="AP12" s="60">
        <v>160</v>
      </c>
      <c r="AQ12" s="61">
        <v>0.4</v>
      </c>
      <c r="AR12" s="60" t="s">
        <v>78</v>
      </c>
      <c r="AS12" s="62">
        <v>320</v>
      </c>
      <c r="AT12" s="62">
        <v>192</v>
      </c>
      <c r="AU12" s="62">
        <v>512</v>
      </c>
      <c r="AV12" s="62">
        <v>640</v>
      </c>
      <c r="AW12" s="47" t="s">
        <v>74</v>
      </c>
      <c r="AX12" s="64"/>
      <c r="AY12" s="64" t="s">
        <v>1412</v>
      </c>
      <c r="AZ12" s="86"/>
      <c r="BA12" s="46" t="s">
        <v>74</v>
      </c>
      <c r="BB12" s="26"/>
      <c r="BC12" s="26"/>
      <c r="BD12" s="46"/>
      <c r="BE12" s="46" t="e">
        <v>#REF!</v>
      </c>
      <c r="BF12" s="46" t="s">
        <v>75</v>
      </c>
      <c r="BG12" s="65">
        <v>2</v>
      </c>
      <c r="BH12" s="66" t="s">
        <v>1413</v>
      </c>
      <c r="BI12" s="63" t="s">
        <v>1414</v>
      </c>
    </row>
    <row r="13" spans="1:61" ht="89.25" x14ac:dyDescent="0.2">
      <c r="A13" s="45" t="s">
        <v>1415</v>
      </c>
      <c r="B13" s="46"/>
      <c r="C13" s="46" t="s">
        <v>1407</v>
      </c>
      <c r="D13" s="46" t="s">
        <v>1334</v>
      </c>
      <c r="E13" s="46" t="s">
        <v>1364</v>
      </c>
      <c r="F13" s="46" t="s">
        <v>1355</v>
      </c>
      <c r="G13" s="46" t="s">
        <v>68</v>
      </c>
      <c r="H13" s="46" t="s">
        <v>1408</v>
      </c>
      <c r="I13" s="46" t="s">
        <v>68</v>
      </c>
      <c r="J13" s="46" t="s">
        <v>71</v>
      </c>
      <c r="K13" s="47">
        <v>230</v>
      </c>
      <c r="L13" s="47">
        <v>325</v>
      </c>
      <c r="M13" s="47">
        <v>555</v>
      </c>
      <c r="N13" s="46" t="s">
        <v>1409</v>
      </c>
      <c r="O13" s="71" t="s">
        <v>1416</v>
      </c>
      <c r="P13" s="46" t="s">
        <v>1411</v>
      </c>
      <c r="Q13" s="46" t="s">
        <v>1347</v>
      </c>
      <c r="R13" s="46" t="s">
        <v>1350</v>
      </c>
      <c r="S13" s="49">
        <v>138.75</v>
      </c>
      <c r="T13" s="49">
        <v>693.75</v>
      </c>
      <c r="U13" s="50">
        <v>0.18828828828828828</v>
      </c>
      <c r="V13" s="28">
        <v>0.23153153153153153</v>
      </c>
      <c r="W13" s="74">
        <v>1.4130434782608696</v>
      </c>
      <c r="X13" s="52">
        <v>69.375</v>
      </c>
      <c r="Y13" s="52">
        <v>30</v>
      </c>
      <c r="Z13" s="52">
        <v>463.75</v>
      </c>
      <c r="AA13" s="52">
        <v>563.125</v>
      </c>
      <c r="AB13" s="53">
        <v>0.81171171171171175</v>
      </c>
      <c r="AC13" s="72">
        <v>130.625</v>
      </c>
      <c r="AD13" s="55">
        <v>0.18828828828828828</v>
      </c>
      <c r="AE13" s="73">
        <v>3</v>
      </c>
      <c r="AF13" s="57" t="s">
        <v>95</v>
      </c>
      <c r="AG13" s="58">
        <v>230</v>
      </c>
      <c r="AH13" s="58">
        <v>325</v>
      </c>
      <c r="AI13" s="58">
        <v>555</v>
      </c>
      <c r="AJ13" s="49">
        <v>138.75</v>
      </c>
      <c r="AK13" s="49">
        <v>693.75</v>
      </c>
      <c r="AL13" s="52">
        <v>69.375</v>
      </c>
      <c r="AM13" s="52">
        <v>463.75</v>
      </c>
      <c r="AN13" s="52">
        <v>533.125</v>
      </c>
      <c r="AO13" s="59">
        <v>0.7684684684684685</v>
      </c>
      <c r="AP13" s="60">
        <v>160.625</v>
      </c>
      <c r="AQ13" s="61">
        <v>0.23153153153153153</v>
      </c>
      <c r="AR13" s="60" t="s">
        <v>78</v>
      </c>
      <c r="AS13" s="62">
        <v>368</v>
      </c>
      <c r="AT13" s="62">
        <v>520</v>
      </c>
      <c r="AU13" s="62">
        <v>888</v>
      </c>
      <c r="AV13" s="62">
        <v>1110</v>
      </c>
      <c r="AW13" s="47" t="s">
        <v>74</v>
      </c>
      <c r="AX13" s="64"/>
      <c r="AY13" s="64" t="s">
        <v>1417</v>
      </c>
      <c r="AZ13" s="86"/>
      <c r="BA13" s="46" t="s">
        <v>74</v>
      </c>
      <c r="BB13" s="26"/>
      <c r="BC13" s="26"/>
      <c r="BD13" s="46"/>
      <c r="BE13" s="46" t="e">
        <v>#REF!</v>
      </c>
      <c r="BF13" s="46" t="s">
        <v>75</v>
      </c>
      <c r="BG13" s="65">
        <v>2</v>
      </c>
      <c r="BH13" s="66" t="s">
        <v>1418</v>
      </c>
      <c r="BI13" s="63" t="s">
        <v>1419</v>
      </c>
    </row>
    <row r="14" spans="1:61" ht="89.25" x14ac:dyDescent="0.2">
      <c r="A14" s="45" t="s">
        <v>1420</v>
      </c>
      <c r="B14" s="46"/>
      <c r="C14" s="46" t="s">
        <v>1407</v>
      </c>
      <c r="D14" s="46" t="s">
        <v>1334</v>
      </c>
      <c r="E14" s="46" t="s">
        <v>1378</v>
      </c>
      <c r="F14" s="46" t="s">
        <v>1355</v>
      </c>
      <c r="G14" s="46" t="s">
        <v>68</v>
      </c>
      <c r="H14" s="46" t="s">
        <v>1408</v>
      </c>
      <c r="I14" s="46" t="s">
        <v>68</v>
      </c>
      <c r="J14" s="46" t="s">
        <v>71</v>
      </c>
      <c r="K14" s="47">
        <v>250</v>
      </c>
      <c r="L14" s="47">
        <v>450</v>
      </c>
      <c r="M14" s="47">
        <v>700</v>
      </c>
      <c r="N14" s="46" t="s">
        <v>1409</v>
      </c>
      <c r="O14" s="71" t="s">
        <v>1421</v>
      </c>
      <c r="P14" s="46" t="s">
        <v>1411</v>
      </c>
      <c r="Q14" s="46" t="s">
        <v>1347</v>
      </c>
      <c r="R14" s="46" t="s">
        <v>1350</v>
      </c>
      <c r="S14" s="49">
        <v>175</v>
      </c>
      <c r="T14" s="49">
        <v>875</v>
      </c>
      <c r="U14" s="50">
        <v>0.15142857142857144</v>
      </c>
      <c r="V14" s="50">
        <v>0.18571428571428572</v>
      </c>
      <c r="W14" s="77">
        <v>1.8</v>
      </c>
      <c r="X14" s="52">
        <v>87.5</v>
      </c>
      <c r="Y14" s="52">
        <v>30</v>
      </c>
      <c r="Z14" s="52">
        <v>625</v>
      </c>
      <c r="AA14" s="52">
        <v>742.5</v>
      </c>
      <c r="AB14" s="53">
        <v>0.84857142857142853</v>
      </c>
      <c r="AC14" s="72">
        <v>132.5</v>
      </c>
      <c r="AD14" s="55">
        <v>0.15142857142857144</v>
      </c>
      <c r="AE14" s="73">
        <v>3</v>
      </c>
      <c r="AF14" s="57" t="s">
        <v>95</v>
      </c>
      <c r="AG14" s="58">
        <v>250</v>
      </c>
      <c r="AH14" s="58">
        <v>450</v>
      </c>
      <c r="AI14" s="58">
        <v>700</v>
      </c>
      <c r="AJ14" s="49">
        <v>175</v>
      </c>
      <c r="AK14" s="49">
        <v>875</v>
      </c>
      <c r="AL14" s="52">
        <v>87.5</v>
      </c>
      <c r="AM14" s="52">
        <v>625</v>
      </c>
      <c r="AN14" s="52">
        <v>712.5</v>
      </c>
      <c r="AO14" s="59">
        <v>0.81428571428571428</v>
      </c>
      <c r="AP14" s="60">
        <v>162.5</v>
      </c>
      <c r="AQ14" s="61">
        <v>0.18571428571428572</v>
      </c>
      <c r="AR14" s="60" t="s">
        <v>73</v>
      </c>
      <c r="AS14" s="62">
        <v>400</v>
      </c>
      <c r="AT14" s="62">
        <v>720</v>
      </c>
      <c r="AU14" s="62">
        <v>1120</v>
      </c>
      <c r="AV14" s="62">
        <v>1400</v>
      </c>
      <c r="AW14" s="47" t="s">
        <v>74</v>
      </c>
      <c r="AX14" s="64"/>
      <c r="AY14" s="64" t="s">
        <v>1422</v>
      </c>
      <c r="AZ14" s="86"/>
      <c r="BA14" s="46" t="s">
        <v>74</v>
      </c>
      <c r="BB14" s="26"/>
      <c r="BC14" s="26"/>
      <c r="BD14" s="46"/>
      <c r="BE14" s="46" t="e">
        <v>#REF!</v>
      </c>
      <c r="BF14" s="46" t="s">
        <v>75</v>
      </c>
      <c r="BG14" s="65">
        <v>2</v>
      </c>
      <c r="BH14" s="66" t="s">
        <v>1423</v>
      </c>
      <c r="BI14" s="63" t="s">
        <v>1424</v>
      </c>
    </row>
    <row r="15" spans="1:61" ht="76.5" x14ac:dyDescent="0.2">
      <c r="A15" s="45" t="s">
        <v>1425</v>
      </c>
      <c r="B15" s="46"/>
      <c r="C15" s="46" t="s">
        <v>1426</v>
      </c>
      <c r="D15" s="46" t="s">
        <v>68</v>
      </c>
      <c r="E15" s="46" t="s">
        <v>68</v>
      </c>
      <c r="F15" s="46" t="s">
        <v>68</v>
      </c>
      <c r="G15" s="46" t="s">
        <v>68</v>
      </c>
      <c r="H15" s="46" t="s">
        <v>68</v>
      </c>
      <c r="I15" s="46" t="s">
        <v>454</v>
      </c>
      <c r="J15" s="46" t="s">
        <v>71</v>
      </c>
      <c r="K15" s="47">
        <v>320</v>
      </c>
      <c r="L15" s="47">
        <v>600</v>
      </c>
      <c r="M15" s="47">
        <v>920</v>
      </c>
      <c r="N15" s="46" t="s">
        <v>1409</v>
      </c>
      <c r="O15" s="71" t="s">
        <v>1427</v>
      </c>
      <c r="P15" s="46" t="s">
        <v>1428</v>
      </c>
      <c r="Q15" s="46" t="s">
        <v>1347</v>
      </c>
      <c r="R15" s="46" t="s">
        <v>1350</v>
      </c>
      <c r="S15" s="49">
        <v>230</v>
      </c>
      <c r="T15" s="49">
        <v>1150</v>
      </c>
      <c r="U15" s="50">
        <v>0.15217391304347827</v>
      </c>
      <c r="V15" s="50">
        <v>0.17826086956521739</v>
      </c>
      <c r="W15" s="77">
        <v>1.875</v>
      </c>
      <c r="X15" s="52">
        <v>115</v>
      </c>
      <c r="Y15" s="52">
        <v>30</v>
      </c>
      <c r="Z15" s="52">
        <v>830</v>
      </c>
      <c r="AA15" s="52">
        <v>975</v>
      </c>
      <c r="AB15" s="53">
        <v>0.84782608695652173</v>
      </c>
      <c r="AC15" s="72">
        <v>175</v>
      </c>
      <c r="AD15" s="55">
        <v>0.15217391304347827</v>
      </c>
      <c r="AE15" s="73">
        <v>3</v>
      </c>
      <c r="AF15" s="57" t="s">
        <v>95</v>
      </c>
      <c r="AG15" s="58">
        <v>320</v>
      </c>
      <c r="AH15" s="58">
        <v>600</v>
      </c>
      <c r="AI15" s="58">
        <v>920</v>
      </c>
      <c r="AJ15" s="49">
        <v>230</v>
      </c>
      <c r="AK15" s="49">
        <v>1150</v>
      </c>
      <c r="AL15" s="52">
        <v>115</v>
      </c>
      <c r="AM15" s="52">
        <v>830</v>
      </c>
      <c r="AN15" s="52">
        <v>945</v>
      </c>
      <c r="AO15" s="59">
        <v>0.82173913043478264</v>
      </c>
      <c r="AP15" s="60">
        <v>205</v>
      </c>
      <c r="AQ15" s="61">
        <v>0.17826086956521739</v>
      </c>
      <c r="AR15" s="60" t="s">
        <v>73</v>
      </c>
      <c r="AS15" s="62">
        <v>512</v>
      </c>
      <c r="AT15" s="62">
        <v>960</v>
      </c>
      <c r="AU15" s="62">
        <v>1472</v>
      </c>
      <c r="AV15" s="62">
        <v>1840</v>
      </c>
      <c r="AW15" s="47" t="s">
        <v>74</v>
      </c>
      <c r="AX15" s="64"/>
      <c r="AY15" s="64" t="s">
        <v>1429</v>
      </c>
      <c r="AZ15" s="86"/>
      <c r="BA15" s="46" t="s">
        <v>74</v>
      </c>
      <c r="BB15" s="26"/>
      <c r="BC15" s="26"/>
      <c r="BD15" s="46"/>
      <c r="BE15" s="46" t="e">
        <v>#REF!</v>
      </c>
      <c r="BF15" s="46" t="s">
        <v>75</v>
      </c>
      <c r="BG15" s="65">
        <v>8</v>
      </c>
      <c r="BH15" s="66" t="s">
        <v>1430</v>
      </c>
      <c r="BI15" s="63" t="s">
        <v>1431</v>
      </c>
    </row>
    <row r="16" spans="1:61" ht="76.5" x14ac:dyDescent="0.2">
      <c r="A16" s="45" t="s">
        <v>1432</v>
      </c>
      <c r="B16" s="46"/>
      <c r="C16" s="46" t="s">
        <v>1426</v>
      </c>
      <c r="D16" s="46" t="s">
        <v>68</v>
      </c>
      <c r="E16" s="46" t="s">
        <v>68</v>
      </c>
      <c r="F16" s="46" t="s">
        <v>68</v>
      </c>
      <c r="G16" s="46" t="s">
        <v>68</v>
      </c>
      <c r="H16" s="46" t="s">
        <v>68</v>
      </c>
      <c r="I16" s="46" t="s">
        <v>1433</v>
      </c>
      <c r="J16" s="46" t="s">
        <v>71</v>
      </c>
      <c r="K16" s="47">
        <v>380</v>
      </c>
      <c r="L16" s="47">
        <v>850</v>
      </c>
      <c r="M16" s="47">
        <v>1230</v>
      </c>
      <c r="N16" s="46" t="s">
        <v>1409</v>
      </c>
      <c r="O16" s="71" t="s">
        <v>1434</v>
      </c>
      <c r="P16" s="46" t="s">
        <v>1428</v>
      </c>
      <c r="Q16" s="46" t="s">
        <v>1347</v>
      </c>
      <c r="R16" s="46" t="s">
        <v>1350</v>
      </c>
      <c r="S16" s="49">
        <v>307.5</v>
      </c>
      <c r="T16" s="49">
        <v>1537.5</v>
      </c>
      <c r="U16" s="50">
        <v>0.12764227642276424</v>
      </c>
      <c r="V16" s="50">
        <v>0.14715447154471545</v>
      </c>
      <c r="W16" s="77">
        <v>2.236842105263158</v>
      </c>
      <c r="X16" s="52">
        <v>153.75</v>
      </c>
      <c r="Y16" s="52">
        <v>30</v>
      </c>
      <c r="Z16" s="52">
        <v>1157.5</v>
      </c>
      <c r="AA16" s="52">
        <v>1341.25</v>
      </c>
      <c r="AB16" s="53">
        <v>0.87235772357723573</v>
      </c>
      <c r="AC16" s="72">
        <v>196.25</v>
      </c>
      <c r="AD16" s="55">
        <v>0.12764227642276424</v>
      </c>
      <c r="AE16" s="73">
        <v>3</v>
      </c>
      <c r="AF16" s="57" t="s">
        <v>95</v>
      </c>
      <c r="AG16" s="58">
        <v>380</v>
      </c>
      <c r="AH16" s="58">
        <v>850</v>
      </c>
      <c r="AI16" s="58">
        <v>1230</v>
      </c>
      <c r="AJ16" s="49">
        <v>307.5</v>
      </c>
      <c r="AK16" s="49">
        <v>1537.5</v>
      </c>
      <c r="AL16" s="52">
        <v>153.75</v>
      </c>
      <c r="AM16" s="52">
        <v>1157.5</v>
      </c>
      <c r="AN16" s="52">
        <v>1311.25</v>
      </c>
      <c r="AO16" s="59">
        <v>0.85284552845528461</v>
      </c>
      <c r="AP16" s="60">
        <v>226.25</v>
      </c>
      <c r="AQ16" s="61">
        <v>0.14715447154471545</v>
      </c>
      <c r="AR16" s="60" t="s">
        <v>73</v>
      </c>
      <c r="AS16" s="62">
        <v>608</v>
      </c>
      <c r="AT16" s="62">
        <v>1360</v>
      </c>
      <c r="AU16" s="62">
        <v>1968</v>
      </c>
      <c r="AV16" s="62">
        <v>2460</v>
      </c>
      <c r="AW16" s="47" t="s">
        <v>74</v>
      </c>
      <c r="AX16" s="64"/>
      <c r="AY16" s="64" t="s">
        <v>1435</v>
      </c>
      <c r="AZ16" s="86"/>
      <c r="BA16" s="46" t="s">
        <v>74</v>
      </c>
      <c r="BB16" s="26"/>
      <c r="BC16" s="26"/>
      <c r="BD16" s="46"/>
      <c r="BE16" s="46" t="e">
        <v>#REF!</v>
      </c>
      <c r="BF16" s="46" t="s">
        <v>75</v>
      </c>
      <c r="BG16" s="65">
        <v>8</v>
      </c>
      <c r="BH16" s="66" t="s">
        <v>1436</v>
      </c>
      <c r="BI16" s="63" t="s">
        <v>1437</v>
      </c>
    </row>
    <row r="17" spans="1:61" ht="76.5" x14ac:dyDescent="0.2">
      <c r="A17" s="45" t="s">
        <v>1438</v>
      </c>
      <c r="B17" s="46"/>
      <c r="C17" s="46" t="s">
        <v>1426</v>
      </c>
      <c r="D17" s="46" t="s">
        <v>68</v>
      </c>
      <c r="E17" s="46" t="s">
        <v>68</v>
      </c>
      <c r="F17" s="46" t="s">
        <v>68</v>
      </c>
      <c r="G17" s="46" t="s">
        <v>68</v>
      </c>
      <c r="H17" s="46" t="s">
        <v>68</v>
      </c>
      <c r="I17" s="46" t="s">
        <v>449</v>
      </c>
      <c r="J17" s="46" t="s">
        <v>71</v>
      </c>
      <c r="K17" s="47">
        <v>460</v>
      </c>
      <c r="L17" s="47">
        <v>1400</v>
      </c>
      <c r="M17" s="47">
        <v>1860</v>
      </c>
      <c r="N17" s="46" t="s">
        <v>1409</v>
      </c>
      <c r="O17" s="71" t="s">
        <v>1439</v>
      </c>
      <c r="P17" s="46" t="s">
        <v>1428</v>
      </c>
      <c r="Q17" s="46" t="s">
        <v>1347</v>
      </c>
      <c r="R17" s="46" t="s">
        <v>1350</v>
      </c>
      <c r="S17" s="49">
        <v>465</v>
      </c>
      <c r="T17" s="49">
        <v>2325</v>
      </c>
      <c r="U17" s="50">
        <v>8.4946236559139784E-2</v>
      </c>
      <c r="V17" s="50">
        <v>9.7849462365591403E-2</v>
      </c>
      <c r="W17" s="77">
        <v>3.0434782608695654</v>
      </c>
      <c r="X17" s="52">
        <v>232.5</v>
      </c>
      <c r="Y17" s="52">
        <v>30</v>
      </c>
      <c r="Z17" s="52">
        <v>1865</v>
      </c>
      <c r="AA17" s="52">
        <v>2127.5</v>
      </c>
      <c r="AB17" s="53">
        <v>0.9150537634408602</v>
      </c>
      <c r="AC17" s="72">
        <v>197.5</v>
      </c>
      <c r="AD17" s="55">
        <v>8.4946236559139784E-2</v>
      </c>
      <c r="AE17" s="73">
        <v>3</v>
      </c>
      <c r="AF17" s="57" t="s">
        <v>95</v>
      </c>
      <c r="AG17" s="58">
        <v>460</v>
      </c>
      <c r="AH17" s="58">
        <v>1400</v>
      </c>
      <c r="AI17" s="58">
        <v>1860</v>
      </c>
      <c r="AJ17" s="49">
        <v>465</v>
      </c>
      <c r="AK17" s="49">
        <v>2325</v>
      </c>
      <c r="AL17" s="52">
        <v>232.5</v>
      </c>
      <c r="AM17" s="52">
        <v>1865</v>
      </c>
      <c r="AN17" s="52">
        <v>2097.5</v>
      </c>
      <c r="AO17" s="59">
        <v>0.90215053763440856</v>
      </c>
      <c r="AP17" s="60">
        <v>227.5</v>
      </c>
      <c r="AQ17" s="61">
        <v>9.7849462365591403E-2</v>
      </c>
      <c r="AR17" s="60" t="s">
        <v>73</v>
      </c>
      <c r="AS17" s="62">
        <v>736</v>
      </c>
      <c r="AT17" s="62">
        <v>2240</v>
      </c>
      <c r="AU17" s="62">
        <v>2976</v>
      </c>
      <c r="AV17" s="62">
        <v>3720</v>
      </c>
      <c r="AW17" s="47" t="s">
        <v>74</v>
      </c>
      <c r="AX17" s="64"/>
      <c r="AY17" s="64" t="s">
        <v>1440</v>
      </c>
      <c r="AZ17" s="86"/>
      <c r="BA17" s="46" t="s">
        <v>74</v>
      </c>
      <c r="BB17" s="26"/>
      <c r="BC17" s="26"/>
      <c r="BD17" s="46"/>
      <c r="BE17" s="46" t="e">
        <v>#REF!</v>
      </c>
      <c r="BF17" s="46" t="s">
        <v>75</v>
      </c>
      <c r="BG17" s="65">
        <v>8</v>
      </c>
      <c r="BH17" s="66" t="s">
        <v>1441</v>
      </c>
      <c r="BI17" s="63" t="s">
        <v>1442</v>
      </c>
    </row>
    <row r="18" spans="1:61" ht="25.5" x14ac:dyDescent="0.2">
      <c r="A18" s="34" t="s">
        <v>1443</v>
      </c>
      <c r="B18" s="35"/>
      <c r="C18" s="35" t="s">
        <v>68</v>
      </c>
      <c r="D18" s="35" t="s">
        <v>68</v>
      </c>
      <c r="E18" s="35" t="s">
        <v>68</v>
      </c>
      <c r="F18" s="35" t="s">
        <v>68</v>
      </c>
      <c r="G18" s="35" t="s">
        <v>68</v>
      </c>
      <c r="H18" s="35" t="s">
        <v>68</v>
      </c>
      <c r="I18" s="35" t="s">
        <v>68</v>
      </c>
      <c r="J18" s="35" t="s">
        <v>68</v>
      </c>
      <c r="K18" s="36" t="s">
        <v>68</v>
      </c>
      <c r="L18" s="36" t="s">
        <v>68</v>
      </c>
      <c r="M18" s="36" t="s">
        <v>68</v>
      </c>
      <c r="N18" s="35"/>
      <c r="O18" s="35" t="s">
        <v>68</v>
      </c>
      <c r="P18" s="37"/>
      <c r="Q18" s="38" t="s">
        <v>1347</v>
      </c>
      <c r="R18" s="38" t="s">
        <v>1444</v>
      </c>
      <c r="S18" s="36" t="s">
        <v>68</v>
      </c>
      <c r="T18" s="36" t="s">
        <v>68</v>
      </c>
      <c r="U18" s="39" t="s">
        <v>68</v>
      </c>
      <c r="V18" s="39" t="s">
        <v>68</v>
      </c>
      <c r="W18" s="40" t="s">
        <v>68</v>
      </c>
      <c r="X18" s="36" t="s">
        <v>68</v>
      </c>
      <c r="Y18" s="36" t="s">
        <v>68</v>
      </c>
      <c r="Z18" s="36" t="s">
        <v>68</v>
      </c>
      <c r="AA18" s="36" t="s">
        <v>68</v>
      </c>
      <c r="AB18" s="39" t="s">
        <v>68</v>
      </c>
      <c r="AC18" s="36" t="s">
        <v>68</v>
      </c>
      <c r="AD18" s="39" t="s">
        <v>68</v>
      </c>
      <c r="AE18" s="41"/>
      <c r="AF18" s="42" t="s">
        <v>68</v>
      </c>
      <c r="AG18" s="36" t="s">
        <v>68</v>
      </c>
      <c r="AH18" s="36" t="s">
        <v>68</v>
      </c>
      <c r="AI18" s="36" t="s">
        <v>68</v>
      </c>
      <c r="AJ18" s="36" t="s">
        <v>68</v>
      </c>
      <c r="AK18" s="36" t="s">
        <v>68</v>
      </c>
      <c r="AL18" s="36" t="s">
        <v>68</v>
      </c>
      <c r="AM18" s="36" t="s">
        <v>68</v>
      </c>
      <c r="AN18" s="36" t="s">
        <v>68</v>
      </c>
      <c r="AO18" s="43" t="s">
        <v>68</v>
      </c>
      <c r="AP18" s="36" t="s">
        <v>68</v>
      </c>
      <c r="AQ18" s="39" t="s">
        <v>68</v>
      </c>
      <c r="AR18" s="36" t="s">
        <v>68</v>
      </c>
      <c r="AS18" s="36" t="s">
        <v>68</v>
      </c>
      <c r="AT18" s="36" t="s">
        <v>68</v>
      </c>
      <c r="AU18" s="36" t="s">
        <v>68</v>
      </c>
      <c r="AV18" s="36" t="s">
        <v>68</v>
      </c>
      <c r="AW18" s="35"/>
      <c r="AX18" s="37"/>
      <c r="AY18" s="37" t="s">
        <v>68</v>
      </c>
      <c r="AZ18" s="86"/>
      <c r="BA18" s="37"/>
      <c r="BB18" s="37"/>
      <c r="BC18" s="37"/>
      <c r="BD18" s="35"/>
      <c r="BE18" s="35" t="e">
        <v>#REF!</v>
      </c>
      <c r="BF18" s="35"/>
      <c r="BG18" s="44"/>
      <c r="BH18" s="38" t="s">
        <v>1445</v>
      </c>
      <c r="BI18" s="35" t="s">
        <v>68</v>
      </c>
    </row>
    <row r="19" spans="1:61" ht="89.25" x14ac:dyDescent="0.2">
      <c r="A19" s="45" t="s">
        <v>1446</v>
      </c>
      <c r="B19" s="46"/>
      <c r="C19" s="46" t="s">
        <v>1447</v>
      </c>
      <c r="D19" s="46" t="s">
        <v>1448</v>
      </c>
      <c r="E19" s="46" t="s">
        <v>1449</v>
      </c>
      <c r="F19" s="46" t="s">
        <v>68</v>
      </c>
      <c r="G19" s="46" t="s">
        <v>68</v>
      </c>
      <c r="H19" s="46" t="s">
        <v>68</v>
      </c>
      <c r="I19" s="46" t="s">
        <v>1450</v>
      </c>
      <c r="J19" s="46" t="s">
        <v>71</v>
      </c>
      <c r="K19" s="47">
        <v>300</v>
      </c>
      <c r="L19" s="47">
        <f>(2*10)*10</f>
        <v>200</v>
      </c>
      <c r="M19" s="47">
        <v>500</v>
      </c>
      <c r="N19" s="46" t="s">
        <v>1451</v>
      </c>
      <c r="O19" s="71" t="s">
        <v>1452</v>
      </c>
      <c r="P19" s="46" t="s">
        <v>1453</v>
      </c>
      <c r="Q19" s="46" t="s">
        <v>1347</v>
      </c>
      <c r="R19" s="46" t="s">
        <v>1444</v>
      </c>
      <c r="S19" s="49">
        <v>125</v>
      </c>
      <c r="T19" s="49">
        <v>625</v>
      </c>
      <c r="U19" s="67">
        <v>0.33200000000000002</v>
      </c>
      <c r="V19" s="67">
        <v>0.38</v>
      </c>
      <c r="W19" s="51">
        <v>0.66666666666666663</v>
      </c>
      <c r="X19" s="52">
        <v>62.5</v>
      </c>
      <c r="Y19" s="52">
        <v>30</v>
      </c>
      <c r="Z19" s="52">
        <v>325</v>
      </c>
      <c r="AA19" s="52">
        <v>417.5</v>
      </c>
      <c r="AB19" s="53">
        <v>0.66800000000000004</v>
      </c>
      <c r="AC19" s="72">
        <v>207.5</v>
      </c>
      <c r="AD19" s="55">
        <v>0.33200000000000002</v>
      </c>
      <c r="AE19" s="73">
        <v>3</v>
      </c>
      <c r="AF19" s="57" t="s">
        <v>95</v>
      </c>
      <c r="AG19" s="58">
        <v>300</v>
      </c>
      <c r="AH19" s="58">
        <v>200</v>
      </c>
      <c r="AI19" s="58">
        <v>500</v>
      </c>
      <c r="AJ19" s="49">
        <v>125</v>
      </c>
      <c r="AK19" s="49">
        <v>625</v>
      </c>
      <c r="AL19" s="52">
        <v>62.5</v>
      </c>
      <c r="AM19" s="52">
        <v>325</v>
      </c>
      <c r="AN19" s="52">
        <v>387.5</v>
      </c>
      <c r="AO19" s="59">
        <v>0.62</v>
      </c>
      <c r="AP19" s="60">
        <v>237.5</v>
      </c>
      <c r="AQ19" s="61">
        <v>0.38</v>
      </c>
      <c r="AR19" s="60" t="s">
        <v>78</v>
      </c>
      <c r="AS19" s="62">
        <v>480</v>
      </c>
      <c r="AT19" s="62">
        <v>320</v>
      </c>
      <c r="AU19" s="62">
        <v>800</v>
      </c>
      <c r="AV19" s="62">
        <v>1000</v>
      </c>
      <c r="AW19" s="47" t="s">
        <v>107</v>
      </c>
      <c r="AX19" s="64">
        <v>45138</v>
      </c>
      <c r="AY19" s="64" t="s">
        <v>1454</v>
      </c>
      <c r="AZ19" s="86"/>
      <c r="BA19" s="46" t="s">
        <v>74</v>
      </c>
      <c r="BB19" s="26"/>
      <c r="BC19" s="26"/>
      <c r="BD19" s="70" t="s">
        <v>1455</v>
      </c>
      <c r="BE19" s="46" t="e">
        <v>#REF!</v>
      </c>
      <c r="BF19" s="46" t="s">
        <v>75</v>
      </c>
      <c r="BG19" s="65">
        <v>3</v>
      </c>
      <c r="BH19" s="66" t="s">
        <v>1456</v>
      </c>
      <c r="BI19" s="63" t="s">
        <v>1457</v>
      </c>
    </row>
    <row r="20" spans="1:61" ht="89.25" x14ac:dyDescent="0.2">
      <c r="A20" s="45" t="s">
        <v>1458</v>
      </c>
      <c r="B20" s="46"/>
      <c r="C20" s="46" t="s">
        <v>1447</v>
      </c>
      <c r="D20" s="46" t="s">
        <v>1448</v>
      </c>
      <c r="E20" s="46" t="s">
        <v>1449</v>
      </c>
      <c r="F20" s="46" t="s">
        <v>68</v>
      </c>
      <c r="G20" s="46" t="s">
        <v>68</v>
      </c>
      <c r="H20" s="46" t="s">
        <v>68</v>
      </c>
      <c r="I20" s="46" t="s">
        <v>1459</v>
      </c>
      <c r="J20" s="46" t="s">
        <v>71</v>
      </c>
      <c r="K20" s="47">
        <v>360</v>
      </c>
      <c r="L20" s="47">
        <f>L19*1.5</f>
        <v>300</v>
      </c>
      <c r="M20" s="47">
        <v>660</v>
      </c>
      <c r="N20" s="46" t="s">
        <v>1451</v>
      </c>
      <c r="O20" s="71" t="s">
        <v>1460</v>
      </c>
      <c r="P20" s="46" t="s">
        <v>1453</v>
      </c>
      <c r="Q20" s="46" t="s">
        <v>1347</v>
      </c>
      <c r="R20" s="46" t="s">
        <v>1444</v>
      </c>
      <c r="S20" s="49">
        <v>165</v>
      </c>
      <c r="T20" s="49">
        <v>825</v>
      </c>
      <c r="U20" s="67">
        <v>0.3</v>
      </c>
      <c r="V20" s="67">
        <v>0.33636363636363636</v>
      </c>
      <c r="W20" s="51">
        <v>0.83333333333333337</v>
      </c>
      <c r="X20" s="52">
        <v>82.5</v>
      </c>
      <c r="Y20" s="52">
        <v>30</v>
      </c>
      <c r="Z20" s="52">
        <v>465</v>
      </c>
      <c r="AA20" s="52">
        <v>577.5</v>
      </c>
      <c r="AB20" s="53">
        <v>0.7</v>
      </c>
      <c r="AC20" s="72">
        <v>247.5</v>
      </c>
      <c r="AD20" s="55">
        <v>0.3</v>
      </c>
      <c r="AE20" s="73">
        <v>3</v>
      </c>
      <c r="AF20" s="57" t="s">
        <v>95</v>
      </c>
      <c r="AG20" s="58">
        <v>360</v>
      </c>
      <c r="AH20" s="58">
        <v>300</v>
      </c>
      <c r="AI20" s="58">
        <v>660</v>
      </c>
      <c r="AJ20" s="49">
        <v>165</v>
      </c>
      <c r="AK20" s="49">
        <v>825</v>
      </c>
      <c r="AL20" s="52">
        <v>82.5</v>
      </c>
      <c r="AM20" s="52">
        <v>465</v>
      </c>
      <c r="AN20" s="52">
        <v>547.5</v>
      </c>
      <c r="AO20" s="59">
        <v>0.66363636363636369</v>
      </c>
      <c r="AP20" s="60">
        <v>277.5</v>
      </c>
      <c r="AQ20" s="61">
        <v>0.33636363636363636</v>
      </c>
      <c r="AR20" s="60" t="s">
        <v>78</v>
      </c>
      <c r="AS20" s="62">
        <v>576</v>
      </c>
      <c r="AT20" s="62">
        <v>480</v>
      </c>
      <c r="AU20" s="62">
        <v>1056</v>
      </c>
      <c r="AV20" s="62">
        <v>1320</v>
      </c>
      <c r="AW20" s="47"/>
      <c r="AX20" s="64">
        <v>45138</v>
      </c>
      <c r="AY20" s="64" t="s">
        <v>1461</v>
      </c>
      <c r="AZ20" s="86"/>
      <c r="BA20" s="46" t="s">
        <v>74</v>
      </c>
      <c r="BB20" s="26"/>
      <c r="BC20" s="26"/>
      <c r="BD20" s="70" t="s">
        <v>1455</v>
      </c>
      <c r="BE20" s="46" t="e">
        <v>#REF!</v>
      </c>
      <c r="BF20" s="46" t="s">
        <v>75</v>
      </c>
      <c r="BG20" s="65">
        <v>3</v>
      </c>
      <c r="BH20" s="66"/>
      <c r="BI20" s="63" t="s">
        <v>1462</v>
      </c>
    </row>
    <row r="21" spans="1:61" ht="89.25" x14ac:dyDescent="0.2">
      <c r="A21" s="45" t="s">
        <v>1463</v>
      </c>
      <c r="B21" s="46"/>
      <c r="C21" s="46" t="s">
        <v>1447</v>
      </c>
      <c r="D21" s="46" t="s">
        <v>1448</v>
      </c>
      <c r="E21" s="46" t="s">
        <v>1449</v>
      </c>
      <c r="F21" s="46" t="s">
        <v>68</v>
      </c>
      <c r="G21" s="46" t="s">
        <v>68</v>
      </c>
      <c r="H21" s="46" t="s">
        <v>68</v>
      </c>
      <c r="I21" s="46" t="s">
        <v>1464</v>
      </c>
      <c r="J21" s="46" t="s">
        <v>71</v>
      </c>
      <c r="K21" s="47">
        <v>420</v>
      </c>
      <c r="L21" s="47">
        <f>L19*2</f>
        <v>400</v>
      </c>
      <c r="M21" s="47">
        <v>820</v>
      </c>
      <c r="N21" s="46" t="s">
        <v>1451</v>
      </c>
      <c r="O21" s="71" t="s">
        <v>1465</v>
      </c>
      <c r="P21" s="46" t="s">
        <v>1453</v>
      </c>
      <c r="Q21" s="46" t="s">
        <v>1347</v>
      </c>
      <c r="R21" s="46" t="s">
        <v>1444</v>
      </c>
      <c r="S21" s="49">
        <v>205</v>
      </c>
      <c r="T21" s="49">
        <v>1025</v>
      </c>
      <c r="U21" s="28">
        <v>0.28048780487804881</v>
      </c>
      <c r="V21" s="67">
        <v>0.30975609756097561</v>
      </c>
      <c r="W21" s="51">
        <v>0.95238095238095233</v>
      </c>
      <c r="X21" s="52">
        <v>102.5</v>
      </c>
      <c r="Y21" s="52">
        <v>30</v>
      </c>
      <c r="Z21" s="52">
        <v>605</v>
      </c>
      <c r="AA21" s="52">
        <v>737.5</v>
      </c>
      <c r="AB21" s="53">
        <v>0.71951219512195119</v>
      </c>
      <c r="AC21" s="72">
        <v>287.5</v>
      </c>
      <c r="AD21" s="55">
        <v>0.28048780487804881</v>
      </c>
      <c r="AE21" s="73">
        <v>3</v>
      </c>
      <c r="AF21" s="57" t="s">
        <v>95</v>
      </c>
      <c r="AG21" s="58">
        <v>420</v>
      </c>
      <c r="AH21" s="58">
        <v>400</v>
      </c>
      <c r="AI21" s="58">
        <v>820</v>
      </c>
      <c r="AJ21" s="49">
        <v>205</v>
      </c>
      <c r="AK21" s="49">
        <v>1025</v>
      </c>
      <c r="AL21" s="52">
        <v>102.5</v>
      </c>
      <c r="AM21" s="52">
        <v>605</v>
      </c>
      <c r="AN21" s="52">
        <v>707.5</v>
      </c>
      <c r="AO21" s="59">
        <v>0.69024390243902434</v>
      </c>
      <c r="AP21" s="60">
        <v>317.5</v>
      </c>
      <c r="AQ21" s="61">
        <v>0.30975609756097561</v>
      </c>
      <c r="AR21" s="60" t="s">
        <v>78</v>
      </c>
      <c r="AS21" s="62">
        <v>672</v>
      </c>
      <c r="AT21" s="62">
        <v>640</v>
      </c>
      <c r="AU21" s="62">
        <v>1312</v>
      </c>
      <c r="AV21" s="62">
        <v>1640</v>
      </c>
      <c r="AW21" s="47"/>
      <c r="AX21" s="64">
        <v>45138</v>
      </c>
      <c r="AY21" s="64" t="s">
        <v>1466</v>
      </c>
      <c r="AZ21" s="86"/>
      <c r="BA21" s="46" t="s">
        <v>74</v>
      </c>
      <c r="BB21" s="26"/>
      <c r="BC21" s="26"/>
      <c r="BD21" s="70" t="s">
        <v>1455</v>
      </c>
      <c r="BE21" s="46" t="e">
        <v>#REF!</v>
      </c>
      <c r="BF21" s="46" t="s">
        <v>75</v>
      </c>
      <c r="BG21" s="65">
        <v>3</v>
      </c>
      <c r="BH21" s="66"/>
      <c r="BI21" s="63" t="s">
        <v>1467</v>
      </c>
    </row>
    <row r="22" spans="1:61" ht="89.25" x14ac:dyDescent="0.2">
      <c r="A22" s="45" t="s">
        <v>1468</v>
      </c>
      <c r="B22" s="46"/>
      <c r="C22" s="46" t="s">
        <v>1447</v>
      </c>
      <c r="D22" s="46" t="s">
        <v>1469</v>
      </c>
      <c r="E22" s="46" t="s">
        <v>1449</v>
      </c>
      <c r="F22" s="46" t="s">
        <v>68</v>
      </c>
      <c r="G22" s="46" t="s">
        <v>68</v>
      </c>
      <c r="H22" s="46" t="s">
        <v>68</v>
      </c>
      <c r="I22" s="46" t="s">
        <v>1450</v>
      </c>
      <c r="J22" s="46" t="s">
        <v>71</v>
      </c>
      <c r="K22" s="47">
        <v>320</v>
      </c>
      <c r="L22" s="47">
        <f>(3*10)*10</f>
        <v>300</v>
      </c>
      <c r="M22" s="47">
        <v>620</v>
      </c>
      <c r="N22" s="46" t="s">
        <v>1451</v>
      </c>
      <c r="O22" s="71" t="s">
        <v>1470</v>
      </c>
      <c r="P22" s="46" t="s">
        <v>1453</v>
      </c>
      <c r="Q22" s="46" t="s">
        <v>1347</v>
      </c>
      <c r="R22" s="46" t="s">
        <v>1444</v>
      </c>
      <c r="S22" s="49">
        <v>155</v>
      </c>
      <c r="T22" s="49">
        <v>775</v>
      </c>
      <c r="U22" s="28">
        <v>0.27419354838709675</v>
      </c>
      <c r="V22" s="67">
        <v>0.31290322580645163</v>
      </c>
      <c r="W22" s="51">
        <v>0.9375</v>
      </c>
      <c r="X22" s="52">
        <v>77.5</v>
      </c>
      <c r="Y22" s="52">
        <v>30</v>
      </c>
      <c r="Z22" s="52">
        <v>455</v>
      </c>
      <c r="AA22" s="52">
        <v>562.5</v>
      </c>
      <c r="AB22" s="53">
        <v>0.72580645161290325</v>
      </c>
      <c r="AC22" s="72">
        <v>212.5</v>
      </c>
      <c r="AD22" s="55">
        <v>0.27419354838709675</v>
      </c>
      <c r="AE22" s="73">
        <v>3</v>
      </c>
      <c r="AF22" s="57" t="s">
        <v>95</v>
      </c>
      <c r="AG22" s="58">
        <v>320</v>
      </c>
      <c r="AH22" s="58">
        <v>300</v>
      </c>
      <c r="AI22" s="58">
        <v>620</v>
      </c>
      <c r="AJ22" s="49">
        <v>155</v>
      </c>
      <c r="AK22" s="49">
        <v>775</v>
      </c>
      <c r="AL22" s="52">
        <v>77.5</v>
      </c>
      <c r="AM22" s="52">
        <v>455</v>
      </c>
      <c r="AN22" s="52">
        <v>532.5</v>
      </c>
      <c r="AO22" s="59">
        <v>0.68709677419354842</v>
      </c>
      <c r="AP22" s="60">
        <v>242.5</v>
      </c>
      <c r="AQ22" s="61">
        <v>0.31290322580645163</v>
      </c>
      <c r="AR22" s="60" t="s">
        <v>78</v>
      </c>
      <c r="AS22" s="62">
        <v>512</v>
      </c>
      <c r="AT22" s="62">
        <v>480</v>
      </c>
      <c r="AU22" s="62">
        <v>992</v>
      </c>
      <c r="AV22" s="62">
        <v>1240</v>
      </c>
      <c r="AW22" s="47" t="s">
        <v>107</v>
      </c>
      <c r="AX22" s="64">
        <v>45138</v>
      </c>
      <c r="AY22" s="64" t="s">
        <v>1471</v>
      </c>
      <c r="AZ22" s="86"/>
      <c r="BA22" s="46" t="s">
        <v>74</v>
      </c>
      <c r="BB22" s="26"/>
      <c r="BC22" s="26"/>
      <c r="BD22" s="70" t="s">
        <v>1455</v>
      </c>
      <c r="BE22" s="46" t="e">
        <v>#REF!</v>
      </c>
      <c r="BF22" s="46" t="s">
        <v>75</v>
      </c>
      <c r="BG22" s="65">
        <v>3.5</v>
      </c>
      <c r="BH22" s="66" t="s">
        <v>1472</v>
      </c>
      <c r="BI22" s="63" t="s">
        <v>1473</v>
      </c>
    </row>
    <row r="23" spans="1:61" ht="89.25" x14ac:dyDescent="0.2">
      <c r="A23" s="45" t="s">
        <v>1474</v>
      </c>
      <c r="B23" s="46"/>
      <c r="C23" s="46" t="s">
        <v>1447</v>
      </c>
      <c r="D23" s="46" t="s">
        <v>1469</v>
      </c>
      <c r="E23" s="46" t="s">
        <v>1449</v>
      </c>
      <c r="F23" s="46" t="s">
        <v>68</v>
      </c>
      <c r="G23" s="46" t="s">
        <v>68</v>
      </c>
      <c r="H23" s="46" t="s">
        <v>68</v>
      </c>
      <c r="I23" s="46" t="s">
        <v>1459</v>
      </c>
      <c r="J23" s="46" t="s">
        <v>71</v>
      </c>
      <c r="K23" s="47">
        <v>370</v>
      </c>
      <c r="L23" s="47">
        <f>L22*1.5</f>
        <v>450</v>
      </c>
      <c r="M23" s="47">
        <v>820</v>
      </c>
      <c r="N23" s="46" t="s">
        <v>1451</v>
      </c>
      <c r="O23" s="71" t="s">
        <v>1475</v>
      </c>
      <c r="P23" s="46" t="s">
        <v>1453</v>
      </c>
      <c r="Q23" s="46" t="s">
        <v>1347</v>
      </c>
      <c r="R23" s="46" t="s">
        <v>1444</v>
      </c>
      <c r="S23" s="49">
        <v>205</v>
      </c>
      <c r="T23" s="49">
        <v>1025</v>
      </c>
      <c r="U23" s="28">
        <v>0.23170731707317074</v>
      </c>
      <c r="V23" s="28">
        <v>0.26097560975609757</v>
      </c>
      <c r="W23" s="74">
        <v>1.2162162162162162</v>
      </c>
      <c r="X23" s="52">
        <v>102.5</v>
      </c>
      <c r="Y23" s="52">
        <v>30</v>
      </c>
      <c r="Z23" s="52">
        <v>655</v>
      </c>
      <c r="AA23" s="52">
        <v>787.5</v>
      </c>
      <c r="AB23" s="53">
        <v>0.76829268292682928</v>
      </c>
      <c r="AC23" s="72">
        <v>237.5</v>
      </c>
      <c r="AD23" s="55">
        <v>0.23170731707317074</v>
      </c>
      <c r="AE23" s="73">
        <v>3</v>
      </c>
      <c r="AF23" s="57" t="s">
        <v>95</v>
      </c>
      <c r="AG23" s="58">
        <v>370</v>
      </c>
      <c r="AH23" s="58">
        <v>450</v>
      </c>
      <c r="AI23" s="58">
        <v>820</v>
      </c>
      <c r="AJ23" s="49">
        <v>205</v>
      </c>
      <c r="AK23" s="49">
        <v>1025</v>
      </c>
      <c r="AL23" s="52">
        <v>102.5</v>
      </c>
      <c r="AM23" s="52">
        <v>655</v>
      </c>
      <c r="AN23" s="52">
        <v>757.5</v>
      </c>
      <c r="AO23" s="59">
        <v>0.73902439024390243</v>
      </c>
      <c r="AP23" s="60">
        <v>267.5</v>
      </c>
      <c r="AQ23" s="61">
        <v>0.26097560975609757</v>
      </c>
      <c r="AR23" s="60" t="s">
        <v>78</v>
      </c>
      <c r="AS23" s="62">
        <v>592</v>
      </c>
      <c r="AT23" s="62">
        <v>720</v>
      </c>
      <c r="AU23" s="62">
        <v>1312</v>
      </c>
      <c r="AV23" s="62">
        <v>1640</v>
      </c>
      <c r="AW23" s="47"/>
      <c r="AX23" s="64">
        <v>45138</v>
      </c>
      <c r="AY23" s="64" t="s">
        <v>1476</v>
      </c>
      <c r="AZ23" s="86"/>
      <c r="BA23" s="46" t="s">
        <v>74</v>
      </c>
      <c r="BB23" s="26"/>
      <c r="BC23" s="26"/>
      <c r="BD23" s="70" t="s">
        <v>1455</v>
      </c>
      <c r="BE23" s="46" t="e">
        <v>#REF!</v>
      </c>
      <c r="BF23" s="46" t="s">
        <v>75</v>
      </c>
      <c r="BG23" s="65">
        <v>3.5</v>
      </c>
      <c r="BH23" s="66"/>
      <c r="BI23" s="63" t="s">
        <v>1477</v>
      </c>
    </row>
    <row r="24" spans="1:61" ht="89.25" x14ac:dyDescent="0.2">
      <c r="A24" s="45" t="s">
        <v>1478</v>
      </c>
      <c r="B24" s="46"/>
      <c r="C24" s="46" t="s">
        <v>1447</v>
      </c>
      <c r="D24" s="46" t="s">
        <v>1469</v>
      </c>
      <c r="E24" s="46" t="s">
        <v>1449</v>
      </c>
      <c r="F24" s="46" t="s">
        <v>68</v>
      </c>
      <c r="G24" s="46" t="s">
        <v>68</v>
      </c>
      <c r="H24" s="46" t="s">
        <v>68</v>
      </c>
      <c r="I24" s="46" t="s">
        <v>1464</v>
      </c>
      <c r="J24" s="46" t="s">
        <v>71</v>
      </c>
      <c r="K24" s="47">
        <v>420</v>
      </c>
      <c r="L24" s="47">
        <f>L22*2</f>
        <v>600</v>
      </c>
      <c r="M24" s="47">
        <v>1020</v>
      </c>
      <c r="N24" s="46" t="s">
        <v>1451</v>
      </c>
      <c r="O24" s="71" t="s">
        <v>1479</v>
      </c>
      <c r="P24" s="46" t="s">
        <v>1453</v>
      </c>
      <c r="Q24" s="46" t="s">
        <v>1347</v>
      </c>
      <c r="R24" s="46" t="s">
        <v>1444</v>
      </c>
      <c r="S24" s="49">
        <v>255</v>
      </c>
      <c r="T24" s="49">
        <v>1275</v>
      </c>
      <c r="U24" s="28">
        <v>0.20588235294117646</v>
      </c>
      <c r="V24" s="28">
        <v>0.22941176470588234</v>
      </c>
      <c r="W24" s="74">
        <v>1.4285714285714286</v>
      </c>
      <c r="X24" s="52">
        <v>127.5</v>
      </c>
      <c r="Y24" s="52">
        <v>30</v>
      </c>
      <c r="Z24" s="52">
        <v>855</v>
      </c>
      <c r="AA24" s="52">
        <v>1012.5</v>
      </c>
      <c r="AB24" s="53">
        <v>0.79411764705882348</v>
      </c>
      <c r="AC24" s="72">
        <v>262.5</v>
      </c>
      <c r="AD24" s="55">
        <v>0.20588235294117646</v>
      </c>
      <c r="AE24" s="73">
        <v>3</v>
      </c>
      <c r="AF24" s="57" t="s">
        <v>95</v>
      </c>
      <c r="AG24" s="58">
        <v>420</v>
      </c>
      <c r="AH24" s="58">
        <v>600</v>
      </c>
      <c r="AI24" s="58">
        <v>1020</v>
      </c>
      <c r="AJ24" s="49">
        <v>255</v>
      </c>
      <c r="AK24" s="49">
        <v>1275</v>
      </c>
      <c r="AL24" s="52">
        <v>127.5</v>
      </c>
      <c r="AM24" s="52">
        <v>855</v>
      </c>
      <c r="AN24" s="52">
        <v>982.5</v>
      </c>
      <c r="AO24" s="59">
        <v>0.77058823529411768</v>
      </c>
      <c r="AP24" s="60">
        <v>292.5</v>
      </c>
      <c r="AQ24" s="61">
        <v>0.22941176470588234</v>
      </c>
      <c r="AR24" s="60" t="s">
        <v>78</v>
      </c>
      <c r="AS24" s="62">
        <v>672</v>
      </c>
      <c r="AT24" s="62">
        <v>960</v>
      </c>
      <c r="AU24" s="62">
        <v>1632</v>
      </c>
      <c r="AV24" s="62">
        <v>2040</v>
      </c>
      <c r="AW24" s="47"/>
      <c r="AX24" s="64">
        <v>45138</v>
      </c>
      <c r="AY24" s="64" t="s">
        <v>1480</v>
      </c>
      <c r="AZ24" s="86"/>
      <c r="BA24" s="46" t="s">
        <v>74</v>
      </c>
      <c r="BB24" s="26"/>
      <c r="BC24" s="26"/>
      <c r="BD24" s="70" t="s">
        <v>1455</v>
      </c>
      <c r="BE24" s="46" t="e">
        <v>#REF!</v>
      </c>
      <c r="BF24" s="46" t="s">
        <v>75</v>
      </c>
      <c r="BG24" s="65">
        <v>3.5</v>
      </c>
      <c r="BH24" s="66"/>
      <c r="BI24" s="63" t="s">
        <v>1481</v>
      </c>
    </row>
    <row r="25" spans="1:61" ht="89.25" x14ac:dyDescent="0.2">
      <c r="A25" s="45" t="s">
        <v>1482</v>
      </c>
      <c r="B25" s="46"/>
      <c r="C25" s="46" t="s">
        <v>1447</v>
      </c>
      <c r="D25" s="46" t="s">
        <v>1483</v>
      </c>
      <c r="E25" s="46" t="s">
        <v>1449</v>
      </c>
      <c r="F25" s="46" t="s">
        <v>68</v>
      </c>
      <c r="G25" s="46" t="s">
        <v>68</v>
      </c>
      <c r="H25" s="46" t="s">
        <v>68</v>
      </c>
      <c r="I25" s="46" t="s">
        <v>1450</v>
      </c>
      <c r="J25" s="46" t="s">
        <v>71</v>
      </c>
      <c r="K25" s="47">
        <v>350</v>
      </c>
      <c r="L25" s="47">
        <f>(4*10)*10</f>
        <v>400</v>
      </c>
      <c r="M25" s="47">
        <v>750</v>
      </c>
      <c r="N25" s="46" t="s">
        <v>1451</v>
      </c>
      <c r="O25" s="71" t="s">
        <v>1484</v>
      </c>
      <c r="P25" s="46" t="s">
        <v>1453</v>
      </c>
      <c r="Q25" s="46" t="s">
        <v>1347</v>
      </c>
      <c r="R25" s="46" t="s">
        <v>1444</v>
      </c>
      <c r="S25" s="49">
        <v>187.5</v>
      </c>
      <c r="T25" s="49">
        <v>937.5</v>
      </c>
      <c r="U25" s="28">
        <v>0.24133333333333334</v>
      </c>
      <c r="V25" s="28">
        <v>0.27333333333333332</v>
      </c>
      <c r="W25" s="74">
        <v>1.1428571428571428</v>
      </c>
      <c r="X25" s="52">
        <v>93.75</v>
      </c>
      <c r="Y25" s="52">
        <v>30</v>
      </c>
      <c r="Z25" s="52">
        <v>587.5</v>
      </c>
      <c r="AA25" s="52">
        <v>711.25</v>
      </c>
      <c r="AB25" s="53">
        <v>0.75866666666666671</v>
      </c>
      <c r="AC25" s="72">
        <v>226.25</v>
      </c>
      <c r="AD25" s="55">
        <v>0.24133333333333334</v>
      </c>
      <c r="AE25" s="73">
        <v>3</v>
      </c>
      <c r="AF25" s="57" t="s">
        <v>95</v>
      </c>
      <c r="AG25" s="58">
        <v>350</v>
      </c>
      <c r="AH25" s="58">
        <v>400</v>
      </c>
      <c r="AI25" s="58">
        <v>750</v>
      </c>
      <c r="AJ25" s="49">
        <v>187.5</v>
      </c>
      <c r="AK25" s="49">
        <v>937.5</v>
      </c>
      <c r="AL25" s="52">
        <v>93.75</v>
      </c>
      <c r="AM25" s="52">
        <v>587.5</v>
      </c>
      <c r="AN25" s="52">
        <v>681.25</v>
      </c>
      <c r="AO25" s="59">
        <v>0.72666666666666668</v>
      </c>
      <c r="AP25" s="60">
        <v>256.25</v>
      </c>
      <c r="AQ25" s="61">
        <v>0.27333333333333332</v>
      </c>
      <c r="AR25" s="60" t="s">
        <v>78</v>
      </c>
      <c r="AS25" s="62">
        <v>560</v>
      </c>
      <c r="AT25" s="62">
        <v>640</v>
      </c>
      <c r="AU25" s="62">
        <v>1200</v>
      </c>
      <c r="AV25" s="62">
        <v>1500</v>
      </c>
      <c r="AW25" s="47" t="s">
        <v>107</v>
      </c>
      <c r="AX25" s="64">
        <v>45138</v>
      </c>
      <c r="AY25" s="64" t="s">
        <v>1485</v>
      </c>
      <c r="AZ25" s="86"/>
      <c r="BA25" s="46" t="s">
        <v>74</v>
      </c>
      <c r="BB25" s="26"/>
      <c r="BC25" s="26"/>
      <c r="BD25" s="70" t="s">
        <v>1455</v>
      </c>
      <c r="BE25" s="46" t="e">
        <v>#REF!</v>
      </c>
      <c r="BF25" s="46" t="s">
        <v>75</v>
      </c>
      <c r="BG25" s="65">
        <v>4</v>
      </c>
      <c r="BH25" s="66" t="s">
        <v>1486</v>
      </c>
      <c r="BI25" s="63" t="s">
        <v>1487</v>
      </c>
    </row>
    <row r="26" spans="1:61" ht="89.25" x14ac:dyDescent="0.2">
      <c r="A26" s="45" t="s">
        <v>1488</v>
      </c>
      <c r="B26" s="46"/>
      <c r="C26" s="46" t="s">
        <v>1447</v>
      </c>
      <c r="D26" s="46" t="s">
        <v>1483</v>
      </c>
      <c r="E26" s="46" t="s">
        <v>1449</v>
      </c>
      <c r="F26" s="46" t="s">
        <v>68</v>
      </c>
      <c r="G26" s="46" t="s">
        <v>68</v>
      </c>
      <c r="H26" s="46" t="s">
        <v>68</v>
      </c>
      <c r="I26" s="46" t="s">
        <v>1459</v>
      </c>
      <c r="J26" s="46" t="s">
        <v>71</v>
      </c>
      <c r="K26" s="47">
        <v>400</v>
      </c>
      <c r="L26" s="47">
        <f>L25*1.5</f>
        <v>600</v>
      </c>
      <c r="M26" s="47">
        <v>1000</v>
      </c>
      <c r="N26" s="46" t="s">
        <v>1451</v>
      </c>
      <c r="O26" s="71" t="s">
        <v>1489</v>
      </c>
      <c r="P26" s="46" t="s">
        <v>1453</v>
      </c>
      <c r="Q26" s="46" t="s">
        <v>1347</v>
      </c>
      <c r="R26" s="46" t="s">
        <v>1444</v>
      </c>
      <c r="S26" s="49">
        <v>250</v>
      </c>
      <c r="T26" s="49">
        <v>1250</v>
      </c>
      <c r="U26" s="50">
        <v>0.19600000000000001</v>
      </c>
      <c r="V26" s="28">
        <v>0.22</v>
      </c>
      <c r="W26" s="74">
        <v>1.5</v>
      </c>
      <c r="X26" s="52">
        <v>125</v>
      </c>
      <c r="Y26" s="52">
        <v>30</v>
      </c>
      <c r="Z26" s="52">
        <v>850</v>
      </c>
      <c r="AA26" s="52">
        <v>1005</v>
      </c>
      <c r="AB26" s="53">
        <v>0.80400000000000005</v>
      </c>
      <c r="AC26" s="72">
        <v>245</v>
      </c>
      <c r="AD26" s="55">
        <v>0.19600000000000001</v>
      </c>
      <c r="AE26" s="73">
        <v>3</v>
      </c>
      <c r="AF26" s="57" t="s">
        <v>95</v>
      </c>
      <c r="AG26" s="58">
        <v>400</v>
      </c>
      <c r="AH26" s="58">
        <v>600</v>
      </c>
      <c r="AI26" s="58">
        <v>1000</v>
      </c>
      <c r="AJ26" s="49">
        <v>250</v>
      </c>
      <c r="AK26" s="49">
        <v>1250</v>
      </c>
      <c r="AL26" s="52">
        <v>125</v>
      </c>
      <c r="AM26" s="52">
        <v>850</v>
      </c>
      <c r="AN26" s="52">
        <v>975</v>
      </c>
      <c r="AO26" s="59">
        <v>0.78</v>
      </c>
      <c r="AP26" s="60">
        <v>275</v>
      </c>
      <c r="AQ26" s="61">
        <v>0.22</v>
      </c>
      <c r="AR26" s="60" t="s">
        <v>78</v>
      </c>
      <c r="AS26" s="62">
        <v>640</v>
      </c>
      <c r="AT26" s="62">
        <v>960</v>
      </c>
      <c r="AU26" s="62">
        <v>1600</v>
      </c>
      <c r="AV26" s="62">
        <v>2000</v>
      </c>
      <c r="AW26" s="47"/>
      <c r="AX26" s="64">
        <v>45138</v>
      </c>
      <c r="AY26" s="64" t="s">
        <v>1490</v>
      </c>
      <c r="AZ26" s="86"/>
      <c r="BA26" s="46" t="s">
        <v>74</v>
      </c>
      <c r="BB26" s="26"/>
      <c r="BC26" s="26"/>
      <c r="BD26" s="70" t="s">
        <v>1455</v>
      </c>
      <c r="BE26" s="46" t="e">
        <v>#REF!</v>
      </c>
      <c r="BF26" s="46" t="s">
        <v>75</v>
      </c>
      <c r="BG26" s="65">
        <v>4</v>
      </c>
      <c r="BH26" s="66"/>
      <c r="BI26" s="63" t="s">
        <v>1491</v>
      </c>
    </row>
    <row r="27" spans="1:61" ht="89.25" x14ac:dyDescent="0.2">
      <c r="A27" s="45" t="s">
        <v>1492</v>
      </c>
      <c r="B27" s="46"/>
      <c r="C27" s="46" t="s">
        <v>1447</v>
      </c>
      <c r="D27" s="46" t="s">
        <v>1483</v>
      </c>
      <c r="E27" s="46" t="s">
        <v>1449</v>
      </c>
      <c r="F27" s="46" t="s">
        <v>68</v>
      </c>
      <c r="G27" s="46" t="s">
        <v>68</v>
      </c>
      <c r="H27" s="46" t="s">
        <v>68</v>
      </c>
      <c r="I27" s="46" t="s">
        <v>1464</v>
      </c>
      <c r="J27" s="46" t="s">
        <v>71</v>
      </c>
      <c r="K27" s="47">
        <v>450</v>
      </c>
      <c r="L27" s="47">
        <f>L25*2</f>
        <v>800</v>
      </c>
      <c r="M27" s="47">
        <v>1250</v>
      </c>
      <c r="N27" s="46" t="s">
        <v>1451</v>
      </c>
      <c r="O27" s="71" t="s">
        <v>1493</v>
      </c>
      <c r="P27" s="46" t="s">
        <v>1453</v>
      </c>
      <c r="Q27" s="46" t="s">
        <v>1347</v>
      </c>
      <c r="R27" s="46" t="s">
        <v>1444</v>
      </c>
      <c r="S27" s="49">
        <v>312.5</v>
      </c>
      <c r="T27" s="49">
        <v>1562.5</v>
      </c>
      <c r="U27" s="50">
        <v>0.16880000000000001</v>
      </c>
      <c r="V27" s="50">
        <v>0.188</v>
      </c>
      <c r="W27" s="77">
        <v>1.7777777777777777</v>
      </c>
      <c r="X27" s="52">
        <v>156.25</v>
      </c>
      <c r="Y27" s="52">
        <v>30</v>
      </c>
      <c r="Z27" s="52">
        <v>1112.5</v>
      </c>
      <c r="AA27" s="52">
        <v>1298.75</v>
      </c>
      <c r="AB27" s="53">
        <v>0.83120000000000005</v>
      </c>
      <c r="AC27" s="72">
        <v>263.75</v>
      </c>
      <c r="AD27" s="55">
        <v>0.16880000000000001</v>
      </c>
      <c r="AE27" s="73">
        <v>3</v>
      </c>
      <c r="AF27" s="57" t="s">
        <v>95</v>
      </c>
      <c r="AG27" s="58">
        <v>450</v>
      </c>
      <c r="AH27" s="58">
        <v>800</v>
      </c>
      <c r="AI27" s="58">
        <v>1250</v>
      </c>
      <c r="AJ27" s="49">
        <v>312.5</v>
      </c>
      <c r="AK27" s="49">
        <v>1562.5</v>
      </c>
      <c r="AL27" s="52">
        <v>156.25</v>
      </c>
      <c r="AM27" s="52">
        <v>1112.5</v>
      </c>
      <c r="AN27" s="52">
        <v>1268.75</v>
      </c>
      <c r="AO27" s="59">
        <v>0.81200000000000006</v>
      </c>
      <c r="AP27" s="60">
        <v>293.75</v>
      </c>
      <c r="AQ27" s="61">
        <v>0.188</v>
      </c>
      <c r="AR27" s="60" t="s">
        <v>73</v>
      </c>
      <c r="AS27" s="62">
        <v>720</v>
      </c>
      <c r="AT27" s="62">
        <v>1280</v>
      </c>
      <c r="AU27" s="62">
        <v>2000</v>
      </c>
      <c r="AV27" s="62">
        <v>2500</v>
      </c>
      <c r="AW27" s="47"/>
      <c r="AX27" s="64">
        <v>45138</v>
      </c>
      <c r="AY27" s="64" t="s">
        <v>1494</v>
      </c>
      <c r="AZ27" s="86"/>
      <c r="BA27" s="46" t="s">
        <v>74</v>
      </c>
      <c r="BB27" s="26"/>
      <c r="BC27" s="26"/>
      <c r="BD27" s="70" t="s">
        <v>1455</v>
      </c>
      <c r="BE27" s="46" t="e">
        <v>#REF!</v>
      </c>
      <c r="BF27" s="46" t="s">
        <v>75</v>
      </c>
      <c r="BG27" s="65">
        <v>4</v>
      </c>
      <c r="BH27" s="66"/>
      <c r="BI27" s="63" t="s">
        <v>1495</v>
      </c>
    </row>
    <row r="28" spans="1:61" ht="89.25" x14ac:dyDescent="0.2">
      <c r="A28" s="45" t="s">
        <v>1496</v>
      </c>
      <c r="B28" s="46"/>
      <c r="C28" s="46" t="s">
        <v>1497</v>
      </c>
      <c r="D28" s="46" t="s">
        <v>1498</v>
      </c>
      <c r="E28" s="46" t="s">
        <v>1499</v>
      </c>
      <c r="F28" s="46" t="s">
        <v>1500</v>
      </c>
      <c r="G28" s="46" t="s">
        <v>68</v>
      </c>
      <c r="H28" s="46" t="s">
        <v>68</v>
      </c>
      <c r="I28" s="46" t="s">
        <v>1450</v>
      </c>
      <c r="J28" s="46" t="s">
        <v>71</v>
      </c>
      <c r="K28" s="47">
        <v>180</v>
      </c>
      <c r="L28" s="47">
        <f>4*10</f>
        <v>40</v>
      </c>
      <c r="M28" s="47">
        <v>220</v>
      </c>
      <c r="N28" s="46" t="s">
        <v>1451</v>
      </c>
      <c r="O28" s="71" t="s">
        <v>1501</v>
      </c>
      <c r="P28" s="46" t="s">
        <v>1453</v>
      </c>
      <c r="Q28" s="46" t="s">
        <v>1347</v>
      </c>
      <c r="R28" s="46" t="s">
        <v>1444</v>
      </c>
      <c r="S28" s="49">
        <v>55</v>
      </c>
      <c r="T28" s="49">
        <v>275</v>
      </c>
      <c r="U28" s="67">
        <v>0.44545454545454544</v>
      </c>
      <c r="V28" s="67">
        <v>0.55454545454545456</v>
      </c>
      <c r="W28" s="51">
        <v>0.22222222222222221</v>
      </c>
      <c r="X28" s="52">
        <v>27.5</v>
      </c>
      <c r="Y28" s="52">
        <v>30</v>
      </c>
      <c r="Z28" s="52">
        <v>95</v>
      </c>
      <c r="AA28" s="52">
        <v>152.5</v>
      </c>
      <c r="AB28" s="53">
        <v>0.55454545454545456</v>
      </c>
      <c r="AC28" s="72">
        <v>122.5</v>
      </c>
      <c r="AD28" s="55">
        <v>0.44545454545454544</v>
      </c>
      <c r="AE28" s="73">
        <v>3</v>
      </c>
      <c r="AF28" s="57" t="s">
        <v>95</v>
      </c>
      <c r="AG28" s="58">
        <v>180</v>
      </c>
      <c r="AH28" s="58">
        <v>40</v>
      </c>
      <c r="AI28" s="58">
        <v>220</v>
      </c>
      <c r="AJ28" s="49">
        <v>55</v>
      </c>
      <c r="AK28" s="49">
        <v>275</v>
      </c>
      <c r="AL28" s="52">
        <v>27.5</v>
      </c>
      <c r="AM28" s="52">
        <v>95</v>
      </c>
      <c r="AN28" s="52">
        <v>122.5</v>
      </c>
      <c r="AO28" s="59">
        <v>0.44545454545454544</v>
      </c>
      <c r="AP28" s="60">
        <v>152.5</v>
      </c>
      <c r="AQ28" s="61">
        <v>0.55454545454545456</v>
      </c>
      <c r="AR28" s="60" t="s">
        <v>78</v>
      </c>
      <c r="AS28" s="62">
        <v>288</v>
      </c>
      <c r="AT28" s="62">
        <v>64</v>
      </c>
      <c r="AU28" s="62">
        <v>352</v>
      </c>
      <c r="AV28" s="62">
        <v>440</v>
      </c>
      <c r="AW28" s="47" t="s">
        <v>74</v>
      </c>
      <c r="AX28" s="64"/>
      <c r="AY28" s="64" t="s">
        <v>1502</v>
      </c>
      <c r="AZ28" s="86"/>
      <c r="BA28" s="46" t="s">
        <v>74</v>
      </c>
      <c r="BB28" s="26"/>
      <c r="BC28" s="26"/>
      <c r="BD28" s="70" t="s">
        <v>1503</v>
      </c>
      <c r="BE28" s="46" t="e">
        <v>#REF!</v>
      </c>
      <c r="BF28" s="46" t="s">
        <v>75</v>
      </c>
      <c r="BG28" s="65">
        <v>2</v>
      </c>
      <c r="BH28" s="66" t="s">
        <v>1504</v>
      </c>
      <c r="BI28" s="63" t="s">
        <v>1505</v>
      </c>
    </row>
    <row r="29" spans="1:61" ht="89.25" x14ac:dyDescent="0.2">
      <c r="A29" s="45" t="s">
        <v>1506</v>
      </c>
      <c r="B29" s="46"/>
      <c r="C29" s="46" t="s">
        <v>1497</v>
      </c>
      <c r="D29" s="46" t="s">
        <v>1498</v>
      </c>
      <c r="E29" s="46" t="s">
        <v>1499</v>
      </c>
      <c r="F29" s="46" t="s">
        <v>1500</v>
      </c>
      <c r="G29" s="46" t="s">
        <v>68</v>
      </c>
      <c r="H29" s="46" t="s">
        <v>68</v>
      </c>
      <c r="I29" s="46" t="s">
        <v>1459</v>
      </c>
      <c r="J29" s="46" t="s">
        <v>71</v>
      </c>
      <c r="K29" s="47">
        <v>200</v>
      </c>
      <c r="L29" s="47">
        <f>4*15</f>
        <v>60</v>
      </c>
      <c r="M29" s="47">
        <v>260</v>
      </c>
      <c r="N29" s="46" t="s">
        <v>1451</v>
      </c>
      <c r="O29" s="71" t="s">
        <v>1507</v>
      </c>
      <c r="P29" s="46" t="s">
        <v>1453</v>
      </c>
      <c r="Q29" s="46" t="s">
        <v>1347</v>
      </c>
      <c r="R29" s="46" t="s">
        <v>1444</v>
      </c>
      <c r="S29" s="49">
        <v>65</v>
      </c>
      <c r="T29" s="49">
        <v>325</v>
      </c>
      <c r="U29" s="67">
        <v>0.42307692307692307</v>
      </c>
      <c r="V29" s="67">
        <v>0.51538461538461533</v>
      </c>
      <c r="W29" s="51">
        <v>0.3</v>
      </c>
      <c r="X29" s="52">
        <v>32.5</v>
      </c>
      <c r="Y29" s="52">
        <v>30</v>
      </c>
      <c r="Z29" s="52">
        <v>125</v>
      </c>
      <c r="AA29" s="52">
        <v>187.5</v>
      </c>
      <c r="AB29" s="53">
        <v>0.57692307692307687</v>
      </c>
      <c r="AC29" s="72">
        <v>137.5</v>
      </c>
      <c r="AD29" s="55">
        <v>0.42307692307692307</v>
      </c>
      <c r="AE29" s="73">
        <v>3</v>
      </c>
      <c r="AF29" s="57" t="s">
        <v>95</v>
      </c>
      <c r="AG29" s="58">
        <v>200</v>
      </c>
      <c r="AH29" s="58">
        <v>60</v>
      </c>
      <c r="AI29" s="58">
        <v>260</v>
      </c>
      <c r="AJ29" s="49">
        <v>65</v>
      </c>
      <c r="AK29" s="49">
        <v>325</v>
      </c>
      <c r="AL29" s="52">
        <v>32.5</v>
      </c>
      <c r="AM29" s="52">
        <v>125</v>
      </c>
      <c r="AN29" s="52">
        <v>157.5</v>
      </c>
      <c r="AO29" s="59">
        <v>0.48461538461538461</v>
      </c>
      <c r="AP29" s="60">
        <v>167.5</v>
      </c>
      <c r="AQ29" s="61">
        <v>0.51538461538461533</v>
      </c>
      <c r="AR29" s="60" t="s">
        <v>78</v>
      </c>
      <c r="AS29" s="62">
        <v>320</v>
      </c>
      <c r="AT29" s="62">
        <v>96</v>
      </c>
      <c r="AU29" s="62">
        <v>416</v>
      </c>
      <c r="AV29" s="62">
        <v>520</v>
      </c>
      <c r="AW29" s="47" t="s">
        <v>74</v>
      </c>
      <c r="AX29" s="64">
        <v>45142</v>
      </c>
      <c r="AY29" s="64" t="s">
        <v>1508</v>
      </c>
      <c r="AZ29" s="86"/>
      <c r="BA29" s="46" t="s">
        <v>74</v>
      </c>
      <c r="BB29" s="26"/>
      <c r="BC29" s="26"/>
      <c r="BD29" s="70" t="s">
        <v>1503</v>
      </c>
      <c r="BE29" s="46" t="e">
        <v>#REF!</v>
      </c>
      <c r="BF29" s="46" t="s">
        <v>75</v>
      </c>
      <c r="BG29" s="65">
        <v>2</v>
      </c>
      <c r="BH29" s="66"/>
      <c r="BI29" s="63" t="s">
        <v>1509</v>
      </c>
    </row>
    <row r="30" spans="1:61" ht="89.25" x14ac:dyDescent="0.2">
      <c r="A30" s="45" t="s">
        <v>1510</v>
      </c>
      <c r="B30" s="46"/>
      <c r="C30" s="46" t="s">
        <v>1497</v>
      </c>
      <c r="D30" s="46" t="s">
        <v>1498</v>
      </c>
      <c r="E30" s="46" t="s">
        <v>1499</v>
      </c>
      <c r="F30" s="46" t="s">
        <v>1500</v>
      </c>
      <c r="G30" s="46" t="s">
        <v>68</v>
      </c>
      <c r="H30" s="46" t="s">
        <v>68</v>
      </c>
      <c r="I30" s="46" t="s">
        <v>1464</v>
      </c>
      <c r="J30" s="46" t="s">
        <v>71</v>
      </c>
      <c r="K30" s="47">
        <v>220</v>
      </c>
      <c r="L30" s="47">
        <f>4*20</f>
        <v>80</v>
      </c>
      <c r="M30" s="47">
        <v>300</v>
      </c>
      <c r="N30" s="46" t="s">
        <v>1451</v>
      </c>
      <c r="O30" s="71" t="s">
        <v>1511</v>
      </c>
      <c r="P30" s="46" t="s">
        <v>1453</v>
      </c>
      <c r="Q30" s="46" t="s">
        <v>1347</v>
      </c>
      <c r="R30" s="46" t="s">
        <v>1444</v>
      </c>
      <c r="S30" s="49">
        <v>75</v>
      </c>
      <c r="T30" s="49">
        <v>375</v>
      </c>
      <c r="U30" s="67">
        <v>0.40666666666666668</v>
      </c>
      <c r="V30" s="67">
        <v>0.48666666666666669</v>
      </c>
      <c r="W30" s="51">
        <v>0.36363636363636365</v>
      </c>
      <c r="X30" s="52">
        <v>37.5</v>
      </c>
      <c r="Y30" s="52">
        <v>30</v>
      </c>
      <c r="Z30" s="52">
        <v>155</v>
      </c>
      <c r="AA30" s="52">
        <v>222.5</v>
      </c>
      <c r="AB30" s="53">
        <v>0.59333333333333338</v>
      </c>
      <c r="AC30" s="72">
        <v>152.5</v>
      </c>
      <c r="AD30" s="55">
        <v>0.40666666666666668</v>
      </c>
      <c r="AE30" s="73">
        <v>3</v>
      </c>
      <c r="AF30" s="57" t="s">
        <v>95</v>
      </c>
      <c r="AG30" s="58">
        <v>220</v>
      </c>
      <c r="AH30" s="58">
        <v>80</v>
      </c>
      <c r="AI30" s="58">
        <v>300</v>
      </c>
      <c r="AJ30" s="49">
        <v>75</v>
      </c>
      <c r="AK30" s="49">
        <v>375</v>
      </c>
      <c r="AL30" s="52">
        <v>37.5</v>
      </c>
      <c r="AM30" s="52">
        <v>155</v>
      </c>
      <c r="AN30" s="52">
        <v>192.5</v>
      </c>
      <c r="AO30" s="59">
        <v>0.51333333333333331</v>
      </c>
      <c r="AP30" s="60">
        <v>182.5</v>
      </c>
      <c r="AQ30" s="61">
        <v>0.48666666666666669</v>
      </c>
      <c r="AR30" s="60" t="s">
        <v>78</v>
      </c>
      <c r="AS30" s="62">
        <v>352</v>
      </c>
      <c r="AT30" s="62">
        <v>128</v>
      </c>
      <c r="AU30" s="62">
        <v>480</v>
      </c>
      <c r="AV30" s="62">
        <v>600</v>
      </c>
      <c r="AW30" s="47" t="s">
        <v>74</v>
      </c>
      <c r="AX30" s="64"/>
      <c r="AY30" s="64" t="s">
        <v>1512</v>
      </c>
      <c r="AZ30" s="86"/>
      <c r="BA30" s="46" t="s">
        <v>74</v>
      </c>
      <c r="BB30" s="26"/>
      <c r="BC30" s="26"/>
      <c r="BD30" s="70" t="s">
        <v>1503</v>
      </c>
      <c r="BE30" s="46" t="e">
        <v>#REF!</v>
      </c>
      <c r="BF30" s="46" t="s">
        <v>75</v>
      </c>
      <c r="BG30" s="65">
        <v>2</v>
      </c>
      <c r="BH30" s="66" t="s">
        <v>1513</v>
      </c>
      <c r="BI30" s="63" t="s">
        <v>1514</v>
      </c>
    </row>
    <row r="31" spans="1:61" ht="102" x14ac:dyDescent="0.2">
      <c r="A31" s="45" t="s">
        <v>1515</v>
      </c>
      <c r="B31" s="46"/>
      <c r="C31" s="46" t="s">
        <v>1497</v>
      </c>
      <c r="D31" s="46" t="s">
        <v>1516</v>
      </c>
      <c r="E31" s="46" t="s">
        <v>1499</v>
      </c>
      <c r="F31" s="46" t="s">
        <v>1517</v>
      </c>
      <c r="G31" s="46" t="s">
        <v>68</v>
      </c>
      <c r="H31" s="46" t="s">
        <v>68</v>
      </c>
      <c r="I31" s="46" t="s">
        <v>1450</v>
      </c>
      <c r="J31" s="46" t="s">
        <v>71</v>
      </c>
      <c r="K31" s="47">
        <v>190</v>
      </c>
      <c r="L31" s="47">
        <v>60</v>
      </c>
      <c r="M31" s="47">
        <v>250</v>
      </c>
      <c r="N31" s="46" t="s">
        <v>1451</v>
      </c>
      <c r="O31" s="71" t="s">
        <v>1518</v>
      </c>
      <c r="P31" s="46" t="s">
        <v>1453</v>
      </c>
      <c r="Q31" s="46" t="s">
        <v>1347</v>
      </c>
      <c r="R31" s="46" t="s">
        <v>1444</v>
      </c>
      <c r="S31" s="49">
        <v>62.5</v>
      </c>
      <c r="T31" s="49">
        <v>312.5</v>
      </c>
      <c r="U31" s="67">
        <v>0.41199999999999998</v>
      </c>
      <c r="V31" s="67">
        <v>0.50800000000000001</v>
      </c>
      <c r="W31" s="51">
        <v>0.31578947368421051</v>
      </c>
      <c r="X31" s="52">
        <v>31.25</v>
      </c>
      <c r="Y31" s="52">
        <v>30</v>
      </c>
      <c r="Z31" s="52">
        <v>122.5</v>
      </c>
      <c r="AA31" s="52">
        <v>183.75</v>
      </c>
      <c r="AB31" s="53">
        <v>0.58799999999999997</v>
      </c>
      <c r="AC31" s="72">
        <v>128.75</v>
      </c>
      <c r="AD31" s="55">
        <v>0.41199999999999998</v>
      </c>
      <c r="AE31" s="73">
        <v>3</v>
      </c>
      <c r="AF31" s="57" t="s">
        <v>95</v>
      </c>
      <c r="AG31" s="58">
        <v>190</v>
      </c>
      <c r="AH31" s="58">
        <v>60</v>
      </c>
      <c r="AI31" s="58">
        <v>250</v>
      </c>
      <c r="AJ31" s="49">
        <v>62.5</v>
      </c>
      <c r="AK31" s="49">
        <v>312.5</v>
      </c>
      <c r="AL31" s="52">
        <v>31.25</v>
      </c>
      <c r="AM31" s="52">
        <v>122.5</v>
      </c>
      <c r="AN31" s="52">
        <v>153.75</v>
      </c>
      <c r="AO31" s="59">
        <v>0.49199999999999999</v>
      </c>
      <c r="AP31" s="60">
        <v>158.75</v>
      </c>
      <c r="AQ31" s="61">
        <v>0.50800000000000001</v>
      </c>
      <c r="AR31" s="60" t="s">
        <v>78</v>
      </c>
      <c r="AS31" s="62">
        <v>304</v>
      </c>
      <c r="AT31" s="62">
        <v>96</v>
      </c>
      <c r="AU31" s="62">
        <v>400</v>
      </c>
      <c r="AV31" s="62">
        <v>500</v>
      </c>
      <c r="AW31" s="47" t="s">
        <v>74</v>
      </c>
      <c r="AX31" s="64"/>
      <c r="AY31" s="64" t="s">
        <v>1519</v>
      </c>
      <c r="AZ31" s="86"/>
      <c r="BA31" s="46" t="s">
        <v>74</v>
      </c>
      <c r="BB31" s="26"/>
      <c r="BC31" s="26"/>
      <c r="BD31" s="70" t="s">
        <v>1520</v>
      </c>
      <c r="BE31" s="46" t="e">
        <v>#REF!</v>
      </c>
      <c r="BF31" s="46" t="s">
        <v>75</v>
      </c>
      <c r="BG31" s="65">
        <v>2</v>
      </c>
      <c r="BH31" s="66" t="s">
        <v>1521</v>
      </c>
      <c r="BI31" s="63" t="s">
        <v>1522</v>
      </c>
    </row>
    <row r="32" spans="1:61" ht="102" x14ac:dyDescent="0.2">
      <c r="A32" s="45" t="s">
        <v>1523</v>
      </c>
      <c r="B32" s="46"/>
      <c r="C32" s="46" t="s">
        <v>1497</v>
      </c>
      <c r="D32" s="46" t="s">
        <v>1516</v>
      </c>
      <c r="E32" s="46" t="s">
        <v>1499</v>
      </c>
      <c r="F32" s="46" t="s">
        <v>1517</v>
      </c>
      <c r="G32" s="46" t="s">
        <v>68</v>
      </c>
      <c r="H32" s="46" t="s">
        <v>68</v>
      </c>
      <c r="I32" s="46" t="s">
        <v>1459</v>
      </c>
      <c r="J32" s="46" t="s">
        <v>71</v>
      </c>
      <c r="K32" s="47">
        <v>210</v>
      </c>
      <c r="L32" s="47">
        <v>90</v>
      </c>
      <c r="M32" s="47">
        <v>300</v>
      </c>
      <c r="N32" s="46" t="s">
        <v>1451</v>
      </c>
      <c r="O32" s="71" t="s">
        <v>1524</v>
      </c>
      <c r="P32" s="46" t="s">
        <v>1453</v>
      </c>
      <c r="Q32" s="46" t="s">
        <v>1347</v>
      </c>
      <c r="R32" s="46" t="s">
        <v>1444</v>
      </c>
      <c r="S32" s="49">
        <v>75</v>
      </c>
      <c r="T32" s="49">
        <v>375</v>
      </c>
      <c r="U32" s="67">
        <v>0.38</v>
      </c>
      <c r="V32" s="67">
        <v>0.46</v>
      </c>
      <c r="W32" s="51">
        <v>0.42857142857142855</v>
      </c>
      <c r="X32" s="52">
        <v>37.5</v>
      </c>
      <c r="Y32" s="52">
        <v>30</v>
      </c>
      <c r="Z32" s="52">
        <v>165</v>
      </c>
      <c r="AA32" s="52">
        <v>232.5</v>
      </c>
      <c r="AB32" s="53">
        <v>0.62</v>
      </c>
      <c r="AC32" s="72">
        <v>142.5</v>
      </c>
      <c r="AD32" s="55">
        <v>0.38</v>
      </c>
      <c r="AE32" s="73">
        <v>3</v>
      </c>
      <c r="AF32" s="57" t="s">
        <v>95</v>
      </c>
      <c r="AG32" s="58">
        <v>210</v>
      </c>
      <c r="AH32" s="58">
        <v>90</v>
      </c>
      <c r="AI32" s="58">
        <v>300</v>
      </c>
      <c r="AJ32" s="49">
        <v>75</v>
      </c>
      <c r="AK32" s="49">
        <v>375</v>
      </c>
      <c r="AL32" s="52">
        <v>37.5</v>
      </c>
      <c r="AM32" s="52">
        <v>165</v>
      </c>
      <c r="AN32" s="52">
        <v>202.5</v>
      </c>
      <c r="AO32" s="59">
        <v>0.54</v>
      </c>
      <c r="AP32" s="60">
        <v>172.5</v>
      </c>
      <c r="AQ32" s="61">
        <v>0.46</v>
      </c>
      <c r="AR32" s="60" t="s">
        <v>78</v>
      </c>
      <c r="AS32" s="62">
        <v>336</v>
      </c>
      <c r="AT32" s="62">
        <v>144</v>
      </c>
      <c r="AU32" s="62">
        <v>480</v>
      </c>
      <c r="AV32" s="62">
        <v>600</v>
      </c>
      <c r="AW32" s="47" t="s">
        <v>74</v>
      </c>
      <c r="AX32" s="64">
        <v>45142</v>
      </c>
      <c r="AY32" s="64" t="s">
        <v>1525</v>
      </c>
      <c r="AZ32" s="86"/>
      <c r="BA32" s="46" t="s">
        <v>74</v>
      </c>
      <c r="BB32" s="26"/>
      <c r="BC32" s="26"/>
      <c r="BD32" s="70" t="s">
        <v>1520</v>
      </c>
      <c r="BE32" s="46" t="e">
        <v>#REF!</v>
      </c>
      <c r="BF32" s="46" t="s">
        <v>75</v>
      </c>
      <c r="BG32" s="65">
        <v>2</v>
      </c>
      <c r="BH32" s="66"/>
      <c r="BI32" s="63" t="s">
        <v>1526</v>
      </c>
    </row>
    <row r="33" spans="1:61" ht="102" x14ac:dyDescent="0.2">
      <c r="A33" s="45" t="s">
        <v>1527</v>
      </c>
      <c r="B33" s="46"/>
      <c r="C33" s="46" t="s">
        <v>1497</v>
      </c>
      <c r="D33" s="46" t="s">
        <v>1516</v>
      </c>
      <c r="E33" s="46" t="s">
        <v>1499</v>
      </c>
      <c r="F33" s="46" t="s">
        <v>1517</v>
      </c>
      <c r="G33" s="46" t="s">
        <v>68</v>
      </c>
      <c r="H33" s="46" t="s">
        <v>68</v>
      </c>
      <c r="I33" s="46" t="s">
        <v>1464</v>
      </c>
      <c r="J33" s="46" t="s">
        <v>71</v>
      </c>
      <c r="K33" s="47">
        <v>230</v>
      </c>
      <c r="L33" s="47">
        <v>120</v>
      </c>
      <c r="M33" s="47">
        <v>350</v>
      </c>
      <c r="N33" s="46" t="s">
        <v>1451</v>
      </c>
      <c r="O33" s="71" t="s">
        <v>1528</v>
      </c>
      <c r="P33" s="46" t="s">
        <v>1453</v>
      </c>
      <c r="Q33" s="46" t="s">
        <v>1347</v>
      </c>
      <c r="R33" s="46" t="s">
        <v>1444</v>
      </c>
      <c r="S33" s="49">
        <v>87.5</v>
      </c>
      <c r="T33" s="49">
        <v>437.5</v>
      </c>
      <c r="U33" s="67">
        <v>0.35714285714285715</v>
      </c>
      <c r="V33" s="67">
        <v>0.42571428571428571</v>
      </c>
      <c r="W33" s="51">
        <v>0.52173913043478259</v>
      </c>
      <c r="X33" s="52">
        <v>43.75</v>
      </c>
      <c r="Y33" s="52">
        <v>30</v>
      </c>
      <c r="Z33" s="52">
        <v>207.5</v>
      </c>
      <c r="AA33" s="52">
        <v>281.25</v>
      </c>
      <c r="AB33" s="53">
        <v>0.6428571428571429</v>
      </c>
      <c r="AC33" s="72">
        <v>156.25</v>
      </c>
      <c r="AD33" s="55">
        <v>0.35714285714285715</v>
      </c>
      <c r="AE33" s="73">
        <v>3</v>
      </c>
      <c r="AF33" s="57" t="s">
        <v>95</v>
      </c>
      <c r="AG33" s="58">
        <v>230</v>
      </c>
      <c r="AH33" s="58">
        <v>120</v>
      </c>
      <c r="AI33" s="58">
        <v>350</v>
      </c>
      <c r="AJ33" s="49">
        <v>87.5</v>
      </c>
      <c r="AK33" s="49">
        <v>437.5</v>
      </c>
      <c r="AL33" s="52">
        <v>43.75</v>
      </c>
      <c r="AM33" s="52">
        <v>207.5</v>
      </c>
      <c r="AN33" s="52">
        <v>251.25</v>
      </c>
      <c r="AO33" s="59">
        <v>0.57428571428571429</v>
      </c>
      <c r="AP33" s="60">
        <v>186.25</v>
      </c>
      <c r="AQ33" s="61">
        <v>0.42571428571428571</v>
      </c>
      <c r="AR33" s="60" t="s">
        <v>78</v>
      </c>
      <c r="AS33" s="62">
        <v>368</v>
      </c>
      <c r="AT33" s="62">
        <v>192</v>
      </c>
      <c r="AU33" s="62">
        <v>560</v>
      </c>
      <c r="AV33" s="62">
        <v>700</v>
      </c>
      <c r="AW33" s="47" t="s">
        <v>74</v>
      </c>
      <c r="AX33" s="64"/>
      <c r="AY33" s="64" t="s">
        <v>1529</v>
      </c>
      <c r="AZ33" s="86"/>
      <c r="BA33" s="46" t="s">
        <v>74</v>
      </c>
      <c r="BB33" s="26"/>
      <c r="BC33" s="26"/>
      <c r="BD33" s="70" t="s">
        <v>1520</v>
      </c>
      <c r="BE33" s="46" t="e">
        <v>#REF!</v>
      </c>
      <c r="BF33" s="46" t="s">
        <v>75</v>
      </c>
      <c r="BG33" s="65">
        <v>2</v>
      </c>
      <c r="BH33" s="66" t="s">
        <v>1530</v>
      </c>
      <c r="BI33" s="63" t="s">
        <v>1531</v>
      </c>
    </row>
    <row r="34" spans="1:61" ht="114.75" x14ac:dyDescent="0.2">
      <c r="A34" s="45" t="s">
        <v>1532</v>
      </c>
      <c r="B34" s="46"/>
      <c r="C34" s="46" t="s">
        <v>1497</v>
      </c>
      <c r="D34" s="46" t="s">
        <v>1533</v>
      </c>
      <c r="E34" s="46" t="s">
        <v>1499</v>
      </c>
      <c r="F34" s="46" t="s">
        <v>1534</v>
      </c>
      <c r="G34" s="46" t="s">
        <v>68</v>
      </c>
      <c r="H34" s="46" t="s">
        <v>68</v>
      </c>
      <c r="I34" s="46" t="s">
        <v>1450</v>
      </c>
      <c r="J34" s="46" t="s">
        <v>71</v>
      </c>
      <c r="K34" s="47">
        <v>240</v>
      </c>
      <c r="L34" s="47">
        <v>100</v>
      </c>
      <c r="M34" s="47">
        <v>340</v>
      </c>
      <c r="N34" s="46" t="s">
        <v>1451</v>
      </c>
      <c r="O34" s="71" t="s">
        <v>1535</v>
      </c>
      <c r="P34" s="46" t="s">
        <v>1453</v>
      </c>
      <c r="Q34" s="46" t="s">
        <v>1347</v>
      </c>
      <c r="R34" s="46" t="s">
        <v>1444</v>
      </c>
      <c r="S34" s="49">
        <v>85</v>
      </c>
      <c r="T34" s="49">
        <v>425</v>
      </c>
      <c r="U34" s="67">
        <v>0.39411764705882352</v>
      </c>
      <c r="V34" s="67">
        <v>0.46470588235294119</v>
      </c>
      <c r="W34" s="51">
        <v>0.41666666666666669</v>
      </c>
      <c r="X34" s="52">
        <v>42.5</v>
      </c>
      <c r="Y34" s="52">
        <v>30</v>
      </c>
      <c r="Z34" s="52">
        <v>185</v>
      </c>
      <c r="AA34" s="52">
        <v>257.5</v>
      </c>
      <c r="AB34" s="53">
        <v>0.60588235294117643</v>
      </c>
      <c r="AC34" s="72">
        <v>167.5</v>
      </c>
      <c r="AD34" s="55">
        <v>0.39411764705882352</v>
      </c>
      <c r="AE34" s="73">
        <v>3</v>
      </c>
      <c r="AF34" s="57" t="s">
        <v>95</v>
      </c>
      <c r="AG34" s="58">
        <v>240</v>
      </c>
      <c r="AH34" s="58">
        <v>100</v>
      </c>
      <c r="AI34" s="58">
        <v>340</v>
      </c>
      <c r="AJ34" s="49">
        <v>85</v>
      </c>
      <c r="AK34" s="49">
        <v>425</v>
      </c>
      <c r="AL34" s="52">
        <v>42.5</v>
      </c>
      <c r="AM34" s="52">
        <v>185</v>
      </c>
      <c r="AN34" s="52">
        <v>227.5</v>
      </c>
      <c r="AO34" s="59">
        <v>0.53529411764705881</v>
      </c>
      <c r="AP34" s="60">
        <v>197.5</v>
      </c>
      <c r="AQ34" s="61">
        <v>0.46470588235294119</v>
      </c>
      <c r="AR34" s="60" t="s">
        <v>78</v>
      </c>
      <c r="AS34" s="62">
        <v>384</v>
      </c>
      <c r="AT34" s="62">
        <v>160</v>
      </c>
      <c r="AU34" s="62">
        <v>544</v>
      </c>
      <c r="AV34" s="62">
        <v>680</v>
      </c>
      <c r="AW34" s="47" t="s">
        <v>74</v>
      </c>
      <c r="AX34" s="64"/>
      <c r="AY34" s="64" t="s">
        <v>1536</v>
      </c>
      <c r="AZ34" s="86"/>
      <c r="BA34" s="46" t="s">
        <v>74</v>
      </c>
      <c r="BB34" s="26"/>
      <c r="BC34" s="26"/>
      <c r="BD34" s="70" t="s">
        <v>1537</v>
      </c>
      <c r="BE34" s="46" t="e">
        <v>#REF!</v>
      </c>
      <c r="BF34" s="46" t="s">
        <v>75</v>
      </c>
      <c r="BG34" s="65">
        <v>2</v>
      </c>
      <c r="BH34" s="66" t="s">
        <v>1538</v>
      </c>
      <c r="BI34" s="63" t="s">
        <v>1539</v>
      </c>
    </row>
    <row r="35" spans="1:61" ht="114.75" x14ac:dyDescent="0.2">
      <c r="A35" s="45" t="s">
        <v>1540</v>
      </c>
      <c r="B35" s="46"/>
      <c r="C35" s="46" t="s">
        <v>1497</v>
      </c>
      <c r="D35" s="46" t="s">
        <v>1533</v>
      </c>
      <c r="E35" s="46" t="s">
        <v>1499</v>
      </c>
      <c r="F35" s="46" t="s">
        <v>1534</v>
      </c>
      <c r="G35" s="46" t="s">
        <v>68</v>
      </c>
      <c r="H35" s="46" t="s">
        <v>68</v>
      </c>
      <c r="I35" s="46" t="s">
        <v>1459</v>
      </c>
      <c r="J35" s="46" t="s">
        <v>71</v>
      </c>
      <c r="K35" s="47">
        <v>280</v>
      </c>
      <c r="L35" s="47">
        <v>150</v>
      </c>
      <c r="M35" s="47">
        <v>430</v>
      </c>
      <c r="N35" s="46" t="s">
        <v>1451</v>
      </c>
      <c r="O35" s="71" t="s">
        <v>1541</v>
      </c>
      <c r="P35" s="46" t="s">
        <v>1453</v>
      </c>
      <c r="Q35" s="46" t="s">
        <v>1347</v>
      </c>
      <c r="R35" s="46" t="s">
        <v>1444</v>
      </c>
      <c r="S35" s="49">
        <v>107.5</v>
      </c>
      <c r="T35" s="49">
        <v>537.5</v>
      </c>
      <c r="U35" s="67">
        <v>0.36511627906976746</v>
      </c>
      <c r="V35" s="67">
        <v>0.42093023255813955</v>
      </c>
      <c r="W35" s="51">
        <v>0.5357142857142857</v>
      </c>
      <c r="X35" s="52">
        <v>53.75</v>
      </c>
      <c r="Y35" s="52">
        <v>30</v>
      </c>
      <c r="Z35" s="52">
        <v>257.5</v>
      </c>
      <c r="AA35" s="52">
        <v>341.25</v>
      </c>
      <c r="AB35" s="53">
        <v>0.6348837209302326</v>
      </c>
      <c r="AC35" s="72">
        <v>196.25</v>
      </c>
      <c r="AD35" s="55">
        <v>0.36511627906976746</v>
      </c>
      <c r="AE35" s="73">
        <v>3</v>
      </c>
      <c r="AF35" s="57" t="s">
        <v>95</v>
      </c>
      <c r="AG35" s="58">
        <v>280</v>
      </c>
      <c r="AH35" s="58">
        <v>150</v>
      </c>
      <c r="AI35" s="58">
        <v>430</v>
      </c>
      <c r="AJ35" s="49">
        <v>107.5</v>
      </c>
      <c r="AK35" s="49">
        <v>537.5</v>
      </c>
      <c r="AL35" s="52">
        <v>53.75</v>
      </c>
      <c r="AM35" s="52">
        <v>257.5</v>
      </c>
      <c r="AN35" s="52">
        <v>311.25</v>
      </c>
      <c r="AO35" s="59">
        <v>0.57906976744186045</v>
      </c>
      <c r="AP35" s="60">
        <v>226.25</v>
      </c>
      <c r="AQ35" s="61">
        <v>0.42093023255813955</v>
      </c>
      <c r="AR35" s="60" t="s">
        <v>78</v>
      </c>
      <c r="AS35" s="62">
        <v>448</v>
      </c>
      <c r="AT35" s="62">
        <v>240</v>
      </c>
      <c r="AU35" s="62">
        <v>688</v>
      </c>
      <c r="AV35" s="62">
        <v>860</v>
      </c>
      <c r="AW35" s="47" t="s">
        <v>74</v>
      </c>
      <c r="AX35" s="64">
        <v>45142</v>
      </c>
      <c r="AY35" s="64" t="s">
        <v>1542</v>
      </c>
      <c r="AZ35" s="86"/>
      <c r="BA35" s="46" t="s">
        <v>74</v>
      </c>
      <c r="BB35" s="26"/>
      <c r="BC35" s="26"/>
      <c r="BD35" s="70" t="s">
        <v>1537</v>
      </c>
      <c r="BE35" s="46" t="e">
        <v>#REF!</v>
      </c>
      <c r="BF35" s="46" t="s">
        <v>75</v>
      </c>
      <c r="BG35" s="65">
        <v>2</v>
      </c>
      <c r="BH35" s="66"/>
      <c r="BI35" s="63" t="s">
        <v>1543</v>
      </c>
    </row>
    <row r="36" spans="1:61" ht="114.75" x14ac:dyDescent="0.2">
      <c r="A36" s="45" t="s">
        <v>1544</v>
      </c>
      <c r="B36" s="46"/>
      <c r="C36" s="46" t="s">
        <v>1497</v>
      </c>
      <c r="D36" s="46" t="s">
        <v>1533</v>
      </c>
      <c r="E36" s="46" t="s">
        <v>1499</v>
      </c>
      <c r="F36" s="46" t="s">
        <v>1534</v>
      </c>
      <c r="G36" s="46" t="s">
        <v>68</v>
      </c>
      <c r="H36" s="46" t="s">
        <v>68</v>
      </c>
      <c r="I36" s="46" t="s">
        <v>1464</v>
      </c>
      <c r="J36" s="46" t="s">
        <v>71</v>
      </c>
      <c r="K36" s="47">
        <v>320</v>
      </c>
      <c r="L36" s="47">
        <v>200</v>
      </c>
      <c r="M36" s="47">
        <v>520</v>
      </c>
      <c r="N36" s="46" t="s">
        <v>1451</v>
      </c>
      <c r="O36" s="71" t="s">
        <v>1545</v>
      </c>
      <c r="P36" s="46" t="s">
        <v>1453</v>
      </c>
      <c r="Q36" s="46" t="s">
        <v>1347</v>
      </c>
      <c r="R36" s="46" t="s">
        <v>1444</v>
      </c>
      <c r="S36" s="49">
        <v>130</v>
      </c>
      <c r="T36" s="49">
        <v>650</v>
      </c>
      <c r="U36" s="67">
        <v>0.34615384615384615</v>
      </c>
      <c r="V36" s="67">
        <v>0.3923076923076923</v>
      </c>
      <c r="W36" s="51">
        <v>0.625</v>
      </c>
      <c r="X36" s="52">
        <v>65</v>
      </c>
      <c r="Y36" s="52">
        <v>30</v>
      </c>
      <c r="Z36" s="52">
        <v>330</v>
      </c>
      <c r="AA36" s="52">
        <v>425</v>
      </c>
      <c r="AB36" s="53">
        <v>0.65384615384615385</v>
      </c>
      <c r="AC36" s="72">
        <v>225</v>
      </c>
      <c r="AD36" s="55">
        <v>0.34615384615384615</v>
      </c>
      <c r="AE36" s="73">
        <v>3</v>
      </c>
      <c r="AF36" s="57" t="s">
        <v>95</v>
      </c>
      <c r="AG36" s="58">
        <v>320</v>
      </c>
      <c r="AH36" s="58">
        <v>200</v>
      </c>
      <c r="AI36" s="58">
        <v>520</v>
      </c>
      <c r="AJ36" s="49">
        <v>130</v>
      </c>
      <c r="AK36" s="49">
        <v>650</v>
      </c>
      <c r="AL36" s="52">
        <v>65</v>
      </c>
      <c r="AM36" s="52">
        <v>330</v>
      </c>
      <c r="AN36" s="52">
        <v>395</v>
      </c>
      <c r="AO36" s="59">
        <v>0.60769230769230764</v>
      </c>
      <c r="AP36" s="60">
        <v>255</v>
      </c>
      <c r="AQ36" s="61">
        <v>0.3923076923076923</v>
      </c>
      <c r="AR36" s="60" t="s">
        <v>78</v>
      </c>
      <c r="AS36" s="62">
        <v>512</v>
      </c>
      <c r="AT36" s="62">
        <v>320</v>
      </c>
      <c r="AU36" s="62">
        <v>832</v>
      </c>
      <c r="AV36" s="62">
        <v>1040</v>
      </c>
      <c r="AW36" s="47" t="s">
        <v>74</v>
      </c>
      <c r="AX36" s="64"/>
      <c r="AY36" s="64" t="s">
        <v>1546</v>
      </c>
      <c r="AZ36" s="86"/>
      <c r="BA36" s="46" t="s">
        <v>74</v>
      </c>
      <c r="BB36" s="26"/>
      <c r="BC36" s="26"/>
      <c r="BD36" s="70" t="s">
        <v>1537</v>
      </c>
      <c r="BE36" s="46" t="e">
        <v>#REF!</v>
      </c>
      <c r="BF36" s="46" t="s">
        <v>75</v>
      </c>
      <c r="BG36" s="65">
        <v>2</v>
      </c>
      <c r="BH36" s="66" t="s">
        <v>1547</v>
      </c>
      <c r="BI36" s="63" t="s">
        <v>1548</v>
      </c>
    </row>
    <row r="37" spans="1:61" ht="89.25" x14ac:dyDescent="0.2">
      <c r="A37" s="45" t="s">
        <v>1549</v>
      </c>
      <c r="B37" s="46"/>
      <c r="C37" s="46" t="s">
        <v>1497</v>
      </c>
      <c r="D37" s="46" t="s">
        <v>1533</v>
      </c>
      <c r="E37" s="46" t="s">
        <v>1499</v>
      </c>
      <c r="F37" s="46" t="s">
        <v>1550</v>
      </c>
      <c r="G37" s="46" t="s">
        <v>68</v>
      </c>
      <c r="H37" s="46" t="s">
        <v>68</v>
      </c>
      <c r="I37" s="46" t="s">
        <v>1450</v>
      </c>
      <c r="J37" s="46" t="s">
        <v>71</v>
      </c>
      <c r="K37" s="47">
        <v>240</v>
      </c>
      <c r="L37" s="47">
        <v>100</v>
      </c>
      <c r="M37" s="47">
        <v>340</v>
      </c>
      <c r="N37" s="46" t="s">
        <v>1451</v>
      </c>
      <c r="O37" s="71" t="s">
        <v>1551</v>
      </c>
      <c r="P37" s="46" t="s">
        <v>1453</v>
      </c>
      <c r="Q37" s="46" t="s">
        <v>1347</v>
      </c>
      <c r="R37" s="46" t="s">
        <v>1444</v>
      </c>
      <c r="S37" s="49">
        <v>85</v>
      </c>
      <c r="T37" s="49">
        <v>425</v>
      </c>
      <c r="U37" s="67">
        <v>0.39411764705882352</v>
      </c>
      <c r="V37" s="67">
        <v>0.46470588235294119</v>
      </c>
      <c r="W37" s="51">
        <v>0.41666666666666669</v>
      </c>
      <c r="X37" s="52">
        <v>42.5</v>
      </c>
      <c r="Y37" s="52">
        <v>30</v>
      </c>
      <c r="Z37" s="52">
        <v>185</v>
      </c>
      <c r="AA37" s="52">
        <v>257.5</v>
      </c>
      <c r="AB37" s="53">
        <v>0.60588235294117643</v>
      </c>
      <c r="AC37" s="72">
        <v>167.5</v>
      </c>
      <c r="AD37" s="55">
        <v>0.39411764705882352</v>
      </c>
      <c r="AE37" s="73">
        <v>3</v>
      </c>
      <c r="AF37" s="57" t="s">
        <v>95</v>
      </c>
      <c r="AG37" s="58">
        <v>240</v>
      </c>
      <c r="AH37" s="58">
        <v>100</v>
      </c>
      <c r="AI37" s="58">
        <v>340</v>
      </c>
      <c r="AJ37" s="49">
        <v>85</v>
      </c>
      <c r="AK37" s="49">
        <v>425</v>
      </c>
      <c r="AL37" s="52">
        <v>42.5</v>
      </c>
      <c r="AM37" s="52">
        <v>185</v>
      </c>
      <c r="AN37" s="52">
        <v>227.5</v>
      </c>
      <c r="AO37" s="59">
        <v>0.53529411764705881</v>
      </c>
      <c r="AP37" s="60">
        <v>197.5</v>
      </c>
      <c r="AQ37" s="61">
        <v>0.46470588235294119</v>
      </c>
      <c r="AR37" s="60" t="s">
        <v>78</v>
      </c>
      <c r="AS37" s="62">
        <v>384</v>
      </c>
      <c r="AT37" s="62">
        <v>160</v>
      </c>
      <c r="AU37" s="62">
        <v>544</v>
      </c>
      <c r="AV37" s="62">
        <v>680</v>
      </c>
      <c r="AW37" s="47" t="s">
        <v>74</v>
      </c>
      <c r="AX37" s="64"/>
      <c r="AY37" s="64" t="s">
        <v>1552</v>
      </c>
      <c r="AZ37" s="86"/>
      <c r="BA37" s="46" t="s">
        <v>74</v>
      </c>
      <c r="BB37" s="26"/>
      <c r="BC37" s="26"/>
      <c r="BD37" s="70" t="s">
        <v>1537</v>
      </c>
      <c r="BE37" s="46" t="e">
        <v>#REF!</v>
      </c>
      <c r="BF37" s="46" t="s">
        <v>75</v>
      </c>
      <c r="BG37" s="65">
        <v>2</v>
      </c>
      <c r="BH37" s="66" t="s">
        <v>1553</v>
      </c>
      <c r="BI37" s="63" t="s">
        <v>1554</v>
      </c>
    </row>
    <row r="38" spans="1:61" ht="89.25" x14ac:dyDescent="0.2">
      <c r="A38" s="45" t="s">
        <v>1555</v>
      </c>
      <c r="B38" s="46"/>
      <c r="C38" s="46" t="s">
        <v>1497</v>
      </c>
      <c r="D38" s="46" t="s">
        <v>1533</v>
      </c>
      <c r="E38" s="46" t="s">
        <v>1499</v>
      </c>
      <c r="F38" s="46" t="s">
        <v>1550</v>
      </c>
      <c r="G38" s="46" t="s">
        <v>68</v>
      </c>
      <c r="H38" s="46" t="s">
        <v>68</v>
      </c>
      <c r="I38" s="46" t="s">
        <v>1459</v>
      </c>
      <c r="J38" s="46" t="s">
        <v>71</v>
      </c>
      <c r="K38" s="47">
        <v>280</v>
      </c>
      <c r="L38" s="47">
        <v>180</v>
      </c>
      <c r="M38" s="47">
        <v>460</v>
      </c>
      <c r="N38" s="46" t="s">
        <v>1451</v>
      </c>
      <c r="O38" s="71" t="s">
        <v>1556</v>
      </c>
      <c r="P38" s="46" t="s">
        <v>1453</v>
      </c>
      <c r="Q38" s="46" t="s">
        <v>1347</v>
      </c>
      <c r="R38" s="46" t="s">
        <v>1444</v>
      </c>
      <c r="S38" s="49">
        <v>115</v>
      </c>
      <c r="T38" s="49">
        <v>575</v>
      </c>
      <c r="U38" s="67">
        <v>0.33478260869565218</v>
      </c>
      <c r="V38" s="67">
        <v>0.38695652173913042</v>
      </c>
      <c r="W38" s="51">
        <v>0.6428571428571429</v>
      </c>
      <c r="X38" s="52">
        <v>57.5</v>
      </c>
      <c r="Y38" s="52">
        <v>30</v>
      </c>
      <c r="Z38" s="52">
        <v>295</v>
      </c>
      <c r="AA38" s="52">
        <v>382.5</v>
      </c>
      <c r="AB38" s="53">
        <v>0.66521739130434787</v>
      </c>
      <c r="AC38" s="72">
        <v>192.5</v>
      </c>
      <c r="AD38" s="55">
        <v>0.33478260869565218</v>
      </c>
      <c r="AE38" s="73">
        <v>3</v>
      </c>
      <c r="AF38" s="57" t="s">
        <v>95</v>
      </c>
      <c r="AG38" s="58">
        <v>280</v>
      </c>
      <c r="AH38" s="58">
        <v>180</v>
      </c>
      <c r="AI38" s="58">
        <v>460</v>
      </c>
      <c r="AJ38" s="49">
        <v>115</v>
      </c>
      <c r="AK38" s="49">
        <v>575</v>
      </c>
      <c r="AL38" s="52">
        <v>57.5</v>
      </c>
      <c r="AM38" s="52">
        <v>295</v>
      </c>
      <c r="AN38" s="52">
        <v>352.5</v>
      </c>
      <c r="AO38" s="59">
        <v>0.61304347826086958</v>
      </c>
      <c r="AP38" s="60">
        <v>222.5</v>
      </c>
      <c r="AQ38" s="61">
        <v>0.38695652173913042</v>
      </c>
      <c r="AR38" s="60" t="s">
        <v>78</v>
      </c>
      <c r="AS38" s="62">
        <v>448</v>
      </c>
      <c r="AT38" s="62">
        <v>288</v>
      </c>
      <c r="AU38" s="62">
        <v>736</v>
      </c>
      <c r="AV38" s="62">
        <v>920</v>
      </c>
      <c r="AW38" s="47" t="s">
        <v>74</v>
      </c>
      <c r="AX38" s="64"/>
      <c r="AY38" s="64" t="s">
        <v>1557</v>
      </c>
      <c r="AZ38" s="86"/>
      <c r="BA38" s="46" t="s">
        <v>74</v>
      </c>
      <c r="BB38" s="26"/>
      <c r="BC38" s="26"/>
      <c r="BD38" s="70" t="s">
        <v>1537</v>
      </c>
      <c r="BE38" s="46" t="e">
        <v>#REF!</v>
      </c>
      <c r="BF38" s="46" t="s">
        <v>75</v>
      </c>
      <c r="BG38" s="65">
        <v>2</v>
      </c>
      <c r="BH38" s="66" t="s">
        <v>1558</v>
      </c>
      <c r="BI38" s="63" t="s">
        <v>1559</v>
      </c>
    </row>
    <row r="39" spans="1:61" ht="165.75" x14ac:dyDescent="0.2">
      <c r="A39" s="45" t="s">
        <v>1560</v>
      </c>
      <c r="B39" s="46"/>
      <c r="C39" s="46" t="s">
        <v>1561</v>
      </c>
      <c r="D39" s="46" t="s">
        <v>1533</v>
      </c>
      <c r="E39" s="46" t="s">
        <v>1499</v>
      </c>
      <c r="F39" s="46" t="s">
        <v>1550</v>
      </c>
      <c r="G39" s="46" t="s">
        <v>1562</v>
      </c>
      <c r="H39" s="46" t="s">
        <v>1563</v>
      </c>
      <c r="I39" s="46" t="s">
        <v>1450</v>
      </c>
      <c r="J39" s="46" t="s">
        <v>71</v>
      </c>
      <c r="K39" s="47">
        <v>260</v>
      </c>
      <c r="L39" s="47">
        <v>115</v>
      </c>
      <c r="M39" s="47">
        <v>375</v>
      </c>
      <c r="N39" s="46" t="s">
        <v>1451</v>
      </c>
      <c r="O39" s="71" t="s">
        <v>1564</v>
      </c>
      <c r="P39" s="46" t="s">
        <v>1565</v>
      </c>
      <c r="Q39" s="46" t="s">
        <v>1347</v>
      </c>
      <c r="R39" s="46" t="s">
        <v>1444</v>
      </c>
      <c r="S39" s="49">
        <v>93.75</v>
      </c>
      <c r="T39" s="49">
        <v>468.75</v>
      </c>
      <c r="U39" s="67">
        <v>0.39066666666666666</v>
      </c>
      <c r="V39" s="67">
        <v>0.45466666666666666</v>
      </c>
      <c r="W39" s="51">
        <v>0.44230769230769229</v>
      </c>
      <c r="X39" s="52">
        <v>46.875</v>
      </c>
      <c r="Y39" s="52">
        <v>30</v>
      </c>
      <c r="Z39" s="52">
        <v>208.75</v>
      </c>
      <c r="AA39" s="52">
        <v>285.625</v>
      </c>
      <c r="AB39" s="53">
        <v>0.60933333333333328</v>
      </c>
      <c r="AC39" s="72">
        <v>183.125</v>
      </c>
      <c r="AD39" s="55">
        <v>0.39066666666666666</v>
      </c>
      <c r="AE39" s="73">
        <v>3</v>
      </c>
      <c r="AF39" s="57" t="s">
        <v>95</v>
      </c>
      <c r="AG39" s="58">
        <v>260</v>
      </c>
      <c r="AH39" s="58">
        <v>115</v>
      </c>
      <c r="AI39" s="58">
        <v>375</v>
      </c>
      <c r="AJ39" s="49">
        <v>93.75</v>
      </c>
      <c r="AK39" s="49">
        <v>468.75</v>
      </c>
      <c r="AL39" s="52">
        <v>46.875</v>
      </c>
      <c r="AM39" s="52">
        <v>208.75</v>
      </c>
      <c r="AN39" s="52">
        <v>255.625</v>
      </c>
      <c r="AO39" s="59">
        <v>0.54533333333333334</v>
      </c>
      <c r="AP39" s="60">
        <v>213.125</v>
      </c>
      <c r="AQ39" s="61">
        <v>0.45466666666666666</v>
      </c>
      <c r="AR39" s="60" t="s">
        <v>78</v>
      </c>
      <c r="AS39" s="62">
        <v>416</v>
      </c>
      <c r="AT39" s="62">
        <v>184</v>
      </c>
      <c r="AU39" s="62">
        <v>600</v>
      </c>
      <c r="AV39" s="62">
        <v>750</v>
      </c>
      <c r="AW39" s="47" t="s">
        <v>74</v>
      </c>
      <c r="AX39" s="64"/>
      <c r="AY39" s="64" t="s">
        <v>1566</v>
      </c>
      <c r="AZ39" s="86"/>
      <c r="BA39" s="46" t="s">
        <v>74</v>
      </c>
      <c r="BB39" s="26"/>
      <c r="BC39" s="26"/>
      <c r="BD39" s="70" t="s">
        <v>1567</v>
      </c>
      <c r="BE39" s="46" t="e">
        <v>#REF!</v>
      </c>
      <c r="BF39" s="46" t="s">
        <v>75</v>
      </c>
      <c r="BG39" s="65">
        <v>2</v>
      </c>
      <c r="BH39" s="66" t="s">
        <v>1568</v>
      </c>
      <c r="BI39" s="63" t="s">
        <v>1569</v>
      </c>
    </row>
    <row r="40" spans="1:61" ht="165.75" x14ac:dyDescent="0.2">
      <c r="A40" s="45" t="s">
        <v>1570</v>
      </c>
      <c r="B40" s="46"/>
      <c r="C40" s="46" t="s">
        <v>1561</v>
      </c>
      <c r="D40" s="46" t="s">
        <v>1533</v>
      </c>
      <c r="E40" s="46" t="s">
        <v>1499</v>
      </c>
      <c r="F40" s="46" t="s">
        <v>1550</v>
      </c>
      <c r="G40" s="46" t="s">
        <v>1562</v>
      </c>
      <c r="H40" s="46" t="s">
        <v>1563</v>
      </c>
      <c r="I40" s="46" t="s">
        <v>1459</v>
      </c>
      <c r="J40" s="46" t="s">
        <v>71</v>
      </c>
      <c r="K40" s="47">
        <v>320</v>
      </c>
      <c r="L40" s="47">
        <v>210</v>
      </c>
      <c r="M40" s="47">
        <v>530</v>
      </c>
      <c r="N40" s="46" t="s">
        <v>1451</v>
      </c>
      <c r="O40" s="71" t="s">
        <v>1571</v>
      </c>
      <c r="P40" s="46" t="s">
        <v>1565</v>
      </c>
      <c r="Q40" s="46" t="s">
        <v>1347</v>
      </c>
      <c r="R40" s="46" t="s">
        <v>1444</v>
      </c>
      <c r="S40" s="49">
        <v>132.5</v>
      </c>
      <c r="T40" s="49">
        <v>662.5</v>
      </c>
      <c r="U40" s="67">
        <v>0.33773584905660375</v>
      </c>
      <c r="V40" s="67">
        <v>0.38301886792452833</v>
      </c>
      <c r="W40" s="51">
        <v>0.65625</v>
      </c>
      <c r="X40" s="52">
        <v>66.25</v>
      </c>
      <c r="Y40" s="52">
        <v>30</v>
      </c>
      <c r="Z40" s="52">
        <v>342.5</v>
      </c>
      <c r="AA40" s="52">
        <v>438.75</v>
      </c>
      <c r="AB40" s="53">
        <v>0.66226415094339619</v>
      </c>
      <c r="AC40" s="72">
        <v>223.75</v>
      </c>
      <c r="AD40" s="55">
        <v>0.33773584905660375</v>
      </c>
      <c r="AE40" s="73">
        <v>3</v>
      </c>
      <c r="AF40" s="57" t="s">
        <v>95</v>
      </c>
      <c r="AG40" s="58">
        <v>320</v>
      </c>
      <c r="AH40" s="58">
        <v>210</v>
      </c>
      <c r="AI40" s="58">
        <v>530</v>
      </c>
      <c r="AJ40" s="49">
        <v>132.5</v>
      </c>
      <c r="AK40" s="49">
        <v>662.5</v>
      </c>
      <c r="AL40" s="52">
        <v>66.25</v>
      </c>
      <c r="AM40" s="52">
        <v>342.5</v>
      </c>
      <c r="AN40" s="52">
        <v>408.75</v>
      </c>
      <c r="AO40" s="59">
        <v>0.61698113207547167</v>
      </c>
      <c r="AP40" s="60">
        <v>253.75</v>
      </c>
      <c r="AQ40" s="61">
        <v>0.38301886792452833</v>
      </c>
      <c r="AR40" s="60" t="s">
        <v>78</v>
      </c>
      <c r="AS40" s="62">
        <v>512</v>
      </c>
      <c r="AT40" s="62">
        <v>336</v>
      </c>
      <c r="AU40" s="62">
        <v>848</v>
      </c>
      <c r="AV40" s="62">
        <v>1060</v>
      </c>
      <c r="AW40" s="47" t="s">
        <v>74</v>
      </c>
      <c r="AX40" s="64"/>
      <c r="AY40" s="64" t="s">
        <v>1572</v>
      </c>
      <c r="AZ40" s="86"/>
      <c r="BA40" s="46" t="s">
        <v>74</v>
      </c>
      <c r="BB40" s="26"/>
      <c r="BC40" s="26"/>
      <c r="BD40" s="70" t="s">
        <v>1537</v>
      </c>
      <c r="BE40" s="46" t="e">
        <v>#REF!</v>
      </c>
      <c r="BF40" s="46" t="s">
        <v>75</v>
      </c>
      <c r="BG40" s="65">
        <v>2</v>
      </c>
      <c r="BH40" s="66" t="s">
        <v>1573</v>
      </c>
      <c r="BI40" s="63" t="s">
        <v>1574</v>
      </c>
    </row>
    <row r="41" spans="1:61" ht="165.75" x14ac:dyDescent="0.2">
      <c r="A41" s="45" t="s">
        <v>1575</v>
      </c>
      <c r="B41" s="46"/>
      <c r="C41" s="46" t="s">
        <v>1561</v>
      </c>
      <c r="D41" s="46" t="s">
        <v>1533</v>
      </c>
      <c r="E41" s="46" t="s">
        <v>1499</v>
      </c>
      <c r="F41" s="46" t="s">
        <v>1550</v>
      </c>
      <c r="G41" s="46" t="s">
        <v>1576</v>
      </c>
      <c r="H41" s="46" t="s">
        <v>1577</v>
      </c>
      <c r="I41" s="46" t="s">
        <v>1450</v>
      </c>
      <c r="J41" s="46" t="s">
        <v>71</v>
      </c>
      <c r="K41" s="47">
        <v>270</v>
      </c>
      <c r="L41" s="47">
        <v>165</v>
      </c>
      <c r="M41" s="47">
        <v>435</v>
      </c>
      <c r="N41" s="46" t="s">
        <v>1451</v>
      </c>
      <c r="O41" s="71" t="s">
        <v>1578</v>
      </c>
      <c r="P41" s="46" t="s">
        <v>1565</v>
      </c>
      <c r="Q41" s="46" t="s">
        <v>1347</v>
      </c>
      <c r="R41" s="46" t="s">
        <v>1444</v>
      </c>
      <c r="S41" s="49">
        <v>108.75</v>
      </c>
      <c r="T41" s="49">
        <v>543.75</v>
      </c>
      <c r="U41" s="67">
        <v>0.3413793103448276</v>
      </c>
      <c r="V41" s="67">
        <v>0.39655172413793105</v>
      </c>
      <c r="W41" s="51">
        <v>0.61111111111111116</v>
      </c>
      <c r="X41" s="52">
        <v>54.375</v>
      </c>
      <c r="Y41" s="52">
        <v>30</v>
      </c>
      <c r="Z41" s="52">
        <v>273.75</v>
      </c>
      <c r="AA41" s="52">
        <v>358.125</v>
      </c>
      <c r="AB41" s="53">
        <v>0.6586206896551724</v>
      </c>
      <c r="AC41" s="72">
        <v>185.625</v>
      </c>
      <c r="AD41" s="55">
        <v>0.3413793103448276</v>
      </c>
      <c r="AE41" s="73">
        <v>3</v>
      </c>
      <c r="AF41" s="57" t="s">
        <v>95</v>
      </c>
      <c r="AG41" s="58">
        <v>270</v>
      </c>
      <c r="AH41" s="58">
        <v>165</v>
      </c>
      <c r="AI41" s="58">
        <v>435</v>
      </c>
      <c r="AJ41" s="49">
        <v>108.75</v>
      </c>
      <c r="AK41" s="49">
        <v>543.75</v>
      </c>
      <c r="AL41" s="52">
        <v>54.375</v>
      </c>
      <c r="AM41" s="52">
        <v>273.75</v>
      </c>
      <c r="AN41" s="52">
        <v>328.125</v>
      </c>
      <c r="AO41" s="59">
        <v>0.60344827586206895</v>
      </c>
      <c r="AP41" s="60">
        <v>215.625</v>
      </c>
      <c r="AQ41" s="61">
        <v>0.39655172413793105</v>
      </c>
      <c r="AR41" s="60" t="s">
        <v>78</v>
      </c>
      <c r="AS41" s="62">
        <v>432</v>
      </c>
      <c r="AT41" s="62">
        <v>264</v>
      </c>
      <c r="AU41" s="62">
        <v>696</v>
      </c>
      <c r="AV41" s="62">
        <v>870</v>
      </c>
      <c r="AW41" s="47" t="s">
        <v>74</v>
      </c>
      <c r="AX41" s="64"/>
      <c r="AY41" s="64" t="s">
        <v>1579</v>
      </c>
      <c r="AZ41" s="86"/>
      <c r="BA41" s="46" t="s">
        <v>74</v>
      </c>
      <c r="BB41" s="26"/>
      <c r="BC41" s="26"/>
      <c r="BD41" s="70" t="s">
        <v>1580</v>
      </c>
      <c r="BE41" s="46" t="e">
        <v>#REF!</v>
      </c>
      <c r="BF41" s="46" t="s">
        <v>75</v>
      </c>
      <c r="BG41" s="65">
        <v>2</v>
      </c>
      <c r="BH41" s="66" t="s">
        <v>1581</v>
      </c>
      <c r="BI41" s="63" t="s">
        <v>1582</v>
      </c>
    </row>
    <row r="42" spans="1:61" ht="165.75" x14ac:dyDescent="0.2">
      <c r="A42" s="45" t="s">
        <v>1583</v>
      </c>
      <c r="B42" s="46"/>
      <c r="C42" s="46" t="s">
        <v>1561</v>
      </c>
      <c r="D42" s="46" t="s">
        <v>1533</v>
      </c>
      <c r="E42" s="46" t="s">
        <v>1499</v>
      </c>
      <c r="F42" s="46" t="s">
        <v>1550</v>
      </c>
      <c r="G42" s="46" t="s">
        <v>1576</v>
      </c>
      <c r="H42" s="46" t="s">
        <v>1577</v>
      </c>
      <c r="I42" s="46" t="s">
        <v>1459</v>
      </c>
      <c r="J42" s="46" t="s">
        <v>71</v>
      </c>
      <c r="K42" s="47">
        <v>320</v>
      </c>
      <c r="L42" s="47">
        <v>210</v>
      </c>
      <c r="M42" s="47">
        <v>530</v>
      </c>
      <c r="N42" s="46" t="s">
        <v>1451</v>
      </c>
      <c r="O42" s="71" t="s">
        <v>1584</v>
      </c>
      <c r="P42" s="46" t="s">
        <v>1565</v>
      </c>
      <c r="Q42" s="46" t="s">
        <v>1347</v>
      </c>
      <c r="R42" s="46" t="s">
        <v>1444</v>
      </c>
      <c r="S42" s="49">
        <v>132.5</v>
      </c>
      <c r="T42" s="49">
        <v>662.5</v>
      </c>
      <c r="U42" s="67">
        <v>0.33773584905660375</v>
      </c>
      <c r="V42" s="67">
        <v>0.38301886792452833</v>
      </c>
      <c r="W42" s="51">
        <v>0.65625</v>
      </c>
      <c r="X42" s="52">
        <v>66.25</v>
      </c>
      <c r="Y42" s="52">
        <v>30</v>
      </c>
      <c r="Z42" s="52">
        <v>342.5</v>
      </c>
      <c r="AA42" s="52">
        <v>438.75</v>
      </c>
      <c r="AB42" s="53">
        <v>0.66226415094339619</v>
      </c>
      <c r="AC42" s="72">
        <v>223.75</v>
      </c>
      <c r="AD42" s="55">
        <v>0.33773584905660375</v>
      </c>
      <c r="AE42" s="73">
        <v>3</v>
      </c>
      <c r="AF42" s="57" t="s">
        <v>95</v>
      </c>
      <c r="AG42" s="58">
        <v>320</v>
      </c>
      <c r="AH42" s="58">
        <v>210</v>
      </c>
      <c r="AI42" s="58">
        <v>530</v>
      </c>
      <c r="AJ42" s="49">
        <v>132.5</v>
      </c>
      <c r="AK42" s="49">
        <v>662.5</v>
      </c>
      <c r="AL42" s="52">
        <v>66.25</v>
      </c>
      <c r="AM42" s="52">
        <v>342.5</v>
      </c>
      <c r="AN42" s="52">
        <v>408.75</v>
      </c>
      <c r="AO42" s="59">
        <v>0.61698113207547167</v>
      </c>
      <c r="AP42" s="60">
        <v>253.75</v>
      </c>
      <c r="AQ42" s="61">
        <v>0.38301886792452833</v>
      </c>
      <c r="AR42" s="60" t="s">
        <v>78</v>
      </c>
      <c r="AS42" s="62">
        <v>512</v>
      </c>
      <c r="AT42" s="62">
        <v>336</v>
      </c>
      <c r="AU42" s="62">
        <v>848</v>
      </c>
      <c r="AV42" s="62">
        <v>1060</v>
      </c>
      <c r="AW42" s="47" t="s">
        <v>74</v>
      </c>
      <c r="AX42" s="64"/>
      <c r="AY42" s="64" t="s">
        <v>1585</v>
      </c>
      <c r="AZ42" s="86"/>
      <c r="BA42" s="46" t="s">
        <v>74</v>
      </c>
      <c r="BB42" s="26"/>
      <c r="BC42" s="26"/>
      <c r="BD42" s="70" t="s">
        <v>1580</v>
      </c>
      <c r="BE42" s="46" t="e">
        <v>#REF!</v>
      </c>
      <c r="BF42" s="46" t="s">
        <v>75</v>
      </c>
      <c r="BG42" s="65">
        <v>2</v>
      </c>
      <c r="BH42" s="66" t="s">
        <v>1586</v>
      </c>
      <c r="BI42" s="63" t="s">
        <v>1587</v>
      </c>
    </row>
    <row r="43" spans="1:61" ht="89.25" x14ac:dyDescent="0.2">
      <c r="A43" s="45" t="s">
        <v>1588</v>
      </c>
      <c r="B43" s="46"/>
      <c r="C43" s="46" t="s">
        <v>1497</v>
      </c>
      <c r="D43" s="46" t="s">
        <v>1589</v>
      </c>
      <c r="E43" s="46" t="s">
        <v>1499</v>
      </c>
      <c r="F43" s="46" t="s">
        <v>1550</v>
      </c>
      <c r="G43" s="46" t="s">
        <v>68</v>
      </c>
      <c r="H43" s="46" t="s">
        <v>68</v>
      </c>
      <c r="I43" s="46" t="s">
        <v>1450</v>
      </c>
      <c r="J43" s="46" t="s">
        <v>71</v>
      </c>
      <c r="K43" s="47">
        <v>280</v>
      </c>
      <c r="L43" s="47">
        <f>12*10</f>
        <v>120</v>
      </c>
      <c r="M43" s="47">
        <v>400</v>
      </c>
      <c r="N43" s="46" t="s">
        <v>1451</v>
      </c>
      <c r="O43" s="71" t="s">
        <v>1590</v>
      </c>
      <c r="P43" s="46" t="s">
        <v>1453</v>
      </c>
      <c r="Q43" s="46" t="s">
        <v>1347</v>
      </c>
      <c r="R43" s="46" t="s">
        <v>1444</v>
      </c>
      <c r="S43" s="49">
        <v>100</v>
      </c>
      <c r="T43" s="49">
        <v>500</v>
      </c>
      <c r="U43" s="67">
        <v>0.4</v>
      </c>
      <c r="V43" s="67">
        <v>0.46</v>
      </c>
      <c r="W43" s="51">
        <v>0.42857142857142855</v>
      </c>
      <c r="X43" s="52">
        <v>50</v>
      </c>
      <c r="Y43" s="52">
        <v>30</v>
      </c>
      <c r="Z43" s="52">
        <v>220</v>
      </c>
      <c r="AA43" s="52">
        <v>300</v>
      </c>
      <c r="AB43" s="53">
        <v>0.6</v>
      </c>
      <c r="AC43" s="72">
        <v>200</v>
      </c>
      <c r="AD43" s="55">
        <v>0.4</v>
      </c>
      <c r="AE43" s="73">
        <v>3</v>
      </c>
      <c r="AF43" s="57" t="s">
        <v>95</v>
      </c>
      <c r="AG43" s="58">
        <v>280</v>
      </c>
      <c r="AH43" s="58">
        <v>120</v>
      </c>
      <c r="AI43" s="58">
        <v>400</v>
      </c>
      <c r="AJ43" s="49">
        <v>100</v>
      </c>
      <c r="AK43" s="49">
        <v>500</v>
      </c>
      <c r="AL43" s="52">
        <v>50</v>
      </c>
      <c r="AM43" s="52">
        <v>220</v>
      </c>
      <c r="AN43" s="52">
        <v>270</v>
      </c>
      <c r="AO43" s="59">
        <v>0.54</v>
      </c>
      <c r="AP43" s="60">
        <v>230</v>
      </c>
      <c r="AQ43" s="61">
        <v>0.46</v>
      </c>
      <c r="AR43" s="60" t="s">
        <v>78</v>
      </c>
      <c r="AS43" s="62">
        <v>448</v>
      </c>
      <c r="AT43" s="62">
        <v>192</v>
      </c>
      <c r="AU43" s="62">
        <v>640</v>
      </c>
      <c r="AV43" s="62">
        <v>800</v>
      </c>
      <c r="AW43" s="47" t="s">
        <v>74</v>
      </c>
      <c r="AX43" s="64"/>
      <c r="AY43" s="64" t="s">
        <v>1591</v>
      </c>
      <c r="AZ43" s="86"/>
      <c r="BA43" s="46" t="s">
        <v>74</v>
      </c>
      <c r="BB43" s="26"/>
      <c r="BC43" s="26"/>
      <c r="BD43" s="70" t="s">
        <v>1592</v>
      </c>
      <c r="BE43" s="46" t="e">
        <v>#REF!</v>
      </c>
      <c r="BF43" s="46" t="s">
        <v>75</v>
      </c>
      <c r="BG43" s="65">
        <v>2</v>
      </c>
      <c r="BH43" s="66" t="s">
        <v>1593</v>
      </c>
      <c r="BI43" s="63" t="s">
        <v>1594</v>
      </c>
    </row>
    <row r="44" spans="1:61" ht="89.25" x14ac:dyDescent="0.2">
      <c r="A44" s="45" t="s">
        <v>1595</v>
      </c>
      <c r="B44" s="46"/>
      <c r="C44" s="46" t="s">
        <v>1497</v>
      </c>
      <c r="D44" s="46" t="s">
        <v>1589</v>
      </c>
      <c r="E44" s="46" t="s">
        <v>1499</v>
      </c>
      <c r="F44" s="46" t="s">
        <v>1550</v>
      </c>
      <c r="G44" s="46" t="s">
        <v>68</v>
      </c>
      <c r="H44" s="46" t="s">
        <v>68</v>
      </c>
      <c r="I44" s="46" t="s">
        <v>1459</v>
      </c>
      <c r="J44" s="46" t="s">
        <v>71</v>
      </c>
      <c r="K44" s="47">
        <v>320</v>
      </c>
      <c r="L44" s="47">
        <f>12*15</f>
        <v>180</v>
      </c>
      <c r="M44" s="47">
        <v>500</v>
      </c>
      <c r="N44" s="46" t="s">
        <v>1451</v>
      </c>
      <c r="O44" s="71" t="s">
        <v>1596</v>
      </c>
      <c r="P44" s="46" t="s">
        <v>1453</v>
      </c>
      <c r="Q44" s="46" t="s">
        <v>1347</v>
      </c>
      <c r="R44" s="46" t="s">
        <v>1444</v>
      </c>
      <c r="S44" s="49">
        <v>125</v>
      </c>
      <c r="T44" s="49">
        <v>625</v>
      </c>
      <c r="U44" s="67">
        <v>0.36399999999999999</v>
      </c>
      <c r="V44" s="67">
        <v>0.41199999999999998</v>
      </c>
      <c r="W44" s="51">
        <v>0.5625</v>
      </c>
      <c r="X44" s="52">
        <v>62.5</v>
      </c>
      <c r="Y44" s="52">
        <v>30</v>
      </c>
      <c r="Z44" s="52">
        <v>305</v>
      </c>
      <c r="AA44" s="52">
        <v>397.5</v>
      </c>
      <c r="AB44" s="53">
        <v>0.63600000000000001</v>
      </c>
      <c r="AC44" s="72">
        <v>227.5</v>
      </c>
      <c r="AD44" s="55">
        <v>0.36399999999999999</v>
      </c>
      <c r="AE44" s="73">
        <v>3</v>
      </c>
      <c r="AF44" s="57" t="s">
        <v>95</v>
      </c>
      <c r="AG44" s="58">
        <v>320</v>
      </c>
      <c r="AH44" s="58">
        <v>180</v>
      </c>
      <c r="AI44" s="58">
        <v>500</v>
      </c>
      <c r="AJ44" s="49">
        <v>125</v>
      </c>
      <c r="AK44" s="49">
        <v>625</v>
      </c>
      <c r="AL44" s="52">
        <v>62.5</v>
      </c>
      <c r="AM44" s="52">
        <v>305</v>
      </c>
      <c r="AN44" s="52">
        <v>367.5</v>
      </c>
      <c r="AO44" s="59">
        <v>0.58799999999999997</v>
      </c>
      <c r="AP44" s="60">
        <v>257.5</v>
      </c>
      <c r="AQ44" s="61">
        <v>0.41199999999999998</v>
      </c>
      <c r="AR44" s="60" t="s">
        <v>78</v>
      </c>
      <c r="AS44" s="62">
        <v>512</v>
      </c>
      <c r="AT44" s="62">
        <v>288</v>
      </c>
      <c r="AU44" s="62">
        <v>800</v>
      </c>
      <c r="AV44" s="62">
        <v>1000</v>
      </c>
      <c r="AW44" s="47" t="s">
        <v>74</v>
      </c>
      <c r="AX44" s="64">
        <v>45142</v>
      </c>
      <c r="AY44" s="64" t="s">
        <v>1597</v>
      </c>
      <c r="AZ44" s="86"/>
      <c r="BA44" s="46" t="s">
        <v>74</v>
      </c>
      <c r="BB44" s="26"/>
      <c r="BC44" s="26"/>
      <c r="BD44" s="70" t="s">
        <v>1592</v>
      </c>
      <c r="BE44" s="46" t="e">
        <v>#REF!</v>
      </c>
      <c r="BF44" s="46" t="s">
        <v>75</v>
      </c>
      <c r="BG44" s="65">
        <v>2</v>
      </c>
      <c r="BH44" s="66"/>
      <c r="BI44" s="63" t="s">
        <v>1598</v>
      </c>
    </row>
    <row r="45" spans="1:61" ht="89.25" x14ac:dyDescent="0.2">
      <c r="A45" s="45" t="s">
        <v>1599</v>
      </c>
      <c r="B45" s="46"/>
      <c r="C45" s="46" t="s">
        <v>1497</v>
      </c>
      <c r="D45" s="46" t="s">
        <v>1589</v>
      </c>
      <c r="E45" s="46" t="s">
        <v>1499</v>
      </c>
      <c r="F45" s="46" t="s">
        <v>1550</v>
      </c>
      <c r="G45" s="46" t="s">
        <v>68</v>
      </c>
      <c r="H45" s="46" t="s">
        <v>68</v>
      </c>
      <c r="I45" s="46" t="s">
        <v>1464</v>
      </c>
      <c r="J45" s="46" t="s">
        <v>71</v>
      </c>
      <c r="K45" s="47">
        <v>360</v>
      </c>
      <c r="L45" s="47">
        <f>12*20</f>
        <v>240</v>
      </c>
      <c r="M45" s="47">
        <v>600</v>
      </c>
      <c r="N45" s="46" t="s">
        <v>1451</v>
      </c>
      <c r="O45" s="71" t="s">
        <v>1600</v>
      </c>
      <c r="P45" s="46" t="s">
        <v>1453</v>
      </c>
      <c r="Q45" s="46" t="s">
        <v>1347</v>
      </c>
      <c r="R45" s="46" t="s">
        <v>1444</v>
      </c>
      <c r="S45" s="49">
        <v>150</v>
      </c>
      <c r="T45" s="49">
        <v>750</v>
      </c>
      <c r="U45" s="67">
        <v>0.34</v>
      </c>
      <c r="V45" s="67">
        <v>0.38</v>
      </c>
      <c r="W45" s="51">
        <v>0.66666666666666663</v>
      </c>
      <c r="X45" s="52">
        <v>75</v>
      </c>
      <c r="Y45" s="52">
        <v>30</v>
      </c>
      <c r="Z45" s="52">
        <v>390</v>
      </c>
      <c r="AA45" s="52">
        <v>495</v>
      </c>
      <c r="AB45" s="53">
        <v>0.66</v>
      </c>
      <c r="AC45" s="72">
        <v>255</v>
      </c>
      <c r="AD45" s="55">
        <v>0.34</v>
      </c>
      <c r="AE45" s="73">
        <v>3</v>
      </c>
      <c r="AF45" s="57" t="s">
        <v>95</v>
      </c>
      <c r="AG45" s="58">
        <v>360</v>
      </c>
      <c r="AH45" s="58">
        <v>240</v>
      </c>
      <c r="AI45" s="58">
        <v>600</v>
      </c>
      <c r="AJ45" s="49">
        <v>150</v>
      </c>
      <c r="AK45" s="49">
        <v>750</v>
      </c>
      <c r="AL45" s="52">
        <v>75</v>
      </c>
      <c r="AM45" s="52">
        <v>390</v>
      </c>
      <c r="AN45" s="52">
        <v>465</v>
      </c>
      <c r="AO45" s="59">
        <v>0.62</v>
      </c>
      <c r="AP45" s="60">
        <v>285</v>
      </c>
      <c r="AQ45" s="61">
        <v>0.38</v>
      </c>
      <c r="AR45" s="60" t="s">
        <v>78</v>
      </c>
      <c r="AS45" s="62">
        <v>576</v>
      </c>
      <c r="AT45" s="62">
        <v>384</v>
      </c>
      <c r="AU45" s="62">
        <v>960</v>
      </c>
      <c r="AV45" s="62">
        <v>1200</v>
      </c>
      <c r="AW45" s="47" t="s">
        <v>74</v>
      </c>
      <c r="AX45" s="64"/>
      <c r="AY45" s="64" t="s">
        <v>1601</v>
      </c>
      <c r="AZ45" s="86"/>
      <c r="BA45" s="46" t="s">
        <v>74</v>
      </c>
      <c r="BB45" s="26"/>
      <c r="BC45" s="26"/>
      <c r="BD45" s="70" t="s">
        <v>1592</v>
      </c>
      <c r="BE45" s="46" t="e">
        <v>#REF!</v>
      </c>
      <c r="BF45" s="46" t="s">
        <v>75</v>
      </c>
      <c r="BG45" s="65">
        <v>2</v>
      </c>
      <c r="BH45" s="66" t="s">
        <v>1602</v>
      </c>
      <c r="BI45" s="63" t="s">
        <v>1603</v>
      </c>
    </row>
    <row r="46" spans="1:61" ht="165.75" x14ac:dyDescent="0.2">
      <c r="A46" s="45" t="s">
        <v>1604</v>
      </c>
      <c r="B46" s="46"/>
      <c r="C46" s="46" t="s">
        <v>1561</v>
      </c>
      <c r="D46" s="46" t="s">
        <v>1589</v>
      </c>
      <c r="E46" s="46" t="s">
        <v>1499</v>
      </c>
      <c r="F46" s="46" t="s">
        <v>1550</v>
      </c>
      <c r="G46" s="46" t="s">
        <v>1605</v>
      </c>
      <c r="H46" s="46" t="s">
        <v>1606</v>
      </c>
      <c r="I46" s="46" t="s">
        <v>1450</v>
      </c>
      <c r="J46" s="46" t="s">
        <v>71</v>
      </c>
      <c r="K46" s="47">
        <v>300</v>
      </c>
      <c r="L46" s="47">
        <f>(12*10)+20</f>
        <v>140</v>
      </c>
      <c r="M46" s="47">
        <v>440</v>
      </c>
      <c r="N46" s="46" t="s">
        <v>1451</v>
      </c>
      <c r="O46" s="71" t="s">
        <v>1607</v>
      </c>
      <c r="P46" s="46" t="s">
        <v>1565</v>
      </c>
      <c r="Q46" s="46" t="s">
        <v>1347</v>
      </c>
      <c r="R46" s="46" t="s">
        <v>1444</v>
      </c>
      <c r="S46" s="49">
        <v>110</v>
      </c>
      <c r="T46" s="49">
        <v>550</v>
      </c>
      <c r="U46" s="67">
        <v>0.39090909090909093</v>
      </c>
      <c r="V46" s="67">
        <v>0.44545454545454544</v>
      </c>
      <c r="W46" s="51">
        <v>0.46666666666666667</v>
      </c>
      <c r="X46" s="52">
        <v>55</v>
      </c>
      <c r="Y46" s="52">
        <v>30</v>
      </c>
      <c r="Z46" s="52">
        <v>250</v>
      </c>
      <c r="AA46" s="52">
        <v>335</v>
      </c>
      <c r="AB46" s="53">
        <v>0.60909090909090913</v>
      </c>
      <c r="AC46" s="72">
        <v>215</v>
      </c>
      <c r="AD46" s="55">
        <v>0.39090909090909093</v>
      </c>
      <c r="AE46" s="73">
        <v>3</v>
      </c>
      <c r="AF46" s="57" t="s">
        <v>95</v>
      </c>
      <c r="AG46" s="58">
        <v>300</v>
      </c>
      <c r="AH46" s="58">
        <v>140</v>
      </c>
      <c r="AI46" s="58">
        <v>440</v>
      </c>
      <c r="AJ46" s="49">
        <v>110</v>
      </c>
      <c r="AK46" s="49">
        <v>550</v>
      </c>
      <c r="AL46" s="52">
        <v>55</v>
      </c>
      <c r="AM46" s="52">
        <v>250</v>
      </c>
      <c r="AN46" s="52">
        <v>305</v>
      </c>
      <c r="AO46" s="59">
        <v>0.55454545454545456</v>
      </c>
      <c r="AP46" s="60">
        <v>245</v>
      </c>
      <c r="AQ46" s="61">
        <v>0.44545454545454544</v>
      </c>
      <c r="AR46" s="60" t="s">
        <v>78</v>
      </c>
      <c r="AS46" s="62">
        <v>480</v>
      </c>
      <c r="AT46" s="62">
        <v>224</v>
      </c>
      <c r="AU46" s="62">
        <v>704</v>
      </c>
      <c r="AV46" s="62">
        <v>880</v>
      </c>
      <c r="AW46" s="47" t="s">
        <v>74</v>
      </c>
      <c r="AX46" s="64"/>
      <c r="AY46" s="64" t="s">
        <v>1608</v>
      </c>
      <c r="AZ46" s="86"/>
      <c r="BA46" s="46" t="s">
        <v>74</v>
      </c>
      <c r="BB46" s="26"/>
      <c r="BC46" s="26"/>
      <c r="BD46" s="70" t="s">
        <v>1609</v>
      </c>
      <c r="BE46" s="46" t="e">
        <v>#REF!</v>
      </c>
      <c r="BF46" s="46" t="s">
        <v>75</v>
      </c>
      <c r="BG46" s="65">
        <v>2</v>
      </c>
      <c r="BH46" s="66" t="s">
        <v>1610</v>
      </c>
      <c r="BI46" s="63" t="s">
        <v>1611</v>
      </c>
    </row>
    <row r="47" spans="1:61" ht="165.75" x14ac:dyDescent="0.2">
      <c r="A47" s="45" t="s">
        <v>1612</v>
      </c>
      <c r="B47" s="46"/>
      <c r="C47" s="46" t="s">
        <v>1561</v>
      </c>
      <c r="D47" s="46" t="s">
        <v>1589</v>
      </c>
      <c r="E47" s="46" t="s">
        <v>1499</v>
      </c>
      <c r="F47" s="46" t="s">
        <v>1550</v>
      </c>
      <c r="G47" s="46" t="s">
        <v>1605</v>
      </c>
      <c r="H47" s="46" t="s">
        <v>1606</v>
      </c>
      <c r="I47" s="46" t="s">
        <v>1459</v>
      </c>
      <c r="J47" s="46" t="s">
        <v>71</v>
      </c>
      <c r="K47" s="47">
        <v>340</v>
      </c>
      <c r="L47" s="47">
        <f>(12*15)+20</f>
        <v>200</v>
      </c>
      <c r="M47" s="47">
        <v>540</v>
      </c>
      <c r="N47" s="46" t="s">
        <v>1451</v>
      </c>
      <c r="O47" s="71" t="s">
        <v>1613</v>
      </c>
      <c r="P47" s="46" t="s">
        <v>1565</v>
      </c>
      <c r="Q47" s="46" t="s">
        <v>1347</v>
      </c>
      <c r="R47" s="46" t="s">
        <v>1444</v>
      </c>
      <c r="S47" s="49">
        <v>135</v>
      </c>
      <c r="T47" s="49">
        <v>675</v>
      </c>
      <c r="U47" s="67">
        <v>0.35925925925925928</v>
      </c>
      <c r="V47" s="67">
        <v>0.40370370370370373</v>
      </c>
      <c r="W47" s="51">
        <v>0.58823529411764708</v>
      </c>
      <c r="X47" s="52">
        <v>67.5</v>
      </c>
      <c r="Y47" s="52">
        <v>30</v>
      </c>
      <c r="Z47" s="52">
        <v>335</v>
      </c>
      <c r="AA47" s="52">
        <v>432.5</v>
      </c>
      <c r="AB47" s="53">
        <v>0.64074074074074072</v>
      </c>
      <c r="AC47" s="72">
        <v>242.5</v>
      </c>
      <c r="AD47" s="55">
        <v>0.35925925925925928</v>
      </c>
      <c r="AE47" s="73">
        <v>3</v>
      </c>
      <c r="AF47" s="57" t="s">
        <v>95</v>
      </c>
      <c r="AG47" s="58">
        <v>340</v>
      </c>
      <c r="AH47" s="58">
        <v>200</v>
      </c>
      <c r="AI47" s="58">
        <v>540</v>
      </c>
      <c r="AJ47" s="49">
        <v>135</v>
      </c>
      <c r="AK47" s="49">
        <v>675</v>
      </c>
      <c r="AL47" s="52">
        <v>67.5</v>
      </c>
      <c r="AM47" s="52">
        <v>335</v>
      </c>
      <c r="AN47" s="52">
        <v>402.5</v>
      </c>
      <c r="AO47" s="59">
        <v>0.59629629629629632</v>
      </c>
      <c r="AP47" s="60">
        <v>272.5</v>
      </c>
      <c r="AQ47" s="61">
        <v>0.40370370370370373</v>
      </c>
      <c r="AR47" s="60" t="s">
        <v>78</v>
      </c>
      <c r="AS47" s="62">
        <v>544</v>
      </c>
      <c r="AT47" s="62">
        <v>320</v>
      </c>
      <c r="AU47" s="62">
        <v>864</v>
      </c>
      <c r="AV47" s="62">
        <v>1080</v>
      </c>
      <c r="AW47" s="47" t="s">
        <v>74</v>
      </c>
      <c r="AX47" s="64">
        <v>45142</v>
      </c>
      <c r="AY47" s="64" t="s">
        <v>1614</v>
      </c>
      <c r="AZ47" s="86"/>
      <c r="BA47" s="46" t="s">
        <v>74</v>
      </c>
      <c r="BB47" s="26"/>
      <c r="BC47" s="26"/>
      <c r="BD47" s="70" t="s">
        <v>1609</v>
      </c>
      <c r="BE47" s="46" t="e">
        <v>#REF!</v>
      </c>
      <c r="BF47" s="46" t="s">
        <v>75</v>
      </c>
      <c r="BG47" s="65">
        <v>2</v>
      </c>
      <c r="BH47" s="66"/>
      <c r="BI47" s="63" t="s">
        <v>1615</v>
      </c>
    </row>
    <row r="48" spans="1:61" ht="165.75" x14ac:dyDescent="0.2">
      <c r="A48" s="45" t="s">
        <v>1616</v>
      </c>
      <c r="B48" s="46"/>
      <c r="C48" s="46" t="s">
        <v>1561</v>
      </c>
      <c r="D48" s="46" t="s">
        <v>1589</v>
      </c>
      <c r="E48" s="46" t="s">
        <v>1499</v>
      </c>
      <c r="F48" s="46" t="s">
        <v>1550</v>
      </c>
      <c r="G48" s="46" t="s">
        <v>1605</v>
      </c>
      <c r="H48" s="46" t="s">
        <v>1606</v>
      </c>
      <c r="I48" s="46" t="s">
        <v>1464</v>
      </c>
      <c r="J48" s="46" t="s">
        <v>71</v>
      </c>
      <c r="K48" s="47">
        <v>380</v>
      </c>
      <c r="L48" s="47">
        <f>(12*20)+20</f>
        <v>260</v>
      </c>
      <c r="M48" s="47">
        <v>640</v>
      </c>
      <c r="N48" s="46" t="s">
        <v>1451</v>
      </c>
      <c r="O48" s="71" t="s">
        <v>1617</v>
      </c>
      <c r="P48" s="46" t="s">
        <v>1565</v>
      </c>
      <c r="Q48" s="46" t="s">
        <v>1347</v>
      </c>
      <c r="R48" s="46" t="s">
        <v>1444</v>
      </c>
      <c r="S48" s="49">
        <v>160</v>
      </c>
      <c r="T48" s="49">
        <v>800</v>
      </c>
      <c r="U48" s="67">
        <v>0.33750000000000002</v>
      </c>
      <c r="V48" s="67">
        <v>0.375</v>
      </c>
      <c r="W48" s="51">
        <v>0.68421052631578949</v>
      </c>
      <c r="X48" s="52">
        <v>80</v>
      </c>
      <c r="Y48" s="52">
        <v>30</v>
      </c>
      <c r="Z48" s="52">
        <v>420</v>
      </c>
      <c r="AA48" s="52">
        <v>530</v>
      </c>
      <c r="AB48" s="53">
        <v>0.66249999999999998</v>
      </c>
      <c r="AC48" s="72">
        <v>270</v>
      </c>
      <c r="AD48" s="55">
        <v>0.33750000000000002</v>
      </c>
      <c r="AE48" s="73">
        <v>3</v>
      </c>
      <c r="AF48" s="57" t="s">
        <v>95</v>
      </c>
      <c r="AG48" s="58">
        <v>380</v>
      </c>
      <c r="AH48" s="58">
        <v>260</v>
      </c>
      <c r="AI48" s="58">
        <v>640</v>
      </c>
      <c r="AJ48" s="49">
        <v>160</v>
      </c>
      <c r="AK48" s="49">
        <v>800</v>
      </c>
      <c r="AL48" s="52">
        <v>80</v>
      </c>
      <c r="AM48" s="52">
        <v>420</v>
      </c>
      <c r="AN48" s="52">
        <v>500</v>
      </c>
      <c r="AO48" s="59">
        <v>0.625</v>
      </c>
      <c r="AP48" s="60">
        <v>300</v>
      </c>
      <c r="AQ48" s="61">
        <v>0.375</v>
      </c>
      <c r="AR48" s="60" t="s">
        <v>78</v>
      </c>
      <c r="AS48" s="62">
        <v>608</v>
      </c>
      <c r="AT48" s="62">
        <v>416</v>
      </c>
      <c r="AU48" s="62">
        <v>1024</v>
      </c>
      <c r="AV48" s="62">
        <v>1280</v>
      </c>
      <c r="AW48" s="47" t="s">
        <v>74</v>
      </c>
      <c r="AX48" s="64"/>
      <c r="AY48" s="64" t="s">
        <v>1618</v>
      </c>
      <c r="AZ48" s="86"/>
      <c r="BA48" s="46" t="s">
        <v>74</v>
      </c>
      <c r="BB48" s="26"/>
      <c r="BC48" s="26"/>
      <c r="BD48" s="70" t="s">
        <v>1609</v>
      </c>
      <c r="BE48" s="46" t="e">
        <v>#REF!</v>
      </c>
      <c r="BF48" s="46" t="s">
        <v>75</v>
      </c>
      <c r="BG48" s="65">
        <v>2</v>
      </c>
      <c r="BH48" s="66" t="s">
        <v>1619</v>
      </c>
      <c r="BI48" s="63" t="s">
        <v>1620</v>
      </c>
    </row>
    <row r="49" spans="1:61" ht="165.75" x14ac:dyDescent="0.2">
      <c r="A49" s="45" t="s">
        <v>1621</v>
      </c>
      <c r="B49" s="46"/>
      <c r="C49" s="46" t="s">
        <v>1561</v>
      </c>
      <c r="D49" s="46" t="s">
        <v>1589</v>
      </c>
      <c r="E49" s="46" t="s">
        <v>1499</v>
      </c>
      <c r="F49" s="46" t="s">
        <v>1550</v>
      </c>
      <c r="G49" s="46" t="s">
        <v>1622</v>
      </c>
      <c r="H49" s="46" t="s">
        <v>1623</v>
      </c>
      <c r="I49" s="46" t="s">
        <v>1450</v>
      </c>
      <c r="J49" s="46" t="s">
        <v>71</v>
      </c>
      <c r="K49" s="47">
        <v>300</v>
      </c>
      <c r="L49" s="47">
        <f>(12*10)+65</f>
        <v>185</v>
      </c>
      <c r="M49" s="47">
        <v>485</v>
      </c>
      <c r="N49" s="46" t="s">
        <v>1451</v>
      </c>
      <c r="O49" s="71" t="s">
        <v>1624</v>
      </c>
      <c r="P49" s="46" t="s">
        <v>1565</v>
      </c>
      <c r="Q49" s="46" t="s">
        <v>1347</v>
      </c>
      <c r="R49" s="46" t="s">
        <v>1444</v>
      </c>
      <c r="S49" s="49">
        <v>121.25</v>
      </c>
      <c r="T49" s="49">
        <v>606.25</v>
      </c>
      <c r="U49" s="67">
        <v>0.34536082474226804</v>
      </c>
      <c r="V49" s="67">
        <v>0.39484536082474225</v>
      </c>
      <c r="W49" s="51">
        <v>0.6166666666666667</v>
      </c>
      <c r="X49" s="52">
        <v>60.625</v>
      </c>
      <c r="Y49" s="52">
        <v>30</v>
      </c>
      <c r="Z49" s="52">
        <v>306.25</v>
      </c>
      <c r="AA49" s="52">
        <v>396.875</v>
      </c>
      <c r="AB49" s="53">
        <v>0.65463917525773196</v>
      </c>
      <c r="AC49" s="72">
        <v>209.375</v>
      </c>
      <c r="AD49" s="55">
        <v>0.34536082474226804</v>
      </c>
      <c r="AE49" s="73">
        <v>3</v>
      </c>
      <c r="AF49" s="57" t="s">
        <v>95</v>
      </c>
      <c r="AG49" s="58">
        <v>300</v>
      </c>
      <c r="AH49" s="58">
        <v>185</v>
      </c>
      <c r="AI49" s="58">
        <v>485</v>
      </c>
      <c r="AJ49" s="49">
        <v>121.25</v>
      </c>
      <c r="AK49" s="49">
        <v>606.25</v>
      </c>
      <c r="AL49" s="52">
        <v>60.625</v>
      </c>
      <c r="AM49" s="52">
        <v>306.25</v>
      </c>
      <c r="AN49" s="52">
        <v>366.875</v>
      </c>
      <c r="AO49" s="59">
        <v>0.60515463917525769</v>
      </c>
      <c r="AP49" s="60">
        <v>239.375</v>
      </c>
      <c r="AQ49" s="61">
        <v>0.39484536082474225</v>
      </c>
      <c r="AR49" s="60" t="s">
        <v>78</v>
      </c>
      <c r="AS49" s="62">
        <v>480</v>
      </c>
      <c r="AT49" s="62">
        <v>296</v>
      </c>
      <c r="AU49" s="62">
        <v>776</v>
      </c>
      <c r="AV49" s="62">
        <v>970</v>
      </c>
      <c r="AW49" s="47" t="s">
        <v>74</v>
      </c>
      <c r="AX49" s="64"/>
      <c r="AY49" s="64" t="s">
        <v>1625</v>
      </c>
      <c r="AZ49" s="86"/>
      <c r="BA49" s="46" t="s">
        <v>74</v>
      </c>
      <c r="BB49" s="26"/>
      <c r="BC49" s="26"/>
      <c r="BD49" s="70" t="s">
        <v>1580</v>
      </c>
      <c r="BE49" s="46" t="e">
        <v>#REF!</v>
      </c>
      <c r="BF49" s="46" t="s">
        <v>75</v>
      </c>
      <c r="BG49" s="65">
        <v>2</v>
      </c>
      <c r="BH49" s="66" t="s">
        <v>1626</v>
      </c>
      <c r="BI49" s="63" t="s">
        <v>1627</v>
      </c>
    </row>
    <row r="50" spans="1:61" ht="165.75" x14ac:dyDescent="0.2">
      <c r="A50" s="45" t="s">
        <v>1628</v>
      </c>
      <c r="B50" s="46"/>
      <c r="C50" s="46" t="s">
        <v>1561</v>
      </c>
      <c r="D50" s="46" t="s">
        <v>1589</v>
      </c>
      <c r="E50" s="46" t="s">
        <v>1499</v>
      </c>
      <c r="F50" s="46" t="s">
        <v>1550</v>
      </c>
      <c r="G50" s="46" t="s">
        <v>1622</v>
      </c>
      <c r="H50" s="46" t="s">
        <v>1623</v>
      </c>
      <c r="I50" s="46" t="s">
        <v>1459</v>
      </c>
      <c r="J50" s="46" t="s">
        <v>71</v>
      </c>
      <c r="K50" s="47">
        <v>340</v>
      </c>
      <c r="L50" s="47">
        <f>(12*15)+65</f>
        <v>245</v>
      </c>
      <c r="M50" s="47">
        <v>585</v>
      </c>
      <c r="N50" s="46" t="s">
        <v>1451</v>
      </c>
      <c r="O50" s="71" t="s">
        <v>1629</v>
      </c>
      <c r="P50" s="46" t="s">
        <v>1565</v>
      </c>
      <c r="Q50" s="46" t="s">
        <v>1347</v>
      </c>
      <c r="R50" s="46" t="s">
        <v>1444</v>
      </c>
      <c r="S50" s="49">
        <v>146.25</v>
      </c>
      <c r="T50" s="49">
        <v>731.25</v>
      </c>
      <c r="U50" s="67">
        <v>0.32393162393162395</v>
      </c>
      <c r="V50" s="67">
        <v>0.36495726495726494</v>
      </c>
      <c r="W50" s="51">
        <v>0.72058823529411764</v>
      </c>
      <c r="X50" s="52">
        <v>73.125</v>
      </c>
      <c r="Y50" s="52">
        <v>30</v>
      </c>
      <c r="Z50" s="52">
        <v>391.25</v>
      </c>
      <c r="AA50" s="52">
        <v>494.375</v>
      </c>
      <c r="AB50" s="53">
        <v>0.67606837606837611</v>
      </c>
      <c r="AC50" s="72">
        <v>236.875</v>
      </c>
      <c r="AD50" s="55">
        <v>0.32393162393162395</v>
      </c>
      <c r="AE50" s="73">
        <v>3</v>
      </c>
      <c r="AF50" s="57" t="s">
        <v>95</v>
      </c>
      <c r="AG50" s="58">
        <v>340</v>
      </c>
      <c r="AH50" s="58">
        <v>245</v>
      </c>
      <c r="AI50" s="58">
        <v>585</v>
      </c>
      <c r="AJ50" s="49">
        <v>146.25</v>
      </c>
      <c r="AK50" s="49">
        <v>731.25</v>
      </c>
      <c r="AL50" s="52">
        <v>73.125</v>
      </c>
      <c r="AM50" s="52">
        <v>391.25</v>
      </c>
      <c r="AN50" s="52">
        <v>464.375</v>
      </c>
      <c r="AO50" s="59">
        <v>0.63504273504273501</v>
      </c>
      <c r="AP50" s="60">
        <v>266.875</v>
      </c>
      <c r="AQ50" s="61">
        <v>0.36495726495726494</v>
      </c>
      <c r="AR50" s="60" t="s">
        <v>78</v>
      </c>
      <c r="AS50" s="62">
        <v>544</v>
      </c>
      <c r="AT50" s="62">
        <v>392</v>
      </c>
      <c r="AU50" s="62">
        <v>936</v>
      </c>
      <c r="AV50" s="62">
        <v>1170</v>
      </c>
      <c r="AW50" s="47" t="s">
        <v>74</v>
      </c>
      <c r="AX50" s="64">
        <v>45142</v>
      </c>
      <c r="AY50" s="64" t="s">
        <v>1630</v>
      </c>
      <c r="AZ50" s="86"/>
      <c r="BA50" s="46" t="s">
        <v>74</v>
      </c>
      <c r="BB50" s="26"/>
      <c r="BC50" s="26"/>
      <c r="BD50" s="70" t="s">
        <v>1580</v>
      </c>
      <c r="BE50" s="46" t="e">
        <v>#REF!</v>
      </c>
      <c r="BF50" s="46" t="s">
        <v>75</v>
      </c>
      <c r="BG50" s="65">
        <v>2</v>
      </c>
      <c r="BH50" s="66"/>
      <c r="BI50" s="63" t="s">
        <v>1631</v>
      </c>
    </row>
    <row r="51" spans="1:61" ht="165.75" x14ac:dyDescent="0.2">
      <c r="A51" s="45" t="s">
        <v>1632</v>
      </c>
      <c r="B51" s="46"/>
      <c r="C51" s="46" t="s">
        <v>1561</v>
      </c>
      <c r="D51" s="46" t="s">
        <v>1589</v>
      </c>
      <c r="E51" s="46" t="s">
        <v>1499</v>
      </c>
      <c r="F51" s="46" t="s">
        <v>1550</v>
      </c>
      <c r="G51" s="46" t="s">
        <v>1622</v>
      </c>
      <c r="H51" s="46" t="s">
        <v>1623</v>
      </c>
      <c r="I51" s="46" t="s">
        <v>1464</v>
      </c>
      <c r="J51" s="46" t="s">
        <v>71</v>
      </c>
      <c r="K51" s="47">
        <v>380</v>
      </c>
      <c r="L51" s="47">
        <f>(12*20)+65</f>
        <v>305</v>
      </c>
      <c r="M51" s="47">
        <v>685</v>
      </c>
      <c r="N51" s="46" t="s">
        <v>1451</v>
      </c>
      <c r="O51" s="71" t="s">
        <v>1633</v>
      </c>
      <c r="P51" s="46" t="s">
        <v>1565</v>
      </c>
      <c r="Q51" s="46" t="s">
        <v>1347</v>
      </c>
      <c r="R51" s="46" t="s">
        <v>1444</v>
      </c>
      <c r="S51" s="49">
        <v>171.25</v>
      </c>
      <c r="T51" s="49">
        <v>856.25</v>
      </c>
      <c r="U51" s="67">
        <v>0.30875912408759126</v>
      </c>
      <c r="V51" s="67">
        <v>0.3437956204379562</v>
      </c>
      <c r="W51" s="51">
        <v>0.80263157894736847</v>
      </c>
      <c r="X51" s="52">
        <v>85.625</v>
      </c>
      <c r="Y51" s="52">
        <v>30</v>
      </c>
      <c r="Z51" s="52">
        <v>476.25</v>
      </c>
      <c r="AA51" s="52">
        <v>591.875</v>
      </c>
      <c r="AB51" s="53">
        <v>0.69124087591240879</v>
      </c>
      <c r="AC51" s="72">
        <v>264.375</v>
      </c>
      <c r="AD51" s="55">
        <v>0.30875912408759126</v>
      </c>
      <c r="AE51" s="73">
        <v>3</v>
      </c>
      <c r="AF51" s="57" t="s">
        <v>95</v>
      </c>
      <c r="AG51" s="58">
        <v>380</v>
      </c>
      <c r="AH51" s="58">
        <v>305</v>
      </c>
      <c r="AI51" s="58">
        <v>685</v>
      </c>
      <c r="AJ51" s="49">
        <v>171.25</v>
      </c>
      <c r="AK51" s="49">
        <v>856.25</v>
      </c>
      <c r="AL51" s="52">
        <v>85.625</v>
      </c>
      <c r="AM51" s="52">
        <v>476.25</v>
      </c>
      <c r="AN51" s="52">
        <v>561.875</v>
      </c>
      <c r="AO51" s="59">
        <v>0.6562043795620438</v>
      </c>
      <c r="AP51" s="60">
        <v>294.375</v>
      </c>
      <c r="AQ51" s="61">
        <v>0.3437956204379562</v>
      </c>
      <c r="AR51" s="60" t="s">
        <v>78</v>
      </c>
      <c r="AS51" s="62">
        <v>608</v>
      </c>
      <c r="AT51" s="62">
        <v>488</v>
      </c>
      <c r="AU51" s="62">
        <v>1096</v>
      </c>
      <c r="AV51" s="62">
        <v>1370</v>
      </c>
      <c r="AW51" s="47" t="s">
        <v>74</v>
      </c>
      <c r="AX51" s="64"/>
      <c r="AY51" s="64" t="s">
        <v>1634</v>
      </c>
      <c r="AZ51" s="86"/>
      <c r="BA51" s="46" t="s">
        <v>74</v>
      </c>
      <c r="BB51" s="26"/>
      <c r="BC51" s="26"/>
      <c r="BD51" s="70" t="s">
        <v>1580</v>
      </c>
      <c r="BE51" s="46" t="e">
        <v>#REF!</v>
      </c>
      <c r="BF51" s="46" t="s">
        <v>75</v>
      </c>
      <c r="BG51" s="65">
        <v>2</v>
      </c>
      <c r="BH51" s="66" t="s">
        <v>1635</v>
      </c>
      <c r="BI51" s="63" t="s">
        <v>1636</v>
      </c>
    </row>
    <row r="52" spans="1:61" ht="102" x14ac:dyDescent="0.2">
      <c r="A52" s="45" t="s">
        <v>1637</v>
      </c>
      <c r="B52" s="46"/>
      <c r="C52" s="46" t="s">
        <v>1497</v>
      </c>
      <c r="D52" s="46" t="s">
        <v>1449</v>
      </c>
      <c r="E52" s="46" t="s">
        <v>1499</v>
      </c>
      <c r="F52" s="46" t="s">
        <v>1550</v>
      </c>
      <c r="G52" s="46" t="s">
        <v>68</v>
      </c>
      <c r="H52" s="46" t="s">
        <v>68</v>
      </c>
      <c r="I52" s="46" t="s">
        <v>1450</v>
      </c>
      <c r="J52" s="46" t="s">
        <v>71</v>
      </c>
      <c r="K52" s="47">
        <v>330</v>
      </c>
      <c r="L52" s="47">
        <f>22*10</f>
        <v>220</v>
      </c>
      <c r="M52" s="47">
        <v>550</v>
      </c>
      <c r="N52" s="46" t="s">
        <v>1451</v>
      </c>
      <c r="O52" s="71" t="s">
        <v>1638</v>
      </c>
      <c r="P52" s="46" t="s">
        <v>1453</v>
      </c>
      <c r="Q52" s="46" t="s">
        <v>1347</v>
      </c>
      <c r="R52" s="46" t="s">
        <v>1444</v>
      </c>
      <c r="S52" s="49">
        <v>137.5</v>
      </c>
      <c r="T52" s="49">
        <v>687.5</v>
      </c>
      <c r="U52" s="67">
        <v>0.33636363636363636</v>
      </c>
      <c r="V52" s="67">
        <v>0.38</v>
      </c>
      <c r="W52" s="51">
        <v>0.66666666666666663</v>
      </c>
      <c r="X52" s="52">
        <v>68.75</v>
      </c>
      <c r="Y52" s="52">
        <v>30</v>
      </c>
      <c r="Z52" s="52">
        <v>357.5</v>
      </c>
      <c r="AA52" s="52">
        <v>456.25</v>
      </c>
      <c r="AB52" s="53">
        <v>0.66363636363636369</v>
      </c>
      <c r="AC52" s="72">
        <v>231.25</v>
      </c>
      <c r="AD52" s="55">
        <v>0.33636363636363636</v>
      </c>
      <c r="AE52" s="73">
        <v>3</v>
      </c>
      <c r="AF52" s="57" t="s">
        <v>95</v>
      </c>
      <c r="AG52" s="58">
        <v>330</v>
      </c>
      <c r="AH52" s="58">
        <v>220</v>
      </c>
      <c r="AI52" s="58">
        <v>550</v>
      </c>
      <c r="AJ52" s="49">
        <v>137.5</v>
      </c>
      <c r="AK52" s="49">
        <v>687.5</v>
      </c>
      <c r="AL52" s="52">
        <v>68.75</v>
      </c>
      <c r="AM52" s="52">
        <v>357.5</v>
      </c>
      <c r="AN52" s="52">
        <v>426.25</v>
      </c>
      <c r="AO52" s="59">
        <v>0.62</v>
      </c>
      <c r="AP52" s="60">
        <v>261.25</v>
      </c>
      <c r="AQ52" s="61">
        <v>0.38</v>
      </c>
      <c r="AR52" s="60" t="s">
        <v>78</v>
      </c>
      <c r="AS52" s="62">
        <v>528</v>
      </c>
      <c r="AT52" s="62">
        <v>352</v>
      </c>
      <c r="AU52" s="62">
        <v>880</v>
      </c>
      <c r="AV52" s="62">
        <v>1100</v>
      </c>
      <c r="AW52" s="47" t="s">
        <v>74</v>
      </c>
      <c r="AX52" s="64"/>
      <c r="AY52" s="64" t="s">
        <v>1639</v>
      </c>
      <c r="AZ52" s="86"/>
      <c r="BA52" s="46" t="s">
        <v>74</v>
      </c>
      <c r="BB52" s="26"/>
      <c r="BC52" s="26"/>
      <c r="BD52" s="70" t="s">
        <v>1640</v>
      </c>
      <c r="BE52" s="46" t="e">
        <v>#REF!</v>
      </c>
      <c r="BF52" s="46" t="s">
        <v>75</v>
      </c>
      <c r="BG52" s="65">
        <v>2</v>
      </c>
      <c r="BH52" s="66" t="s">
        <v>1641</v>
      </c>
      <c r="BI52" s="63" t="s">
        <v>1642</v>
      </c>
    </row>
    <row r="53" spans="1:61" ht="102" x14ac:dyDescent="0.2">
      <c r="A53" s="45" t="s">
        <v>1643</v>
      </c>
      <c r="B53" s="46"/>
      <c r="C53" s="46" t="s">
        <v>1497</v>
      </c>
      <c r="D53" s="46" t="s">
        <v>1449</v>
      </c>
      <c r="E53" s="46" t="s">
        <v>1499</v>
      </c>
      <c r="F53" s="46" t="s">
        <v>1550</v>
      </c>
      <c r="G53" s="46" t="s">
        <v>68</v>
      </c>
      <c r="H53" s="46" t="s">
        <v>68</v>
      </c>
      <c r="I53" s="46" t="s">
        <v>1459</v>
      </c>
      <c r="J53" s="46" t="s">
        <v>71</v>
      </c>
      <c r="K53" s="47">
        <v>450</v>
      </c>
      <c r="L53" s="47">
        <f>22*15</f>
        <v>330</v>
      </c>
      <c r="M53" s="47">
        <v>780</v>
      </c>
      <c r="N53" s="46" t="s">
        <v>1451</v>
      </c>
      <c r="O53" s="71" t="s">
        <v>1644</v>
      </c>
      <c r="P53" s="46" t="s">
        <v>1453</v>
      </c>
      <c r="Q53" s="46" t="s">
        <v>1347</v>
      </c>
      <c r="R53" s="46" t="s">
        <v>1444</v>
      </c>
      <c r="S53" s="49">
        <v>195</v>
      </c>
      <c r="T53" s="49">
        <v>975</v>
      </c>
      <c r="U53" s="67">
        <v>0.33076923076923076</v>
      </c>
      <c r="V53" s="67">
        <v>0.36153846153846153</v>
      </c>
      <c r="W53" s="51">
        <v>0.73333333333333328</v>
      </c>
      <c r="X53" s="52">
        <v>97.5</v>
      </c>
      <c r="Y53" s="52">
        <v>30</v>
      </c>
      <c r="Z53" s="52">
        <v>525</v>
      </c>
      <c r="AA53" s="52">
        <v>652.5</v>
      </c>
      <c r="AB53" s="53">
        <v>0.66923076923076918</v>
      </c>
      <c r="AC53" s="72">
        <v>322.5</v>
      </c>
      <c r="AD53" s="55">
        <v>0.33076923076923076</v>
      </c>
      <c r="AE53" s="73">
        <v>3</v>
      </c>
      <c r="AF53" s="57" t="s">
        <v>95</v>
      </c>
      <c r="AG53" s="58">
        <v>450</v>
      </c>
      <c r="AH53" s="58">
        <v>330</v>
      </c>
      <c r="AI53" s="58">
        <v>780</v>
      </c>
      <c r="AJ53" s="49">
        <v>195</v>
      </c>
      <c r="AK53" s="49">
        <v>975</v>
      </c>
      <c r="AL53" s="52">
        <v>97.5</v>
      </c>
      <c r="AM53" s="52">
        <v>525</v>
      </c>
      <c r="AN53" s="52">
        <v>622.5</v>
      </c>
      <c r="AO53" s="59">
        <v>0.63846153846153841</v>
      </c>
      <c r="AP53" s="60">
        <v>352.5</v>
      </c>
      <c r="AQ53" s="61">
        <v>0.36153846153846153</v>
      </c>
      <c r="AR53" s="60" t="s">
        <v>78</v>
      </c>
      <c r="AS53" s="62">
        <v>720</v>
      </c>
      <c r="AT53" s="62">
        <v>528</v>
      </c>
      <c r="AU53" s="62">
        <v>1248</v>
      </c>
      <c r="AV53" s="62">
        <v>1560</v>
      </c>
      <c r="AW53" s="47" t="s">
        <v>74</v>
      </c>
      <c r="AX53" s="64">
        <v>45142</v>
      </c>
      <c r="AY53" s="64" t="s">
        <v>1645</v>
      </c>
      <c r="AZ53" s="86"/>
      <c r="BA53" s="46" t="s">
        <v>74</v>
      </c>
      <c r="BB53" s="26"/>
      <c r="BC53" s="26"/>
      <c r="BD53" s="70" t="s">
        <v>1640</v>
      </c>
      <c r="BE53" s="46" t="e">
        <v>#REF!</v>
      </c>
      <c r="BF53" s="46" t="s">
        <v>75</v>
      </c>
      <c r="BG53" s="65">
        <v>2</v>
      </c>
      <c r="BH53" s="66"/>
      <c r="BI53" s="63" t="s">
        <v>1646</v>
      </c>
    </row>
    <row r="54" spans="1:61" ht="102" x14ac:dyDescent="0.2">
      <c r="A54" s="45" t="s">
        <v>1647</v>
      </c>
      <c r="B54" s="46"/>
      <c r="C54" s="46" t="s">
        <v>1497</v>
      </c>
      <c r="D54" s="46" t="s">
        <v>1449</v>
      </c>
      <c r="E54" s="46" t="s">
        <v>1499</v>
      </c>
      <c r="F54" s="46" t="s">
        <v>1550</v>
      </c>
      <c r="G54" s="46" t="s">
        <v>68</v>
      </c>
      <c r="H54" s="46" t="s">
        <v>68</v>
      </c>
      <c r="I54" s="46" t="s">
        <v>1464</v>
      </c>
      <c r="J54" s="46" t="s">
        <v>71</v>
      </c>
      <c r="K54" s="47">
        <v>530</v>
      </c>
      <c r="L54" s="47">
        <f>22*20</f>
        <v>440</v>
      </c>
      <c r="M54" s="47">
        <v>970</v>
      </c>
      <c r="N54" s="46" t="s">
        <v>1451</v>
      </c>
      <c r="O54" s="71" t="s">
        <v>1648</v>
      </c>
      <c r="P54" s="46" t="s">
        <v>1453</v>
      </c>
      <c r="Q54" s="46" t="s">
        <v>1347</v>
      </c>
      <c r="R54" s="46" t="s">
        <v>1444</v>
      </c>
      <c r="S54" s="49">
        <v>242.5</v>
      </c>
      <c r="T54" s="49">
        <v>1212.5</v>
      </c>
      <c r="U54" s="67">
        <v>0.31237113402061856</v>
      </c>
      <c r="V54" s="67">
        <v>0.33711340206185569</v>
      </c>
      <c r="W54" s="51">
        <v>0.83018867924528306</v>
      </c>
      <c r="X54" s="52">
        <v>121.25</v>
      </c>
      <c r="Y54" s="52">
        <v>30</v>
      </c>
      <c r="Z54" s="52">
        <v>682.5</v>
      </c>
      <c r="AA54" s="52">
        <v>833.75</v>
      </c>
      <c r="AB54" s="53">
        <v>0.68762886597938144</v>
      </c>
      <c r="AC54" s="72">
        <v>378.75</v>
      </c>
      <c r="AD54" s="55">
        <v>0.31237113402061856</v>
      </c>
      <c r="AE54" s="73">
        <v>3</v>
      </c>
      <c r="AF54" s="57" t="s">
        <v>95</v>
      </c>
      <c r="AG54" s="58">
        <v>530</v>
      </c>
      <c r="AH54" s="58">
        <v>440</v>
      </c>
      <c r="AI54" s="58">
        <v>970</v>
      </c>
      <c r="AJ54" s="49">
        <v>242.5</v>
      </c>
      <c r="AK54" s="49">
        <v>1212.5</v>
      </c>
      <c r="AL54" s="52">
        <v>121.25</v>
      </c>
      <c r="AM54" s="52">
        <v>682.5</v>
      </c>
      <c r="AN54" s="52">
        <v>803.75</v>
      </c>
      <c r="AO54" s="59">
        <v>0.66288659793814431</v>
      </c>
      <c r="AP54" s="60">
        <v>408.75</v>
      </c>
      <c r="AQ54" s="61">
        <v>0.33711340206185569</v>
      </c>
      <c r="AR54" s="60" t="s">
        <v>78</v>
      </c>
      <c r="AS54" s="62">
        <v>848</v>
      </c>
      <c r="AT54" s="62">
        <v>704</v>
      </c>
      <c r="AU54" s="62">
        <v>1552</v>
      </c>
      <c r="AV54" s="62">
        <v>1940</v>
      </c>
      <c r="AW54" s="47" t="s">
        <v>74</v>
      </c>
      <c r="AX54" s="64"/>
      <c r="AY54" s="64" t="s">
        <v>1649</v>
      </c>
      <c r="AZ54" s="86"/>
      <c r="BA54" s="46" t="s">
        <v>74</v>
      </c>
      <c r="BB54" s="26"/>
      <c r="BC54" s="26"/>
      <c r="BD54" s="70" t="s">
        <v>1640</v>
      </c>
      <c r="BE54" s="46" t="e">
        <v>#REF!</v>
      </c>
      <c r="BF54" s="46" t="s">
        <v>75</v>
      </c>
      <c r="BG54" s="65">
        <v>2</v>
      </c>
      <c r="BH54" s="66" t="s">
        <v>1650</v>
      </c>
      <c r="BI54" s="63" t="s">
        <v>1651</v>
      </c>
    </row>
    <row r="55" spans="1:61" ht="178.5" x14ac:dyDescent="0.2">
      <c r="A55" s="45" t="s">
        <v>1652</v>
      </c>
      <c r="B55" s="46"/>
      <c r="C55" s="46" t="s">
        <v>1561</v>
      </c>
      <c r="D55" s="46" t="s">
        <v>1449</v>
      </c>
      <c r="E55" s="46" t="s">
        <v>1499</v>
      </c>
      <c r="F55" s="46" t="s">
        <v>1550</v>
      </c>
      <c r="G55" s="46" t="s">
        <v>1653</v>
      </c>
      <c r="H55" s="46" t="s">
        <v>1654</v>
      </c>
      <c r="I55" s="46" t="s">
        <v>1450</v>
      </c>
      <c r="J55" s="46" t="s">
        <v>71</v>
      </c>
      <c r="K55" s="47">
        <v>350</v>
      </c>
      <c r="L55" s="47">
        <f>(22*10)+20</f>
        <v>240</v>
      </c>
      <c r="M55" s="47">
        <v>590</v>
      </c>
      <c r="N55" s="46" t="s">
        <v>1451</v>
      </c>
      <c r="O55" s="71" t="s">
        <v>1655</v>
      </c>
      <c r="P55" s="46" t="s">
        <v>1565</v>
      </c>
      <c r="Q55" s="46" t="s">
        <v>1347</v>
      </c>
      <c r="R55" s="46" t="s">
        <v>1444</v>
      </c>
      <c r="S55" s="49">
        <v>147.5</v>
      </c>
      <c r="T55" s="49">
        <v>737.5</v>
      </c>
      <c r="U55" s="67">
        <v>0.33389830508474577</v>
      </c>
      <c r="V55" s="67">
        <v>0.37457627118644066</v>
      </c>
      <c r="W55" s="51">
        <v>0.68571428571428572</v>
      </c>
      <c r="X55" s="52">
        <v>73.75</v>
      </c>
      <c r="Y55" s="52">
        <v>30</v>
      </c>
      <c r="Z55" s="52">
        <v>387.5</v>
      </c>
      <c r="AA55" s="52">
        <v>491.25</v>
      </c>
      <c r="AB55" s="53">
        <v>0.66610169491525428</v>
      </c>
      <c r="AC55" s="72">
        <v>246.25</v>
      </c>
      <c r="AD55" s="55">
        <v>0.33389830508474577</v>
      </c>
      <c r="AE55" s="73">
        <v>3</v>
      </c>
      <c r="AF55" s="57" t="s">
        <v>95</v>
      </c>
      <c r="AG55" s="58">
        <v>350</v>
      </c>
      <c r="AH55" s="58">
        <v>240</v>
      </c>
      <c r="AI55" s="58">
        <v>590</v>
      </c>
      <c r="AJ55" s="49">
        <v>147.5</v>
      </c>
      <c r="AK55" s="49">
        <v>737.5</v>
      </c>
      <c r="AL55" s="52">
        <v>73.75</v>
      </c>
      <c r="AM55" s="52">
        <v>387.5</v>
      </c>
      <c r="AN55" s="52">
        <v>461.25</v>
      </c>
      <c r="AO55" s="59">
        <v>0.62542372881355934</v>
      </c>
      <c r="AP55" s="60">
        <v>276.25</v>
      </c>
      <c r="AQ55" s="61">
        <v>0.37457627118644066</v>
      </c>
      <c r="AR55" s="60" t="s">
        <v>78</v>
      </c>
      <c r="AS55" s="62">
        <v>560</v>
      </c>
      <c r="AT55" s="62">
        <v>384</v>
      </c>
      <c r="AU55" s="62">
        <v>944</v>
      </c>
      <c r="AV55" s="62">
        <v>1180</v>
      </c>
      <c r="AW55" s="47" t="s">
        <v>74</v>
      </c>
      <c r="AX55" s="64"/>
      <c r="AY55" s="64" t="s">
        <v>1656</v>
      </c>
      <c r="AZ55" s="86"/>
      <c r="BA55" s="46" t="s">
        <v>74</v>
      </c>
      <c r="BB55" s="26"/>
      <c r="BC55" s="26"/>
      <c r="BD55" s="70" t="s">
        <v>1609</v>
      </c>
      <c r="BE55" s="46" t="e">
        <v>#REF!</v>
      </c>
      <c r="BF55" s="46" t="s">
        <v>75</v>
      </c>
      <c r="BG55" s="65">
        <v>2</v>
      </c>
      <c r="BH55" s="66" t="s">
        <v>1657</v>
      </c>
      <c r="BI55" s="63" t="s">
        <v>1658</v>
      </c>
    </row>
    <row r="56" spans="1:61" ht="178.5" x14ac:dyDescent="0.2">
      <c r="A56" s="45" t="s">
        <v>1659</v>
      </c>
      <c r="B56" s="46"/>
      <c r="C56" s="46" t="s">
        <v>1561</v>
      </c>
      <c r="D56" s="46" t="s">
        <v>1449</v>
      </c>
      <c r="E56" s="46" t="s">
        <v>1499</v>
      </c>
      <c r="F56" s="46" t="s">
        <v>1550</v>
      </c>
      <c r="G56" s="46" t="s">
        <v>1653</v>
      </c>
      <c r="H56" s="46" t="s">
        <v>1654</v>
      </c>
      <c r="I56" s="46" t="s">
        <v>1459</v>
      </c>
      <c r="J56" s="46" t="s">
        <v>71</v>
      </c>
      <c r="K56" s="47">
        <v>470</v>
      </c>
      <c r="L56" s="47">
        <f>(22*15)+20</f>
        <v>350</v>
      </c>
      <c r="M56" s="47">
        <v>820</v>
      </c>
      <c r="N56" s="46" t="s">
        <v>1451</v>
      </c>
      <c r="O56" s="71" t="s">
        <v>1660</v>
      </c>
      <c r="P56" s="46" t="s">
        <v>1565</v>
      </c>
      <c r="Q56" s="46" t="s">
        <v>1347</v>
      </c>
      <c r="R56" s="46" t="s">
        <v>1444</v>
      </c>
      <c r="S56" s="49">
        <v>205</v>
      </c>
      <c r="T56" s="49">
        <v>1025</v>
      </c>
      <c r="U56" s="67">
        <v>0.32926829268292684</v>
      </c>
      <c r="V56" s="67">
        <v>0.35853658536585364</v>
      </c>
      <c r="W56" s="51">
        <v>0.74468085106382975</v>
      </c>
      <c r="X56" s="52">
        <v>102.5</v>
      </c>
      <c r="Y56" s="52">
        <v>30</v>
      </c>
      <c r="Z56" s="52">
        <v>555</v>
      </c>
      <c r="AA56" s="52">
        <v>687.5</v>
      </c>
      <c r="AB56" s="53">
        <v>0.67073170731707321</v>
      </c>
      <c r="AC56" s="72">
        <v>337.5</v>
      </c>
      <c r="AD56" s="55">
        <v>0.32926829268292684</v>
      </c>
      <c r="AE56" s="73">
        <v>3</v>
      </c>
      <c r="AF56" s="57" t="s">
        <v>95</v>
      </c>
      <c r="AG56" s="58">
        <v>470</v>
      </c>
      <c r="AH56" s="58">
        <v>350</v>
      </c>
      <c r="AI56" s="58">
        <v>820</v>
      </c>
      <c r="AJ56" s="49">
        <v>205</v>
      </c>
      <c r="AK56" s="49">
        <v>1025</v>
      </c>
      <c r="AL56" s="52">
        <v>102.5</v>
      </c>
      <c r="AM56" s="52">
        <v>555</v>
      </c>
      <c r="AN56" s="52">
        <v>657.5</v>
      </c>
      <c r="AO56" s="59">
        <v>0.64146341463414636</v>
      </c>
      <c r="AP56" s="60">
        <v>367.5</v>
      </c>
      <c r="AQ56" s="61">
        <v>0.35853658536585364</v>
      </c>
      <c r="AR56" s="60" t="s">
        <v>78</v>
      </c>
      <c r="AS56" s="62">
        <v>752</v>
      </c>
      <c r="AT56" s="62">
        <v>560</v>
      </c>
      <c r="AU56" s="62">
        <v>1312</v>
      </c>
      <c r="AV56" s="62">
        <v>1640</v>
      </c>
      <c r="AW56" s="47" t="s">
        <v>74</v>
      </c>
      <c r="AX56" s="64">
        <v>45142</v>
      </c>
      <c r="AY56" s="64" t="s">
        <v>1661</v>
      </c>
      <c r="AZ56" s="86"/>
      <c r="BA56" s="46" t="s">
        <v>74</v>
      </c>
      <c r="BB56" s="26"/>
      <c r="BC56" s="26"/>
      <c r="BD56" s="70" t="s">
        <v>1609</v>
      </c>
      <c r="BE56" s="46" t="e">
        <v>#REF!</v>
      </c>
      <c r="BF56" s="46" t="s">
        <v>75</v>
      </c>
      <c r="BG56" s="65">
        <v>2</v>
      </c>
      <c r="BH56" s="66"/>
      <c r="BI56" s="63" t="s">
        <v>1662</v>
      </c>
    </row>
    <row r="57" spans="1:61" ht="178.5" x14ac:dyDescent="0.2">
      <c r="A57" s="45" t="s">
        <v>1663</v>
      </c>
      <c r="B57" s="46"/>
      <c r="C57" s="46" t="s">
        <v>1561</v>
      </c>
      <c r="D57" s="46" t="s">
        <v>1449</v>
      </c>
      <c r="E57" s="46" t="s">
        <v>1499</v>
      </c>
      <c r="F57" s="46" t="s">
        <v>1550</v>
      </c>
      <c r="G57" s="46" t="s">
        <v>1653</v>
      </c>
      <c r="H57" s="46" t="s">
        <v>1654</v>
      </c>
      <c r="I57" s="46" t="s">
        <v>1464</v>
      </c>
      <c r="J57" s="46" t="s">
        <v>71</v>
      </c>
      <c r="K57" s="47">
        <v>550</v>
      </c>
      <c r="L57" s="47">
        <f>(22*20)+20</f>
        <v>460</v>
      </c>
      <c r="M57" s="47">
        <v>1010</v>
      </c>
      <c r="N57" s="46" t="s">
        <v>1451</v>
      </c>
      <c r="O57" s="71" t="s">
        <v>1664</v>
      </c>
      <c r="P57" s="46" t="s">
        <v>1565</v>
      </c>
      <c r="Q57" s="46" t="s">
        <v>1347</v>
      </c>
      <c r="R57" s="46" t="s">
        <v>1444</v>
      </c>
      <c r="S57" s="49">
        <v>252.5</v>
      </c>
      <c r="T57" s="49">
        <v>1262.5</v>
      </c>
      <c r="U57" s="67">
        <v>0.31188118811881188</v>
      </c>
      <c r="V57" s="67">
        <v>0.33564356435643566</v>
      </c>
      <c r="W57" s="51">
        <v>0.83636363636363631</v>
      </c>
      <c r="X57" s="52">
        <v>126.25</v>
      </c>
      <c r="Y57" s="52">
        <v>30</v>
      </c>
      <c r="Z57" s="52">
        <v>712.5</v>
      </c>
      <c r="AA57" s="52">
        <v>868.75</v>
      </c>
      <c r="AB57" s="53">
        <v>0.68811881188118806</v>
      </c>
      <c r="AC57" s="72">
        <v>393.75</v>
      </c>
      <c r="AD57" s="55">
        <v>0.31188118811881188</v>
      </c>
      <c r="AE57" s="73">
        <v>3</v>
      </c>
      <c r="AF57" s="57" t="s">
        <v>95</v>
      </c>
      <c r="AG57" s="58">
        <v>550</v>
      </c>
      <c r="AH57" s="58">
        <v>460</v>
      </c>
      <c r="AI57" s="58">
        <v>1010</v>
      </c>
      <c r="AJ57" s="49">
        <v>252.5</v>
      </c>
      <c r="AK57" s="49">
        <v>1262.5</v>
      </c>
      <c r="AL57" s="52">
        <v>126.25</v>
      </c>
      <c r="AM57" s="52">
        <v>712.5</v>
      </c>
      <c r="AN57" s="52">
        <v>838.75</v>
      </c>
      <c r="AO57" s="59">
        <v>0.66435643564356439</v>
      </c>
      <c r="AP57" s="60">
        <v>423.75</v>
      </c>
      <c r="AQ57" s="61">
        <v>0.33564356435643566</v>
      </c>
      <c r="AR57" s="60" t="s">
        <v>78</v>
      </c>
      <c r="AS57" s="62">
        <v>880</v>
      </c>
      <c r="AT57" s="62">
        <v>736</v>
      </c>
      <c r="AU57" s="62">
        <v>1616</v>
      </c>
      <c r="AV57" s="62">
        <v>2020</v>
      </c>
      <c r="AW57" s="47" t="s">
        <v>74</v>
      </c>
      <c r="AX57" s="64"/>
      <c r="AY57" s="64" t="s">
        <v>1665</v>
      </c>
      <c r="AZ57" s="86"/>
      <c r="BA57" s="46" t="s">
        <v>74</v>
      </c>
      <c r="BB57" s="26"/>
      <c r="BC57" s="26"/>
      <c r="BD57" s="70" t="s">
        <v>1609</v>
      </c>
      <c r="BE57" s="46" t="e">
        <v>#REF!</v>
      </c>
      <c r="BF57" s="46" t="s">
        <v>75</v>
      </c>
      <c r="BG57" s="65">
        <v>2</v>
      </c>
      <c r="BH57" s="66" t="s">
        <v>1666</v>
      </c>
      <c r="BI57" s="63" t="s">
        <v>1667</v>
      </c>
    </row>
    <row r="58" spans="1:61" ht="89.25" x14ac:dyDescent="0.2">
      <c r="A58" s="45" t="s">
        <v>1668</v>
      </c>
      <c r="B58" s="46"/>
      <c r="C58" s="46" t="s">
        <v>1497</v>
      </c>
      <c r="D58" s="46" t="s">
        <v>1498</v>
      </c>
      <c r="E58" s="46" t="s">
        <v>1669</v>
      </c>
      <c r="F58" s="46" t="s">
        <v>1670</v>
      </c>
      <c r="G58" s="46" t="s">
        <v>68</v>
      </c>
      <c r="H58" s="46" t="s">
        <v>68</v>
      </c>
      <c r="I58" s="46" t="s">
        <v>1671</v>
      </c>
      <c r="J58" s="46" t="s">
        <v>71</v>
      </c>
      <c r="K58" s="47">
        <v>180</v>
      </c>
      <c r="L58" s="47">
        <f>2*10</f>
        <v>20</v>
      </c>
      <c r="M58" s="47">
        <v>200</v>
      </c>
      <c r="N58" s="46" t="s">
        <v>1451</v>
      </c>
      <c r="O58" s="71" t="s">
        <v>1672</v>
      </c>
      <c r="P58" s="46" t="s">
        <v>1453</v>
      </c>
      <c r="Q58" s="46" t="s">
        <v>1347</v>
      </c>
      <c r="R58" s="46" t="s">
        <v>1444</v>
      </c>
      <c r="S58" s="49">
        <v>50</v>
      </c>
      <c r="T58" s="49">
        <v>250</v>
      </c>
      <c r="U58" s="67">
        <v>0.5</v>
      </c>
      <c r="V58" s="67">
        <v>0.62</v>
      </c>
      <c r="W58" s="51">
        <v>0.1111111111111111</v>
      </c>
      <c r="X58" s="52">
        <v>25</v>
      </c>
      <c r="Y58" s="52">
        <v>30</v>
      </c>
      <c r="Z58" s="52">
        <v>70</v>
      </c>
      <c r="AA58" s="52">
        <v>125</v>
      </c>
      <c r="AB58" s="53">
        <v>0.5</v>
      </c>
      <c r="AC58" s="72">
        <v>125</v>
      </c>
      <c r="AD58" s="55">
        <v>0.5</v>
      </c>
      <c r="AE58" s="73">
        <v>3</v>
      </c>
      <c r="AF58" s="57" t="s">
        <v>95</v>
      </c>
      <c r="AG58" s="58">
        <v>180</v>
      </c>
      <c r="AH58" s="58">
        <v>20</v>
      </c>
      <c r="AI58" s="58">
        <v>200</v>
      </c>
      <c r="AJ58" s="49">
        <v>50</v>
      </c>
      <c r="AK58" s="49">
        <v>250</v>
      </c>
      <c r="AL58" s="52">
        <v>25</v>
      </c>
      <c r="AM58" s="52">
        <v>70</v>
      </c>
      <c r="AN58" s="52">
        <v>95</v>
      </c>
      <c r="AO58" s="59">
        <v>0.38</v>
      </c>
      <c r="AP58" s="60">
        <v>155</v>
      </c>
      <c r="AQ58" s="61">
        <v>0.62</v>
      </c>
      <c r="AR58" s="60" t="s">
        <v>78</v>
      </c>
      <c r="AS58" s="62">
        <v>288</v>
      </c>
      <c r="AT58" s="62">
        <v>32</v>
      </c>
      <c r="AU58" s="62">
        <v>320</v>
      </c>
      <c r="AV58" s="62">
        <v>400</v>
      </c>
      <c r="AW58" s="47" t="s">
        <v>74</v>
      </c>
      <c r="AX58" s="64"/>
      <c r="AY58" s="64" t="s">
        <v>1673</v>
      </c>
      <c r="AZ58" s="86"/>
      <c r="BA58" s="46" t="s">
        <v>74</v>
      </c>
      <c r="BB58" s="26"/>
      <c r="BC58" s="26"/>
      <c r="BD58" s="70" t="s">
        <v>1674</v>
      </c>
      <c r="BE58" s="46" t="e">
        <v>#REF!</v>
      </c>
      <c r="BF58" s="46" t="s">
        <v>75</v>
      </c>
      <c r="BG58" s="65">
        <v>2</v>
      </c>
      <c r="BH58" s="66" t="s">
        <v>1675</v>
      </c>
      <c r="BI58" s="63" t="s">
        <v>1676</v>
      </c>
    </row>
    <row r="59" spans="1:61" ht="89.25" x14ac:dyDescent="0.2">
      <c r="A59" s="45" t="s">
        <v>1677</v>
      </c>
      <c r="B59" s="46"/>
      <c r="C59" s="46" t="s">
        <v>1497</v>
      </c>
      <c r="D59" s="46" t="s">
        <v>1498</v>
      </c>
      <c r="E59" s="46" t="s">
        <v>1669</v>
      </c>
      <c r="F59" s="46" t="s">
        <v>1670</v>
      </c>
      <c r="G59" s="46" t="s">
        <v>68</v>
      </c>
      <c r="H59" s="46" t="s">
        <v>68</v>
      </c>
      <c r="I59" s="46" t="s">
        <v>1459</v>
      </c>
      <c r="J59" s="46" t="s">
        <v>71</v>
      </c>
      <c r="K59" s="47">
        <f>K58*1.1111</f>
        <v>199.99799999999999</v>
      </c>
      <c r="L59" s="47">
        <f>2*15</f>
        <v>30</v>
      </c>
      <c r="M59" s="47">
        <v>229.99799999999999</v>
      </c>
      <c r="N59" s="46" t="s">
        <v>1451</v>
      </c>
      <c r="O59" s="71" t="s">
        <v>1678</v>
      </c>
      <c r="P59" s="46" t="s">
        <v>1453</v>
      </c>
      <c r="Q59" s="46" t="s">
        <v>1347</v>
      </c>
      <c r="R59" s="46" t="s">
        <v>1444</v>
      </c>
      <c r="S59" s="49">
        <v>57.499499999999998</v>
      </c>
      <c r="T59" s="49">
        <v>287.4975</v>
      </c>
      <c r="U59" s="67">
        <v>0.49130253306550487</v>
      </c>
      <c r="V59" s="67">
        <v>0.59565126653275235</v>
      </c>
      <c r="W59" s="51">
        <v>0.15000150001500015</v>
      </c>
      <c r="X59" s="52">
        <v>28.749750000000002</v>
      </c>
      <c r="Y59" s="52">
        <v>30</v>
      </c>
      <c r="Z59" s="52">
        <v>87.499499999999998</v>
      </c>
      <c r="AA59" s="52">
        <v>146.24925000000002</v>
      </c>
      <c r="AB59" s="53">
        <v>0.50869746693449513</v>
      </c>
      <c r="AC59" s="72">
        <v>141.24824999999998</v>
      </c>
      <c r="AD59" s="55">
        <v>0.49130253306550487</v>
      </c>
      <c r="AE59" s="73">
        <v>3</v>
      </c>
      <c r="AF59" s="57" t="s">
        <v>95</v>
      </c>
      <c r="AG59" s="58">
        <v>199.99799999999999</v>
      </c>
      <c r="AH59" s="58">
        <v>30</v>
      </c>
      <c r="AI59" s="58">
        <v>229.99799999999999</v>
      </c>
      <c r="AJ59" s="49">
        <v>57.499499999999998</v>
      </c>
      <c r="AK59" s="49">
        <v>287.4975</v>
      </c>
      <c r="AL59" s="52">
        <v>28.749750000000002</v>
      </c>
      <c r="AM59" s="52">
        <v>87.499499999999998</v>
      </c>
      <c r="AN59" s="52">
        <v>116.24925</v>
      </c>
      <c r="AO59" s="59">
        <v>0.40434873346724753</v>
      </c>
      <c r="AP59" s="60">
        <v>171.24824999999998</v>
      </c>
      <c r="AQ59" s="61">
        <v>0.59565126653275235</v>
      </c>
      <c r="AR59" s="60" t="s">
        <v>78</v>
      </c>
      <c r="AS59" s="62">
        <v>320</v>
      </c>
      <c r="AT59" s="62">
        <v>48</v>
      </c>
      <c r="AU59" s="62">
        <v>368</v>
      </c>
      <c r="AV59" s="62">
        <v>460</v>
      </c>
      <c r="AW59" s="47" t="s">
        <v>74</v>
      </c>
      <c r="AX59" s="64"/>
      <c r="AY59" s="64" t="s">
        <v>1679</v>
      </c>
      <c r="AZ59" s="86"/>
      <c r="BA59" s="46" t="s">
        <v>74</v>
      </c>
      <c r="BB59" s="26"/>
      <c r="BC59" s="26"/>
      <c r="BD59" s="70" t="s">
        <v>1674</v>
      </c>
      <c r="BE59" s="46" t="e">
        <v>#REF!</v>
      </c>
      <c r="BF59" s="46" t="s">
        <v>75</v>
      </c>
      <c r="BG59" s="65">
        <v>2</v>
      </c>
      <c r="BH59" s="66"/>
      <c r="BI59" s="63" t="s">
        <v>1680</v>
      </c>
    </row>
    <row r="60" spans="1:61" ht="89.25" x14ac:dyDescent="0.2">
      <c r="A60" s="45" t="s">
        <v>1681</v>
      </c>
      <c r="B60" s="46"/>
      <c r="C60" s="46" t="s">
        <v>1497</v>
      </c>
      <c r="D60" s="46" t="s">
        <v>1498</v>
      </c>
      <c r="E60" s="46" t="s">
        <v>1669</v>
      </c>
      <c r="F60" s="46" t="s">
        <v>1670</v>
      </c>
      <c r="G60" s="46" t="s">
        <v>68</v>
      </c>
      <c r="H60" s="46" t="s">
        <v>68</v>
      </c>
      <c r="I60" s="46" t="s">
        <v>1464</v>
      </c>
      <c r="J60" s="46" t="s">
        <v>71</v>
      </c>
      <c r="K60" s="47">
        <f>K58*1.25</f>
        <v>225</v>
      </c>
      <c r="L60" s="47">
        <f>2*20</f>
        <v>40</v>
      </c>
      <c r="M60" s="47">
        <v>265</v>
      </c>
      <c r="N60" s="46" t="s">
        <v>1451</v>
      </c>
      <c r="O60" s="71" t="s">
        <v>1682</v>
      </c>
      <c r="P60" s="46" t="s">
        <v>1453</v>
      </c>
      <c r="Q60" s="46" t="s">
        <v>1347</v>
      </c>
      <c r="R60" s="46" t="s">
        <v>1444</v>
      </c>
      <c r="S60" s="49">
        <v>66.25</v>
      </c>
      <c r="T60" s="49">
        <v>331.25</v>
      </c>
      <c r="U60" s="67">
        <v>0.48867924528301887</v>
      </c>
      <c r="V60" s="67">
        <v>0.57924528301886791</v>
      </c>
      <c r="W60" s="51">
        <v>0.17777777777777778</v>
      </c>
      <c r="X60" s="52">
        <v>33.125</v>
      </c>
      <c r="Y60" s="52">
        <v>30</v>
      </c>
      <c r="Z60" s="52">
        <v>106.25</v>
      </c>
      <c r="AA60" s="52">
        <v>169.375</v>
      </c>
      <c r="AB60" s="53">
        <v>0.51132075471698113</v>
      </c>
      <c r="AC60" s="72">
        <v>161.875</v>
      </c>
      <c r="AD60" s="55">
        <v>0.48867924528301887</v>
      </c>
      <c r="AE60" s="73">
        <v>3</v>
      </c>
      <c r="AF60" s="57" t="s">
        <v>95</v>
      </c>
      <c r="AG60" s="58">
        <v>225</v>
      </c>
      <c r="AH60" s="58">
        <v>40</v>
      </c>
      <c r="AI60" s="58">
        <v>265</v>
      </c>
      <c r="AJ60" s="49">
        <v>66.25</v>
      </c>
      <c r="AK60" s="49">
        <v>331.25</v>
      </c>
      <c r="AL60" s="52">
        <v>33.125</v>
      </c>
      <c r="AM60" s="52">
        <v>106.25</v>
      </c>
      <c r="AN60" s="52">
        <v>139.375</v>
      </c>
      <c r="AO60" s="59">
        <v>0.42075471698113209</v>
      </c>
      <c r="AP60" s="60">
        <v>191.875</v>
      </c>
      <c r="AQ60" s="61">
        <v>0.57924528301886791</v>
      </c>
      <c r="AR60" s="60" t="s">
        <v>78</v>
      </c>
      <c r="AS60" s="62">
        <v>360</v>
      </c>
      <c r="AT60" s="62">
        <v>64</v>
      </c>
      <c r="AU60" s="62">
        <v>424</v>
      </c>
      <c r="AV60" s="62">
        <v>530</v>
      </c>
      <c r="AW60" s="47" t="s">
        <v>74</v>
      </c>
      <c r="AX60" s="64"/>
      <c r="AY60" s="64" t="s">
        <v>1683</v>
      </c>
      <c r="AZ60" s="86"/>
      <c r="BA60" s="46" t="s">
        <v>74</v>
      </c>
      <c r="BB60" s="26"/>
      <c r="BC60" s="26"/>
      <c r="BD60" s="70" t="s">
        <v>1674</v>
      </c>
      <c r="BE60" s="46" t="e">
        <v>#REF!</v>
      </c>
      <c r="BF60" s="46" t="s">
        <v>75</v>
      </c>
      <c r="BG60" s="65">
        <v>2</v>
      </c>
      <c r="BH60" s="66"/>
      <c r="BI60" s="63" t="s">
        <v>1684</v>
      </c>
    </row>
    <row r="61" spans="1:61" ht="89.25" x14ac:dyDescent="0.2">
      <c r="A61" s="45" t="s">
        <v>1685</v>
      </c>
      <c r="B61" s="46"/>
      <c r="C61" s="46" t="s">
        <v>1497</v>
      </c>
      <c r="D61" s="46" t="s">
        <v>1498</v>
      </c>
      <c r="E61" s="46" t="s">
        <v>1669</v>
      </c>
      <c r="F61" s="46" t="s">
        <v>1670</v>
      </c>
      <c r="G61" s="46" t="s">
        <v>68</v>
      </c>
      <c r="H61" s="46" t="s">
        <v>68</v>
      </c>
      <c r="I61" s="46" t="s">
        <v>1686</v>
      </c>
      <c r="J61" s="46" t="s">
        <v>71</v>
      </c>
      <c r="K61" s="47">
        <v>250</v>
      </c>
      <c r="L61" s="47">
        <f>2*30</f>
        <v>60</v>
      </c>
      <c r="M61" s="47">
        <v>310</v>
      </c>
      <c r="N61" s="46" t="s">
        <v>1451</v>
      </c>
      <c r="O61" s="71" t="s">
        <v>1687</v>
      </c>
      <c r="P61" s="46" t="s">
        <v>1453</v>
      </c>
      <c r="Q61" s="46" t="s">
        <v>1347</v>
      </c>
      <c r="R61" s="46" t="s">
        <v>1444</v>
      </c>
      <c r="S61" s="49">
        <v>77.5</v>
      </c>
      <c r="T61" s="49">
        <v>387.5</v>
      </c>
      <c r="U61" s="67">
        <v>0.46774193548387094</v>
      </c>
      <c r="V61" s="67">
        <v>0.54516129032258065</v>
      </c>
      <c r="W61" s="51">
        <v>0.24</v>
      </c>
      <c r="X61" s="52">
        <v>38.75</v>
      </c>
      <c r="Y61" s="52">
        <v>30</v>
      </c>
      <c r="Z61" s="52">
        <v>137.5</v>
      </c>
      <c r="AA61" s="52">
        <v>206.25</v>
      </c>
      <c r="AB61" s="53">
        <v>0.532258064516129</v>
      </c>
      <c r="AC61" s="72">
        <v>181.25</v>
      </c>
      <c r="AD61" s="55">
        <v>0.46774193548387094</v>
      </c>
      <c r="AE61" s="73">
        <v>3</v>
      </c>
      <c r="AF61" s="57" t="s">
        <v>95</v>
      </c>
      <c r="AG61" s="58">
        <v>250</v>
      </c>
      <c r="AH61" s="58">
        <v>60</v>
      </c>
      <c r="AI61" s="58">
        <v>310</v>
      </c>
      <c r="AJ61" s="49">
        <v>77.5</v>
      </c>
      <c r="AK61" s="49">
        <v>387.5</v>
      </c>
      <c r="AL61" s="52">
        <v>38.75</v>
      </c>
      <c r="AM61" s="52">
        <v>137.5</v>
      </c>
      <c r="AN61" s="52">
        <v>176.25</v>
      </c>
      <c r="AO61" s="59">
        <v>0.45483870967741935</v>
      </c>
      <c r="AP61" s="60">
        <v>211.25</v>
      </c>
      <c r="AQ61" s="61">
        <v>0.54516129032258065</v>
      </c>
      <c r="AR61" s="60" t="s">
        <v>78</v>
      </c>
      <c r="AS61" s="62">
        <v>400</v>
      </c>
      <c r="AT61" s="62">
        <v>96</v>
      </c>
      <c r="AU61" s="62">
        <v>496</v>
      </c>
      <c r="AV61" s="62">
        <v>620</v>
      </c>
      <c r="AW61" s="47" t="s">
        <v>74</v>
      </c>
      <c r="AX61" s="64"/>
      <c r="AY61" s="64" t="s">
        <v>1688</v>
      </c>
      <c r="AZ61" s="86"/>
      <c r="BA61" s="46" t="s">
        <v>74</v>
      </c>
      <c r="BB61" s="26"/>
      <c r="BC61" s="26"/>
      <c r="BD61" s="70" t="s">
        <v>1674</v>
      </c>
      <c r="BE61" s="46" t="e">
        <v>#REF!</v>
      </c>
      <c r="BF61" s="46" t="s">
        <v>75</v>
      </c>
      <c r="BG61" s="65">
        <v>2</v>
      </c>
      <c r="BH61" s="66" t="s">
        <v>1689</v>
      </c>
      <c r="BI61" s="63" t="s">
        <v>1690</v>
      </c>
    </row>
    <row r="62" spans="1:61" ht="357" x14ac:dyDescent="0.2">
      <c r="A62" s="45" t="s">
        <v>1691</v>
      </c>
      <c r="B62" s="46"/>
      <c r="C62" s="46" t="s">
        <v>1692</v>
      </c>
      <c r="D62" s="46" t="s">
        <v>1459</v>
      </c>
      <c r="E62" s="46" t="s">
        <v>1693</v>
      </c>
      <c r="F62" s="46" t="s">
        <v>68</v>
      </c>
      <c r="G62" s="46" t="s">
        <v>68</v>
      </c>
      <c r="H62" s="46" t="s">
        <v>68</v>
      </c>
      <c r="I62" s="46" t="s">
        <v>68</v>
      </c>
      <c r="J62" s="46" t="s">
        <v>71</v>
      </c>
      <c r="K62" s="47">
        <v>150</v>
      </c>
      <c r="L62" s="47">
        <v>0</v>
      </c>
      <c r="M62" s="47">
        <v>150</v>
      </c>
      <c r="N62" s="46" t="s">
        <v>1451</v>
      </c>
      <c r="O62" s="71" t="s">
        <v>1694</v>
      </c>
      <c r="P62" s="46" t="s">
        <v>1695</v>
      </c>
      <c r="Q62" s="46" t="s">
        <v>1347</v>
      </c>
      <c r="R62" s="46" t="s">
        <v>1444</v>
      </c>
      <c r="S62" s="49">
        <v>37.5</v>
      </c>
      <c r="T62" s="49">
        <v>187.5</v>
      </c>
      <c r="U62" s="67">
        <v>0.54</v>
      </c>
      <c r="V62" s="67">
        <v>0.7</v>
      </c>
      <c r="W62" s="51">
        <v>0</v>
      </c>
      <c r="X62" s="52">
        <v>18.75</v>
      </c>
      <c r="Y62" s="52">
        <v>30</v>
      </c>
      <c r="Z62" s="52">
        <v>37.5</v>
      </c>
      <c r="AA62" s="52">
        <v>86.25</v>
      </c>
      <c r="AB62" s="53">
        <v>0.46</v>
      </c>
      <c r="AC62" s="54">
        <v>101.25</v>
      </c>
      <c r="AD62" s="55">
        <v>0.54</v>
      </c>
      <c r="AE62" s="56">
        <v>2</v>
      </c>
      <c r="AF62" s="57" t="s">
        <v>72</v>
      </c>
      <c r="AG62" s="58">
        <v>75</v>
      </c>
      <c r="AH62" s="58">
        <v>0</v>
      </c>
      <c r="AI62" s="58">
        <v>75</v>
      </c>
      <c r="AJ62" s="49">
        <v>18.75</v>
      </c>
      <c r="AK62" s="49">
        <v>93.75</v>
      </c>
      <c r="AL62" s="52">
        <v>9.375</v>
      </c>
      <c r="AM62" s="52">
        <v>18.75</v>
      </c>
      <c r="AN62" s="52">
        <v>28.125</v>
      </c>
      <c r="AO62" s="59">
        <v>0.3</v>
      </c>
      <c r="AP62" s="60">
        <v>65.625</v>
      </c>
      <c r="AQ62" s="61">
        <v>0.7</v>
      </c>
      <c r="AR62" s="60" t="s">
        <v>78</v>
      </c>
      <c r="AS62" s="62">
        <v>225</v>
      </c>
      <c r="AT62" s="62">
        <v>0</v>
      </c>
      <c r="AU62" s="62">
        <v>225</v>
      </c>
      <c r="AV62" s="62">
        <v>281.25</v>
      </c>
      <c r="AW62" s="47" t="s">
        <v>74</v>
      </c>
      <c r="AX62" s="64">
        <v>45054</v>
      </c>
      <c r="AY62" s="64" t="s">
        <v>1696</v>
      </c>
      <c r="AZ62" s="86"/>
      <c r="BA62" s="46" t="s">
        <v>107</v>
      </c>
      <c r="BB62" s="46" t="s">
        <v>1697</v>
      </c>
      <c r="BC62" s="46" t="s">
        <v>1698</v>
      </c>
      <c r="BD62" s="46"/>
      <c r="BE62" s="46" t="e">
        <v>#REF!</v>
      </c>
      <c r="BF62" s="46" t="s">
        <v>75</v>
      </c>
      <c r="BG62" s="65">
        <v>0.75</v>
      </c>
      <c r="BH62" s="66" t="s">
        <v>1699</v>
      </c>
      <c r="BI62" s="63" t="s">
        <v>1700</v>
      </c>
    </row>
    <row r="63" spans="1:61" ht="357" x14ac:dyDescent="0.2">
      <c r="A63" s="45" t="s">
        <v>1701</v>
      </c>
      <c r="B63" s="46"/>
      <c r="C63" s="46" t="s">
        <v>1692</v>
      </c>
      <c r="D63" s="46" t="s">
        <v>1459</v>
      </c>
      <c r="E63" s="46" t="s">
        <v>1702</v>
      </c>
      <c r="F63" s="46" t="s">
        <v>68</v>
      </c>
      <c r="G63" s="46" t="s">
        <v>68</v>
      </c>
      <c r="H63" s="46" t="s">
        <v>68</v>
      </c>
      <c r="I63" s="46" t="s">
        <v>68</v>
      </c>
      <c r="J63" s="46" t="s">
        <v>71</v>
      </c>
      <c r="K63" s="47">
        <v>200</v>
      </c>
      <c r="L63" s="47">
        <v>0</v>
      </c>
      <c r="M63" s="47">
        <v>200</v>
      </c>
      <c r="N63" s="46" t="s">
        <v>1451</v>
      </c>
      <c r="O63" s="71" t="s">
        <v>1703</v>
      </c>
      <c r="P63" s="46" t="s">
        <v>1695</v>
      </c>
      <c r="Q63" s="46" t="s">
        <v>1347</v>
      </c>
      <c r="R63" s="46" t="s">
        <v>1444</v>
      </c>
      <c r="S63" s="49">
        <v>50</v>
      </c>
      <c r="T63" s="49">
        <v>250</v>
      </c>
      <c r="U63" s="67">
        <v>0.57999999999999996</v>
      </c>
      <c r="V63" s="67">
        <v>0.7</v>
      </c>
      <c r="W63" s="51">
        <v>0</v>
      </c>
      <c r="X63" s="52">
        <v>25</v>
      </c>
      <c r="Y63" s="52">
        <v>30</v>
      </c>
      <c r="Z63" s="52">
        <v>50</v>
      </c>
      <c r="AA63" s="52">
        <v>105</v>
      </c>
      <c r="AB63" s="53">
        <v>0.42</v>
      </c>
      <c r="AC63" s="72">
        <v>145</v>
      </c>
      <c r="AD63" s="55">
        <v>0.57999999999999996</v>
      </c>
      <c r="AE63" s="73">
        <v>3</v>
      </c>
      <c r="AF63" s="57" t="s">
        <v>95</v>
      </c>
      <c r="AG63" s="58">
        <v>200</v>
      </c>
      <c r="AH63" s="58">
        <v>0</v>
      </c>
      <c r="AI63" s="58">
        <v>200</v>
      </c>
      <c r="AJ63" s="49">
        <v>50</v>
      </c>
      <c r="AK63" s="49">
        <v>250</v>
      </c>
      <c r="AL63" s="52">
        <v>25</v>
      </c>
      <c r="AM63" s="52">
        <v>50</v>
      </c>
      <c r="AN63" s="52">
        <v>75</v>
      </c>
      <c r="AO63" s="59">
        <v>0.3</v>
      </c>
      <c r="AP63" s="60">
        <v>175</v>
      </c>
      <c r="AQ63" s="61">
        <v>0.7</v>
      </c>
      <c r="AR63" s="60" t="s">
        <v>78</v>
      </c>
      <c r="AS63" s="62">
        <v>320</v>
      </c>
      <c r="AT63" s="62">
        <v>0</v>
      </c>
      <c r="AU63" s="62">
        <v>320</v>
      </c>
      <c r="AV63" s="62">
        <v>400</v>
      </c>
      <c r="AW63" s="47" t="s">
        <v>74</v>
      </c>
      <c r="AX63" s="64">
        <v>45054</v>
      </c>
      <c r="AY63" s="64" t="s">
        <v>1704</v>
      </c>
      <c r="AZ63" s="86"/>
      <c r="BA63" s="46" t="s">
        <v>107</v>
      </c>
      <c r="BB63" s="46" t="s">
        <v>1697</v>
      </c>
      <c r="BC63" s="46" t="s">
        <v>1698</v>
      </c>
      <c r="BD63" s="46"/>
      <c r="BE63" s="46" t="e">
        <v>#REF!</v>
      </c>
      <c r="BF63" s="46" t="s">
        <v>75</v>
      </c>
      <c r="BG63" s="65">
        <v>1</v>
      </c>
      <c r="BH63" s="66" t="s">
        <v>1705</v>
      </c>
      <c r="BI63" s="63" t="s">
        <v>1706</v>
      </c>
    </row>
    <row r="64" spans="1:61" ht="357" x14ac:dyDescent="0.2">
      <c r="A64" s="45" t="s">
        <v>1707</v>
      </c>
      <c r="B64" s="46"/>
      <c r="C64" s="46" t="s">
        <v>1692</v>
      </c>
      <c r="D64" s="46" t="s">
        <v>1459</v>
      </c>
      <c r="E64" s="46" t="s">
        <v>1708</v>
      </c>
      <c r="F64" s="46" t="s">
        <v>68</v>
      </c>
      <c r="G64" s="46" t="s">
        <v>68</v>
      </c>
      <c r="H64" s="46" t="s">
        <v>68</v>
      </c>
      <c r="I64" s="46" t="s">
        <v>68</v>
      </c>
      <c r="J64" s="46" t="s">
        <v>71</v>
      </c>
      <c r="K64" s="47">
        <v>240</v>
      </c>
      <c r="L64" s="47">
        <v>0</v>
      </c>
      <c r="M64" s="47">
        <v>240</v>
      </c>
      <c r="N64" s="46" t="s">
        <v>1451</v>
      </c>
      <c r="O64" s="71" t="s">
        <v>1709</v>
      </c>
      <c r="P64" s="46" t="s">
        <v>1695</v>
      </c>
      <c r="Q64" s="46" t="s">
        <v>1347</v>
      </c>
      <c r="R64" s="46" t="s">
        <v>1444</v>
      </c>
      <c r="S64" s="49">
        <v>60</v>
      </c>
      <c r="T64" s="49">
        <v>300</v>
      </c>
      <c r="U64" s="67">
        <v>0.6</v>
      </c>
      <c r="V64" s="67">
        <v>0.7</v>
      </c>
      <c r="W64" s="51">
        <v>0</v>
      </c>
      <c r="X64" s="52">
        <v>30</v>
      </c>
      <c r="Y64" s="52">
        <v>30</v>
      </c>
      <c r="Z64" s="52">
        <v>60</v>
      </c>
      <c r="AA64" s="52">
        <v>120</v>
      </c>
      <c r="AB64" s="53">
        <v>0.4</v>
      </c>
      <c r="AC64" s="72">
        <v>180</v>
      </c>
      <c r="AD64" s="55">
        <v>0.6</v>
      </c>
      <c r="AE64" s="73">
        <v>3</v>
      </c>
      <c r="AF64" s="57" t="s">
        <v>95</v>
      </c>
      <c r="AG64" s="58">
        <v>240</v>
      </c>
      <c r="AH64" s="58">
        <v>0</v>
      </c>
      <c r="AI64" s="58">
        <v>240</v>
      </c>
      <c r="AJ64" s="49">
        <v>60</v>
      </c>
      <c r="AK64" s="49">
        <v>300</v>
      </c>
      <c r="AL64" s="52">
        <v>30</v>
      </c>
      <c r="AM64" s="52">
        <v>60</v>
      </c>
      <c r="AN64" s="52">
        <v>90</v>
      </c>
      <c r="AO64" s="59">
        <v>0.3</v>
      </c>
      <c r="AP64" s="60">
        <v>210</v>
      </c>
      <c r="AQ64" s="61">
        <v>0.7</v>
      </c>
      <c r="AR64" s="60" t="s">
        <v>78</v>
      </c>
      <c r="AS64" s="62">
        <v>384</v>
      </c>
      <c r="AT64" s="62">
        <v>0</v>
      </c>
      <c r="AU64" s="62">
        <v>384</v>
      </c>
      <c r="AV64" s="62">
        <v>480</v>
      </c>
      <c r="AW64" s="47" t="s">
        <v>74</v>
      </c>
      <c r="AX64" s="64">
        <v>45054</v>
      </c>
      <c r="AY64" s="64" t="s">
        <v>1710</v>
      </c>
      <c r="AZ64" s="86"/>
      <c r="BA64" s="46" t="s">
        <v>107</v>
      </c>
      <c r="BB64" s="46" t="s">
        <v>1697</v>
      </c>
      <c r="BC64" s="46" t="s">
        <v>1698</v>
      </c>
      <c r="BD64" s="46"/>
      <c r="BE64" s="46" t="e">
        <v>#REF!</v>
      </c>
      <c r="BF64" s="46" t="s">
        <v>75</v>
      </c>
      <c r="BG64" s="65">
        <v>1.5</v>
      </c>
      <c r="BH64" s="66"/>
      <c r="BI64" s="63" t="s">
        <v>1711</v>
      </c>
    </row>
    <row r="65" spans="1:61" ht="25.5" x14ac:dyDescent="0.2">
      <c r="A65" s="34" t="s">
        <v>1712</v>
      </c>
      <c r="B65" s="35"/>
      <c r="C65" s="35" t="s">
        <v>68</v>
      </c>
      <c r="D65" s="35" t="s">
        <v>68</v>
      </c>
      <c r="E65" s="35" t="s">
        <v>68</v>
      </c>
      <c r="F65" s="35" t="s">
        <v>68</v>
      </c>
      <c r="G65" s="35" t="s">
        <v>68</v>
      </c>
      <c r="H65" s="35" t="s">
        <v>68</v>
      </c>
      <c r="I65" s="35" t="s">
        <v>68</v>
      </c>
      <c r="J65" s="35" t="s">
        <v>68</v>
      </c>
      <c r="K65" s="36" t="s">
        <v>68</v>
      </c>
      <c r="L65" s="36" t="s">
        <v>68</v>
      </c>
      <c r="M65" s="36" t="s">
        <v>68</v>
      </c>
      <c r="N65" s="35"/>
      <c r="O65" s="35" t="s">
        <v>68</v>
      </c>
      <c r="P65" s="37"/>
      <c r="Q65" s="38" t="s">
        <v>1347</v>
      </c>
      <c r="R65" s="38" t="s">
        <v>1713</v>
      </c>
      <c r="S65" s="36" t="s">
        <v>68</v>
      </c>
      <c r="T65" s="36" t="s">
        <v>68</v>
      </c>
      <c r="U65" s="39" t="s">
        <v>68</v>
      </c>
      <c r="V65" s="39" t="s">
        <v>68</v>
      </c>
      <c r="W65" s="40" t="s">
        <v>68</v>
      </c>
      <c r="X65" s="36" t="s">
        <v>68</v>
      </c>
      <c r="Y65" s="36" t="s">
        <v>68</v>
      </c>
      <c r="Z65" s="36" t="s">
        <v>68</v>
      </c>
      <c r="AA65" s="36" t="s">
        <v>68</v>
      </c>
      <c r="AB65" s="39" t="s">
        <v>68</v>
      </c>
      <c r="AC65" s="36" t="s">
        <v>68</v>
      </c>
      <c r="AD65" s="39" t="s">
        <v>68</v>
      </c>
      <c r="AE65" s="41"/>
      <c r="AF65" s="42" t="s">
        <v>68</v>
      </c>
      <c r="AG65" s="36" t="s">
        <v>68</v>
      </c>
      <c r="AH65" s="36" t="s">
        <v>68</v>
      </c>
      <c r="AI65" s="36" t="s">
        <v>68</v>
      </c>
      <c r="AJ65" s="36" t="s">
        <v>68</v>
      </c>
      <c r="AK65" s="36" t="s">
        <v>68</v>
      </c>
      <c r="AL65" s="36" t="s">
        <v>68</v>
      </c>
      <c r="AM65" s="36" t="s">
        <v>68</v>
      </c>
      <c r="AN65" s="36" t="s">
        <v>68</v>
      </c>
      <c r="AO65" s="43" t="s">
        <v>68</v>
      </c>
      <c r="AP65" s="36" t="s">
        <v>68</v>
      </c>
      <c r="AQ65" s="39" t="s">
        <v>68</v>
      </c>
      <c r="AR65" s="36" t="s">
        <v>68</v>
      </c>
      <c r="AS65" s="36" t="s">
        <v>68</v>
      </c>
      <c r="AT65" s="36" t="s">
        <v>68</v>
      </c>
      <c r="AU65" s="36" t="s">
        <v>68</v>
      </c>
      <c r="AV65" s="36" t="s">
        <v>68</v>
      </c>
      <c r="AW65" s="35"/>
      <c r="AX65" s="37"/>
      <c r="AY65" s="37" t="s">
        <v>68</v>
      </c>
      <c r="AZ65" s="86"/>
      <c r="BA65" s="37"/>
      <c r="BB65" s="37"/>
      <c r="BC65" s="37"/>
      <c r="BD65" s="35"/>
      <c r="BE65" s="35" t="e">
        <v>#REF!</v>
      </c>
      <c r="BF65" s="35"/>
      <c r="BG65" s="44"/>
      <c r="BH65" s="38" t="s">
        <v>1714</v>
      </c>
      <c r="BI65" s="35" t="s">
        <v>68</v>
      </c>
    </row>
    <row r="66" spans="1:61" ht="51" x14ac:dyDescent="0.2">
      <c r="A66" s="45" t="s">
        <v>1715</v>
      </c>
      <c r="B66" s="46"/>
      <c r="C66" s="46" t="s">
        <v>1716</v>
      </c>
      <c r="D66" s="46" t="s">
        <v>199</v>
      </c>
      <c r="E66" s="46" t="s">
        <v>68</v>
      </c>
      <c r="F66" s="46" t="s">
        <v>68</v>
      </c>
      <c r="G66" s="46" t="s">
        <v>68</v>
      </c>
      <c r="H66" s="46" t="s">
        <v>68</v>
      </c>
      <c r="I66" s="46" t="s">
        <v>68</v>
      </c>
      <c r="J66" s="46" t="s">
        <v>71</v>
      </c>
      <c r="K66" s="47">
        <v>130</v>
      </c>
      <c r="L66" s="47">
        <v>20</v>
      </c>
      <c r="M66" s="47">
        <v>150</v>
      </c>
      <c r="N66" s="46" t="s">
        <v>1717</v>
      </c>
      <c r="O66" s="71" t="s">
        <v>1718</v>
      </c>
      <c r="P66" s="46" t="s">
        <v>1719</v>
      </c>
      <c r="Q66" s="46" t="s">
        <v>1347</v>
      </c>
      <c r="R66" s="46" t="s">
        <v>1713</v>
      </c>
      <c r="S66" s="49">
        <v>37.5</v>
      </c>
      <c r="T66" s="49">
        <v>187.5</v>
      </c>
      <c r="U66" s="67">
        <v>0.43333333333333335</v>
      </c>
      <c r="V66" s="67">
        <v>0.35217391304347828</v>
      </c>
      <c r="W66" s="51">
        <v>0.15384615384615385</v>
      </c>
      <c r="X66" s="52">
        <v>18.75</v>
      </c>
      <c r="Y66" s="52">
        <v>30</v>
      </c>
      <c r="Z66" s="52">
        <v>57.5</v>
      </c>
      <c r="AA66" s="52">
        <v>106.25</v>
      </c>
      <c r="AB66" s="53">
        <v>0.56666666666666665</v>
      </c>
      <c r="AC66" s="68">
        <v>81.25</v>
      </c>
      <c r="AD66" s="55">
        <v>0.43333333333333335</v>
      </c>
      <c r="AE66" s="69">
        <v>1</v>
      </c>
      <c r="AF66" s="57" t="s">
        <v>77</v>
      </c>
      <c r="AG66" s="58">
        <v>26</v>
      </c>
      <c r="AH66" s="58">
        <v>20</v>
      </c>
      <c r="AI66" s="58">
        <v>46</v>
      </c>
      <c r="AJ66" s="49">
        <v>11.5</v>
      </c>
      <c r="AK66" s="49">
        <v>57.5</v>
      </c>
      <c r="AL66" s="52">
        <v>5.75</v>
      </c>
      <c r="AM66" s="52">
        <v>31.5</v>
      </c>
      <c r="AN66" s="52">
        <v>37.25</v>
      </c>
      <c r="AO66" s="59">
        <v>0.64782608695652177</v>
      </c>
      <c r="AP66" s="60">
        <v>20.25</v>
      </c>
      <c r="AQ66" s="61">
        <v>0.35217391304347828</v>
      </c>
      <c r="AR66" s="60" t="s">
        <v>78</v>
      </c>
      <c r="AS66" s="62">
        <v>169</v>
      </c>
      <c r="AT66" s="62">
        <v>26</v>
      </c>
      <c r="AU66" s="62">
        <v>195</v>
      </c>
      <c r="AV66" s="62">
        <v>243.75</v>
      </c>
      <c r="AW66" s="47" t="s">
        <v>74</v>
      </c>
      <c r="AX66" s="64"/>
      <c r="AY66" s="64" t="s">
        <v>1720</v>
      </c>
      <c r="AZ66" s="86"/>
      <c r="BA66" s="46" t="s">
        <v>74</v>
      </c>
      <c r="BB66" s="26"/>
      <c r="BC66" s="26"/>
      <c r="BD66" s="46"/>
      <c r="BE66" s="46" t="e">
        <v>#REF!</v>
      </c>
      <c r="BF66" s="46" t="s">
        <v>79</v>
      </c>
      <c r="BG66" s="65">
        <v>0.25</v>
      </c>
      <c r="BH66" s="66" t="s">
        <v>1721</v>
      </c>
      <c r="BI66" s="63" t="s">
        <v>1722</v>
      </c>
    </row>
    <row r="67" spans="1:61" ht="63.75" x14ac:dyDescent="0.2">
      <c r="A67" s="45" t="s">
        <v>1723</v>
      </c>
      <c r="B67" s="46"/>
      <c r="C67" s="46" t="s">
        <v>1716</v>
      </c>
      <c r="D67" s="46" t="s">
        <v>1724</v>
      </c>
      <c r="E67" s="46" t="s">
        <v>1725</v>
      </c>
      <c r="F67" s="46" t="s">
        <v>68</v>
      </c>
      <c r="G67" s="46" t="s">
        <v>68</v>
      </c>
      <c r="H67" s="46" t="s">
        <v>68</v>
      </c>
      <c r="I67" s="46" t="s">
        <v>68</v>
      </c>
      <c r="J67" s="46" t="s">
        <v>71</v>
      </c>
      <c r="K67" s="47">
        <v>130</v>
      </c>
      <c r="L67" s="47">
        <v>30</v>
      </c>
      <c r="M67" s="47">
        <v>160</v>
      </c>
      <c r="N67" s="46" t="s">
        <v>1717</v>
      </c>
      <c r="O67" s="71" t="s">
        <v>1726</v>
      </c>
      <c r="P67" s="46" t="s">
        <v>1719</v>
      </c>
      <c r="Q67" s="46" t="s">
        <v>1347</v>
      </c>
      <c r="R67" s="46" t="s">
        <v>1713</v>
      </c>
      <c r="S67" s="49">
        <v>40</v>
      </c>
      <c r="T67" s="49">
        <v>200</v>
      </c>
      <c r="U67" s="67">
        <v>0.4</v>
      </c>
      <c r="V67" s="28">
        <v>0.27142857142857141</v>
      </c>
      <c r="W67" s="51">
        <v>0.23076923076923078</v>
      </c>
      <c r="X67" s="52">
        <v>20</v>
      </c>
      <c r="Y67" s="52">
        <v>30</v>
      </c>
      <c r="Z67" s="52">
        <v>70</v>
      </c>
      <c r="AA67" s="52">
        <v>120</v>
      </c>
      <c r="AB67" s="53">
        <v>0.6</v>
      </c>
      <c r="AC67" s="68">
        <v>80</v>
      </c>
      <c r="AD67" s="55">
        <v>0.4</v>
      </c>
      <c r="AE67" s="69">
        <v>1</v>
      </c>
      <c r="AF67" s="57" t="s">
        <v>77</v>
      </c>
      <c r="AG67" s="58">
        <v>26</v>
      </c>
      <c r="AH67" s="58">
        <v>30</v>
      </c>
      <c r="AI67" s="58">
        <v>56</v>
      </c>
      <c r="AJ67" s="49">
        <v>14</v>
      </c>
      <c r="AK67" s="49">
        <v>70</v>
      </c>
      <c r="AL67" s="52">
        <v>7</v>
      </c>
      <c r="AM67" s="52">
        <v>44</v>
      </c>
      <c r="AN67" s="52">
        <v>51</v>
      </c>
      <c r="AO67" s="59">
        <v>0.72857142857142854</v>
      </c>
      <c r="AP67" s="60">
        <v>19</v>
      </c>
      <c r="AQ67" s="61">
        <v>0.27142857142857141</v>
      </c>
      <c r="AR67" s="60" t="s">
        <v>78</v>
      </c>
      <c r="AS67" s="62">
        <v>169</v>
      </c>
      <c r="AT67" s="62">
        <v>39</v>
      </c>
      <c r="AU67" s="62">
        <v>208</v>
      </c>
      <c r="AV67" s="62">
        <v>260</v>
      </c>
      <c r="AW67" s="47" t="s">
        <v>74</v>
      </c>
      <c r="AX67" s="64"/>
      <c r="AY67" s="64" t="s">
        <v>1727</v>
      </c>
      <c r="AZ67" s="86"/>
      <c r="BA67" s="46" t="s">
        <v>74</v>
      </c>
      <c r="BB67" s="26"/>
      <c r="BC67" s="26"/>
      <c r="BD67" s="46"/>
      <c r="BE67" s="46" t="e">
        <v>#REF!</v>
      </c>
      <c r="BF67" s="46" t="s">
        <v>79</v>
      </c>
      <c r="BG67" s="65">
        <v>0.25</v>
      </c>
      <c r="BH67" s="66" t="s">
        <v>1728</v>
      </c>
      <c r="BI67" s="63" t="s">
        <v>1729</v>
      </c>
    </row>
    <row r="68" spans="1:61" ht="51" x14ac:dyDescent="0.2">
      <c r="A68" s="45" t="s">
        <v>1730</v>
      </c>
      <c r="B68" s="46"/>
      <c r="C68" s="46" t="s">
        <v>1731</v>
      </c>
      <c r="D68" s="46" t="s">
        <v>1724</v>
      </c>
      <c r="E68" s="46" t="s">
        <v>68</v>
      </c>
      <c r="F68" s="46" t="s">
        <v>68</v>
      </c>
      <c r="G68" s="46" t="s">
        <v>68</v>
      </c>
      <c r="H68" s="46" t="s">
        <v>68</v>
      </c>
      <c r="I68" s="46" t="s">
        <v>68</v>
      </c>
      <c r="J68" s="46" t="s">
        <v>71</v>
      </c>
      <c r="K68" s="47">
        <v>130</v>
      </c>
      <c r="L68" s="47">
        <v>30</v>
      </c>
      <c r="M68" s="47">
        <v>160</v>
      </c>
      <c r="N68" s="46" t="s">
        <v>1717</v>
      </c>
      <c r="O68" s="71" t="s">
        <v>1732</v>
      </c>
      <c r="P68" s="46" t="s">
        <v>1719</v>
      </c>
      <c r="Q68" s="46" t="s">
        <v>1347</v>
      </c>
      <c r="R68" s="46" t="s">
        <v>1713</v>
      </c>
      <c r="S68" s="49">
        <v>40</v>
      </c>
      <c r="T68" s="49">
        <v>200</v>
      </c>
      <c r="U68" s="67">
        <v>0.4</v>
      </c>
      <c r="V68" s="28">
        <v>0.27142857142857141</v>
      </c>
      <c r="W68" s="51">
        <v>0.23076923076923078</v>
      </c>
      <c r="X68" s="52">
        <v>20</v>
      </c>
      <c r="Y68" s="52">
        <v>30</v>
      </c>
      <c r="Z68" s="52">
        <v>70</v>
      </c>
      <c r="AA68" s="52">
        <v>120</v>
      </c>
      <c r="AB68" s="53">
        <v>0.6</v>
      </c>
      <c r="AC68" s="68">
        <v>80</v>
      </c>
      <c r="AD68" s="55">
        <v>0.4</v>
      </c>
      <c r="AE68" s="69">
        <v>1</v>
      </c>
      <c r="AF68" s="57" t="s">
        <v>77</v>
      </c>
      <c r="AG68" s="58">
        <v>26</v>
      </c>
      <c r="AH68" s="58">
        <v>30</v>
      </c>
      <c r="AI68" s="58">
        <v>56</v>
      </c>
      <c r="AJ68" s="49">
        <v>14</v>
      </c>
      <c r="AK68" s="49">
        <v>70</v>
      </c>
      <c r="AL68" s="52">
        <v>7</v>
      </c>
      <c r="AM68" s="52">
        <v>44</v>
      </c>
      <c r="AN68" s="52">
        <v>51</v>
      </c>
      <c r="AO68" s="59">
        <v>0.72857142857142854</v>
      </c>
      <c r="AP68" s="60">
        <v>19</v>
      </c>
      <c r="AQ68" s="61">
        <v>0.27142857142857141</v>
      </c>
      <c r="AR68" s="60" t="s">
        <v>78</v>
      </c>
      <c r="AS68" s="62">
        <v>169</v>
      </c>
      <c r="AT68" s="62">
        <v>39</v>
      </c>
      <c r="AU68" s="62">
        <v>208</v>
      </c>
      <c r="AV68" s="62">
        <v>260</v>
      </c>
      <c r="AW68" s="47" t="s">
        <v>74</v>
      </c>
      <c r="AX68" s="64"/>
      <c r="AY68" s="64" t="s">
        <v>1733</v>
      </c>
      <c r="AZ68" s="86"/>
      <c r="BA68" s="46" t="s">
        <v>74</v>
      </c>
      <c r="BB68" s="26"/>
      <c r="BC68" s="26"/>
      <c r="BD68" s="46"/>
      <c r="BE68" s="46" t="e">
        <v>#REF!</v>
      </c>
      <c r="BF68" s="46" t="s">
        <v>79</v>
      </c>
      <c r="BG68" s="65">
        <v>0.25</v>
      </c>
      <c r="BH68" s="66" t="s">
        <v>1734</v>
      </c>
      <c r="BI68" s="63" t="s">
        <v>1735</v>
      </c>
    </row>
    <row r="69" spans="1:61" ht="51" x14ac:dyDescent="0.2">
      <c r="A69" s="45" t="s">
        <v>1736</v>
      </c>
      <c r="B69" s="46"/>
      <c r="C69" s="46" t="s">
        <v>1716</v>
      </c>
      <c r="D69" s="46" t="s">
        <v>1737</v>
      </c>
      <c r="E69" s="46" t="s">
        <v>1738</v>
      </c>
      <c r="F69" s="46" t="s">
        <v>68</v>
      </c>
      <c r="G69" s="46" t="s">
        <v>68</v>
      </c>
      <c r="H69" s="46" t="s">
        <v>68</v>
      </c>
      <c r="I69" s="46" t="s">
        <v>68</v>
      </c>
      <c r="J69" s="46" t="s">
        <v>71</v>
      </c>
      <c r="K69" s="47">
        <v>130</v>
      </c>
      <c r="L69" s="47">
        <v>25</v>
      </c>
      <c r="M69" s="47">
        <v>155</v>
      </c>
      <c r="N69" s="46" t="s">
        <v>1717</v>
      </c>
      <c r="O69" s="71" t="s">
        <v>1739</v>
      </c>
      <c r="P69" s="46" t="s">
        <v>1719</v>
      </c>
      <c r="Q69" s="46" t="s">
        <v>1347</v>
      </c>
      <c r="R69" s="46" t="s">
        <v>1713</v>
      </c>
      <c r="S69" s="49">
        <v>38.75</v>
      </c>
      <c r="T69" s="49">
        <v>193.75</v>
      </c>
      <c r="U69" s="67">
        <v>0.41612903225806452</v>
      </c>
      <c r="V69" s="67">
        <v>0.30784313725490198</v>
      </c>
      <c r="W69" s="51">
        <v>0.19230769230769232</v>
      </c>
      <c r="X69" s="52">
        <v>19.375</v>
      </c>
      <c r="Y69" s="52">
        <v>30</v>
      </c>
      <c r="Z69" s="52">
        <v>63.75</v>
      </c>
      <c r="AA69" s="52">
        <v>113.125</v>
      </c>
      <c r="AB69" s="53">
        <v>0.58387096774193548</v>
      </c>
      <c r="AC69" s="68">
        <v>80.625</v>
      </c>
      <c r="AD69" s="55">
        <v>0.41612903225806452</v>
      </c>
      <c r="AE69" s="69">
        <v>1</v>
      </c>
      <c r="AF69" s="57" t="s">
        <v>77</v>
      </c>
      <c r="AG69" s="58">
        <v>26</v>
      </c>
      <c r="AH69" s="58">
        <v>25</v>
      </c>
      <c r="AI69" s="58">
        <v>51</v>
      </c>
      <c r="AJ69" s="49">
        <v>12.75</v>
      </c>
      <c r="AK69" s="49">
        <v>63.75</v>
      </c>
      <c r="AL69" s="52">
        <v>6.375</v>
      </c>
      <c r="AM69" s="52">
        <v>37.75</v>
      </c>
      <c r="AN69" s="52">
        <v>44.125</v>
      </c>
      <c r="AO69" s="59">
        <v>0.69215686274509802</v>
      </c>
      <c r="AP69" s="60">
        <v>19.625</v>
      </c>
      <c r="AQ69" s="61">
        <v>0.30784313725490198</v>
      </c>
      <c r="AR69" s="60" t="s">
        <v>78</v>
      </c>
      <c r="AS69" s="62">
        <v>169</v>
      </c>
      <c r="AT69" s="62">
        <v>33</v>
      </c>
      <c r="AU69" s="62">
        <v>202</v>
      </c>
      <c r="AV69" s="62">
        <v>252.5</v>
      </c>
      <c r="AW69" s="47" t="s">
        <v>74</v>
      </c>
      <c r="AX69" s="64"/>
      <c r="AY69" s="64" t="s">
        <v>1740</v>
      </c>
      <c r="AZ69" s="86"/>
      <c r="BA69" s="46" t="s">
        <v>74</v>
      </c>
      <c r="BB69" s="26"/>
      <c r="BC69" s="26"/>
      <c r="BD69" s="70" t="s">
        <v>1741</v>
      </c>
      <c r="BE69" s="46" t="e">
        <v>#REF!</v>
      </c>
      <c r="BF69" s="46" t="s">
        <v>79</v>
      </c>
      <c r="BG69" s="65">
        <v>0.25</v>
      </c>
      <c r="BH69" s="66" t="s">
        <v>1742</v>
      </c>
      <c r="BI69" s="63" t="s">
        <v>1743</v>
      </c>
    </row>
    <row r="70" spans="1:61" ht="51" x14ac:dyDescent="0.2">
      <c r="A70" s="45" t="s">
        <v>1744</v>
      </c>
      <c r="B70" s="46"/>
      <c r="C70" s="46" t="s">
        <v>1716</v>
      </c>
      <c r="D70" s="46" t="s">
        <v>1737</v>
      </c>
      <c r="E70" s="46" t="s">
        <v>1745</v>
      </c>
      <c r="F70" s="46" t="s">
        <v>68</v>
      </c>
      <c r="G70" s="46" t="s">
        <v>68</v>
      </c>
      <c r="H70" s="46" t="s">
        <v>68</v>
      </c>
      <c r="I70" s="46" t="s">
        <v>68</v>
      </c>
      <c r="J70" s="46" t="s">
        <v>71</v>
      </c>
      <c r="K70" s="47">
        <v>145</v>
      </c>
      <c r="L70" s="47">
        <v>50</v>
      </c>
      <c r="M70" s="47">
        <v>195</v>
      </c>
      <c r="N70" s="46" t="s">
        <v>1717</v>
      </c>
      <c r="O70" s="71" t="s">
        <v>1746</v>
      </c>
      <c r="P70" s="46" t="s">
        <v>1719</v>
      </c>
      <c r="Q70" s="46" t="s">
        <v>1347</v>
      </c>
      <c r="R70" s="46" t="s">
        <v>1713</v>
      </c>
      <c r="S70" s="49">
        <v>48.75</v>
      </c>
      <c r="T70" s="49">
        <v>243.75</v>
      </c>
      <c r="U70" s="67">
        <v>0.37179487179487181</v>
      </c>
      <c r="V70" s="50">
        <v>0.19367088607594937</v>
      </c>
      <c r="W70" s="51">
        <v>0.34482758620689657</v>
      </c>
      <c r="X70" s="52">
        <v>24.375</v>
      </c>
      <c r="Y70" s="52">
        <v>30</v>
      </c>
      <c r="Z70" s="52">
        <v>98.75</v>
      </c>
      <c r="AA70" s="52">
        <v>153.125</v>
      </c>
      <c r="AB70" s="53">
        <v>0.62820512820512819</v>
      </c>
      <c r="AC70" s="54">
        <v>90.625</v>
      </c>
      <c r="AD70" s="55">
        <v>0.37179487179487181</v>
      </c>
      <c r="AE70" s="69">
        <v>1</v>
      </c>
      <c r="AF70" s="57" t="s">
        <v>77</v>
      </c>
      <c r="AG70" s="58">
        <v>29</v>
      </c>
      <c r="AH70" s="58">
        <v>50</v>
      </c>
      <c r="AI70" s="58">
        <v>79</v>
      </c>
      <c r="AJ70" s="49">
        <v>19.75</v>
      </c>
      <c r="AK70" s="49">
        <v>98.75</v>
      </c>
      <c r="AL70" s="52">
        <v>9.875</v>
      </c>
      <c r="AM70" s="52">
        <v>69.75</v>
      </c>
      <c r="AN70" s="52">
        <v>79.625</v>
      </c>
      <c r="AO70" s="59">
        <v>0.8063291139240506</v>
      </c>
      <c r="AP70" s="60">
        <v>19.125</v>
      </c>
      <c r="AQ70" s="61">
        <v>0.19367088607594937</v>
      </c>
      <c r="AR70" s="60" t="s">
        <v>73</v>
      </c>
      <c r="AS70" s="62">
        <v>189</v>
      </c>
      <c r="AT70" s="62">
        <v>65</v>
      </c>
      <c r="AU70" s="62">
        <v>254</v>
      </c>
      <c r="AV70" s="62">
        <v>317.5</v>
      </c>
      <c r="AW70" s="47" t="s">
        <v>74</v>
      </c>
      <c r="AX70" s="64"/>
      <c r="AY70" s="64" t="s">
        <v>1747</v>
      </c>
      <c r="AZ70" s="86"/>
      <c r="BA70" s="46" t="s">
        <v>74</v>
      </c>
      <c r="BB70" s="26"/>
      <c r="BC70" s="26"/>
      <c r="BD70" s="70" t="s">
        <v>1748</v>
      </c>
      <c r="BE70" s="46" t="e">
        <v>#REF!</v>
      </c>
      <c r="BF70" s="46" t="s">
        <v>79</v>
      </c>
      <c r="BG70" s="65">
        <v>0.25</v>
      </c>
      <c r="BH70" s="66" t="s">
        <v>1749</v>
      </c>
      <c r="BI70" s="63" t="s">
        <v>1750</v>
      </c>
    </row>
    <row r="71" spans="1:61" ht="51" x14ac:dyDescent="0.2">
      <c r="A71" s="45" t="s">
        <v>1751</v>
      </c>
      <c r="B71" s="46"/>
      <c r="C71" s="46" t="s">
        <v>1716</v>
      </c>
      <c r="D71" s="46" t="s">
        <v>1737</v>
      </c>
      <c r="E71" s="46" t="s">
        <v>1752</v>
      </c>
      <c r="F71" s="46" t="s">
        <v>68</v>
      </c>
      <c r="G71" s="46" t="s">
        <v>68</v>
      </c>
      <c r="H71" s="46" t="s">
        <v>68</v>
      </c>
      <c r="I71" s="46" t="s">
        <v>68</v>
      </c>
      <c r="J71" s="46" t="s">
        <v>71</v>
      </c>
      <c r="K71" s="47">
        <v>140</v>
      </c>
      <c r="L71" s="47">
        <v>35</v>
      </c>
      <c r="M71" s="47">
        <v>175</v>
      </c>
      <c r="N71" s="46" t="s">
        <v>1717</v>
      </c>
      <c r="O71" s="71" t="s">
        <v>1753</v>
      </c>
      <c r="P71" s="46" t="s">
        <v>1719</v>
      </c>
      <c r="Q71" s="46" t="s">
        <v>1347</v>
      </c>
      <c r="R71" s="46" t="s">
        <v>1713</v>
      </c>
      <c r="S71" s="49">
        <v>43.75</v>
      </c>
      <c r="T71" s="49">
        <v>218.75</v>
      </c>
      <c r="U71" s="67">
        <v>0.40285714285714286</v>
      </c>
      <c r="V71" s="28">
        <v>0.25555555555555554</v>
      </c>
      <c r="W71" s="51">
        <v>0.25</v>
      </c>
      <c r="X71" s="52">
        <v>21.875</v>
      </c>
      <c r="Y71" s="52">
        <v>30</v>
      </c>
      <c r="Z71" s="52">
        <v>78.75</v>
      </c>
      <c r="AA71" s="52">
        <v>130.625</v>
      </c>
      <c r="AB71" s="53">
        <v>0.5971428571428572</v>
      </c>
      <c r="AC71" s="68">
        <v>88.125</v>
      </c>
      <c r="AD71" s="55">
        <v>0.40285714285714286</v>
      </c>
      <c r="AE71" s="69">
        <v>1</v>
      </c>
      <c r="AF71" s="57" t="s">
        <v>77</v>
      </c>
      <c r="AG71" s="58">
        <v>28</v>
      </c>
      <c r="AH71" s="58">
        <v>35</v>
      </c>
      <c r="AI71" s="58">
        <v>63</v>
      </c>
      <c r="AJ71" s="49">
        <v>15.75</v>
      </c>
      <c r="AK71" s="49">
        <v>78.75</v>
      </c>
      <c r="AL71" s="52">
        <v>7.875</v>
      </c>
      <c r="AM71" s="52">
        <v>50.75</v>
      </c>
      <c r="AN71" s="52">
        <v>58.625</v>
      </c>
      <c r="AO71" s="59">
        <v>0.74444444444444446</v>
      </c>
      <c r="AP71" s="60">
        <v>20.125</v>
      </c>
      <c r="AQ71" s="61">
        <v>0.25555555555555554</v>
      </c>
      <c r="AR71" s="60" t="s">
        <v>78</v>
      </c>
      <c r="AS71" s="62">
        <v>182</v>
      </c>
      <c r="AT71" s="62">
        <v>46</v>
      </c>
      <c r="AU71" s="62">
        <v>228</v>
      </c>
      <c r="AV71" s="62">
        <v>285</v>
      </c>
      <c r="AW71" s="47" t="s">
        <v>74</v>
      </c>
      <c r="AX71" s="64"/>
      <c r="AY71" s="64" t="s">
        <v>1754</v>
      </c>
      <c r="AZ71" s="86"/>
      <c r="BA71" s="46" t="s">
        <v>74</v>
      </c>
      <c r="BB71" s="26"/>
      <c r="BC71" s="26"/>
      <c r="BD71" s="70" t="s">
        <v>1755</v>
      </c>
      <c r="BE71" s="46" t="e">
        <v>#REF!</v>
      </c>
      <c r="BF71" s="46" t="s">
        <v>79</v>
      </c>
      <c r="BG71" s="65">
        <v>0.25</v>
      </c>
      <c r="BH71" s="66" t="s">
        <v>1756</v>
      </c>
      <c r="BI71" s="63" t="s">
        <v>1757</v>
      </c>
    </row>
    <row r="72" spans="1:61" ht="51" x14ac:dyDescent="0.2">
      <c r="A72" s="45" t="s">
        <v>1758</v>
      </c>
      <c r="B72" s="46"/>
      <c r="C72" s="46" t="s">
        <v>1759</v>
      </c>
      <c r="D72" s="46" t="s">
        <v>68</v>
      </c>
      <c r="E72" s="46" t="s">
        <v>68</v>
      </c>
      <c r="F72" s="46" t="s">
        <v>68</v>
      </c>
      <c r="G72" s="46" t="s">
        <v>68</v>
      </c>
      <c r="H72" s="46" t="s">
        <v>68</v>
      </c>
      <c r="I72" s="46" t="s">
        <v>68</v>
      </c>
      <c r="J72" s="46" t="s">
        <v>71</v>
      </c>
      <c r="K72" s="47">
        <v>130</v>
      </c>
      <c r="L72" s="47">
        <v>30</v>
      </c>
      <c r="M72" s="47">
        <v>160</v>
      </c>
      <c r="N72" s="46" t="s">
        <v>1717</v>
      </c>
      <c r="O72" s="71" t="s">
        <v>1760</v>
      </c>
      <c r="P72" s="46" t="s">
        <v>1761</v>
      </c>
      <c r="Q72" s="46" t="s">
        <v>1347</v>
      </c>
      <c r="R72" s="46" t="s">
        <v>1713</v>
      </c>
      <c r="S72" s="49">
        <v>40</v>
      </c>
      <c r="T72" s="49">
        <v>200</v>
      </c>
      <c r="U72" s="67">
        <v>0.4</v>
      </c>
      <c r="V72" s="67">
        <v>0.44736842105263158</v>
      </c>
      <c r="W72" s="51">
        <v>0.23076923076923078</v>
      </c>
      <c r="X72" s="52">
        <v>20</v>
      </c>
      <c r="Y72" s="52">
        <v>30</v>
      </c>
      <c r="Z72" s="52">
        <v>70</v>
      </c>
      <c r="AA72" s="52">
        <v>120</v>
      </c>
      <c r="AB72" s="53">
        <v>0.6</v>
      </c>
      <c r="AC72" s="68">
        <v>80</v>
      </c>
      <c r="AD72" s="55">
        <v>0.4</v>
      </c>
      <c r="AE72" s="56">
        <v>2</v>
      </c>
      <c r="AF72" s="57" t="s">
        <v>72</v>
      </c>
      <c r="AG72" s="58">
        <v>65</v>
      </c>
      <c r="AH72" s="58">
        <v>30</v>
      </c>
      <c r="AI72" s="58">
        <v>95</v>
      </c>
      <c r="AJ72" s="49">
        <v>23.75</v>
      </c>
      <c r="AK72" s="49">
        <v>118.75</v>
      </c>
      <c r="AL72" s="52">
        <v>11.875</v>
      </c>
      <c r="AM72" s="52">
        <v>53.75</v>
      </c>
      <c r="AN72" s="52">
        <v>65.625</v>
      </c>
      <c r="AO72" s="59">
        <v>0.55263157894736847</v>
      </c>
      <c r="AP72" s="60">
        <v>53.125</v>
      </c>
      <c r="AQ72" s="61">
        <v>0.44736842105263158</v>
      </c>
      <c r="AR72" s="60" t="s">
        <v>78</v>
      </c>
      <c r="AS72" s="62">
        <v>195</v>
      </c>
      <c r="AT72" s="62">
        <v>45</v>
      </c>
      <c r="AU72" s="62">
        <v>240</v>
      </c>
      <c r="AV72" s="62">
        <v>300</v>
      </c>
      <c r="AW72" s="47" t="s">
        <v>74</v>
      </c>
      <c r="AX72" s="64"/>
      <c r="AY72" s="64" t="s">
        <v>1762</v>
      </c>
      <c r="AZ72" s="86"/>
      <c r="BA72" s="46" t="s">
        <v>74</v>
      </c>
      <c r="BB72" s="26"/>
      <c r="BC72" s="26"/>
      <c r="BD72" s="46"/>
      <c r="BE72" s="46" t="e">
        <v>#REF!</v>
      </c>
      <c r="BF72" s="46" t="s">
        <v>79</v>
      </c>
      <c r="BG72" s="65">
        <v>0.5</v>
      </c>
      <c r="BH72" s="66" t="s">
        <v>1763</v>
      </c>
      <c r="BI72" s="63" t="s">
        <v>1759</v>
      </c>
    </row>
    <row r="73" spans="1:61" ht="38.25" x14ac:dyDescent="0.2">
      <c r="A73" s="45" t="s">
        <v>1764</v>
      </c>
      <c r="B73" s="46"/>
      <c r="C73" s="46" t="s">
        <v>1731</v>
      </c>
      <c r="D73" s="46" t="s">
        <v>1765</v>
      </c>
      <c r="E73" s="46" t="s">
        <v>68</v>
      </c>
      <c r="F73" s="46" t="s">
        <v>68</v>
      </c>
      <c r="G73" s="46" t="s">
        <v>68</v>
      </c>
      <c r="H73" s="46" t="s">
        <v>68</v>
      </c>
      <c r="I73" s="46" t="s">
        <v>68</v>
      </c>
      <c r="J73" s="46" t="s">
        <v>71</v>
      </c>
      <c r="K73" s="47">
        <v>130</v>
      </c>
      <c r="L73" s="47">
        <v>30</v>
      </c>
      <c r="M73" s="47">
        <v>160</v>
      </c>
      <c r="N73" s="46" t="s">
        <v>1766</v>
      </c>
      <c r="O73" s="71" t="s">
        <v>1767</v>
      </c>
      <c r="P73" s="46" t="s">
        <v>1768</v>
      </c>
      <c r="Q73" s="46" t="s">
        <v>1347</v>
      </c>
      <c r="R73" s="46" t="s">
        <v>1713</v>
      </c>
      <c r="S73" s="49">
        <v>40</v>
      </c>
      <c r="T73" s="49">
        <v>200</v>
      </c>
      <c r="U73" s="67">
        <v>0.4</v>
      </c>
      <c r="V73" s="28">
        <v>0.27142857142857141</v>
      </c>
      <c r="W73" s="51">
        <v>0.23076923076923078</v>
      </c>
      <c r="X73" s="52">
        <v>20</v>
      </c>
      <c r="Y73" s="52">
        <v>30</v>
      </c>
      <c r="Z73" s="52">
        <v>70</v>
      </c>
      <c r="AA73" s="52">
        <v>120</v>
      </c>
      <c r="AB73" s="53">
        <v>0.6</v>
      </c>
      <c r="AC73" s="68">
        <v>80</v>
      </c>
      <c r="AD73" s="55">
        <v>0.4</v>
      </c>
      <c r="AE73" s="69">
        <v>1</v>
      </c>
      <c r="AF73" s="57" t="s">
        <v>77</v>
      </c>
      <c r="AG73" s="58">
        <v>26</v>
      </c>
      <c r="AH73" s="58">
        <v>30</v>
      </c>
      <c r="AI73" s="58">
        <v>56</v>
      </c>
      <c r="AJ73" s="49">
        <v>14</v>
      </c>
      <c r="AK73" s="49">
        <v>70</v>
      </c>
      <c r="AL73" s="52">
        <v>7</v>
      </c>
      <c r="AM73" s="52">
        <v>44</v>
      </c>
      <c r="AN73" s="52">
        <v>51</v>
      </c>
      <c r="AO73" s="59">
        <v>0.72857142857142854</v>
      </c>
      <c r="AP73" s="60">
        <v>19</v>
      </c>
      <c r="AQ73" s="61">
        <v>0.27142857142857141</v>
      </c>
      <c r="AR73" s="60" t="s">
        <v>78</v>
      </c>
      <c r="AS73" s="62">
        <v>169</v>
      </c>
      <c r="AT73" s="62">
        <v>39</v>
      </c>
      <c r="AU73" s="62">
        <v>208</v>
      </c>
      <c r="AV73" s="62">
        <v>260</v>
      </c>
      <c r="AW73" s="47" t="s">
        <v>74</v>
      </c>
      <c r="AX73" s="64"/>
      <c r="AY73" s="64" t="s">
        <v>1769</v>
      </c>
      <c r="AZ73" s="86"/>
      <c r="BA73" s="46" t="s">
        <v>74</v>
      </c>
      <c r="BB73" s="26"/>
      <c r="BC73" s="26"/>
      <c r="BD73" s="46"/>
      <c r="BE73" s="46" t="e">
        <v>#REF!</v>
      </c>
      <c r="BF73" s="46" t="s">
        <v>79</v>
      </c>
      <c r="BG73" s="65">
        <v>0.5</v>
      </c>
      <c r="BH73" s="66" t="s">
        <v>1770</v>
      </c>
      <c r="BI73" s="63" t="s">
        <v>1771</v>
      </c>
    </row>
    <row r="74" spans="1:61" ht="38.25" x14ac:dyDescent="0.2">
      <c r="A74" s="45" t="s">
        <v>1772</v>
      </c>
      <c r="B74" s="46"/>
      <c r="C74" s="46" t="s">
        <v>1773</v>
      </c>
      <c r="D74" s="46" t="s">
        <v>68</v>
      </c>
      <c r="E74" s="46" t="s">
        <v>68</v>
      </c>
      <c r="F74" s="46" t="s">
        <v>68</v>
      </c>
      <c r="G74" s="46" t="s">
        <v>68</v>
      </c>
      <c r="H74" s="46" t="s">
        <v>68</v>
      </c>
      <c r="I74" s="46" t="s">
        <v>68</v>
      </c>
      <c r="J74" s="46" t="s">
        <v>71</v>
      </c>
      <c r="K74" s="47">
        <v>130</v>
      </c>
      <c r="L74" s="47">
        <v>20</v>
      </c>
      <c r="M74" s="47">
        <v>150</v>
      </c>
      <c r="N74" s="46" t="s">
        <v>1774</v>
      </c>
      <c r="O74" s="71" t="s">
        <v>1775</v>
      </c>
      <c r="P74" s="46" t="s">
        <v>1776</v>
      </c>
      <c r="Q74" s="46" t="s">
        <v>1347</v>
      </c>
      <c r="R74" s="46" t="s">
        <v>1713</v>
      </c>
      <c r="S74" s="49">
        <v>37.5</v>
      </c>
      <c r="T74" s="49">
        <v>187.5</v>
      </c>
      <c r="U74" s="67">
        <v>0.43333333333333335</v>
      </c>
      <c r="V74" s="67">
        <v>0.35217391304347828</v>
      </c>
      <c r="W74" s="51">
        <v>0.15384615384615385</v>
      </c>
      <c r="X74" s="52">
        <v>18.75</v>
      </c>
      <c r="Y74" s="52">
        <v>30</v>
      </c>
      <c r="Z74" s="52">
        <v>57.5</v>
      </c>
      <c r="AA74" s="52">
        <v>106.25</v>
      </c>
      <c r="AB74" s="53">
        <v>0.56666666666666665</v>
      </c>
      <c r="AC74" s="68">
        <v>81.25</v>
      </c>
      <c r="AD74" s="55">
        <v>0.43333333333333335</v>
      </c>
      <c r="AE74" s="69">
        <v>1</v>
      </c>
      <c r="AF74" s="57" t="s">
        <v>77</v>
      </c>
      <c r="AG74" s="58">
        <v>26</v>
      </c>
      <c r="AH74" s="58">
        <v>20</v>
      </c>
      <c r="AI74" s="58">
        <v>46</v>
      </c>
      <c r="AJ74" s="49">
        <v>11.5</v>
      </c>
      <c r="AK74" s="49">
        <v>57.5</v>
      </c>
      <c r="AL74" s="52">
        <v>5.75</v>
      </c>
      <c r="AM74" s="52">
        <v>31.5</v>
      </c>
      <c r="AN74" s="52">
        <v>37.25</v>
      </c>
      <c r="AO74" s="59">
        <v>0.64782608695652177</v>
      </c>
      <c r="AP74" s="60">
        <v>20.25</v>
      </c>
      <c r="AQ74" s="61">
        <v>0.35217391304347828</v>
      </c>
      <c r="AR74" s="60" t="s">
        <v>78</v>
      </c>
      <c r="AS74" s="62">
        <v>169</v>
      </c>
      <c r="AT74" s="62">
        <v>26</v>
      </c>
      <c r="AU74" s="62">
        <v>195</v>
      </c>
      <c r="AV74" s="62">
        <v>243.75</v>
      </c>
      <c r="AW74" s="47" t="s">
        <v>74</v>
      </c>
      <c r="AX74" s="64"/>
      <c r="AY74" s="64" t="s">
        <v>1777</v>
      </c>
      <c r="AZ74" s="86"/>
      <c r="BA74" s="46" t="s">
        <v>74</v>
      </c>
      <c r="BB74" s="26"/>
      <c r="BC74" s="26"/>
      <c r="BD74" s="46"/>
      <c r="BE74" s="46" t="e">
        <v>#REF!</v>
      </c>
      <c r="BF74" s="46" t="s">
        <v>79</v>
      </c>
      <c r="BG74" s="65">
        <v>0.25</v>
      </c>
      <c r="BH74" s="66" t="s">
        <v>1778</v>
      </c>
      <c r="BI74" s="63" t="s">
        <v>1773</v>
      </c>
    </row>
    <row r="75" spans="1:61" ht="76.5" x14ac:dyDescent="0.2">
      <c r="A75" s="45" t="s">
        <v>1779</v>
      </c>
      <c r="B75" s="46"/>
      <c r="C75" s="46" t="s">
        <v>1780</v>
      </c>
      <c r="D75" s="46" t="s">
        <v>1781</v>
      </c>
      <c r="E75" s="46" t="s">
        <v>1782</v>
      </c>
      <c r="F75" s="46" t="s">
        <v>68</v>
      </c>
      <c r="G75" s="46" t="s">
        <v>68</v>
      </c>
      <c r="H75" s="46" t="s">
        <v>68</v>
      </c>
      <c r="I75" s="46" t="s">
        <v>454</v>
      </c>
      <c r="J75" s="46" t="s">
        <v>71</v>
      </c>
      <c r="K75" s="47">
        <v>150</v>
      </c>
      <c r="L75" s="47">
        <v>40</v>
      </c>
      <c r="M75" s="47">
        <v>190</v>
      </c>
      <c r="N75" s="46" t="s">
        <v>1783</v>
      </c>
      <c r="O75" s="71" t="s">
        <v>1784</v>
      </c>
      <c r="P75" s="46" t="s">
        <v>1785</v>
      </c>
      <c r="Q75" s="46" t="s">
        <v>1347</v>
      </c>
      <c r="R75" s="46" t="s">
        <v>1713</v>
      </c>
      <c r="S75" s="49">
        <v>47.5</v>
      </c>
      <c r="T75" s="49">
        <v>237.5</v>
      </c>
      <c r="U75" s="67">
        <v>0.40526315789473683</v>
      </c>
      <c r="V75" s="67">
        <v>0.42173913043478262</v>
      </c>
      <c r="W75" s="51">
        <v>0.26666666666666666</v>
      </c>
      <c r="X75" s="52">
        <v>23.75</v>
      </c>
      <c r="Y75" s="52">
        <v>30</v>
      </c>
      <c r="Z75" s="52">
        <v>87.5</v>
      </c>
      <c r="AA75" s="52">
        <v>141.25</v>
      </c>
      <c r="AB75" s="53">
        <v>0.59473684210526312</v>
      </c>
      <c r="AC75" s="54">
        <v>96.25</v>
      </c>
      <c r="AD75" s="55">
        <v>0.40526315789473683</v>
      </c>
      <c r="AE75" s="56">
        <v>2</v>
      </c>
      <c r="AF75" s="57" t="s">
        <v>72</v>
      </c>
      <c r="AG75" s="58">
        <v>75</v>
      </c>
      <c r="AH75" s="58">
        <v>40</v>
      </c>
      <c r="AI75" s="58">
        <v>115</v>
      </c>
      <c r="AJ75" s="49">
        <v>28.75</v>
      </c>
      <c r="AK75" s="49">
        <v>143.75</v>
      </c>
      <c r="AL75" s="52">
        <v>14.375</v>
      </c>
      <c r="AM75" s="52">
        <v>68.75</v>
      </c>
      <c r="AN75" s="52">
        <v>83.125</v>
      </c>
      <c r="AO75" s="59">
        <v>0.57826086956521738</v>
      </c>
      <c r="AP75" s="60">
        <v>60.625</v>
      </c>
      <c r="AQ75" s="61">
        <v>0.42173913043478262</v>
      </c>
      <c r="AR75" s="60" t="s">
        <v>78</v>
      </c>
      <c r="AS75" s="62">
        <v>225</v>
      </c>
      <c r="AT75" s="62">
        <v>60</v>
      </c>
      <c r="AU75" s="62">
        <v>285</v>
      </c>
      <c r="AV75" s="62">
        <v>356.25</v>
      </c>
      <c r="AW75" s="47" t="s">
        <v>74</v>
      </c>
      <c r="AX75" s="64"/>
      <c r="AY75" s="64" t="s">
        <v>1786</v>
      </c>
      <c r="AZ75" s="86"/>
      <c r="BA75" s="46" t="s">
        <v>74</v>
      </c>
      <c r="BB75" s="26"/>
      <c r="BC75" s="26"/>
      <c r="BD75" s="46"/>
      <c r="BE75" s="46" t="e">
        <v>#REF!</v>
      </c>
      <c r="BF75" s="46" t="s">
        <v>79</v>
      </c>
      <c r="BG75" s="65">
        <v>0.25</v>
      </c>
      <c r="BH75" s="66" t="s">
        <v>1787</v>
      </c>
      <c r="BI75" s="63" t="s">
        <v>1788</v>
      </c>
    </row>
    <row r="76" spans="1:61" ht="76.5" x14ac:dyDescent="0.2">
      <c r="A76" s="45" t="s">
        <v>1789</v>
      </c>
      <c r="B76" s="46"/>
      <c r="C76" s="46" t="s">
        <v>1780</v>
      </c>
      <c r="D76" s="46" t="s">
        <v>1781</v>
      </c>
      <c r="E76" s="46" t="s">
        <v>1782</v>
      </c>
      <c r="F76" s="46" t="s">
        <v>68</v>
      </c>
      <c r="G76" s="46" t="s">
        <v>68</v>
      </c>
      <c r="H76" s="46" t="s">
        <v>68</v>
      </c>
      <c r="I76" s="46" t="s">
        <v>445</v>
      </c>
      <c r="J76" s="46" t="s">
        <v>71</v>
      </c>
      <c r="K76" s="47">
        <v>150</v>
      </c>
      <c r="L76" s="47">
        <v>50</v>
      </c>
      <c r="M76" s="47">
        <v>200</v>
      </c>
      <c r="N76" s="46" t="s">
        <v>1783</v>
      </c>
      <c r="O76" s="71" t="s">
        <v>1790</v>
      </c>
      <c r="P76" s="46" t="s">
        <v>1785</v>
      </c>
      <c r="Q76" s="46" t="s">
        <v>1347</v>
      </c>
      <c r="R76" s="46" t="s">
        <v>1713</v>
      </c>
      <c r="S76" s="49">
        <v>50</v>
      </c>
      <c r="T76" s="49">
        <v>250</v>
      </c>
      <c r="U76" s="67">
        <v>0.38</v>
      </c>
      <c r="V76" s="67">
        <v>0.38</v>
      </c>
      <c r="W76" s="51">
        <v>0.33333333333333331</v>
      </c>
      <c r="X76" s="52">
        <v>25</v>
      </c>
      <c r="Y76" s="52">
        <v>30</v>
      </c>
      <c r="Z76" s="52">
        <v>100</v>
      </c>
      <c r="AA76" s="52">
        <v>155</v>
      </c>
      <c r="AB76" s="53">
        <v>0.62</v>
      </c>
      <c r="AC76" s="54">
        <v>95</v>
      </c>
      <c r="AD76" s="55">
        <v>0.38</v>
      </c>
      <c r="AE76" s="56">
        <v>2</v>
      </c>
      <c r="AF76" s="57" t="s">
        <v>72</v>
      </c>
      <c r="AG76" s="58">
        <v>75</v>
      </c>
      <c r="AH76" s="58">
        <v>50</v>
      </c>
      <c r="AI76" s="58">
        <v>125</v>
      </c>
      <c r="AJ76" s="49">
        <v>31.25</v>
      </c>
      <c r="AK76" s="49">
        <v>156.25</v>
      </c>
      <c r="AL76" s="52">
        <v>15.625</v>
      </c>
      <c r="AM76" s="52">
        <v>81.25</v>
      </c>
      <c r="AN76" s="52">
        <v>96.875</v>
      </c>
      <c r="AO76" s="59">
        <v>0.62</v>
      </c>
      <c r="AP76" s="60">
        <v>59.375</v>
      </c>
      <c r="AQ76" s="61">
        <v>0.38</v>
      </c>
      <c r="AR76" s="60" t="s">
        <v>78</v>
      </c>
      <c r="AS76" s="62">
        <v>225</v>
      </c>
      <c r="AT76" s="62">
        <v>75</v>
      </c>
      <c r="AU76" s="62">
        <v>300</v>
      </c>
      <c r="AV76" s="62">
        <v>375</v>
      </c>
      <c r="AW76" s="47" t="s">
        <v>74</v>
      </c>
      <c r="AX76" s="64"/>
      <c r="AY76" s="64" t="s">
        <v>1791</v>
      </c>
      <c r="AZ76" s="86"/>
      <c r="BA76" s="46" t="s">
        <v>74</v>
      </c>
      <c r="BB76" s="26"/>
      <c r="BC76" s="26"/>
      <c r="BD76" s="46"/>
      <c r="BE76" s="46" t="e">
        <v>#REF!</v>
      </c>
      <c r="BF76" s="46" t="s">
        <v>79</v>
      </c>
      <c r="BG76" s="65">
        <v>0.25</v>
      </c>
      <c r="BH76" s="66" t="s">
        <v>1792</v>
      </c>
      <c r="BI76" s="63" t="s">
        <v>1793</v>
      </c>
    </row>
    <row r="77" spans="1:61" ht="76.5" x14ac:dyDescent="0.2">
      <c r="A77" s="45" t="s">
        <v>1794</v>
      </c>
      <c r="B77" s="46"/>
      <c r="C77" s="46" t="s">
        <v>1780</v>
      </c>
      <c r="D77" s="46" t="s">
        <v>1781</v>
      </c>
      <c r="E77" s="46" t="s">
        <v>1782</v>
      </c>
      <c r="F77" s="46" t="s">
        <v>68</v>
      </c>
      <c r="G77" s="46" t="s">
        <v>68</v>
      </c>
      <c r="H77" s="46" t="s">
        <v>68</v>
      </c>
      <c r="I77" s="46" t="s">
        <v>449</v>
      </c>
      <c r="J77" s="46" t="s">
        <v>71</v>
      </c>
      <c r="K77" s="47">
        <v>170</v>
      </c>
      <c r="L77" s="47">
        <v>150</v>
      </c>
      <c r="M77" s="47">
        <v>320</v>
      </c>
      <c r="N77" s="46" t="s">
        <v>1783</v>
      </c>
      <c r="O77" s="71" t="s">
        <v>1795</v>
      </c>
      <c r="P77" s="46" t="s">
        <v>1785</v>
      </c>
      <c r="Q77" s="46" t="s">
        <v>1347</v>
      </c>
      <c r="R77" s="46" t="s">
        <v>1713</v>
      </c>
      <c r="S77" s="49">
        <v>80</v>
      </c>
      <c r="T77" s="49">
        <v>400</v>
      </c>
      <c r="U77" s="28">
        <v>0.25</v>
      </c>
      <c r="V77" s="50">
        <v>0.18936170212765957</v>
      </c>
      <c r="W77" s="51">
        <v>0.88235294117647056</v>
      </c>
      <c r="X77" s="52">
        <v>40</v>
      </c>
      <c r="Y77" s="52">
        <v>30</v>
      </c>
      <c r="Z77" s="52">
        <v>230</v>
      </c>
      <c r="AA77" s="52">
        <v>300</v>
      </c>
      <c r="AB77" s="53">
        <v>0.75</v>
      </c>
      <c r="AC77" s="54">
        <v>100</v>
      </c>
      <c r="AD77" s="55">
        <v>0.25</v>
      </c>
      <c r="AE77" s="56">
        <v>2</v>
      </c>
      <c r="AF77" s="57" t="s">
        <v>72</v>
      </c>
      <c r="AG77" s="58">
        <v>85</v>
      </c>
      <c r="AH77" s="58">
        <v>150</v>
      </c>
      <c r="AI77" s="58">
        <v>235</v>
      </c>
      <c r="AJ77" s="49">
        <v>58.75</v>
      </c>
      <c r="AK77" s="49">
        <v>293.75</v>
      </c>
      <c r="AL77" s="52">
        <v>29.375</v>
      </c>
      <c r="AM77" s="52">
        <v>208.75</v>
      </c>
      <c r="AN77" s="52">
        <v>238.125</v>
      </c>
      <c r="AO77" s="59">
        <v>0.81063829787234043</v>
      </c>
      <c r="AP77" s="60">
        <v>55.625</v>
      </c>
      <c r="AQ77" s="61">
        <v>0.18936170212765957</v>
      </c>
      <c r="AR77" s="60" t="s">
        <v>73</v>
      </c>
      <c r="AS77" s="62">
        <v>255</v>
      </c>
      <c r="AT77" s="62">
        <v>225</v>
      </c>
      <c r="AU77" s="62">
        <v>480</v>
      </c>
      <c r="AV77" s="62">
        <v>600</v>
      </c>
      <c r="AW77" s="47" t="s">
        <v>74</v>
      </c>
      <c r="AX77" s="64"/>
      <c r="AY77" s="64" t="s">
        <v>1796</v>
      </c>
      <c r="AZ77" s="86"/>
      <c r="BA77" s="46" t="s">
        <v>74</v>
      </c>
      <c r="BB77" s="26"/>
      <c r="BC77" s="26"/>
      <c r="BD77" s="46"/>
      <c r="BE77" s="46" t="e">
        <v>#REF!</v>
      </c>
      <c r="BF77" s="46" t="s">
        <v>79</v>
      </c>
      <c r="BG77" s="65">
        <v>0.25</v>
      </c>
      <c r="BH77" s="66" t="s">
        <v>1797</v>
      </c>
      <c r="BI77" s="63" t="s">
        <v>1798</v>
      </c>
    </row>
    <row r="78" spans="1:61" ht="76.5" x14ac:dyDescent="0.2">
      <c r="A78" s="45" t="s">
        <v>1799</v>
      </c>
      <c r="B78" s="46"/>
      <c r="C78" s="46" t="s">
        <v>1780</v>
      </c>
      <c r="D78" s="46" t="s">
        <v>1781</v>
      </c>
      <c r="E78" s="46" t="s">
        <v>1800</v>
      </c>
      <c r="F78" s="46" t="s">
        <v>68</v>
      </c>
      <c r="G78" s="46" t="s">
        <v>68</v>
      </c>
      <c r="H78" s="46" t="s">
        <v>68</v>
      </c>
      <c r="I78" s="46" t="s">
        <v>454</v>
      </c>
      <c r="J78" s="46" t="s">
        <v>71</v>
      </c>
      <c r="K78" s="47">
        <v>150</v>
      </c>
      <c r="L78" s="47">
        <v>30</v>
      </c>
      <c r="M78" s="47">
        <v>180</v>
      </c>
      <c r="N78" s="46" t="s">
        <v>1783</v>
      </c>
      <c r="O78" s="71" t="s">
        <v>1801</v>
      </c>
      <c r="P78" s="46" t="s">
        <v>1785</v>
      </c>
      <c r="Q78" s="46" t="s">
        <v>1347</v>
      </c>
      <c r="R78" s="46" t="s">
        <v>1713</v>
      </c>
      <c r="S78" s="49">
        <v>45</v>
      </c>
      <c r="T78" s="49">
        <v>225</v>
      </c>
      <c r="U78" s="67">
        <v>0.43333333333333335</v>
      </c>
      <c r="V78" s="67">
        <v>0.47142857142857142</v>
      </c>
      <c r="W78" s="51">
        <v>0.2</v>
      </c>
      <c r="X78" s="52">
        <v>22.5</v>
      </c>
      <c r="Y78" s="52">
        <v>30</v>
      </c>
      <c r="Z78" s="52">
        <v>75</v>
      </c>
      <c r="AA78" s="52">
        <v>127.5</v>
      </c>
      <c r="AB78" s="53">
        <v>0.56666666666666665</v>
      </c>
      <c r="AC78" s="54">
        <v>97.5</v>
      </c>
      <c r="AD78" s="55">
        <v>0.43333333333333335</v>
      </c>
      <c r="AE78" s="56">
        <v>2</v>
      </c>
      <c r="AF78" s="57" t="s">
        <v>72</v>
      </c>
      <c r="AG78" s="58">
        <v>75</v>
      </c>
      <c r="AH78" s="58">
        <v>30</v>
      </c>
      <c r="AI78" s="58">
        <v>105</v>
      </c>
      <c r="AJ78" s="49">
        <v>26.25</v>
      </c>
      <c r="AK78" s="49">
        <v>131.25</v>
      </c>
      <c r="AL78" s="52">
        <v>13.125</v>
      </c>
      <c r="AM78" s="52">
        <v>56.25</v>
      </c>
      <c r="AN78" s="52">
        <v>69.375</v>
      </c>
      <c r="AO78" s="59">
        <v>0.52857142857142858</v>
      </c>
      <c r="AP78" s="60">
        <v>61.875</v>
      </c>
      <c r="AQ78" s="61">
        <v>0.47142857142857142</v>
      </c>
      <c r="AR78" s="60" t="s">
        <v>78</v>
      </c>
      <c r="AS78" s="62">
        <v>225</v>
      </c>
      <c r="AT78" s="62">
        <v>45</v>
      </c>
      <c r="AU78" s="62">
        <v>270</v>
      </c>
      <c r="AV78" s="62">
        <v>337.5</v>
      </c>
      <c r="AW78" s="47" t="s">
        <v>74</v>
      </c>
      <c r="AX78" s="64"/>
      <c r="AY78" s="64" t="s">
        <v>1802</v>
      </c>
      <c r="AZ78" s="86"/>
      <c r="BA78" s="46" t="s">
        <v>74</v>
      </c>
      <c r="BB78" s="26"/>
      <c r="BC78" s="26"/>
      <c r="BD78" s="46"/>
      <c r="BE78" s="46" t="e">
        <v>#REF!</v>
      </c>
      <c r="BF78" s="46" t="s">
        <v>79</v>
      </c>
      <c r="BG78" s="65">
        <v>0.25</v>
      </c>
      <c r="BH78" s="66" t="s">
        <v>1803</v>
      </c>
      <c r="BI78" s="63" t="s">
        <v>1804</v>
      </c>
    </row>
    <row r="79" spans="1:61" ht="76.5" x14ac:dyDescent="0.2">
      <c r="A79" s="45" t="s">
        <v>1805</v>
      </c>
      <c r="B79" s="46"/>
      <c r="C79" s="46" t="s">
        <v>1780</v>
      </c>
      <c r="D79" s="46" t="s">
        <v>1781</v>
      </c>
      <c r="E79" s="46" t="s">
        <v>1800</v>
      </c>
      <c r="F79" s="46" t="s">
        <v>68</v>
      </c>
      <c r="G79" s="46" t="s">
        <v>68</v>
      </c>
      <c r="H79" s="46" t="s">
        <v>68</v>
      </c>
      <c r="I79" s="46" t="s">
        <v>445</v>
      </c>
      <c r="J79" s="46" t="s">
        <v>71</v>
      </c>
      <c r="K79" s="47">
        <v>150</v>
      </c>
      <c r="L79" s="47">
        <v>50</v>
      </c>
      <c r="M79" s="47">
        <v>200</v>
      </c>
      <c r="N79" s="46" t="s">
        <v>1783</v>
      </c>
      <c r="O79" s="71" t="s">
        <v>1806</v>
      </c>
      <c r="P79" s="46" t="s">
        <v>1785</v>
      </c>
      <c r="Q79" s="46" t="s">
        <v>1347</v>
      </c>
      <c r="R79" s="46" t="s">
        <v>1713</v>
      </c>
      <c r="S79" s="49">
        <v>50</v>
      </c>
      <c r="T79" s="49">
        <v>250</v>
      </c>
      <c r="U79" s="67">
        <v>0.38</v>
      </c>
      <c r="V79" s="67">
        <v>0.38</v>
      </c>
      <c r="W79" s="51">
        <v>0.33333333333333331</v>
      </c>
      <c r="X79" s="52">
        <v>25</v>
      </c>
      <c r="Y79" s="52">
        <v>30</v>
      </c>
      <c r="Z79" s="52">
        <v>100</v>
      </c>
      <c r="AA79" s="52">
        <v>155</v>
      </c>
      <c r="AB79" s="53">
        <v>0.62</v>
      </c>
      <c r="AC79" s="54">
        <v>95</v>
      </c>
      <c r="AD79" s="55">
        <v>0.38</v>
      </c>
      <c r="AE79" s="56">
        <v>2</v>
      </c>
      <c r="AF79" s="57" t="s">
        <v>72</v>
      </c>
      <c r="AG79" s="58">
        <v>75</v>
      </c>
      <c r="AH79" s="58">
        <v>50</v>
      </c>
      <c r="AI79" s="58">
        <v>125</v>
      </c>
      <c r="AJ79" s="49">
        <v>31.25</v>
      </c>
      <c r="AK79" s="49">
        <v>156.25</v>
      </c>
      <c r="AL79" s="52">
        <v>15.625</v>
      </c>
      <c r="AM79" s="52">
        <v>81.25</v>
      </c>
      <c r="AN79" s="52">
        <v>96.875</v>
      </c>
      <c r="AO79" s="59">
        <v>0.62</v>
      </c>
      <c r="AP79" s="60">
        <v>59.375</v>
      </c>
      <c r="AQ79" s="61">
        <v>0.38</v>
      </c>
      <c r="AR79" s="60" t="s">
        <v>78</v>
      </c>
      <c r="AS79" s="62">
        <v>225</v>
      </c>
      <c r="AT79" s="62">
        <v>75</v>
      </c>
      <c r="AU79" s="62">
        <v>300</v>
      </c>
      <c r="AV79" s="62">
        <v>375</v>
      </c>
      <c r="AW79" s="47" t="s">
        <v>74</v>
      </c>
      <c r="AX79" s="64"/>
      <c r="AY79" s="64" t="s">
        <v>1807</v>
      </c>
      <c r="AZ79" s="86"/>
      <c r="BA79" s="46" t="s">
        <v>74</v>
      </c>
      <c r="BB79" s="26"/>
      <c r="BC79" s="26"/>
      <c r="BD79" s="46"/>
      <c r="BE79" s="46" t="e">
        <v>#REF!</v>
      </c>
      <c r="BF79" s="46" t="s">
        <v>79</v>
      </c>
      <c r="BG79" s="65">
        <v>0.25</v>
      </c>
      <c r="BH79" s="66" t="s">
        <v>1808</v>
      </c>
      <c r="BI79" s="63" t="s">
        <v>1809</v>
      </c>
    </row>
    <row r="80" spans="1:61" ht="76.5" x14ac:dyDescent="0.2">
      <c r="A80" s="45" t="s">
        <v>1810</v>
      </c>
      <c r="B80" s="46"/>
      <c r="C80" s="46" t="s">
        <v>1780</v>
      </c>
      <c r="D80" s="46" t="s">
        <v>1781</v>
      </c>
      <c r="E80" s="46" t="s">
        <v>1800</v>
      </c>
      <c r="F80" s="46" t="s">
        <v>68</v>
      </c>
      <c r="G80" s="46" t="s">
        <v>68</v>
      </c>
      <c r="H80" s="46" t="s">
        <v>68</v>
      </c>
      <c r="I80" s="46" t="s">
        <v>449</v>
      </c>
      <c r="J80" s="46" t="s">
        <v>71</v>
      </c>
      <c r="K80" s="47">
        <v>170</v>
      </c>
      <c r="L80" s="47">
        <v>150</v>
      </c>
      <c r="M80" s="47">
        <v>320</v>
      </c>
      <c r="N80" s="46" t="s">
        <v>1783</v>
      </c>
      <c r="O80" s="71" t="s">
        <v>1811</v>
      </c>
      <c r="P80" s="46" t="s">
        <v>1785</v>
      </c>
      <c r="Q80" s="46" t="s">
        <v>1347</v>
      </c>
      <c r="R80" s="46" t="s">
        <v>1713</v>
      </c>
      <c r="S80" s="49">
        <v>80</v>
      </c>
      <c r="T80" s="49">
        <v>400</v>
      </c>
      <c r="U80" s="28">
        <v>0.25</v>
      </c>
      <c r="V80" s="50">
        <v>0.18936170212765957</v>
      </c>
      <c r="W80" s="51">
        <v>0.88235294117647056</v>
      </c>
      <c r="X80" s="52">
        <v>40</v>
      </c>
      <c r="Y80" s="52">
        <v>30</v>
      </c>
      <c r="Z80" s="52">
        <v>230</v>
      </c>
      <c r="AA80" s="52">
        <v>300</v>
      </c>
      <c r="AB80" s="53">
        <v>0.75</v>
      </c>
      <c r="AC80" s="54">
        <v>100</v>
      </c>
      <c r="AD80" s="55">
        <v>0.25</v>
      </c>
      <c r="AE80" s="56">
        <v>2</v>
      </c>
      <c r="AF80" s="57" t="s">
        <v>72</v>
      </c>
      <c r="AG80" s="58">
        <v>85</v>
      </c>
      <c r="AH80" s="58">
        <v>150</v>
      </c>
      <c r="AI80" s="58">
        <v>235</v>
      </c>
      <c r="AJ80" s="49">
        <v>58.75</v>
      </c>
      <c r="AK80" s="49">
        <v>293.75</v>
      </c>
      <c r="AL80" s="52">
        <v>29.375</v>
      </c>
      <c r="AM80" s="52">
        <v>208.75</v>
      </c>
      <c r="AN80" s="52">
        <v>238.125</v>
      </c>
      <c r="AO80" s="59">
        <v>0.81063829787234043</v>
      </c>
      <c r="AP80" s="60">
        <v>55.625</v>
      </c>
      <c r="AQ80" s="61">
        <v>0.18936170212765957</v>
      </c>
      <c r="AR80" s="60" t="s">
        <v>73</v>
      </c>
      <c r="AS80" s="62">
        <v>255</v>
      </c>
      <c r="AT80" s="62">
        <v>225</v>
      </c>
      <c r="AU80" s="62">
        <v>480</v>
      </c>
      <c r="AV80" s="62">
        <v>600</v>
      </c>
      <c r="AW80" s="47" t="s">
        <v>74</v>
      </c>
      <c r="AX80" s="64"/>
      <c r="AY80" s="64" t="s">
        <v>1812</v>
      </c>
      <c r="AZ80" s="86"/>
      <c r="BA80" s="46" t="s">
        <v>74</v>
      </c>
      <c r="BB80" s="26"/>
      <c r="BC80" s="26"/>
      <c r="BD80" s="46"/>
      <c r="BE80" s="46" t="e">
        <v>#REF!</v>
      </c>
      <c r="BF80" s="46" t="s">
        <v>79</v>
      </c>
      <c r="BG80" s="65">
        <v>0.25</v>
      </c>
      <c r="BH80" s="66" t="s">
        <v>1813</v>
      </c>
      <c r="BI80" s="63" t="s">
        <v>1814</v>
      </c>
    </row>
    <row r="81" spans="1:61" ht="63.75" x14ac:dyDescent="0.2">
      <c r="A81" s="45" t="s">
        <v>1815</v>
      </c>
      <c r="B81" s="46"/>
      <c r="C81" s="46" t="s">
        <v>1780</v>
      </c>
      <c r="D81" s="46" t="s">
        <v>1781</v>
      </c>
      <c r="E81" s="46" t="s">
        <v>1816</v>
      </c>
      <c r="F81" s="46"/>
      <c r="G81" s="46"/>
      <c r="H81" s="46"/>
      <c r="I81" s="46" t="s">
        <v>454</v>
      </c>
      <c r="J81" s="46" t="s">
        <v>71</v>
      </c>
      <c r="K81" s="47">
        <v>145</v>
      </c>
      <c r="L81" s="47">
        <v>30</v>
      </c>
      <c r="M81" s="47">
        <v>175</v>
      </c>
      <c r="N81" s="46" t="s">
        <v>1783</v>
      </c>
      <c r="O81" s="71" t="s">
        <v>1817</v>
      </c>
      <c r="P81" s="46" t="s">
        <v>1785</v>
      </c>
      <c r="Q81" s="46" t="s">
        <v>1347</v>
      </c>
      <c r="R81" s="46" t="s">
        <v>1713</v>
      </c>
      <c r="S81" s="49">
        <v>43.75</v>
      </c>
      <c r="T81" s="49">
        <v>218.75</v>
      </c>
      <c r="U81" s="67">
        <v>0.42571428571428571</v>
      </c>
      <c r="V81" s="67">
        <v>0.46585365853658539</v>
      </c>
      <c r="W81" s="51">
        <v>0.20689655172413793</v>
      </c>
      <c r="X81" s="52">
        <v>21.875</v>
      </c>
      <c r="Y81" s="52">
        <v>30</v>
      </c>
      <c r="Z81" s="52">
        <v>73.75</v>
      </c>
      <c r="AA81" s="52">
        <v>125.625</v>
      </c>
      <c r="AB81" s="53">
        <v>0.57428571428571429</v>
      </c>
      <c r="AC81" s="54">
        <v>93.125</v>
      </c>
      <c r="AD81" s="55">
        <v>0.42571428571428571</v>
      </c>
      <c r="AE81" s="56">
        <v>2</v>
      </c>
      <c r="AF81" s="57" t="s">
        <v>72</v>
      </c>
      <c r="AG81" s="58">
        <v>72.5</v>
      </c>
      <c r="AH81" s="58">
        <v>30</v>
      </c>
      <c r="AI81" s="58">
        <v>102.5</v>
      </c>
      <c r="AJ81" s="49">
        <v>25.625</v>
      </c>
      <c r="AK81" s="49">
        <v>128.125</v>
      </c>
      <c r="AL81" s="52">
        <v>12.8125</v>
      </c>
      <c r="AM81" s="52">
        <v>55.625</v>
      </c>
      <c r="AN81" s="52">
        <v>68.4375</v>
      </c>
      <c r="AO81" s="59">
        <v>0.53414634146341466</v>
      </c>
      <c r="AP81" s="60">
        <v>59.6875</v>
      </c>
      <c r="AQ81" s="61">
        <v>0.46585365853658539</v>
      </c>
      <c r="AR81" s="60" t="s">
        <v>78</v>
      </c>
      <c r="AS81" s="62">
        <v>218</v>
      </c>
      <c r="AT81" s="62">
        <v>45</v>
      </c>
      <c r="AU81" s="62">
        <v>263</v>
      </c>
      <c r="AV81" s="62">
        <v>328.75</v>
      </c>
      <c r="AW81" s="47" t="s">
        <v>74</v>
      </c>
      <c r="AX81" s="64"/>
      <c r="AY81" s="64" t="s">
        <v>1818</v>
      </c>
      <c r="AZ81" s="86"/>
      <c r="BA81" s="46" t="s">
        <v>74</v>
      </c>
      <c r="BB81" s="26"/>
      <c r="BC81" s="26"/>
      <c r="BD81" s="46"/>
      <c r="BE81" s="46" t="e">
        <v>#REF!</v>
      </c>
      <c r="BF81" s="46" t="s">
        <v>79</v>
      </c>
      <c r="BG81" s="65">
        <v>0.25</v>
      </c>
      <c r="BH81" s="66"/>
      <c r="BI81" s="63" t="s">
        <v>1819</v>
      </c>
    </row>
    <row r="82" spans="1:61" ht="63.75" x14ac:dyDescent="0.2">
      <c r="A82" s="45" t="s">
        <v>1820</v>
      </c>
      <c r="B82" s="46"/>
      <c r="C82" s="46" t="s">
        <v>1780</v>
      </c>
      <c r="D82" s="46" t="s">
        <v>1781</v>
      </c>
      <c r="E82" s="46" t="s">
        <v>1816</v>
      </c>
      <c r="F82" s="46"/>
      <c r="G82" s="46"/>
      <c r="H82" s="46"/>
      <c r="I82" s="46" t="s">
        <v>445</v>
      </c>
      <c r="J82" s="46" t="s">
        <v>71</v>
      </c>
      <c r="K82" s="47">
        <v>155</v>
      </c>
      <c r="L82" s="47">
        <v>70</v>
      </c>
      <c r="M82" s="47">
        <v>225</v>
      </c>
      <c r="N82" s="46" t="s">
        <v>1783</v>
      </c>
      <c r="O82" s="71" t="s">
        <v>1821</v>
      </c>
      <c r="P82" s="46" t="s">
        <v>1785</v>
      </c>
      <c r="Q82" s="46" t="s">
        <v>1347</v>
      </c>
      <c r="R82" s="46" t="s">
        <v>1713</v>
      </c>
      <c r="S82" s="49">
        <v>56.25</v>
      </c>
      <c r="T82" s="49">
        <v>281.25</v>
      </c>
      <c r="U82" s="67">
        <v>0.34444444444444444</v>
      </c>
      <c r="V82" s="67">
        <v>0.32033898305084746</v>
      </c>
      <c r="W82" s="51">
        <v>0.45161290322580644</v>
      </c>
      <c r="X82" s="52">
        <v>28.125</v>
      </c>
      <c r="Y82" s="52">
        <v>30</v>
      </c>
      <c r="Z82" s="52">
        <v>126.25</v>
      </c>
      <c r="AA82" s="52">
        <v>184.375</v>
      </c>
      <c r="AB82" s="53">
        <v>0.65555555555555556</v>
      </c>
      <c r="AC82" s="54">
        <v>96.875</v>
      </c>
      <c r="AD82" s="55">
        <v>0.34444444444444444</v>
      </c>
      <c r="AE82" s="56">
        <v>2</v>
      </c>
      <c r="AF82" s="57" t="s">
        <v>72</v>
      </c>
      <c r="AG82" s="58">
        <v>77.5</v>
      </c>
      <c r="AH82" s="58">
        <v>70</v>
      </c>
      <c r="AI82" s="58">
        <v>147.5</v>
      </c>
      <c r="AJ82" s="49">
        <v>36.875</v>
      </c>
      <c r="AK82" s="49">
        <v>184.375</v>
      </c>
      <c r="AL82" s="52">
        <v>18.4375</v>
      </c>
      <c r="AM82" s="52">
        <v>106.875</v>
      </c>
      <c r="AN82" s="52">
        <v>125.3125</v>
      </c>
      <c r="AO82" s="59">
        <v>0.6796610169491526</v>
      </c>
      <c r="AP82" s="60">
        <v>59.0625</v>
      </c>
      <c r="AQ82" s="61">
        <v>0.32033898305084746</v>
      </c>
      <c r="AR82" s="60" t="s">
        <v>78</v>
      </c>
      <c r="AS82" s="62">
        <v>233</v>
      </c>
      <c r="AT82" s="62">
        <v>105</v>
      </c>
      <c r="AU82" s="62">
        <v>338</v>
      </c>
      <c r="AV82" s="62">
        <v>422.5</v>
      </c>
      <c r="AW82" s="47" t="s">
        <v>74</v>
      </c>
      <c r="AX82" s="64"/>
      <c r="AY82" s="64" t="s">
        <v>1822</v>
      </c>
      <c r="AZ82" s="86"/>
      <c r="BA82" s="46" t="s">
        <v>74</v>
      </c>
      <c r="BB82" s="26"/>
      <c r="BC82" s="26"/>
      <c r="BD82" s="46"/>
      <c r="BE82" s="46" t="e">
        <v>#REF!</v>
      </c>
      <c r="BF82" s="46" t="s">
        <v>79</v>
      </c>
      <c r="BG82" s="65">
        <v>0.25</v>
      </c>
      <c r="BH82" s="66"/>
      <c r="BI82" s="63" t="s">
        <v>1823</v>
      </c>
    </row>
    <row r="83" spans="1:61" ht="63.75" x14ac:dyDescent="0.2">
      <c r="A83" s="45" t="s">
        <v>1824</v>
      </c>
      <c r="B83" s="46"/>
      <c r="C83" s="46" t="s">
        <v>1780</v>
      </c>
      <c r="D83" s="46" t="s">
        <v>1781</v>
      </c>
      <c r="E83" s="46" t="s">
        <v>1816</v>
      </c>
      <c r="F83" s="46"/>
      <c r="G83" s="46"/>
      <c r="H83" s="46"/>
      <c r="I83" s="46" t="s">
        <v>449</v>
      </c>
      <c r="J83" s="46" t="s">
        <v>71</v>
      </c>
      <c r="K83" s="47">
        <v>180</v>
      </c>
      <c r="L83" s="47">
        <v>170</v>
      </c>
      <c r="M83" s="47">
        <v>350</v>
      </c>
      <c r="N83" s="46" t="s">
        <v>1783</v>
      </c>
      <c r="O83" s="71" t="s">
        <v>1825</v>
      </c>
      <c r="P83" s="46" t="s">
        <v>1785</v>
      </c>
      <c r="Q83" s="46" t="s">
        <v>1347</v>
      </c>
      <c r="R83" s="46" t="s">
        <v>1713</v>
      </c>
      <c r="S83" s="49">
        <v>87.5</v>
      </c>
      <c r="T83" s="49">
        <v>437.5</v>
      </c>
      <c r="U83" s="28">
        <v>0.24285714285714285</v>
      </c>
      <c r="V83" s="50">
        <v>0.17692307692307693</v>
      </c>
      <c r="W83" s="51">
        <v>0.94444444444444442</v>
      </c>
      <c r="X83" s="52">
        <v>43.75</v>
      </c>
      <c r="Y83" s="52">
        <v>30</v>
      </c>
      <c r="Z83" s="52">
        <v>257.5</v>
      </c>
      <c r="AA83" s="52">
        <v>331.25</v>
      </c>
      <c r="AB83" s="53">
        <v>0.75714285714285712</v>
      </c>
      <c r="AC83" s="54">
        <v>106.25</v>
      </c>
      <c r="AD83" s="55">
        <v>0.24285714285714285</v>
      </c>
      <c r="AE83" s="56">
        <v>2</v>
      </c>
      <c r="AF83" s="57" t="s">
        <v>72</v>
      </c>
      <c r="AG83" s="58">
        <v>90</v>
      </c>
      <c r="AH83" s="58">
        <v>170</v>
      </c>
      <c r="AI83" s="58">
        <v>260</v>
      </c>
      <c r="AJ83" s="49">
        <v>65</v>
      </c>
      <c r="AK83" s="49">
        <v>325</v>
      </c>
      <c r="AL83" s="52">
        <v>32.5</v>
      </c>
      <c r="AM83" s="52">
        <v>235</v>
      </c>
      <c r="AN83" s="52">
        <v>267.5</v>
      </c>
      <c r="AO83" s="59">
        <v>0.82307692307692304</v>
      </c>
      <c r="AP83" s="60">
        <v>57.5</v>
      </c>
      <c r="AQ83" s="61">
        <v>0.17692307692307693</v>
      </c>
      <c r="AR83" s="60" t="s">
        <v>73</v>
      </c>
      <c r="AS83" s="62">
        <v>270</v>
      </c>
      <c r="AT83" s="62">
        <v>255</v>
      </c>
      <c r="AU83" s="62">
        <v>525</v>
      </c>
      <c r="AV83" s="62">
        <v>656.25</v>
      </c>
      <c r="AW83" s="47" t="s">
        <v>74</v>
      </c>
      <c r="AX83" s="64"/>
      <c r="AY83" s="64" t="s">
        <v>1826</v>
      </c>
      <c r="AZ83" s="86"/>
      <c r="BA83" s="46" t="s">
        <v>74</v>
      </c>
      <c r="BB83" s="26"/>
      <c r="BC83" s="26"/>
      <c r="BD83" s="46"/>
      <c r="BE83" s="46" t="e">
        <v>#REF!</v>
      </c>
      <c r="BF83" s="46" t="s">
        <v>79</v>
      </c>
      <c r="BG83" s="65">
        <v>0.25</v>
      </c>
      <c r="BH83" s="66"/>
      <c r="BI83" s="63" t="s">
        <v>1827</v>
      </c>
    </row>
    <row r="84" spans="1:61" ht="76.5" x14ac:dyDescent="0.2">
      <c r="A84" s="45" t="s">
        <v>1828</v>
      </c>
      <c r="B84" s="46"/>
      <c r="C84" s="46" t="s">
        <v>1780</v>
      </c>
      <c r="D84" s="46" t="s">
        <v>1829</v>
      </c>
      <c r="E84" s="46" t="s">
        <v>1816</v>
      </c>
      <c r="F84" s="46" t="s">
        <v>68</v>
      </c>
      <c r="G84" s="46" t="s">
        <v>68</v>
      </c>
      <c r="H84" s="46" t="s">
        <v>68</v>
      </c>
      <c r="I84" s="46" t="s">
        <v>454</v>
      </c>
      <c r="J84" s="46" t="s">
        <v>71</v>
      </c>
      <c r="K84" s="47">
        <v>145</v>
      </c>
      <c r="L84" s="47">
        <v>30</v>
      </c>
      <c r="M84" s="47">
        <v>175</v>
      </c>
      <c r="N84" s="46" t="s">
        <v>1783</v>
      </c>
      <c r="O84" s="71" t="s">
        <v>1830</v>
      </c>
      <c r="P84" s="46" t="s">
        <v>1785</v>
      </c>
      <c r="Q84" s="46" t="s">
        <v>1347</v>
      </c>
      <c r="R84" s="46" t="s">
        <v>1713</v>
      </c>
      <c r="S84" s="49">
        <v>43.75</v>
      </c>
      <c r="T84" s="49">
        <v>218.75</v>
      </c>
      <c r="U84" s="67">
        <v>0.42571428571428571</v>
      </c>
      <c r="V84" s="67">
        <v>0.46585365853658539</v>
      </c>
      <c r="W84" s="51">
        <v>0.20689655172413793</v>
      </c>
      <c r="X84" s="52">
        <v>21.875</v>
      </c>
      <c r="Y84" s="52">
        <v>30</v>
      </c>
      <c r="Z84" s="52">
        <v>73.75</v>
      </c>
      <c r="AA84" s="52">
        <v>125.625</v>
      </c>
      <c r="AB84" s="53">
        <v>0.57428571428571429</v>
      </c>
      <c r="AC84" s="54">
        <v>93.125</v>
      </c>
      <c r="AD84" s="55">
        <v>0.42571428571428571</v>
      </c>
      <c r="AE84" s="56">
        <v>2</v>
      </c>
      <c r="AF84" s="57" t="s">
        <v>72</v>
      </c>
      <c r="AG84" s="58">
        <v>72.5</v>
      </c>
      <c r="AH84" s="58">
        <v>30</v>
      </c>
      <c r="AI84" s="58">
        <v>102.5</v>
      </c>
      <c r="AJ84" s="49">
        <v>25.625</v>
      </c>
      <c r="AK84" s="49">
        <v>128.125</v>
      </c>
      <c r="AL84" s="52">
        <v>12.8125</v>
      </c>
      <c r="AM84" s="52">
        <v>55.625</v>
      </c>
      <c r="AN84" s="52">
        <v>68.4375</v>
      </c>
      <c r="AO84" s="59">
        <v>0.53414634146341466</v>
      </c>
      <c r="AP84" s="60">
        <v>59.6875</v>
      </c>
      <c r="AQ84" s="61">
        <v>0.46585365853658539</v>
      </c>
      <c r="AR84" s="60" t="s">
        <v>78</v>
      </c>
      <c r="AS84" s="62">
        <v>218</v>
      </c>
      <c r="AT84" s="62">
        <v>45</v>
      </c>
      <c r="AU84" s="62">
        <v>263</v>
      </c>
      <c r="AV84" s="62">
        <v>328.75</v>
      </c>
      <c r="AW84" s="47" t="s">
        <v>74</v>
      </c>
      <c r="AX84" s="64"/>
      <c r="AY84" s="64" t="s">
        <v>1831</v>
      </c>
      <c r="AZ84" s="86"/>
      <c r="BA84" s="46" t="s">
        <v>74</v>
      </c>
      <c r="BB84" s="26"/>
      <c r="BC84" s="26"/>
      <c r="BD84" s="70" t="s">
        <v>1832</v>
      </c>
      <c r="BE84" s="46" t="e">
        <v>#REF!</v>
      </c>
      <c r="BF84" s="46" t="s">
        <v>79</v>
      </c>
      <c r="BG84" s="65">
        <v>0.25</v>
      </c>
      <c r="BH84" s="66" t="s">
        <v>1833</v>
      </c>
      <c r="BI84" s="63" t="s">
        <v>1834</v>
      </c>
    </row>
    <row r="85" spans="1:61" ht="76.5" x14ac:dyDescent="0.2">
      <c r="A85" s="45" t="s">
        <v>1835</v>
      </c>
      <c r="B85" s="46"/>
      <c r="C85" s="46" t="s">
        <v>1780</v>
      </c>
      <c r="D85" s="46" t="s">
        <v>1829</v>
      </c>
      <c r="E85" s="46" t="s">
        <v>1816</v>
      </c>
      <c r="F85" s="46" t="s">
        <v>68</v>
      </c>
      <c r="G85" s="46" t="s">
        <v>68</v>
      </c>
      <c r="H85" s="46" t="s">
        <v>68</v>
      </c>
      <c r="I85" s="46" t="s">
        <v>445</v>
      </c>
      <c r="J85" s="46" t="s">
        <v>71</v>
      </c>
      <c r="K85" s="47">
        <v>155</v>
      </c>
      <c r="L85" s="47">
        <v>70</v>
      </c>
      <c r="M85" s="47">
        <v>225</v>
      </c>
      <c r="N85" s="46" t="s">
        <v>1783</v>
      </c>
      <c r="O85" s="71" t="s">
        <v>1836</v>
      </c>
      <c r="P85" s="46" t="s">
        <v>1785</v>
      </c>
      <c r="Q85" s="46" t="s">
        <v>1347</v>
      </c>
      <c r="R85" s="46" t="s">
        <v>1713</v>
      </c>
      <c r="S85" s="49">
        <v>56.25</v>
      </c>
      <c r="T85" s="49">
        <v>281.25</v>
      </c>
      <c r="U85" s="67">
        <v>0.34444444444444444</v>
      </c>
      <c r="V85" s="67">
        <v>0.32033898305084746</v>
      </c>
      <c r="W85" s="51">
        <v>0.45161290322580644</v>
      </c>
      <c r="X85" s="52">
        <v>28.125</v>
      </c>
      <c r="Y85" s="52">
        <v>30</v>
      </c>
      <c r="Z85" s="52">
        <v>126.25</v>
      </c>
      <c r="AA85" s="52">
        <v>184.375</v>
      </c>
      <c r="AB85" s="53">
        <v>0.65555555555555556</v>
      </c>
      <c r="AC85" s="54">
        <v>96.875</v>
      </c>
      <c r="AD85" s="55">
        <v>0.34444444444444444</v>
      </c>
      <c r="AE85" s="56">
        <v>2</v>
      </c>
      <c r="AF85" s="57" t="s">
        <v>72</v>
      </c>
      <c r="AG85" s="58">
        <v>77.5</v>
      </c>
      <c r="AH85" s="58">
        <v>70</v>
      </c>
      <c r="AI85" s="58">
        <v>147.5</v>
      </c>
      <c r="AJ85" s="49">
        <v>36.875</v>
      </c>
      <c r="AK85" s="49">
        <v>184.375</v>
      </c>
      <c r="AL85" s="52">
        <v>18.4375</v>
      </c>
      <c r="AM85" s="52">
        <v>106.875</v>
      </c>
      <c r="AN85" s="52">
        <v>125.3125</v>
      </c>
      <c r="AO85" s="59">
        <v>0.6796610169491526</v>
      </c>
      <c r="AP85" s="60">
        <v>59.0625</v>
      </c>
      <c r="AQ85" s="61">
        <v>0.32033898305084746</v>
      </c>
      <c r="AR85" s="60" t="s">
        <v>78</v>
      </c>
      <c r="AS85" s="62">
        <v>233</v>
      </c>
      <c r="AT85" s="62">
        <v>105</v>
      </c>
      <c r="AU85" s="62">
        <v>338</v>
      </c>
      <c r="AV85" s="62">
        <v>422.5</v>
      </c>
      <c r="AW85" s="47" t="s">
        <v>74</v>
      </c>
      <c r="AX85" s="64"/>
      <c r="AY85" s="64" t="s">
        <v>1837</v>
      </c>
      <c r="AZ85" s="86"/>
      <c r="BA85" s="46" t="s">
        <v>74</v>
      </c>
      <c r="BB85" s="26"/>
      <c r="BC85" s="26"/>
      <c r="BD85" s="70" t="s">
        <v>1838</v>
      </c>
      <c r="BE85" s="46" t="e">
        <v>#REF!</v>
      </c>
      <c r="BF85" s="46" t="s">
        <v>79</v>
      </c>
      <c r="BG85" s="65">
        <v>0.25</v>
      </c>
      <c r="BH85" s="66" t="s">
        <v>1839</v>
      </c>
      <c r="BI85" s="63" t="s">
        <v>1840</v>
      </c>
    </row>
    <row r="86" spans="1:61" ht="76.5" x14ac:dyDescent="0.2">
      <c r="A86" s="45" t="s">
        <v>1841</v>
      </c>
      <c r="B86" s="46"/>
      <c r="C86" s="46" t="s">
        <v>1780</v>
      </c>
      <c r="D86" s="46" t="s">
        <v>1829</v>
      </c>
      <c r="E86" s="46" t="s">
        <v>1816</v>
      </c>
      <c r="F86" s="46" t="s">
        <v>68</v>
      </c>
      <c r="G86" s="46" t="s">
        <v>68</v>
      </c>
      <c r="H86" s="46" t="s">
        <v>68</v>
      </c>
      <c r="I86" s="46" t="s">
        <v>449</v>
      </c>
      <c r="J86" s="46" t="s">
        <v>71</v>
      </c>
      <c r="K86" s="47">
        <v>180</v>
      </c>
      <c r="L86" s="47">
        <v>170</v>
      </c>
      <c r="M86" s="47">
        <v>350</v>
      </c>
      <c r="N86" s="46" t="s">
        <v>1783</v>
      </c>
      <c r="O86" s="71" t="s">
        <v>1842</v>
      </c>
      <c r="P86" s="46" t="s">
        <v>1785</v>
      </c>
      <c r="Q86" s="46" t="s">
        <v>1347</v>
      </c>
      <c r="R86" s="46" t="s">
        <v>1713</v>
      </c>
      <c r="S86" s="49">
        <v>87.5</v>
      </c>
      <c r="T86" s="49">
        <v>437.5</v>
      </c>
      <c r="U86" s="28">
        <v>0.24285714285714285</v>
      </c>
      <c r="V86" s="50">
        <v>0.17692307692307693</v>
      </c>
      <c r="W86" s="51">
        <v>0.94444444444444442</v>
      </c>
      <c r="X86" s="52">
        <v>43.75</v>
      </c>
      <c r="Y86" s="52">
        <v>30</v>
      </c>
      <c r="Z86" s="52">
        <v>257.5</v>
      </c>
      <c r="AA86" s="52">
        <v>331.25</v>
      </c>
      <c r="AB86" s="53">
        <v>0.75714285714285712</v>
      </c>
      <c r="AC86" s="54">
        <v>106.25</v>
      </c>
      <c r="AD86" s="55">
        <v>0.24285714285714285</v>
      </c>
      <c r="AE86" s="56">
        <v>2</v>
      </c>
      <c r="AF86" s="57" t="s">
        <v>72</v>
      </c>
      <c r="AG86" s="58">
        <v>90</v>
      </c>
      <c r="AH86" s="58">
        <v>170</v>
      </c>
      <c r="AI86" s="58">
        <v>260</v>
      </c>
      <c r="AJ86" s="49">
        <v>65</v>
      </c>
      <c r="AK86" s="49">
        <v>325</v>
      </c>
      <c r="AL86" s="52">
        <v>32.5</v>
      </c>
      <c r="AM86" s="52">
        <v>235</v>
      </c>
      <c r="AN86" s="52">
        <v>267.5</v>
      </c>
      <c r="AO86" s="59">
        <v>0.82307692307692304</v>
      </c>
      <c r="AP86" s="60">
        <v>57.5</v>
      </c>
      <c r="AQ86" s="61">
        <v>0.17692307692307693</v>
      </c>
      <c r="AR86" s="60" t="s">
        <v>73</v>
      </c>
      <c r="AS86" s="62">
        <v>270</v>
      </c>
      <c r="AT86" s="62">
        <v>255</v>
      </c>
      <c r="AU86" s="62">
        <v>525</v>
      </c>
      <c r="AV86" s="62">
        <v>656.25</v>
      </c>
      <c r="AW86" s="47" t="s">
        <v>74</v>
      </c>
      <c r="AX86" s="64"/>
      <c r="AY86" s="64" t="s">
        <v>1843</v>
      </c>
      <c r="AZ86" s="86"/>
      <c r="BA86" s="46" t="s">
        <v>74</v>
      </c>
      <c r="BB86" s="26"/>
      <c r="BC86" s="26"/>
      <c r="BD86" s="46"/>
      <c r="BE86" s="46" t="e">
        <v>#REF!</v>
      </c>
      <c r="BF86" s="46" t="s">
        <v>79</v>
      </c>
      <c r="BG86" s="65">
        <v>0.25</v>
      </c>
      <c r="BH86" s="66" t="s">
        <v>1844</v>
      </c>
      <c r="BI86" s="63" t="s">
        <v>1845</v>
      </c>
    </row>
    <row r="87" spans="1:61" ht="76.5" x14ac:dyDescent="0.2">
      <c r="A87" s="45" t="s">
        <v>1846</v>
      </c>
      <c r="B87" s="46"/>
      <c r="C87" s="46" t="s">
        <v>1780</v>
      </c>
      <c r="D87" s="46" t="s">
        <v>1829</v>
      </c>
      <c r="E87" s="46" t="s">
        <v>1800</v>
      </c>
      <c r="F87" s="46" t="s">
        <v>68</v>
      </c>
      <c r="G87" s="46" t="s">
        <v>68</v>
      </c>
      <c r="H87" s="46" t="s">
        <v>68</v>
      </c>
      <c r="I87" s="46" t="s">
        <v>454</v>
      </c>
      <c r="J87" s="46" t="s">
        <v>71</v>
      </c>
      <c r="K87" s="47">
        <v>150</v>
      </c>
      <c r="L87" s="47">
        <v>30</v>
      </c>
      <c r="M87" s="47">
        <v>180</v>
      </c>
      <c r="N87" s="46" t="s">
        <v>1783</v>
      </c>
      <c r="O87" s="71" t="s">
        <v>1847</v>
      </c>
      <c r="P87" s="46" t="s">
        <v>1785</v>
      </c>
      <c r="Q87" s="46" t="s">
        <v>1347</v>
      </c>
      <c r="R87" s="46" t="s">
        <v>1713</v>
      </c>
      <c r="S87" s="49">
        <v>45</v>
      </c>
      <c r="T87" s="49">
        <v>225</v>
      </c>
      <c r="U87" s="67">
        <v>0.43333333333333335</v>
      </c>
      <c r="V87" s="67">
        <v>0.47142857142857142</v>
      </c>
      <c r="W87" s="51">
        <v>0.2</v>
      </c>
      <c r="X87" s="52">
        <v>22.5</v>
      </c>
      <c r="Y87" s="52">
        <v>30</v>
      </c>
      <c r="Z87" s="52">
        <v>75</v>
      </c>
      <c r="AA87" s="52">
        <v>127.5</v>
      </c>
      <c r="AB87" s="53">
        <v>0.56666666666666665</v>
      </c>
      <c r="AC87" s="54">
        <v>97.5</v>
      </c>
      <c r="AD87" s="55">
        <v>0.43333333333333335</v>
      </c>
      <c r="AE87" s="56">
        <v>2</v>
      </c>
      <c r="AF87" s="57" t="s">
        <v>72</v>
      </c>
      <c r="AG87" s="58">
        <v>75</v>
      </c>
      <c r="AH87" s="58">
        <v>30</v>
      </c>
      <c r="AI87" s="58">
        <v>105</v>
      </c>
      <c r="AJ87" s="49">
        <v>26.25</v>
      </c>
      <c r="AK87" s="49">
        <v>131.25</v>
      </c>
      <c r="AL87" s="52">
        <v>13.125</v>
      </c>
      <c r="AM87" s="52">
        <v>56.25</v>
      </c>
      <c r="AN87" s="52">
        <v>69.375</v>
      </c>
      <c r="AO87" s="59">
        <v>0.52857142857142858</v>
      </c>
      <c r="AP87" s="60">
        <v>61.875</v>
      </c>
      <c r="AQ87" s="61">
        <v>0.47142857142857142</v>
      </c>
      <c r="AR87" s="60" t="s">
        <v>78</v>
      </c>
      <c r="AS87" s="62">
        <v>225</v>
      </c>
      <c r="AT87" s="62">
        <v>45</v>
      </c>
      <c r="AU87" s="62">
        <v>270</v>
      </c>
      <c r="AV87" s="62">
        <v>337.5</v>
      </c>
      <c r="AW87" s="47" t="s">
        <v>74</v>
      </c>
      <c r="AX87" s="64"/>
      <c r="AY87" s="64" t="s">
        <v>1848</v>
      </c>
      <c r="AZ87" s="86"/>
      <c r="BA87" s="46" t="s">
        <v>74</v>
      </c>
      <c r="BB87" s="26"/>
      <c r="BC87" s="26"/>
      <c r="BD87" s="70" t="s">
        <v>1849</v>
      </c>
      <c r="BE87" s="46" t="e">
        <v>#REF!</v>
      </c>
      <c r="BF87" s="46" t="s">
        <v>79</v>
      </c>
      <c r="BG87" s="65">
        <v>0.25</v>
      </c>
      <c r="BH87" s="66" t="s">
        <v>1850</v>
      </c>
      <c r="BI87" s="63" t="s">
        <v>1851</v>
      </c>
    </row>
    <row r="88" spans="1:61" ht="76.5" x14ac:dyDescent="0.2">
      <c r="A88" s="45" t="s">
        <v>1852</v>
      </c>
      <c r="B88" s="46"/>
      <c r="C88" s="46" t="s">
        <v>1780</v>
      </c>
      <c r="D88" s="46" t="s">
        <v>1829</v>
      </c>
      <c r="E88" s="46" t="s">
        <v>1800</v>
      </c>
      <c r="F88" s="46" t="s">
        <v>68</v>
      </c>
      <c r="G88" s="46" t="s">
        <v>68</v>
      </c>
      <c r="H88" s="46" t="s">
        <v>68</v>
      </c>
      <c r="I88" s="46" t="s">
        <v>445</v>
      </c>
      <c r="J88" s="46" t="s">
        <v>71</v>
      </c>
      <c r="K88" s="47">
        <v>160</v>
      </c>
      <c r="L88" s="47">
        <v>70</v>
      </c>
      <c r="M88" s="47">
        <v>230</v>
      </c>
      <c r="N88" s="46" t="s">
        <v>1783</v>
      </c>
      <c r="O88" s="71" t="s">
        <v>1853</v>
      </c>
      <c r="P88" s="46" t="s">
        <v>1785</v>
      </c>
      <c r="Q88" s="46" t="s">
        <v>1347</v>
      </c>
      <c r="R88" s="46" t="s">
        <v>1713</v>
      </c>
      <c r="S88" s="49">
        <v>57.5</v>
      </c>
      <c r="T88" s="49">
        <v>287.5</v>
      </c>
      <c r="U88" s="67">
        <v>0.35217391304347828</v>
      </c>
      <c r="V88" s="67">
        <v>0.32666666666666666</v>
      </c>
      <c r="W88" s="51">
        <v>0.4375</v>
      </c>
      <c r="X88" s="52">
        <v>28.75</v>
      </c>
      <c r="Y88" s="52">
        <v>30</v>
      </c>
      <c r="Z88" s="52">
        <v>127.5</v>
      </c>
      <c r="AA88" s="52">
        <v>186.25</v>
      </c>
      <c r="AB88" s="53">
        <v>0.64782608695652177</v>
      </c>
      <c r="AC88" s="54">
        <v>101.25</v>
      </c>
      <c r="AD88" s="55">
        <v>0.35217391304347828</v>
      </c>
      <c r="AE88" s="56">
        <v>2</v>
      </c>
      <c r="AF88" s="57" t="s">
        <v>72</v>
      </c>
      <c r="AG88" s="58">
        <v>80</v>
      </c>
      <c r="AH88" s="58">
        <v>70</v>
      </c>
      <c r="AI88" s="58">
        <v>150</v>
      </c>
      <c r="AJ88" s="49">
        <v>37.5</v>
      </c>
      <c r="AK88" s="49">
        <v>187.5</v>
      </c>
      <c r="AL88" s="52">
        <v>18.75</v>
      </c>
      <c r="AM88" s="52">
        <v>107.5</v>
      </c>
      <c r="AN88" s="52">
        <v>126.25</v>
      </c>
      <c r="AO88" s="59">
        <v>0.67333333333333334</v>
      </c>
      <c r="AP88" s="60">
        <v>61.25</v>
      </c>
      <c r="AQ88" s="61">
        <v>0.32666666666666666</v>
      </c>
      <c r="AR88" s="60" t="s">
        <v>78</v>
      </c>
      <c r="AS88" s="62">
        <v>240</v>
      </c>
      <c r="AT88" s="62">
        <v>105</v>
      </c>
      <c r="AU88" s="62">
        <v>345</v>
      </c>
      <c r="AV88" s="62">
        <v>431.25</v>
      </c>
      <c r="AW88" s="47" t="s">
        <v>74</v>
      </c>
      <c r="AX88" s="64"/>
      <c r="AY88" s="64" t="s">
        <v>1854</v>
      </c>
      <c r="AZ88" s="86"/>
      <c r="BA88" s="46" t="s">
        <v>74</v>
      </c>
      <c r="BB88" s="26"/>
      <c r="BC88" s="26"/>
      <c r="BD88" s="46"/>
      <c r="BE88" s="46" t="e">
        <v>#REF!</v>
      </c>
      <c r="BF88" s="46" t="s">
        <v>79</v>
      </c>
      <c r="BG88" s="65">
        <v>0.25</v>
      </c>
      <c r="BH88" s="66" t="s">
        <v>1855</v>
      </c>
      <c r="BI88" s="63" t="s">
        <v>1856</v>
      </c>
    </row>
    <row r="89" spans="1:61" ht="76.5" x14ac:dyDescent="0.2">
      <c r="A89" s="45" t="s">
        <v>1857</v>
      </c>
      <c r="B89" s="46"/>
      <c r="C89" s="46" t="s">
        <v>1780</v>
      </c>
      <c r="D89" s="46" t="s">
        <v>1829</v>
      </c>
      <c r="E89" s="46" t="s">
        <v>1800</v>
      </c>
      <c r="F89" s="46" t="s">
        <v>68</v>
      </c>
      <c r="G89" s="46" t="s">
        <v>68</v>
      </c>
      <c r="H89" s="46" t="s">
        <v>68</v>
      </c>
      <c r="I89" s="46" t="s">
        <v>449</v>
      </c>
      <c r="J89" s="46" t="s">
        <v>71</v>
      </c>
      <c r="K89" s="47">
        <v>180</v>
      </c>
      <c r="L89" s="47">
        <v>170</v>
      </c>
      <c r="M89" s="47">
        <v>350</v>
      </c>
      <c r="N89" s="46" t="s">
        <v>1783</v>
      </c>
      <c r="O89" s="71" t="s">
        <v>1858</v>
      </c>
      <c r="P89" s="46" t="s">
        <v>1785</v>
      </c>
      <c r="Q89" s="46" t="s">
        <v>1347</v>
      </c>
      <c r="R89" s="46" t="s">
        <v>1713</v>
      </c>
      <c r="S89" s="49">
        <v>87.5</v>
      </c>
      <c r="T89" s="49">
        <v>437.5</v>
      </c>
      <c r="U89" s="28">
        <v>0.24285714285714285</v>
      </c>
      <c r="V89" s="50">
        <v>0.17692307692307693</v>
      </c>
      <c r="W89" s="51">
        <v>0.94444444444444442</v>
      </c>
      <c r="X89" s="52">
        <v>43.75</v>
      </c>
      <c r="Y89" s="52">
        <v>30</v>
      </c>
      <c r="Z89" s="52">
        <v>257.5</v>
      </c>
      <c r="AA89" s="52">
        <v>331.25</v>
      </c>
      <c r="AB89" s="53">
        <v>0.75714285714285712</v>
      </c>
      <c r="AC89" s="54">
        <v>106.25</v>
      </c>
      <c r="AD89" s="55">
        <v>0.24285714285714285</v>
      </c>
      <c r="AE89" s="56">
        <v>2</v>
      </c>
      <c r="AF89" s="57" t="s">
        <v>72</v>
      </c>
      <c r="AG89" s="58">
        <v>90</v>
      </c>
      <c r="AH89" s="58">
        <v>170</v>
      </c>
      <c r="AI89" s="58">
        <v>260</v>
      </c>
      <c r="AJ89" s="49">
        <v>65</v>
      </c>
      <c r="AK89" s="49">
        <v>325</v>
      </c>
      <c r="AL89" s="52">
        <v>32.5</v>
      </c>
      <c r="AM89" s="52">
        <v>235</v>
      </c>
      <c r="AN89" s="52">
        <v>267.5</v>
      </c>
      <c r="AO89" s="59">
        <v>0.82307692307692304</v>
      </c>
      <c r="AP89" s="60">
        <v>57.5</v>
      </c>
      <c r="AQ89" s="61">
        <v>0.17692307692307693</v>
      </c>
      <c r="AR89" s="60" t="s">
        <v>73</v>
      </c>
      <c r="AS89" s="62">
        <v>270</v>
      </c>
      <c r="AT89" s="62">
        <v>255</v>
      </c>
      <c r="AU89" s="62">
        <v>525</v>
      </c>
      <c r="AV89" s="62">
        <v>656.25</v>
      </c>
      <c r="AW89" s="47" t="s">
        <v>74</v>
      </c>
      <c r="AX89" s="64"/>
      <c r="AY89" s="64" t="s">
        <v>1859</v>
      </c>
      <c r="AZ89" s="86"/>
      <c r="BA89" s="46" t="s">
        <v>74</v>
      </c>
      <c r="BB89" s="26"/>
      <c r="BC89" s="26"/>
      <c r="BD89" s="46"/>
      <c r="BE89" s="46" t="e">
        <v>#REF!</v>
      </c>
      <c r="BF89" s="46" t="s">
        <v>79</v>
      </c>
      <c r="BG89" s="65">
        <v>0.25</v>
      </c>
      <c r="BH89" s="66" t="s">
        <v>1860</v>
      </c>
      <c r="BI89" s="63" t="s">
        <v>1861</v>
      </c>
    </row>
    <row r="90" spans="1:61" ht="89.25" x14ac:dyDescent="0.2">
      <c r="A90" s="45" t="s">
        <v>1862</v>
      </c>
      <c r="B90" s="46"/>
      <c r="C90" s="46" t="s">
        <v>1780</v>
      </c>
      <c r="D90" s="46" t="s">
        <v>1829</v>
      </c>
      <c r="E90" s="46" t="s">
        <v>1863</v>
      </c>
      <c r="F90" s="46" t="s">
        <v>68</v>
      </c>
      <c r="G90" s="46" t="s">
        <v>68</v>
      </c>
      <c r="H90" s="46" t="s">
        <v>68</v>
      </c>
      <c r="I90" s="46" t="s">
        <v>454</v>
      </c>
      <c r="J90" s="46" t="s">
        <v>71</v>
      </c>
      <c r="K90" s="47">
        <v>160</v>
      </c>
      <c r="L90" s="47">
        <v>60</v>
      </c>
      <c r="M90" s="47">
        <v>220</v>
      </c>
      <c r="N90" s="46" t="s">
        <v>1783</v>
      </c>
      <c r="O90" s="71" t="s">
        <v>1864</v>
      </c>
      <c r="P90" s="46" t="s">
        <v>1785</v>
      </c>
      <c r="Q90" s="46" t="s">
        <v>1347</v>
      </c>
      <c r="R90" s="46" t="s">
        <v>1713</v>
      </c>
      <c r="S90" s="49">
        <v>55</v>
      </c>
      <c r="T90" s="49">
        <v>275</v>
      </c>
      <c r="U90" s="67">
        <v>0.37272727272727274</v>
      </c>
      <c r="V90" s="67">
        <v>0.35714285714285715</v>
      </c>
      <c r="W90" s="51">
        <v>0.375</v>
      </c>
      <c r="X90" s="52">
        <v>27.5</v>
      </c>
      <c r="Y90" s="52">
        <v>30</v>
      </c>
      <c r="Z90" s="52">
        <v>115</v>
      </c>
      <c r="AA90" s="52">
        <v>172.5</v>
      </c>
      <c r="AB90" s="53">
        <v>0.62727272727272732</v>
      </c>
      <c r="AC90" s="54">
        <v>102.5</v>
      </c>
      <c r="AD90" s="55">
        <v>0.37272727272727274</v>
      </c>
      <c r="AE90" s="56">
        <v>2</v>
      </c>
      <c r="AF90" s="57" t="s">
        <v>72</v>
      </c>
      <c r="AG90" s="58">
        <v>80</v>
      </c>
      <c r="AH90" s="58">
        <v>60</v>
      </c>
      <c r="AI90" s="58">
        <v>140</v>
      </c>
      <c r="AJ90" s="49">
        <v>35</v>
      </c>
      <c r="AK90" s="49">
        <v>175</v>
      </c>
      <c r="AL90" s="52">
        <v>17.5</v>
      </c>
      <c r="AM90" s="52">
        <v>95</v>
      </c>
      <c r="AN90" s="52">
        <v>112.5</v>
      </c>
      <c r="AO90" s="59">
        <v>0.6428571428571429</v>
      </c>
      <c r="AP90" s="60">
        <v>62.5</v>
      </c>
      <c r="AQ90" s="61">
        <v>0.35714285714285715</v>
      </c>
      <c r="AR90" s="60" t="s">
        <v>78</v>
      </c>
      <c r="AS90" s="62">
        <v>240</v>
      </c>
      <c r="AT90" s="62">
        <v>90</v>
      </c>
      <c r="AU90" s="62">
        <v>330</v>
      </c>
      <c r="AV90" s="62">
        <v>412.5</v>
      </c>
      <c r="AW90" s="47" t="s">
        <v>74</v>
      </c>
      <c r="AX90" s="64"/>
      <c r="AY90" s="64" t="s">
        <v>1865</v>
      </c>
      <c r="AZ90" s="86"/>
      <c r="BA90" s="46" t="s">
        <v>74</v>
      </c>
      <c r="BB90" s="26"/>
      <c r="BC90" s="26"/>
      <c r="BD90" s="46"/>
      <c r="BE90" s="46" t="e">
        <v>#REF!</v>
      </c>
      <c r="BF90" s="46" t="s">
        <v>79</v>
      </c>
      <c r="BG90" s="65">
        <v>0.25</v>
      </c>
      <c r="BH90" s="66" t="s">
        <v>1866</v>
      </c>
      <c r="BI90" s="63" t="s">
        <v>1867</v>
      </c>
    </row>
    <row r="91" spans="1:61" ht="89.25" x14ac:dyDescent="0.2">
      <c r="A91" s="45" t="s">
        <v>1868</v>
      </c>
      <c r="B91" s="46"/>
      <c r="C91" s="46" t="s">
        <v>1780</v>
      </c>
      <c r="D91" s="46" t="s">
        <v>1829</v>
      </c>
      <c r="E91" s="46" t="s">
        <v>1863</v>
      </c>
      <c r="F91" s="46" t="s">
        <v>68</v>
      </c>
      <c r="G91" s="46" t="s">
        <v>68</v>
      </c>
      <c r="H91" s="46" t="s">
        <v>68</v>
      </c>
      <c r="I91" s="46" t="s">
        <v>445</v>
      </c>
      <c r="J91" s="46" t="s">
        <v>71</v>
      </c>
      <c r="K91" s="47">
        <v>180</v>
      </c>
      <c r="L91" s="47">
        <v>110</v>
      </c>
      <c r="M91" s="47">
        <v>290</v>
      </c>
      <c r="N91" s="46" t="s">
        <v>1783</v>
      </c>
      <c r="O91" s="71" t="s">
        <v>1869</v>
      </c>
      <c r="P91" s="46" t="s">
        <v>1785</v>
      </c>
      <c r="Q91" s="46" t="s">
        <v>1347</v>
      </c>
      <c r="R91" s="46" t="s">
        <v>1713</v>
      </c>
      <c r="S91" s="49">
        <v>72.5</v>
      </c>
      <c r="T91" s="49">
        <v>362.5</v>
      </c>
      <c r="U91" s="67">
        <v>0.31379310344827588</v>
      </c>
      <c r="V91" s="28">
        <v>0.26</v>
      </c>
      <c r="W91" s="51">
        <v>0.61111111111111116</v>
      </c>
      <c r="X91" s="52">
        <v>36.25</v>
      </c>
      <c r="Y91" s="52">
        <v>30</v>
      </c>
      <c r="Z91" s="52">
        <v>182.5</v>
      </c>
      <c r="AA91" s="52">
        <v>248.75</v>
      </c>
      <c r="AB91" s="53">
        <v>0.68620689655172418</v>
      </c>
      <c r="AC91" s="54">
        <v>113.75</v>
      </c>
      <c r="AD91" s="55">
        <v>0.31379310344827588</v>
      </c>
      <c r="AE91" s="56">
        <v>2</v>
      </c>
      <c r="AF91" s="57" t="s">
        <v>72</v>
      </c>
      <c r="AG91" s="58">
        <v>90</v>
      </c>
      <c r="AH91" s="58">
        <v>110</v>
      </c>
      <c r="AI91" s="58">
        <v>200</v>
      </c>
      <c r="AJ91" s="49">
        <v>50</v>
      </c>
      <c r="AK91" s="49">
        <v>250</v>
      </c>
      <c r="AL91" s="52">
        <v>25</v>
      </c>
      <c r="AM91" s="52">
        <v>160</v>
      </c>
      <c r="AN91" s="52">
        <v>185</v>
      </c>
      <c r="AO91" s="59">
        <v>0.74</v>
      </c>
      <c r="AP91" s="60">
        <v>65</v>
      </c>
      <c r="AQ91" s="61">
        <v>0.26</v>
      </c>
      <c r="AR91" s="60" t="s">
        <v>78</v>
      </c>
      <c r="AS91" s="62">
        <v>270</v>
      </c>
      <c r="AT91" s="62">
        <v>165</v>
      </c>
      <c r="AU91" s="62">
        <v>435</v>
      </c>
      <c r="AV91" s="62">
        <v>543.75</v>
      </c>
      <c r="AW91" s="47" t="s">
        <v>74</v>
      </c>
      <c r="AX91" s="64"/>
      <c r="AY91" s="64" t="s">
        <v>1870</v>
      </c>
      <c r="AZ91" s="86"/>
      <c r="BA91" s="46" t="s">
        <v>74</v>
      </c>
      <c r="BB91" s="26"/>
      <c r="BC91" s="26"/>
      <c r="BD91" s="46"/>
      <c r="BE91" s="46" t="e">
        <v>#REF!</v>
      </c>
      <c r="BF91" s="46" t="s">
        <v>79</v>
      </c>
      <c r="BG91" s="65">
        <v>0.25</v>
      </c>
      <c r="BH91" s="66" t="s">
        <v>1871</v>
      </c>
      <c r="BI91" s="63" t="s">
        <v>1872</v>
      </c>
    </row>
    <row r="92" spans="1:61" ht="89.25" x14ac:dyDescent="0.2">
      <c r="A92" s="45" t="s">
        <v>1873</v>
      </c>
      <c r="B92" s="46"/>
      <c r="C92" s="46" t="s">
        <v>1780</v>
      </c>
      <c r="D92" s="46" t="s">
        <v>1829</v>
      </c>
      <c r="E92" s="46" t="s">
        <v>1863</v>
      </c>
      <c r="F92" s="46" t="s">
        <v>68</v>
      </c>
      <c r="G92" s="46" t="s">
        <v>68</v>
      </c>
      <c r="H92" s="46" t="s">
        <v>68</v>
      </c>
      <c r="I92" s="46" t="s">
        <v>449</v>
      </c>
      <c r="J92" s="46" t="s">
        <v>71</v>
      </c>
      <c r="K92" s="47">
        <v>205</v>
      </c>
      <c r="L92" s="47">
        <v>250</v>
      </c>
      <c r="M92" s="47">
        <v>455</v>
      </c>
      <c r="N92" s="46" t="s">
        <v>1783</v>
      </c>
      <c r="O92" s="71" t="s">
        <v>1874</v>
      </c>
      <c r="P92" s="46" t="s">
        <v>1785</v>
      </c>
      <c r="Q92" s="46" t="s">
        <v>1347</v>
      </c>
      <c r="R92" s="46" t="s">
        <v>1713</v>
      </c>
      <c r="S92" s="49">
        <v>113.75</v>
      </c>
      <c r="T92" s="49">
        <v>568.75</v>
      </c>
      <c r="U92" s="28">
        <v>0.2076923076923077</v>
      </c>
      <c r="V92" s="50">
        <v>0.1326241134751773</v>
      </c>
      <c r="W92" s="74">
        <v>1.2195121951219512</v>
      </c>
      <c r="X92" s="52">
        <v>56.875</v>
      </c>
      <c r="Y92" s="52">
        <v>30</v>
      </c>
      <c r="Z92" s="52">
        <v>363.75</v>
      </c>
      <c r="AA92" s="52">
        <v>450.625</v>
      </c>
      <c r="AB92" s="53">
        <v>0.79230769230769227</v>
      </c>
      <c r="AC92" s="54">
        <v>118.125</v>
      </c>
      <c r="AD92" s="55">
        <v>0.2076923076923077</v>
      </c>
      <c r="AE92" s="56">
        <v>2</v>
      </c>
      <c r="AF92" s="57" t="s">
        <v>72</v>
      </c>
      <c r="AG92" s="58">
        <v>102.5</v>
      </c>
      <c r="AH92" s="58">
        <v>250</v>
      </c>
      <c r="AI92" s="58">
        <v>352.5</v>
      </c>
      <c r="AJ92" s="49">
        <v>88.125</v>
      </c>
      <c r="AK92" s="49">
        <v>440.625</v>
      </c>
      <c r="AL92" s="52">
        <v>44.0625</v>
      </c>
      <c r="AM92" s="52">
        <v>338.125</v>
      </c>
      <c r="AN92" s="52">
        <v>382.1875</v>
      </c>
      <c r="AO92" s="59">
        <v>0.86737588652482267</v>
      </c>
      <c r="AP92" s="60">
        <v>58.4375</v>
      </c>
      <c r="AQ92" s="61">
        <v>0.1326241134751773</v>
      </c>
      <c r="AR92" s="60" t="s">
        <v>73</v>
      </c>
      <c r="AS92" s="62">
        <v>308</v>
      </c>
      <c r="AT92" s="62">
        <v>375</v>
      </c>
      <c r="AU92" s="62">
        <v>683</v>
      </c>
      <c r="AV92" s="62">
        <v>853.75</v>
      </c>
      <c r="AW92" s="47" t="s">
        <v>74</v>
      </c>
      <c r="AX92" s="64"/>
      <c r="AY92" s="64" t="s">
        <v>1875</v>
      </c>
      <c r="AZ92" s="86"/>
      <c r="BA92" s="46" t="s">
        <v>74</v>
      </c>
      <c r="BB92" s="26"/>
      <c r="BC92" s="26"/>
      <c r="BD92" s="46"/>
      <c r="BE92" s="46" t="e">
        <v>#REF!</v>
      </c>
      <c r="BF92" s="46" t="s">
        <v>79</v>
      </c>
      <c r="BG92" s="65">
        <v>0.25</v>
      </c>
      <c r="BH92" s="66" t="s">
        <v>1876</v>
      </c>
      <c r="BI92" s="63" t="s">
        <v>1877</v>
      </c>
    </row>
    <row r="93" spans="1:61" ht="63.75" x14ac:dyDescent="0.2">
      <c r="A93" s="45" t="s">
        <v>1878</v>
      </c>
      <c r="B93" s="46"/>
      <c r="C93" s="46" t="s">
        <v>1780</v>
      </c>
      <c r="D93" s="46" t="s">
        <v>1879</v>
      </c>
      <c r="E93" s="46" t="s">
        <v>68</v>
      </c>
      <c r="F93" s="46" t="s">
        <v>68</v>
      </c>
      <c r="G93" s="46" t="s">
        <v>68</v>
      </c>
      <c r="H93" s="46" t="s">
        <v>68</v>
      </c>
      <c r="I93" s="46" t="s">
        <v>454</v>
      </c>
      <c r="J93" s="46" t="s">
        <v>71</v>
      </c>
      <c r="K93" s="47">
        <v>150</v>
      </c>
      <c r="L93" s="47">
        <v>60</v>
      </c>
      <c r="M93" s="47">
        <v>210</v>
      </c>
      <c r="N93" s="46" t="s">
        <v>1783</v>
      </c>
      <c r="O93" s="71" t="s">
        <v>1880</v>
      </c>
      <c r="P93" s="46" t="s">
        <v>1785</v>
      </c>
      <c r="Q93" s="46" t="s">
        <v>1347</v>
      </c>
      <c r="R93" s="46" t="s">
        <v>1713</v>
      </c>
      <c r="S93" s="49">
        <v>52.5</v>
      </c>
      <c r="T93" s="49">
        <v>262.5</v>
      </c>
      <c r="U93" s="67">
        <v>0.35714285714285715</v>
      </c>
      <c r="V93" s="67">
        <v>0.34444444444444444</v>
      </c>
      <c r="W93" s="51">
        <v>0.4</v>
      </c>
      <c r="X93" s="52">
        <v>26.25</v>
      </c>
      <c r="Y93" s="52">
        <v>30</v>
      </c>
      <c r="Z93" s="52">
        <v>112.5</v>
      </c>
      <c r="AA93" s="52">
        <v>168.75</v>
      </c>
      <c r="AB93" s="53">
        <v>0.6428571428571429</v>
      </c>
      <c r="AC93" s="54">
        <v>93.75</v>
      </c>
      <c r="AD93" s="55">
        <v>0.35714285714285715</v>
      </c>
      <c r="AE93" s="56">
        <v>2</v>
      </c>
      <c r="AF93" s="57" t="s">
        <v>72</v>
      </c>
      <c r="AG93" s="58">
        <v>75</v>
      </c>
      <c r="AH93" s="58">
        <v>60</v>
      </c>
      <c r="AI93" s="58">
        <v>135</v>
      </c>
      <c r="AJ93" s="49">
        <v>33.75</v>
      </c>
      <c r="AK93" s="49">
        <v>168.75</v>
      </c>
      <c r="AL93" s="52">
        <v>16.875</v>
      </c>
      <c r="AM93" s="52">
        <v>93.75</v>
      </c>
      <c r="AN93" s="52">
        <v>110.625</v>
      </c>
      <c r="AO93" s="59">
        <v>0.65555555555555556</v>
      </c>
      <c r="AP93" s="60">
        <v>58.125</v>
      </c>
      <c r="AQ93" s="61">
        <v>0.34444444444444444</v>
      </c>
      <c r="AR93" s="60" t="s">
        <v>78</v>
      </c>
      <c r="AS93" s="62">
        <v>225</v>
      </c>
      <c r="AT93" s="62">
        <v>90</v>
      </c>
      <c r="AU93" s="62">
        <v>315</v>
      </c>
      <c r="AV93" s="62">
        <v>393.75</v>
      </c>
      <c r="AW93" s="47" t="s">
        <v>74</v>
      </c>
      <c r="AX93" s="64"/>
      <c r="AY93" s="64" t="s">
        <v>1881</v>
      </c>
      <c r="AZ93" s="86"/>
      <c r="BA93" s="46" t="s">
        <v>74</v>
      </c>
      <c r="BB93" s="26"/>
      <c r="BC93" s="26"/>
      <c r="BD93" s="46"/>
      <c r="BE93" s="46" t="e">
        <v>#REF!</v>
      </c>
      <c r="BF93" s="46" t="s">
        <v>79</v>
      </c>
      <c r="BG93" s="65">
        <v>0.25</v>
      </c>
      <c r="BH93" s="66" t="s">
        <v>1882</v>
      </c>
      <c r="BI93" s="63" t="s">
        <v>1883</v>
      </c>
    </row>
    <row r="94" spans="1:61" ht="63.75" x14ac:dyDescent="0.2">
      <c r="A94" s="45" t="s">
        <v>1884</v>
      </c>
      <c r="B94" s="46"/>
      <c r="C94" s="46" t="s">
        <v>1780</v>
      </c>
      <c r="D94" s="46" t="s">
        <v>1879</v>
      </c>
      <c r="E94" s="46" t="s">
        <v>68</v>
      </c>
      <c r="F94" s="46" t="s">
        <v>68</v>
      </c>
      <c r="G94" s="46" t="s">
        <v>68</v>
      </c>
      <c r="H94" s="46" t="s">
        <v>68</v>
      </c>
      <c r="I94" s="46" t="s">
        <v>445</v>
      </c>
      <c r="J94" s="46" t="s">
        <v>71</v>
      </c>
      <c r="K94" s="47">
        <v>170</v>
      </c>
      <c r="L94" s="47">
        <v>110</v>
      </c>
      <c r="M94" s="47">
        <v>280</v>
      </c>
      <c r="N94" s="46" t="s">
        <v>1783</v>
      </c>
      <c r="O94" s="71" t="s">
        <v>1885</v>
      </c>
      <c r="P94" s="46" t="s">
        <v>1785</v>
      </c>
      <c r="Q94" s="46" t="s">
        <v>1347</v>
      </c>
      <c r="R94" s="46" t="s">
        <v>1713</v>
      </c>
      <c r="S94" s="49">
        <v>70</v>
      </c>
      <c r="T94" s="49">
        <v>350</v>
      </c>
      <c r="U94" s="67">
        <v>0.3</v>
      </c>
      <c r="V94" s="28">
        <v>0.24871794871794872</v>
      </c>
      <c r="W94" s="51">
        <v>0.6470588235294118</v>
      </c>
      <c r="X94" s="52">
        <v>35</v>
      </c>
      <c r="Y94" s="52">
        <v>30</v>
      </c>
      <c r="Z94" s="52">
        <v>180</v>
      </c>
      <c r="AA94" s="52">
        <v>245</v>
      </c>
      <c r="AB94" s="53">
        <v>0.7</v>
      </c>
      <c r="AC94" s="54">
        <v>105</v>
      </c>
      <c r="AD94" s="55">
        <v>0.3</v>
      </c>
      <c r="AE94" s="56">
        <v>2</v>
      </c>
      <c r="AF94" s="57" t="s">
        <v>72</v>
      </c>
      <c r="AG94" s="58">
        <v>85</v>
      </c>
      <c r="AH94" s="58">
        <v>110</v>
      </c>
      <c r="AI94" s="58">
        <v>195</v>
      </c>
      <c r="AJ94" s="49">
        <v>48.75</v>
      </c>
      <c r="AK94" s="49">
        <v>243.75</v>
      </c>
      <c r="AL94" s="52">
        <v>24.375</v>
      </c>
      <c r="AM94" s="52">
        <v>158.75</v>
      </c>
      <c r="AN94" s="52">
        <v>183.125</v>
      </c>
      <c r="AO94" s="59">
        <v>0.75128205128205128</v>
      </c>
      <c r="AP94" s="60">
        <v>60.625</v>
      </c>
      <c r="AQ94" s="61">
        <v>0.24871794871794872</v>
      </c>
      <c r="AR94" s="60" t="s">
        <v>78</v>
      </c>
      <c r="AS94" s="62">
        <v>255</v>
      </c>
      <c r="AT94" s="62">
        <v>165</v>
      </c>
      <c r="AU94" s="62">
        <v>420</v>
      </c>
      <c r="AV94" s="62">
        <v>525</v>
      </c>
      <c r="AW94" s="47" t="s">
        <v>74</v>
      </c>
      <c r="AX94" s="64"/>
      <c r="AY94" s="64" t="s">
        <v>1886</v>
      </c>
      <c r="AZ94" s="86"/>
      <c r="BA94" s="46" t="s">
        <v>74</v>
      </c>
      <c r="BB94" s="26"/>
      <c r="BC94" s="26"/>
      <c r="BD94" s="46"/>
      <c r="BE94" s="46" t="e">
        <v>#REF!</v>
      </c>
      <c r="BF94" s="46" t="s">
        <v>79</v>
      </c>
      <c r="BG94" s="65">
        <v>0.25</v>
      </c>
      <c r="BH94" s="66" t="s">
        <v>1887</v>
      </c>
      <c r="BI94" s="63" t="s">
        <v>1888</v>
      </c>
    </row>
    <row r="95" spans="1:61" ht="63.75" x14ac:dyDescent="0.2">
      <c r="A95" s="45" t="s">
        <v>1889</v>
      </c>
      <c r="B95" s="46"/>
      <c r="C95" s="46" t="s">
        <v>1780</v>
      </c>
      <c r="D95" s="46" t="s">
        <v>1879</v>
      </c>
      <c r="E95" s="46" t="s">
        <v>68</v>
      </c>
      <c r="F95" s="46" t="s">
        <v>68</v>
      </c>
      <c r="G95" s="46" t="s">
        <v>68</v>
      </c>
      <c r="H95" s="46" t="s">
        <v>68</v>
      </c>
      <c r="I95" s="46" t="s">
        <v>449</v>
      </c>
      <c r="J95" s="46" t="s">
        <v>71</v>
      </c>
      <c r="K95" s="47">
        <v>205</v>
      </c>
      <c r="L95" s="47">
        <v>250</v>
      </c>
      <c r="M95" s="47">
        <v>455</v>
      </c>
      <c r="N95" s="46" t="s">
        <v>1783</v>
      </c>
      <c r="O95" s="71" t="s">
        <v>1890</v>
      </c>
      <c r="P95" s="46" t="s">
        <v>1785</v>
      </c>
      <c r="Q95" s="46" t="s">
        <v>1347</v>
      </c>
      <c r="R95" s="46" t="s">
        <v>1713</v>
      </c>
      <c r="S95" s="49">
        <v>113.75</v>
      </c>
      <c r="T95" s="49">
        <v>568.75</v>
      </c>
      <c r="U95" s="28">
        <v>0.2076923076923077</v>
      </c>
      <c r="V95" s="50">
        <v>0.1326241134751773</v>
      </c>
      <c r="W95" s="74">
        <v>1.2195121951219512</v>
      </c>
      <c r="X95" s="52">
        <v>56.875</v>
      </c>
      <c r="Y95" s="52">
        <v>30</v>
      </c>
      <c r="Z95" s="52">
        <v>363.75</v>
      </c>
      <c r="AA95" s="52">
        <v>450.625</v>
      </c>
      <c r="AB95" s="53">
        <v>0.79230769230769227</v>
      </c>
      <c r="AC95" s="54">
        <v>118.125</v>
      </c>
      <c r="AD95" s="55">
        <v>0.2076923076923077</v>
      </c>
      <c r="AE95" s="56">
        <v>2</v>
      </c>
      <c r="AF95" s="57" t="s">
        <v>72</v>
      </c>
      <c r="AG95" s="58">
        <v>102.5</v>
      </c>
      <c r="AH95" s="58">
        <v>250</v>
      </c>
      <c r="AI95" s="58">
        <v>352.5</v>
      </c>
      <c r="AJ95" s="49">
        <v>88.125</v>
      </c>
      <c r="AK95" s="49">
        <v>440.625</v>
      </c>
      <c r="AL95" s="52">
        <v>44.0625</v>
      </c>
      <c r="AM95" s="52">
        <v>338.125</v>
      </c>
      <c r="AN95" s="52">
        <v>382.1875</v>
      </c>
      <c r="AO95" s="59">
        <v>0.86737588652482267</v>
      </c>
      <c r="AP95" s="60">
        <v>58.4375</v>
      </c>
      <c r="AQ95" s="61">
        <v>0.1326241134751773</v>
      </c>
      <c r="AR95" s="60" t="s">
        <v>73</v>
      </c>
      <c r="AS95" s="62">
        <v>308</v>
      </c>
      <c r="AT95" s="62">
        <v>375</v>
      </c>
      <c r="AU95" s="62">
        <v>683</v>
      </c>
      <c r="AV95" s="62">
        <v>853.75</v>
      </c>
      <c r="AW95" s="47" t="s">
        <v>74</v>
      </c>
      <c r="AX95" s="64"/>
      <c r="AY95" s="64" t="s">
        <v>1891</v>
      </c>
      <c r="AZ95" s="86"/>
      <c r="BA95" s="46" t="s">
        <v>74</v>
      </c>
      <c r="BB95" s="26"/>
      <c r="BC95" s="26"/>
      <c r="BD95" s="46"/>
      <c r="BE95" s="46" t="e">
        <v>#REF!</v>
      </c>
      <c r="BF95" s="46" t="s">
        <v>79</v>
      </c>
      <c r="BG95" s="65">
        <v>0.25</v>
      </c>
      <c r="BH95" s="66" t="s">
        <v>1892</v>
      </c>
      <c r="BI95" s="63" t="s">
        <v>1893</v>
      </c>
    </row>
    <row r="96" spans="1:61" ht="76.5" x14ac:dyDescent="0.2">
      <c r="A96" s="45" t="s">
        <v>1894</v>
      </c>
      <c r="B96" s="46"/>
      <c r="C96" s="46" t="s">
        <v>1780</v>
      </c>
      <c r="D96" s="46" t="s">
        <v>1829</v>
      </c>
      <c r="E96" s="46" t="s">
        <v>1895</v>
      </c>
      <c r="F96" s="46" t="s">
        <v>68</v>
      </c>
      <c r="G96" s="46" t="s">
        <v>68</v>
      </c>
      <c r="H96" s="46" t="s">
        <v>68</v>
      </c>
      <c r="I96" s="46" t="s">
        <v>445</v>
      </c>
      <c r="J96" s="46" t="s">
        <v>71</v>
      </c>
      <c r="K96" s="47">
        <v>150</v>
      </c>
      <c r="L96" s="47">
        <v>50</v>
      </c>
      <c r="M96" s="47">
        <v>200</v>
      </c>
      <c r="N96" s="46" t="s">
        <v>1783</v>
      </c>
      <c r="O96" s="71" t="s">
        <v>1896</v>
      </c>
      <c r="P96" s="46" t="s">
        <v>1785</v>
      </c>
      <c r="Q96" s="46" t="s">
        <v>1347</v>
      </c>
      <c r="R96" s="46" t="s">
        <v>1713</v>
      </c>
      <c r="S96" s="49">
        <v>50</v>
      </c>
      <c r="T96" s="49">
        <v>250</v>
      </c>
      <c r="U96" s="67">
        <v>0.38</v>
      </c>
      <c r="V96" s="67">
        <v>0.38</v>
      </c>
      <c r="W96" s="51">
        <v>0.33333333333333331</v>
      </c>
      <c r="X96" s="52">
        <v>25</v>
      </c>
      <c r="Y96" s="52">
        <v>30</v>
      </c>
      <c r="Z96" s="52">
        <v>100</v>
      </c>
      <c r="AA96" s="52">
        <v>155</v>
      </c>
      <c r="AB96" s="53">
        <v>0.62</v>
      </c>
      <c r="AC96" s="54">
        <v>95</v>
      </c>
      <c r="AD96" s="55">
        <v>0.38</v>
      </c>
      <c r="AE96" s="56">
        <v>2</v>
      </c>
      <c r="AF96" s="57" t="s">
        <v>72</v>
      </c>
      <c r="AG96" s="58">
        <v>75</v>
      </c>
      <c r="AH96" s="58">
        <v>50</v>
      </c>
      <c r="AI96" s="58">
        <v>125</v>
      </c>
      <c r="AJ96" s="49">
        <v>31.25</v>
      </c>
      <c r="AK96" s="49">
        <v>156.25</v>
      </c>
      <c r="AL96" s="52">
        <v>15.625</v>
      </c>
      <c r="AM96" s="52">
        <v>81.25</v>
      </c>
      <c r="AN96" s="52">
        <v>96.875</v>
      </c>
      <c r="AO96" s="59">
        <v>0.62</v>
      </c>
      <c r="AP96" s="60">
        <v>59.375</v>
      </c>
      <c r="AQ96" s="61">
        <v>0.38</v>
      </c>
      <c r="AR96" s="60" t="s">
        <v>78</v>
      </c>
      <c r="AS96" s="62">
        <v>225</v>
      </c>
      <c r="AT96" s="62">
        <v>75</v>
      </c>
      <c r="AU96" s="62">
        <v>300</v>
      </c>
      <c r="AV96" s="62">
        <v>375</v>
      </c>
      <c r="AW96" s="47" t="s">
        <v>74</v>
      </c>
      <c r="AX96" s="64"/>
      <c r="AY96" s="64" t="s">
        <v>1897</v>
      </c>
      <c r="AZ96" s="86"/>
      <c r="BA96" s="46" t="s">
        <v>74</v>
      </c>
      <c r="BB96" s="26"/>
      <c r="BC96" s="26"/>
      <c r="BD96" s="70" t="s">
        <v>1898</v>
      </c>
      <c r="BE96" s="46" t="e">
        <v>#REF!</v>
      </c>
      <c r="BF96" s="46" t="s">
        <v>79</v>
      </c>
      <c r="BG96" s="65">
        <v>0.25</v>
      </c>
      <c r="BH96" s="66" t="s">
        <v>1899</v>
      </c>
      <c r="BI96" s="63" t="s">
        <v>1900</v>
      </c>
    </row>
    <row r="97" spans="1:61" ht="76.5" x14ac:dyDescent="0.2">
      <c r="A97" s="45" t="s">
        <v>1901</v>
      </c>
      <c r="B97" s="46"/>
      <c r="C97" s="46" t="s">
        <v>1780</v>
      </c>
      <c r="D97" s="46" t="s">
        <v>1829</v>
      </c>
      <c r="E97" s="46" t="s">
        <v>1895</v>
      </c>
      <c r="F97" s="46" t="s">
        <v>68</v>
      </c>
      <c r="G97" s="46" t="s">
        <v>68</v>
      </c>
      <c r="H97" s="46" t="s">
        <v>68</v>
      </c>
      <c r="I97" s="46" t="s">
        <v>449</v>
      </c>
      <c r="J97" s="46" t="s">
        <v>71</v>
      </c>
      <c r="K97" s="47">
        <v>170</v>
      </c>
      <c r="L97" s="47">
        <v>115</v>
      </c>
      <c r="M97" s="47">
        <v>285</v>
      </c>
      <c r="N97" s="46" t="s">
        <v>1783</v>
      </c>
      <c r="O97" s="71" t="s">
        <v>1902</v>
      </c>
      <c r="P97" s="46" t="s">
        <v>1785</v>
      </c>
      <c r="Q97" s="46" t="s">
        <v>1347</v>
      </c>
      <c r="R97" s="46" t="s">
        <v>1713</v>
      </c>
      <c r="S97" s="49">
        <v>71.25</v>
      </c>
      <c r="T97" s="49">
        <v>356.25</v>
      </c>
      <c r="U97" s="28">
        <v>0.2929824561403509</v>
      </c>
      <c r="V97" s="28">
        <v>0.24</v>
      </c>
      <c r="W97" s="51">
        <v>0.67647058823529416</v>
      </c>
      <c r="X97" s="52">
        <v>35.625</v>
      </c>
      <c r="Y97" s="52">
        <v>30</v>
      </c>
      <c r="Z97" s="52">
        <v>186.25</v>
      </c>
      <c r="AA97" s="52">
        <v>251.875</v>
      </c>
      <c r="AB97" s="53">
        <v>0.7070175438596491</v>
      </c>
      <c r="AC97" s="54">
        <v>104.375</v>
      </c>
      <c r="AD97" s="55">
        <v>0.2929824561403509</v>
      </c>
      <c r="AE97" s="56">
        <v>2</v>
      </c>
      <c r="AF97" s="57" t="s">
        <v>72</v>
      </c>
      <c r="AG97" s="58">
        <v>85</v>
      </c>
      <c r="AH97" s="58">
        <v>115</v>
      </c>
      <c r="AI97" s="58">
        <v>200</v>
      </c>
      <c r="AJ97" s="49">
        <v>50</v>
      </c>
      <c r="AK97" s="49">
        <v>250</v>
      </c>
      <c r="AL97" s="52">
        <v>25</v>
      </c>
      <c r="AM97" s="52">
        <v>165</v>
      </c>
      <c r="AN97" s="52">
        <v>190</v>
      </c>
      <c r="AO97" s="59">
        <v>0.76</v>
      </c>
      <c r="AP97" s="60">
        <v>60</v>
      </c>
      <c r="AQ97" s="61">
        <v>0.24</v>
      </c>
      <c r="AR97" s="60" t="s">
        <v>78</v>
      </c>
      <c r="AS97" s="62">
        <v>255</v>
      </c>
      <c r="AT97" s="62">
        <v>173</v>
      </c>
      <c r="AU97" s="62">
        <v>428</v>
      </c>
      <c r="AV97" s="62">
        <v>535</v>
      </c>
      <c r="AW97" s="47" t="s">
        <v>74</v>
      </c>
      <c r="AX97" s="64"/>
      <c r="AY97" s="64" t="s">
        <v>1903</v>
      </c>
      <c r="AZ97" s="86"/>
      <c r="BA97" s="46" t="s">
        <v>74</v>
      </c>
      <c r="BB97" s="26"/>
      <c r="BC97" s="26"/>
      <c r="BD97" s="70" t="s">
        <v>1904</v>
      </c>
      <c r="BE97" s="46" t="e">
        <v>#REF!</v>
      </c>
      <c r="BF97" s="46" t="s">
        <v>79</v>
      </c>
      <c r="BG97" s="65">
        <v>0.25</v>
      </c>
      <c r="BH97" s="66" t="s">
        <v>1905</v>
      </c>
      <c r="BI97" s="63" t="s">
        <v>1906</v>
      </c>
    </row>
    <row r="98" spans="1:61" ht="76.5" x14ac:dyDescent="0.2">
      <c r="A98" s="45" t="s">
        <v>1907</v>
      </c>
      <c r="B98" s="46"/>
      <c r="C98" s="46" t="s">
        <v>1780</v>
      </c>
      <c r="D98" s="46" t="s">
        <v>1781</v>
      </c>
      <c r="E98" s="46" t="s">
        <v>1895</v>
      </c>
      <c r="F98" s="46" t="s">
        <v>68</v>
      </c>
      <c r="G98" s="46" t="s">
        <v>68</v>
      </c>
      <c r="H98" s="46" t="s">
        <v>68</v>
      </c>
      <c r="I98" s="46" t="s">
        <v>445</v>
      </c>
      <c r="J98" s="46" t="s">
        <v>71</v>
      </c>
      <c r="K98" s="47">
        <v>180</v>
      </c>
      <c r="L98" s="47">
        <v>150</v>
      </c>
      <c r="M98" s="47">
        <v>330</v>
      </c>
      <c r="N98" s="46" t="s">
        <v>1783</v>
      </c>
      <c r="O98" s="71" t="s">
        <v>1908</v>
      </c>
      <c r="P98" s="46" t="s">
        <v>1785</v>
      </c>
      <c r="Q98" s="46" t="s">
        <v>1347</v>
      </c>
      <c r="R98" s="46" t="s">
        <v>1713</v>
      </c>
      <c r="S98" s="49">
        <v>82.5</v>
      </c>
      <c r="T98" s="49">
        <v>412.5</v>
      </c>
      <c r="U98" s="28">
        <v>0.26363636363636361</v>
      </c>
      <c r="V98" s="28">
        <v>0.2</v>
      </c>
      <c r="W98" s="51">
        <v>0.83333333333333337</v>
      </c>
      <c r="X98" s="52">
        <v>41.25</v>
      </c>
      <c r="Y98" s="52">
        <v>30</v>
      </c>
      <c r="Z98" s="52">
        <v>232.5</v>
      </c>
      <c r="AA98" s="52">
        <v>303.75</v>
      </c>
      <c r="AB98" s="53">
        <v>0.73636363636363633</v>
      </c>
      <c r="AC98" s="54">
        <v>108.75</v>
      </c>
      <c r="AD98" s="55">
        <v>0.26363636363636361</v>
      </c>
      <c r="AE98" s="56">
        <v>2</v>
      </c>
      <c r="AF98" s="57" t="s">
        <v>72</v>
      </c>
      <c r="AG98" s="58">
        <v>90</v>
      </c>
      <c r="AH98" s="58">
        <v>150</v>
      </c>
      <c r="AI98" s="58">
        <v>240</v>
      </c>
      <c r="AJ98" s="49">
        <v>60</v>
      </c>
      <c r="AK98" s="49">
        <v>300</v>
      </c>
      <c r="AL98" s="52">
        <v>30</v>
      </c>
      <c r="AM98" s="52">
        <v>210</v>
      </c>
      <c r="AN98" s="52">
        <v>240</v>
      </c>
      <c r="AO98" s="59">
        <v>0.8</v>
      </c>
      <c r="AP98" s="60">
        <v>60</v>
      </c>
      <c r="AQ98" s="61">
        <v>0.2</v>
      </c>
      <c r="AR98" s="60" t="s">
        <v>78</v>
      </c>
      <c r="AS98" s="62">
        <v>270</v>
      </c>
      <c r="AT98" s="62">
        <v>225</v>
      </c>
      <c r="AU98" s="62">
        <v>495</v>
      </c>
      <c r="AV98" s="62">
        <v>618.75</v>
      </c>
      <c r="AW98" s="47" t="s">
        <v>74</v>
      </c>
      <c r="AX98" s="64"/>
      <c r="AY98" s="64" t="s">
        <v>1909</v>
      </c>
      <c r="AZ98" s="86"/>
      <c r="BA98" s="46" t="s">
        <v>74</v>
      </c>
      <c r="BB98" s="26"/>
      <c r="BC98" s="26"/>
      <c r="BD98" s="70" t="s">
        <v>1910</v>
      </c>
      <c r="BE98" s="46" t="e">
        <v>#REF!</v>
      </c>
      <c r="BF98" s="46" t="s">
        <v>79</v>
      </c>
      <c r="BG98" s="65">
        <v>0.25</v>
      </c>
      <c r="BH98" s="66" t="s">
        <v>1911</v>
      </c>
      <c r="BI98" s="63" t="s">
        <v>1912</v>
      </c>
    </row>
    <row r="99" spans="1:61" ht="76.5" x14ac:dyDescent="0.2">
      <c r="A99" s="45" t="s">
        <v>1913</v>
      </c>
      <c r="B99" s="46"/>
      <c r="C99" s="46" t="s">
        <v>1780</v>
      </c>
      <c r="D99" s="46" t="s">
        <v>1781</v>
      </c>
      <c r="E99" s="46" t="s">
        <v>1895</v>
      </c>
      <c r="F99" s="46" t="s">
        <v>68</v>
      </c>
      <c r="G99" s="46" t="s">
        <v>68</v>
      </c>
      <c r="H99" s="46" t="s">
        <v>68</v>
      </c>
      <c r="I99" s="46" t="s">
        <v>449</v>
      </c>
      <c r="J99" s="46" t="s">
        <v>71</v>
      </c>
      <c r="K99" s="47">
        <v>205</v>
      </c>
      <c r="L99" s="47">
        <v>240</v>
      </c>
      <c r="M99" s="47">
        <v>445</v>
      </c>
      <c r="N99" s="46" t="s">
        <v>1783</v>
      </c>
      <c r="O99" s="71" t="s">
        <v>1914</v>
      </c>
      <c r="P99" s="46" t="s">
        <v>1785</v>
      </c>
      <c r="Q99" s="46" t="s">
        <v>1347</v>
      </c>
      <c r="R99" s="46" t="s">
        <v>1713</v>
      </c>
      <c r="S99" s="49">
        <v>111.25</v>
      </c>
      <c r="T99" s="49">
        <v>556.25</v>
      </c>
      <c r="U99" s="28">
        <v>0.21460674157303372</v>
      </c>
      <c r="V99" s="50">
        <v>0.13941605839416057</v>
      </c>
      <c r="W99" s="74">
        <v>1.1707317073170731</v>
      </c>
      <c r="X99" s="52">
        <v>55.625</v>
      </c>
      <c r="Y99" s="52">
        <v>30</v>
      </c>
      <c r="Z99" s="52">
        <v>351.25</v>
      </c>
      <c r="AA99" s="52">
        <v>436.875</v>
      </c>
      <c r="AB99" s="53">
        <v>0.78539325842696628</v>
      </c>
      <c r="AC99" s="54">
        <v>119.375</v>
      </c>
      <c r="AD99" s="55">
        <v>0.21460674157303372</v>
      </c>
      <c r="AE99" s="56">
        <v>2</v>
      </c>
      <c r="AF99" s="57" t="s">
        <v>72</v>
      </c>
      <c r="AG99" s="58">
        <v>102.5</v>
      </c>
      <c r="AH99" s="58">
        <v>240</v>
      </c>
      <c r="AI99" s="58">
        <v>342.5</v>
      </c>
      <c r="AJ99" s="49">
        <v>85.625</v>
      </c>
      <c r="AK99" s="49">
        <v>428.125</v>
      </c>
      <c r="AL99" s="52">
        <v>42.8125</v>
      </c>
      <c r="AM99" s="52">
        <v>325.625</v>
      </c>
      <c r="AN99" s="52">
        <v>368.4375</v>
      </c>
      <c r="AO99" s="59">
        <v>0.8605839416058394</v>
      </c>
      <c r="AP99" s="60">
        <v>59.6875</v>
      </c>
      <c r="AQ99" s="61">
        <v>0.13941605839416057</v>
      </c>
      <c r="AR99" s="60" t="s">
        <v>73</v>
      </c>
      <c r="AS99" s="62">
        <v>308</v>
      </c>
      <c r="AT99" s="62">
        <v>360</v>
      </c>
      <c r="AU99" s="62">
        <v>668</v>
      </c>
      <c r="AV99" s="62">
        <v>835</v>
      </c>
      <c r="AW99" s="47" t="s">
        <v>74</v>
      </c>
      <c r="AX99" s="64"/>
      <c r="AY99" s="64" t="s">
        <v>1915</v>
      </c>
      <c r="AZ99" s="86"/>
      <c r="BA99" s="46" t="s">
        <v>74</v>
      </c>
      <c r="BB99" s="26"/>
      <c r="BC99" s="26"/>
      <c r="BD99" s="70" t="s">
        <v>1916</v>
      </c>
      <c r="BE99" s="46" t="e">
        <v>#REF!</v>
      </c>
      <c r="BF99" s="46" t="s">
        <v>79</v>
      </c>
      <c r="BG99" s="65">
        <v>0.25</v>
      </c>
      <c r="BH99" s="66" t="s">
        <v>1917</v>
      </c>
      <c r="BI99" s="63" t="s">
        <v>1918</v>
      </c>
    </row>
    <row r="100" spans="1:61" ht="38.25" x14ac:dyDescent="0.2">
      <c r="A100" s="45" t="s">
        <v>1919</v>
      </c>
      <c r="B100" s="46"/>
      <c r="C100" s="46" t="s">
        <v>1920</v>
      </c>
      <c r="D100" s="46" t="s">
        <v>68</v>
      </c>
      <c r="E100" s="46" t="s">
        <v>68</v>
      </c>
      <c r="F100" s="46" t="s">
        <v>68</v>
      </c>
      <c r="G100" s="46" t="s">
        <v>68</v>
      </c>
      <c r="H100" s="46" t="s">
        <v>68</v>
      </c>
      <c r="I100" s="46" t="s">
        <v>68</v>
      </c>
      <c r="J100" s="46" t="s">
        <v>71</v>
      </c>
      <c r="K100" s="47">
        <v>140</v>
      </c>
      <c r="L100" s="47">
        <v>20</v>
      </c>
      <c r="M100" s="47">
        <v>160</v>
      </c>
      <c r="N100" s="46" t="s">
        <v>1921</v>
      </c>
      <c r="O100" s="71" t="s">
        <v>1922</v>
      </c>
      <c r="P100" s="46" t="s">
        <v>1923</v>
      </c>
      <c r="Q100" s="46" t="s">
        <v>1347</v>
      </c>
      <c r="R100" s="46" t="s">
        <v>1713</v>
      </c>
      <c r="S100" s="49">
        <v>40</v>
      </c>
      <c r="T100" s="49">
        <v>200</v>
      </c>
      <c r="U100" s="67">
        <v>0.45</v>
      </c>
      <c r="V100" s="67">
        <v>0.52222222222222225</v>
      </c>
      <c r="W100" s="51">
        <v>0.14285714285714285</v>
      </c>
      <c r="X100" s="52">
        <v>20</v>
      </c>
      <c r="Y100" s="52">
        <v>30</v>
      </c>
      <c r="Z100" s="52">
        <v>60</v>
      </c>
      <c r="AA100" s="52">
        <v>110</v>
      </c>
      <c r="AB100" s="53">
        <v>0.55000000000000004</v>
      </c>
      <c r="AC100" s="54">
        <v>90</v>
      </c>
      <c r="AD100" s="55">
        <v>0.45</v>
      </c>
      <c r="AE100" s="56">
        <v>2</v>
      </c>
      <c r="AF100" s="57" t="s">
        <v>72</v>
      </c>
      <c r="AG100" s="58">
        <v>70</v>
      </c>
      <c r="AH100" s="58">
        <v>20</v>
      </c>
      <c r="AI100" s="58">
        <v>90</v>
      </c>
      <c r="AJ100" s="49">
        <v>22.5</v>
      </c>
      <c r="AK100" s="49">
        <v>112.5</v>
      </c>
      <c r="AL100" s="52">
        <v>11.25</v>
      </c>
      <c r="AM100" s="52">
        <v>42.5</v>
      </c>
      <c r="AN100" s="52">
        <v>53.75</v>
      </c>
      <c r="AO100" s="59">
        <v>0.4777777777777778</v>
      </c>
      <c r="AP100" s="60">
        <v>58.75</v>
      </c>
      <c r="AQ100" s="61">
        <v>0.52222222222222225</v>
      </c>
      <c r="AR100" s="60" t="s">
        <v>78</v>
      </c>
      <c r="AS100" s="62">
        <v>210</v>
      </c>
      <c r="AT100" s="62">
        <v>30</v>
      </c>
      <c r="AU100" s="62">
        <v>240</v>
      </c>
      <c r="AV100" s="62">
        <v>300</v>
      </c>
      <c r="AW100" s="47" t="s">
        <v>74</v>
      </c>
      <c r="AX100" s="64"/>
      <c r="AY100" s="64" t="s">
        <v>1924</v>
      </c>
      <c r="AZ100" s="86"/>
      <c r="BA100" s="46" t="s">
        <v>74</v>
      </c>
      <c r="BB100" s="26"/>
      <c r="BC100" s="26"/>
      <c r="BD100" s="46"/>
      <c r="BE100" s="46" t="e">
        <v>#REF!</v>
      </c>
      <c r="BF100" s="46" t="s">
        <v>79</v>
      </c>
      <c r="BG100" s="65">
        <v>0.25</v>
      </c>
      <c r="BH100" s="66" t="s">
        <v>1925</v>
      </c>
      <c r="BI100" s="63" t="s">
        <v>1920</v>
      </c>
    </row>
    <row r="101" spans="1:61" ht="51" x14ac:dyDescent="0.2">
      <c r="A101" s="45" t="s">
        <v>1926</v>
      </c>
      <c r="B101" s="46"/>
      <c r="C101" s="46" t="s">
        <v>1780</v>
      </c>
      <c r="D101" s="46" t="s">
        <v>1927</v>
      </c>
      <c r="E101" s="46" t="s">
        <v>1928</v>
      </c>
      <c r="F101" s="46" t="s">
        <v>68</v>
      </c>
      <c r="G101" s="46" t="s">
        <v>68</v>
      </c>
      <c r="H101" s="46" t="s">
        <v>68</v>
      </c>
      <c r="I101" s="46" t="s">
        <v>68</v>
      </c>
      <c r="J101" s="46" t="s">
        <v>71</v>
      </c>
      <c r="K101" s="47">
        <v>190</v>
      </c>
      <c r="L101" s="47">
        <v>200</v>
      </c>
      <c r="M101" s="47">
        <v>390</v>
      </c>
      <c r="N101" s="46" t="s">
        <v>1783</v>
      </c>
      <c r="O101" s="71" t="s">
        <v>1929</v>
      </c>
      <c r="P101" s="46" t="s">
        <v>1785</v>
      </c>
      <c r="Q101" s="46" t="s">
        <v>1347</v>
      </c>
      <c r="R101" s="46" t="s">
        <v>1713</v>
      </c>
      <c r="S101" s="49">
        <v>97.5</v>
      </c>
      <c r="T101" s="49">
        <v>487.5</v>
      </c>
      <c r="U101" s="28">
        <v>0.2282051282051282</v>
      </c>
      <c r="V101" s="50">
        <v>0.15762711864406781</v>
      </c>
      <c r="W101" s="74">
        <v>1.0526315789473684</v>
      </c>
      <c r="X101" s="52">
        <v>48.75</v>
      </c>
      <c r="Y101" s="52">
        <v>30</v>
      </c>
      <c r="Z101" s="52">
        <v>297.5</v>
      </c>
      <c r="AA101" s="52">
        <v>376.25</v>
      </c>
      <c r="AB101" s="53">
        <v>0.77179487179487183</v>
      </c>
      <c r="AC101" s="54">
        <v>111.25</v>
      </c>
      <c r="AD101" s="55">
        <v>0.2282051282051282</v>
      </c>
      <c r="AE101" s="56">
        <v>2</v>
      </c>
      <c r="AF101" s="57" t="s">
        <v>72</v>
      </c>
      <c r="AG101" s="58">
        <v>95</v>
      </c>
      <c r="AH101" s="58">
        <v>200</v>
      </c>
      <c r="AI101" s="58">
        <v>295</v>
      </c>
      <c r="AJ101" s="49">
        <v>73.75</v>
      </c>
      <c r="AK101" s="49">
        <v>368.75</v>
      </c>
      <c r="AL101" s="52">
        <v>36.875</v>
      </c>
      <c r="AM101" s="52">
        <v>273.75</v>
      </c>
      <c r="AN101" s="52">
        <v>310.625</v>
      </c>
      <c r="AO101" s="59">
        <v>0.84237288135593225</v>
      </c>
      <c r="AP101" s="60">
        <v>58.125</v>
      </c>
      <c r="AQ101" s="61">
        <v>0.15762711864406781</v>
      </c>
      <c r="AR101" s="60" t="s">
        <v>73</v>
      </c>
      <c r="AS101" s="62">
        <v>285</v>
      </c>
      <c r="AT101" s="62">
        <v>300</v>
      </c>
      <c r="AU101" s="62">
        <v>585</v>
      </c>
      <c r="AV101" s="62">
        <v>731.25</v>
      </c>
      <c r="AW101" s="47" t="s">
        <v>74</v>
      </c>
      <c r="AX101" s="64"/>
      <c r="AY101" s="64" t="s">
        <v>1930</v>
      </c>
      <c r="AZ101" s="86"/>
      <c r="BA101" s="46" t="s">
        <v>74</v>
      </c>
      <c r="BB101" s="26"/>
      <c r="BC101" s="26"/>
      <c r="BD101" s="46"/>
      <c r="BE101" s="46" t="e">
        <v>#REF!</v>
      </c>
      <c r="BF101" s="46" t="s">
        <v>79</v>
      </c>
      <c r="BG101" s="65">
        <v>0.5</v>
      </c>
      <c r="BH101" s="66" t="s">
        <v>1931</v>
      </c>
      <c r="BI101" s="63" t="s">
        <v>1932</v>
      </c>
    </row>
    <row r="102" spans="1:61" ht="51" x14ac:dyDescent="0.2">
      <c r="A102" s="45" t="s">
        <v>1933</v>
      </c>
      <c r="B102" s="46"/>
      <c r="C102" s="46" t="s">
        <v>1934</v>
      </c>
      <c r="D102" s="46" t="s">
        <v>199</v>
      </c>
      <c r="E102" s="46" t="s">
        <v>68</v>
      </c>
      <c r="F102" s="46" t="s">
        <v>68</v>
      </c>
      <c r="G102" s="46" t="s">
        <v>68</v>
      </c>
      <c r="H102" s="46" t="s">
        <v>68</v>
      </c>
      <c r="I102" s="46" t="s">
        <v>68</v>
      </c>
      <c r="J102" s="46" t="s">
        <v>71</v>
      </c>
      <c r="K102" s="47">
        <v>130</v>
      </c>
      <c r="L102" s="47">
        <v>25</v>
      </c>
      <c r="M102" s="47">
        <v>155</v>
      </c>
      <c r="N102" s="46" t="s">
        <v>1783</v>
      </c>
      <c r="O102" s="71" t="s">
        <v>1935</v>
      </c>
      <c r="P102" s="46" t="s">
        <v>1785</v>
      </c>
      <c r="Q102" s="46" t="s">
        <v>1347</v>
      </c>
      <c r="R102" s="46" t="s">
        <v>1713</v>
      </c>
      <c r="S102" s="49">
        <v>38.75</v>
      </c>
      <c r="T102" s="49">
        <v>193.75</v>
      </c>
      <c r="U102" s="67">
        <v>0.41612903225806452</v>
      </c>
      <c r="V102" s="67">
        <v>0.30784313725490198</v>
      </c>
      <c r="W102" s="51">
        <v>0.19230769230769232</v>
      </c>
      <c r="X102" s="52">
        <v>19.375</v>
      </c>
      <c r="Y102" s="52">
        <v>30</v>
      </c>
      <c r="Z102" s="52">
        <v>63.75</v>
      </c>
      <c r="AA102" s="52">
        <v>113.125</v>
      </c>
      <c r="AB102" s="53">
        <v>0.58387096774193548</v>
      </c>
      <c r="AC102" s="68">
        <v>80.625</v>
      </c>
      <c r="AD102" s="55">
        <v>0.41612903225806452</v>
      </c>
      <c r="AE102" s="69">
        <v>1</v>
      </c>
      <c r="AF102" s="57" t="s">
        <v>77</v>
      </c>
      <c r="AG102" s="58">
        <v>26</v>
      </c>
      <c r="AH102" s="58">
        <v>25</v>
      </c>
      <c r="AI102" s="58">
        <v>51</v>
      </c>
      <c r="AJ102" s="49">
        <v>12.75</v>
      </c>
      <c r="AK102" s="49">
        <v>63.75</v>
      </c>
      <c r="AL102" s="52">
        <v>6.375</v>
      </c>
      <c r="AM102" s="52">
        <v>37.75</v>
      </c>
      <c r="AN102" s="52">
        <v>44.125</v>
      </c>
      <c r="AO102" s="59">
        <v>0.69215686274509802</v>
      </c>
      <c r="AP102" s="60">
        <v>19.625</v>
      </c>
      <c r="AQ102" s="61">
        <v>0.30784313725490198</v>
      </c>
      <c r="AR102" s="60" t="s">
        <v>78</v>
      </c>
      <c r="AS102" s="62">
        <v>169</v>
      </c>
      <c r="AT102" s="62">
        <v>33</v>
      </c>
      <c r="AU102" s="62">
        <v>202</v>
      </c>
      <c r="AV102" s="62">
        <v>252.5</v>
      </c>
      <c r="AW102" s="47" t="s">
        <v>74</v>
      </c>
      <c r="AX102" s="64">
        <v>45054</v>
      </c>
      <c r="AY102" s="64" t="s">
        <v>1936</v>
      </c>
      <c r="AZ102" s="86"/>
      <c r="BA102" s="46" t="s">
        <v>74</v>
      </c>
      <c r="BB102" s="26"/>
      <c r="BC102" s="26"/>
      <c r="BD102" s="70" t="s">
        <v>1937</v>
      </c>
      <c r="BE102" s="46" t="e">
        <v>#REF!</v>
      </c>
      <c r="BF102" s="46" t="s">
        <v>79</v>
      </c>
      <c r="BG102" s="65">
        <v>0.25</v>
      </c>
      <c r="BH102" s="66" t="s">
        <v>1938</v>
      </c>
      <c r="BI102" s="63" t="s">
        <v>1939</v>
      </c>
    </row>
    <row r="103" spans="1:61" ht="25.5" x14ac:dyDescent="0.2">
      <c r="A103" s="34" t="s">
        <v>1940</v>
      </c>
      <c r="B103" s="35"/>
      <c r="C103" s="35" t="s">
        <v>68</v>
      </c>
      <c r="D103" s="35" t="s">
        <v>68</v>
      </c>
      <c r="E103" s="35" t="s">
        <v>68</v>
      </c>
      <c r="F103" s="35" t="s">
        <v>68</v>
      </c>
      <c r="G103" s="35" t="s">
        <v>68</v>
      </c>
      <c r="H103" s="35" t="s">
        <v>68</v>
      </c>
      <c r="I103" s="35" t="s">
        <v>68</v>
      </c>
      <c r="J103" s="35" t="s">
        <v>68</v>
      </c>
      <c r="K103" s="36" t="s">
        <v>68</v>
      </c>
      <c r="L103" s="36" t="s">
        <v>68</v>
      </c>
      <c r="M103" s="36" t="s">
        <v>68</v>
      </c>
      <c r="N103" s="35"/>
      <c r="O103" s="35" t="s">
        <v>68</v>
      </c>
      <c r="P103" s="37"/>
      <c r="Q103" s="38" t="s">
        <v>1347</v>
      </c>
      <c r="R103" s="38" t="s">
        <v>1941</v>
      </c>
      <c r="S103" s="36" t="s">
        <v>68</v>
      </c>
      <c r="T103" s="36" t="s">
        <v>68</v>
      </c>
      <c r="U103" s="39" t="s">
        <v>68</v>
      </c>
      <c r="V103" s="39" t="s">
        <v>68</v>
      </c>
      <c r="W103" s="40" t="s">
        <v>68</v>
      </c>
      <c r="X103" s="36" t="s">
        <v>68</v>
      </c>
      <c r="Y103" s="36" t="s">
        <v>68</v>
      </c>
      <c r="Z103" s="36" t="s">
        <v>68</v>
      </c>
      <c r="AA103" s="36" t="s">
        <v>68</v>
      </c>
      <c r="AB103" s="39" t="s">
        <v>68</v>
      </c>
      <c r="AC103" s="36" t="s">
        <v>68</v>
      </c>
      <c r="AD103" s="39" t="s">
        <v>68</v>
      </c>
      <c r="AE103" s="41"/>
      <c r="AF103" s="42" t="s">
        <v>68</v>
      </c>
      <c r="AG103" s="36" t="s">
        <v>68</v>
      </c>
      <c r="AH103" s="36" t="s">
        <v>68</v>
      </c>
      <c r="AI103" s="36" t="s">
        <v>68</v>
      </c>
      <c r="AJ103" s="36" t="s">
        <v>68</v>
      </c>
      <c r="AK103" s="36" t="s">
        <v>68</v>
      </c>
      <c r="AL103" s="36" t="s">
        <v>68</v>
      </c>
      <c r="AM103" s="36" t="s">
        <v>68</v>
      </c>
      <c r="AN103" s="36" t="s">
        <v>68</v>
      </c>
      <c r="AO103" s="43" t="s">
        <v>68</v>
      </c>
      <c r="AP103" s="36" t="s">
        <v>68</v>
      </c>
      <c r="AQ103" s="39" t="s">
        <v>68</v>
      </c>
      <c r="AR103" s="36" t="s">
        <v>68</v>
      </c>
      <c r="AS103" s="36" t="s">
        <v>68</v>
      </c>
      <c r="AT103" s="36" t="s">
        <v>68</v>
      </c>
      <c r="AU103" s="36" t="s">
        <v>68</v>
      </c>
      <c r="AV103" s="36" t="s">
        <v>68</v>
      </c>
      <c r="AW103" s="35"/>
      <c r="AX103" s="37"/>
      <c r="AY103" s="37" t="s">
        <v>68</v>
      </c>
      <c r="AZ103" s="86"/>
      <c r="BA103" s="37"/>
      <c r="BB103" s="37"/>
      <c r="BC103" s="37"/>
      <c r="BD103" s="35"/>
      <c r="BE103" s="35" t="e">
        <v>#REF!</v>
      </c>
      <c r="BF103" s="35"/>
      <c r="BG103" s="44"/>
      <c r="BH103" s="38" t="s">
        <v>1942</v>
      </c>
      <c r="BI103" s="35" t="s">
        <v>68</v>
      </c>
    </row>
    <row r="104" spans="1:61" ht="114.75" x14ac:dyDescent="0.2">
      <c r="A104" s="45" t="s">
        <v>1943</v>
      </c>
      <c r="B104" s="46"/>
      <c r="C104" s="46" t="s">
        <v>1944</v>
      </c>
      <c r="D104" s="46" t="s">
        <v>1945</v>
      </c>
      <c r="E104" s="46" t="s">
        <v>1946</v>
      </c>
      <c r="F104" s="46" t="s">
        <v>68</v>
      </c>
      <c r="G104" s="46" t="s">
        <v>68</v>
      </c>
      <c r="H104" s="46" t="s">
        <v>1947</v>
      </c>
      <c r="I104" s="46" t="s">
        <v>445</v>
      </c>
      <c r="J104" s="46" t="s">
        <v>71</v>
      </c>
      <c r="K104" s="47">
        <v>130</v>
      </c>
      <c r="L104" s="47">
        <v>10</v>
      </c>
      <c r="M104" s="47">
        <v>140</v>
      </c>
      <c r="N104" s="46" t="s">
        <v>1948</v>
      </c>
      <c r="O104" s="71" t="s">
        <v>1949</v>
      </c>
      <c r="P104" s="46" t="s">
        <v>1950</v>
      </c>
      <c r="Q104" s="46" t="s">
        <v>1347</v>
      </c>
      <c r="R104" s="46" t="s">
        <v>1941</v>
      </c>
      <c r="S104" s="49">
        <v>35</v>
      </c>
      <c r="T104" s="49">
        <v>175</v>
      </c>
      <c r="U104" s="67">
        <v>0.47142857142857142</v>
      </c>
      <c r="V104" s="67">
        <v>0.4777777777777778</v>
      </c>
      <c r="W104" s="51">
        <v>7.6923076923076927E-2</v>
      </c>
      <c r="X104" s="52">
        <v>17.5</v>
      </c>
      <c r="Y104" s="52">
        <v>30</v>
      </c>
      <c r="Z104" s="52">
        <v>45</v>
      </c>
      <c r="AA104" s="52">
        <v>92.5</v>
      </c>
      <c r="AB104" s="53">
        <v>0.52857142857142858</v>
      </c>
      <c r="AC104" s="68">
        <v>82.5</v>
      </c>
      <c r="AD104" s="55">
        <v>0.47142857142857142</v>
      </c>
      <c r="AE104" s="69">
        <v>1</v>
      </c>
      <c r="AF104" s="57" t="s">
        <v>77</v>
      </c>
      <c r="AG104" s="58">
        <v>26</v>
      </c>
      <c r="AH104" s="58">
        <v>10</v>
      </c>
      <c r="AI104" s="58">
        <v>36</v>
      </c>
      <c r="AJ104" s="49">
        <v>9</v>
      </c>
      <c r="AK104" s="49">
        <v>45</v>
      </c>
      <c r="AL104" s="52">
        <v>4.5</v>
      </c>
      <c r="AM104" s="52">
        <v>19</v>
      </c>
      <c r="AN104" s="52">
        <v>23.5</v>
      </c>
      <c r="AO104" s="59">
        <v>0.52222222222222225</v>
      </c>
      <c r="AP104" s="60">
        <v>21.5</v>
      </c>
      <c r="AQ104" s="61">
        <v>0.4777777777777778</v>
      </c>
      <c r="AR104" s="60" t="s">
        <v>78</v>
      </c>
      <c r="AS104" s="62">
        <v>169</v>
      </c>
      <c r="AT104" s="62">
        <v>13</v>
      </c>
      <c r="AU104" s="62">
        <v>182</v>
      </c>
      <c r="AV104" s="62">
        <v>227.5</v>
      </c>
      <c r="AW104" s="47" t="s">
        <v>74</v>
      </c>
      <c r="AX104" s="64">
        <v>45149</v>
      </c>
      <c r="AY104" s="64" t="s">
        <v>1951</v>
      </c>
      <c r="AZ104" s="86"/>
      <c r="BA104" s="46" t="s">
        <v>74</v>
      </c>
      <c r="BB104" s="26"/>
      <c r="BC104" s="26"/>
      <c r="BD104" s="70" t="s">
        <v>1952</v>
      </c>
      <c r="BE104" s="46" t="e">
        <v>#REF!</v>
      </c>
      <c r="BF104" s="46" t="s">
        <v>79</v>
      </c>
      <c r="BG104" s="65">
        <v>0.25</v>
      </c>
      <c r="BH104" s="66" t="s">
        <v>1953</v>
      </c>
      <c r="BI104" s="63" t="s">
        <v>1954</v>
      </c>
    </row>
    <row r="105" spans="1:61" ht="114.75" x14ac:dyDescent="0.2">
      <c r="A105" s="45" t="s">
        <v>1955</v>
      </c>
      <c r="B105" s="46"/>
      <c r="C105" s="46" t="s">
        <v>1944</v>
      </c>
      <c r="D105" s="46" t="s">
        <v>1945</v>
      </c>
      <c r="E105" s="46" t="s">
        <v>1946</v>
      </c>
      <c r="F105" s="46" t="s">
        <v>68</v>
      </c>
      <c r="G105" s="46" t="s">
        <v>68</v>
      </c>
      <c r="H105" s="46" t="s">
        <v>1947</v>
      </c>
      <c r="I105" s="46" t="s">
        <v>449</v>
      </c>
      <c r="J105" s="46" t="s">
        <v>71</v>
      </c>
      <c r="K105" s="47">
        <v>130</v>
      </c>
      <c r="L105" s="47">
        <v>15</v>
      </c>
      <c r="M105" s="47">
        <v>145</v>
      </c>
      <c r="N105" s="46" t="s">
        <v>1948</v>
      </c>
      <c r="O105" s="71" t="s">
        <v>1956</v>
      </c>
      <c r="P105" s="46" t="s">
        <v>1950</v>
      </c>
      <c r="Q105" s="46" t="s">
        <v>1347</v>
      </c>
      <c r="R105" s="46" t="s">
        <v>1941</v>
      </c>
      <c r="S105" s="49">
        <v>36.25</v>
      </c>
      <c r="T105" s="49">
        <v>181.25</v>
      </c>
      <c r="U105" s="67">
        <v>0.4517241379310345</v>
      </c>
      <c r="V105" s="67">
        <v>0.40731707317073168</v>
      </c>
      <c r="W105" s="51">
        <v>0.11538461538461539</v>
      </c>
      <c r="X105" s="52">
        <v>18.125</v>
      </c>
      <c r="Y105" s="52">
        <v>30</v>
      </c>
      <c r="Z105" s="52">
        <v>51.25</v>
      </c>
      <c r="AA105" s="52">
        <v>99.375</v>
      </c>
      <c r="AB105" s="53">
        <v>0.5482758620689655</v>
      </c>
      <c r="AC105" s="68">
        <v>81.875</v>
      </c>
      <c r="AD105" s="55">
        <v>0.4517241379310345</v>
      </c>
      <c r="AE105" s="69">
        <v>1</v>
      </c>
      <c r="AF105" s="57" t="s">
        <v>77</v>
      </c>
      <c r="AG105" s="58">
        <v>26</v>
      </c>
      <c r="AH105" s="58">
        <v>15</v>
      </c>
      <c r="AI105" s="58">
        <v>41</v>
      </c>
      <c r="AJ105" s="49">
        <v>10.25</v>
      </c>
      <c r="AK105" s="49">
        <v>51.25</v>
      </c>
      <c r="AL105" s="52">
        <v>5.125</v>
      </c>
      <c r="AM105" s="52">
        <v>25.25</v>
      </c>
      <c r="AN105" s="52">
        <v>30.375</v>
      </c>
      <c r="AO105" s="59">
        <v>0.59268292682926826</v>
      </c>
      <c r="AP105" s="60">
        <v>20.875</v>
      </c>
      <c r="AQ105" s="61">
        <v>0.40731707317073168</v>
      </c>
      <c r="AR105" s="60" t="s">
        <v>78</v>
      </c>
      <c r="AS105" s="62">
        <v>169</v>
      </c>
      <c r="AT105" s="62">
        <v>20</v>
      </c>
      <c r="AU105" s="62">
        <v>189</v>
      </c>
      <c r="AV105" s="62">
        <v>236.25</v>
      </c>
      <c r="AW105" s="47" t="s">
        <v>74</v>
      </c>
      <c r="AX105" s="64">
        <v>45149</v>
      </c>
      <c r="AY105" s="64" t="s">
        <v>1957</v>
      </c>
      <c r="AZ105" s="86"/>
      <c r="BA105" s="46" t="s">
        <v>74</v>
      </c>
      <c r="BB105" s="26"/>
      <c r="BC105" s="26"/>
      <c r="BD105" s="70" t="s">
        <v>1958</v>
      </c>
      <c r="BE105" s="46" t="e">
        <v>#REF!</v>
      </c>
      <c r="BF105" s="46" t="s">
        <v>79</v>
      </c>
      <c r="BG105" s="65">
        <v>0.25</v>
      </c>
      <c r="BH105" s="66"/>
      <c r="BI105" s="63" t="s">
        <v>1959</v>
      </c>
    </row>
    <row r="106" spans="1:61" ht="114.75" x14ac:dyDescent="0.2">
      <c r="A106" s="45" t="s">
        <v>1960</v>
      </c>
      <c r="B106" s="46"/>
      <c r="C106" s="46" t="s">
        <v>1944</v>
      </c>
      <c r="D106" s="46" t="s">
        <v>1725</v>
      </c>
      <c r="E106" s="46" t="s">
        <v>1946</v>
      </c>
      <c r="F106" s="46" t="s">
        <v>68</v>
      </c>
      <c r="G106" s="46" t="s">
        <v>68</v>
      </c>
      <c r="H106" s="46" t="s">
        <v>1947</v>
      </c>
      <c r="I106" s="46" t="s">
        <v>445</v>
      </c>
      <c r="J106" s="46" t="s">
        <v>71</v>
      </c>
      <c r="K106" s="47">
        <v>135</v>
      </c>
      <c r="L106" s="47">
        <v>15</v>
      </c>
      <c r="M106" s="47">
        <v>150</v>
      </c>
      <c r="N106" s="46" t="s">
        <v>1948</v>
      </c>
      <c r="O106" s="71" t="s">
        <v>1961</v>
      </c>
      <c r="P106" s="46" t="s">
        <v>1950</v>
      </c>
      <c r="Q106" s="46" t="s">
        <v>1347</v>
      </c>
      <c r="R106" s="46" t="s">
        <v>1941</v>
      </c>
      <c r="S106" s="49">
        <v>37.5</v>
      </c>
      <c r="T106" s="49">
        <v>187.5</v>
      </c>
      <c r="U106" s="67">
        <v>0.46</v>
      </c>
      <c r="V106" s="67">
        <v>0.41428571428571431</v>
      </c>
      <c r="W106" s="51">
        <v>0.1111111111111111</v>
      </c>
      <c r="X106" s="52">
        <v>18.75</v>
      </c>
      <c r="Y106" s="52">
        <v>30</v>
      </c>
      <c r="Z106" s="52">
        <v>52.5</v>
      </c>
      <c r="AA106" s="52">
        <v>101.25</v>
      </c>
      <c r="AB106" s="53">
        <v>0.54</v>
      </c>
      <c r="AC106" s="68">
        <v>86.25</v>
      </c>
      <c r="AD106" s="55">
        <v>0.46</v>
      </c>
      <c r="AE106" s="69">
        <v>1</v>
      </c>
      <c r="AF106" s="57" t="s">
        <v>77</v>
      </c>
      <c r="AG106" s="58">
        <v>27</v>
      </c>
      <c r="AH106" s="58">
        <v>15</v>
      </c>
      <c r="AI106" s="58">
        <v>42</v>
      </c>
      <c r="AJ106" s="49">
        <v>10.5</v>
      </c>
      <c r="AK106" s="49">
        <v>52.5</v>
      </c>
      <c r="AL106" s="52">
        <v>5.25</v>
      </c>
      <c r="AM106" s="52">
        <v>25.5</v>
      </c>
      <c r="AN106" s="52">
        <v>30.75</v>
      </c>
      <c r="AO106" s="59">
        <v>0.58571428571428574</v>
      </c>
      <c r="AP106" s="60">
        <v>21.75</v>
      </c>
      <c r="AQ106" s="61">
        <v>0.41428571428571431</v>
      </c>
      <c r="AR106" s="60" t="s">
        <v>78</v>
      </c>
      <c r="AS106" s="62">
        <v>176</v>
      </c>
      <c r="AT106" s="62">
        <v>20</v>
      </c>
      <c r="AU106" s="62">
        <v>196</v>
      </c>
      <c r="AV106" s="62">
        <v>245</v>
      </c>
      <c r="AW106" s="47" t="s">
        <v>74</v>
      </c>
      <c r="AX106" s="64">
        <v>45149</v>
      </c>
      <c r="AY106" s="64" t="s">
        <v>1962</v>
      </c>
      <c r="AZ106" s="86"/>
      <c r="BA106" s="46" t="s">
        <v>74</v>
      </c>
      <c r="BB106" s="26"/>
      <c r="BC106" s="26"/>
      <c r="BD106" s="70" t="s">
        <v>1963</v>
      </c>
      <c r="BE106" s="46" t="e">
        <v>#REF!</v>
      </c>
      <c r="BF106" s="46" t="s">
        <v>79</v>
      </c>
      <c r="BG106" s="65">
        <v>0.25</v>
      </c>
      <c r="BH106" s="66" t="s">
        <v>1964</v>
      </c>
      <c r="BI106" s="63" t="s">
        <v>1965</v>
      </c>
    </row>
    <row r="107" spans="1:61" ht="114.75" x14ac:dyDescent="0.2">
      <c r="A107" s="45" t="s">
        <v>1966</v>
      </c>
      <c r="B107" s="46"/>
      <c r="C107" s="46" t="s">
        <v>1944</v>
      </c>
      <c r="D107" s="46" t="s">
        <v>1725</v>
      </c>
      <c r="E107" s="46" t="s">
        <v>1946</v>
      </c>
      <c r="F107" s="46" t="s">
        <v>68</v>
      </c>
      <c r="G107" s="46" t="s">
        <v>68</v>
      </c>
      <c r="H107" s="46" t="s">
        <v>1947</v>
      </c>
      <c r="I107" s="46" t="s">
        <v>449</v>
      </c>
      <c r="J107" s="46" t="s">
        <v>71</v>
      </c>
      <c r="K107" s="47">
        <v>135</v>
      </c>
      <c r="L107" s="47">
        <v>30</v>
      </c>
      <c r="M107" s="47">
        <v>165</v>
      </c>
      <c r="N107" s="46" t="s">
        <v>1948</v>
      </c>
      <c r="O107" s="71" t="s">
        <v>1967</v>
      </c>
      <c r="P107" s="46" t="s">
        <v>1950</v>
      </c>
      <c r="Q107" s="46" t="s">
        <v>1347</v>
      </c>
      <c r="R107" s="46" t="s">
        <v>1941</v>
      </c>
      <c r="S107" s="49">
        <v>41.25</v>
      </c>
      <c r="T107" s="49">
        <v>206.25</v>
      </c>
      <c r="U107" s="67">
        <v>0.40909090909090912</v>
      </c>
      <c r="V107" s="28">
        <v>0.27894736842105261</v>
      </c>
      <c r="W107" s="51">
        <v>0.22222222222222221</v>
      </c>
      <c r="X107" s="52">
        <v>20.625</v>
      </c>
      <c r="Y107" s="52">
        <v>30</v>
      </c>
      <c r="Z107" s="52">
        <v>71.25</v>
      </c>
      <c r="AA107" s="52">
        <v>121.875</v>
      </c>
      <c r="AB107" s="53">
        <v>0.59090909090909094</v>
      </c>
      <c r="AC107" s="68">
        <v>84.375</v>
      </c>
      <c r="AD107" s="55">
        <v>0.40909090909090912</v>
      </c>
      <c r="AE107" s="69">
        <v>1</v>
      </c>
      <c r="AF107" s="57" t="s">
        <v>77</v>
      </c>
      <c r="AG107" s="58">
        <v>27</v>
      </c>
      <c r="AH107" s="58">
        <v>30</v>
      </c>
      <c r="AI107" s="58">
        <v>57</v>
      </c>
      <c r="AJ107" s="49">
        <v>14.25</v>
      </c>
      <c r="AK107" s="49">
        <v>71.25</v>
      </c>
      <c r="AL107" s="52">
        <v>7.125</v>
      </c>
      <c r="AM107" s="52">
        <v>44.25</v>
      </c>
      <c r="AN107" s="52">
        <v>51.375</v>
      </c>
      <c r="AO107" s="59">
        <v>0.72105263157894739</v>
      </c>
      <c r="AP107" s="60">
        <v>19.875</v>
      </c>
      <c r="AQ107" s="61">
        <v>0.27894736842105261</v>
      </c>
      <c r="AR107" s="60" t="s">
        <v>78</v>
      </c>
      <c r="AS107" s="62">
        <v>176</v>
      </c>
      <c r="AT107" s="62">
        <v>39</v>
      </c>
      <c r="AU107" s="62">
        <v>215</v>
      </c>
      <c r="AV107" s="62">
        <v>268.75</v>
      </c>
      <c r="AW107" s="47" t="s">
        <v>74</v>
      </c>
      <c r="AX107" s="64">
        <v>45149</v>
      </c>
      <c r="AY107" s="64" t="s">
        <v>1968</v>
      </c>
      <c r="AZ107" s="86"/>
      <c r="BA107" s="46" t="s">
        <v>74</v>
      </c>
      <c r="BB107" s="26"/>
      <c r="BC107" s="26"/>
      <c r="BD107" s="70" t="s">
        <v>1969</v>
      </c>
      <c r="BE107" s="46" t="e">
        <v>#REF!</v>
      </c>
      <c r="BF107" s="46" t="s">
        <v>79</v>
      </c>
      <c r="BG107" s="65">
        <v>0.25</v>
      </c>
      <c r="BH107" s="66"/>
      <c r="BI107" s="63" t="s">
        <v>1970</v>
      </c>
    </row>
    <row r="108" spans="1:61" ht="114.75" x14ac:dyDescent="0.2">
      <c r="A108" s="45" t="s">
        <v>1971</v>
      </c>
      <c r="B108" s="46"/>
      <c r="C108" s="46" t="s">
        <v>1944</v>
      </c>
      <c r="D108" s="46" t="s">
        <v>1972</v>
      </c>
      <c r="E108" s="46" t="s">
        <v>1946</v>
      </c>
      <c r="F108" s="46" t="s">
        <v>68</v>
      </c>
      <c r="G108" s="46" t="s">
        <v>68</v>
      </c>
      <c r="H108" s="46" t="s">
        <v>1947</v>
      </c>
      <c r="I108" s="46" t="s">
        <v>445</v>
      </c>
      <c r="J108" s="46" t="s">
        <v>71</v>
      </c>
      <c r="K108" s="47">
        <v>140</v>
      </c>
      <c r="L108" s="47">
        <v>25</v>
      </c>
      <c r="M108" s="47">
        <v>165</v>
      </c>
      <c r="N108" s="46" t="s">
        <v>1948</v>
      </c>
      <c r="O108" s="71" t="s">
        <v>1973</v>
      </c>
      <c r="P108" s="46" t="s">
        <v>1950</v>
      </c>
      <c r="Q108" s="46" t="s">
        <v>1347</v>
      </c>
      <c r="R108" s="46" t="s">
        <v>1941</v>
      </c>
      <c r="S108" s="49">
        <v>41.25</v>
      </c>
      <c r="T108" s="49">
        <v>206.25</v>
      </c>
      <c r="U108" s="67">
        <v>0.43333333333333335</v>
      </c>
      <c r="V108" s="67">
        <v>0.32264150943396225</v>
      </c>
      <c r="W108" s="51">
        <v>0.17857142857142858</v>
      </c>
      <c r="X108" s="52">
        <v>20.625</v>
      </c>
      <c r="Y108" s="52">
        <v>30</v>
      </c>
      <c r="Z108" s="52">
        <v>66.25</v>
      </c>
      <c r="AA108" s="52">
        <v>116.875</v>
      </c>
      <c r="AB108" s="53">
        <v>0.56666666666666665</v>
      </c>
      <c r="AC108" s="68">
        <v>89.375</v>
      </c>
      <c r="AD108" s="55">
        <v>0.43333333333333335</v>
      </c>
      <c r="AE108" s="69">
        <v>1</v>
      </c>
      <c r="AF108" s="57" t="s">
        <v>77</v>
      </c>
      <c r="AG108" s="58">
        <v>28</v>
      </c>
      <c r="AH108" s="58">
        <v>25</v>
      </c>
      <c r="AI108" s="58">
        <v>53</v>
      </c>
      <c r="AJ108" s="49">
        <v>13.25</v>
      </c>
      <c r="AK108" s="49">
        <v>66.25</v>
      </c>
      <c r="AL108" s="52">
        <v>6.625</v>
      </c>
      <c r="AM108" s="52">
        <v>38.25</v>
      </c>
      <c r="AN108" s="52">
        <v>44.875</v>
      </c>
      <c r="AO108" s="59">
        <v>0.6773584905660377</v>
      </c>
      <c r="AP108" s="60">
        <v>21.375</v>
      </c>
      <c r="AQ108" s="61">
        <v>0.32264150943396225</v>
      </c>
      <c r="AR108" s="60" t="s">
        <v>78</v>
      </c>
      <c r="AS108" s="62">
        <v>182</v>
      </c>
      <c r="AT108" s="62">
        <v>33</v>
      </c>
      <c r="AU108" s="62">
        <v>215</v>
      </c>
      <c r="AV108" s="62">
        <v>268.75</v>
      </c>
      <c r="AW108" s="47" t="s">
        <v>74</v>
      </c>
      <c r="AX108" s="64">
        <v>45149</v>
      </c>
      <c r="AY108" s="64" t="s">
        <v>1974</v>
      </c>
      <c r="AZ108" s="86"/>
      <c r="BA108" s="46" t="s">
        <v>74</v>
      </c>
      <c r="BB108" s="26"/>
      <c r="BC108" s="26"/>
      <c r="BD108" s="70" t="s">
        <v>1975</v>
      </c>
      <c r="BE108" s="46" t="e">
        <v>#REF!</v>
      </c>
      <c r="BF108" s="46" t="s">
        <v>79</v>
      </c>
      <c r="BG108" s="65">
        <v>0.25</v>
      </c>
      <c r="BH108" s="66" t="s">
        <v>1976</v>
      </c>
      <c r="BI108" s="63" t="s">
        <v>1977</v>
      </c>
    </row>
    <row r="109" spans="1:61" ht="114.75" x14ac:dyDescent="0.2">
      <c r="A109" s="45" t="s">
        <v>1978</v>
      </c>
      <c r="B109" s="46"/>
      <c r="C109" s="46" t="s">
        <v>1944</v>
      </c>
      <c r="D109" s="46" t="s">
        <v>1972</v>
      </c>
      <c r="E109" s="46" t="s">
        <v>1946</v>
      </c>
      <c r="F109" s="46" t="s">
        <v>68</v>
      </c>
      <c r="G109" s="46" t="s">
        <v>68</v>
      </c>
      <c r="H109" s="46" t="s">
        <v>1947</v>
      </c>
      <c r="I109" s="46" t="s">
        <v>449</v>
      </c>
      <c r="J109" s="46" t="s">
        <v>71</v>
      </c>
      <c r="K109" s="47">
        <v>140</v>
      </c>
      <c r="L109" s="47">
        <v>45</v>
      </c>
      <c r="M109" s="47">
        <v>185</v>
      </c>
      <c r="N109" s="46" t="s">
        <v>1948</v>
      </c>
      <c r="O109" s="71" t="s">
        <v>1979</v>
      </c>
      <c r="P109" s="46" t="s">
        <v>1950</v>
      </c>
      <c r="Q109" s="46" t="s">
        <v>1347</v>
      </c>
      <c r="R109" s="46" t="s">
        <v>1941</v>
      </c>
      <c r="S109" s="49">
        <v>46.25</v>
      </c>
      <c r="T109" s="49">
        <v>231.25</v>
      </c>
      <c r="U109" s="67">
        <v>0.37567567567567567</v>
      </c>
      <c r="V109" s="28">
        <v>0.20684931506849316</v>
      </c>
      <c r="W109" s="51">
        <v>0.32142857142857145</v>
      </c>
      <c r="X109" s="52">
        <v>23.125</v>
      </c>
      <c r="Y109" s="52">
        <v>30</v>
      </c>
      <c r="Z109" s="52">
        <v>91.25</v>
      </c>
      <c r="AA109" s="52">
        <v>144.375</v>
      </c>
      <c r="AB109" s="53">
        <v>0.62432432432432428</v>
      </c>
      <c r="AC109" s="68">
        <v>86.875</v>
      </c>
      <c r="AD109" s="55">
        <v>0.37567567567567567</v>
      </c>
      <c r="AE109" s="69">
        <v>1</v>
      </c>
      <c r="AF109" s="57" t="s">
        <v>77</v>
      </c>
      <c r="AG109" s="58">
        <v>28</v>
      </c>
      <c r="AH109" s="58">
        <v>45</v>
      </c>
      <c r="AI109" s="58">
        <v>73</v>
      </c>
      <c r="AJ109" s="49">
        <v>18.25</v>
      </c>
      <c r="AK109" s="49">
        <v>91.25</v>
      </c>
      <c r="AL109" s="52">
        <v>9.125</v>
      </c>
      <c r="AM109" s="52">
        <v>63.25</v>
      </c>
      <c r="AN109" s="52">
        <v>72.375</v>
      </c>
      <c r="AO109" s="59">
        <v>0.79315068493150687</v>
      </c>
      <c r="AP109" s="60">
        <v>18.875</v>
      </c>
      <c r="AQ109" s="61">
        <v>0.20684931506849316</v>
      </c>
      <c r="AR109" s="60" t="s">
        <v>78</v>
      </c>
      <c r="AS109" s="62">
        <v>182</v>
      </c>
      <c r="AT109" s="62">
        <v>59</v>
      </c>
      <c r="AU109" s="62">
        <v>241</v>
      </c>
      <c r="AV109" s="62">
        <v>301.25</v>
      </c>
      <c r="AW109" s="47" t="s">
        <v>74</v>
      </c>
      <c r="AX109" s="64">
        <v>45149</v>
      </c>
      <c r="AY109" s="64" t="s">
        <v>1980</v>
      </c>
      <c r="AZ109" s="86"/>
      <c r="BA109" s="46" t="s">
        <v>74</v>
      </c>
      <c r="BB109" s="26"/>
      <c r="BC109" s="26"/>
      <c r="BD109" s="70" t="s">
        <v>1981</v>
      </c>
      <c r="BE109" s="46" t="e">
        <v>#REF!</v>
      </c>
      <c r="BF109" s="46" t="s">
        <v>79</v>
      </c>
      <c r="BG109" s="65">
        <v>0.25</v>
      </c>
      <c r="BH109" s="66"/>
      <c r="BI109" s="63" t="s">
        <v>1982</v>
      </c>
    </row>
    <row r="110" spans="1:61" ht="63.75" x14ac:dyDescent="0.2">
      <c r="A110" s="45" t="s">
        <v>1983</v>
      </c>
      <c r="B110" s="46"/>
      <c r="C110" s="46" t="s">
        <v>1984</v>
      </c>
      <c r="D110" s="46" t="s">
        <v>68</v>
      </c>
      <c r="E110" s="46" t="s">
        <v>68</v>
      </c>
      <c r="F110" s="46" t="s">
        <v>68</v>
      </c>
      <c r="G110" s="46" t="s">
        <v>68</v>
      </c>
      <c r="H110" s="46" t="s">
        <v>68</v>
      </c>
      <c r="I110" s="46" t="s">
        <v>68</v>
      </c>
      <c r="J110" s="46" t="s">
        <v>71</v>
      </c>
      <c r="K110" s="47">
        <v>130</v>
      </c>
      <c r="L110" s="47">
        <v>50</v>
      </c>
      <c r="M110" s="47">
        <v>180</v>
      </c>
      <c r="N110" s="46" t="s">
        <v>1985</v>
      </c>
      <c r="O110" s="71" t="s">
        <v>1986</v>
      </c>
      <c r="P110" s="46" t="s">
        <v>1950</v>
      </c>
      <c r="Q110" s="46" t="s">
        <v>1347</v>
      </c>
      <c r="R110" s="46" t="s">
        <v>1941</v>
      </c>
      <c r="S110" s="49">
        <v>45</v>
      </c>
      <c r="T110" s="49">
        <v>225</v>
      </c>
      <c r="U110" s="67">
        <v>0.34444444444444444</v>
      </c>
      <c r="V110" s="50">
        <v>0.1736842105263158</v>
      </c>
      <c r="W110" s="51">
        <v>0.38461538461538464</v>
      </c>
      <c r="X110" s="52">
        <v>22.5</v>
      </c>
      <c r="Y110" s="52">
        <v>30</v>
      </c>
      <c r="Z110" s="52">
        <v>95</v>
      </c>
      <c r="AA110" s="52">
        <v>147.5</v>
      </c>
      <c r="AB110" s="53">
        <v>0.65555555555555556</v>
      </c>
      <c r="AC110" s="75">
        <v>77.5</v>
      </c>
      <c r="AD110" s="55">
        <v>0.34444444444444444</v>
      </c>
      <c r="AE110" s="69">
        <v>1</v>
      </c>
      <c r="AF110" s="57" t="s">
        <v>77</v>
      </c>
      <c r="AG110" s="58">
        <v>26</v>
      </c>
      <c r="AH110" s="58">
        <v>50</v>
      </c>
      <c r="AI110" s="58">
        <v>76</v>
      </c>
      <c r="AJ110" s="49">
        <v>19</v>
      </c>
      <c r="AK110" s="49">
        <v>95</v>
      </c>
      <c r="AL110" s="52">
        <v>9.5</v>
      </c>
      <c r="AM110" s="52">
        <v>69</v>
      </c>
      <c r="AN110" s="52">
        <v>78.5</v>
      </c>
      <c r="AO110" s="59">
        <v>0.82631578947368423</v>
      </c>
      <c r="AP110" s="60">
        <v>16.5</v>
      </c>
      <c r="AQ110" s="61">
        <v>0.1736842105263158</v>
      </c>
      <c r="AR110" s="60" t="s">
        <v>73</v>
      </c>
      <c r="AS110" s="62">
        <v>169</v>
      </c>
      <c r="AT110" s="62">
        <v>65</v>
      </c>
      <c r="AU110" s="62">
        <v>234</v>
      </c>
      <c r="AV110" s="62">
        <v>292.5</v>
      </c>
      <c r="AW110" s="47" t="s">
        <v>74</v>
      </c>
      <c r="AX110" s="64">
        <v>45553</v>
      </c>
      <c r="AY110" s="64" t="s">
        <v>1987</v>
      </c>
      <c r="AZ110" s="86"/>
      <c r="BA110" s="46" t="s">
        <v>74</v>
      </c>
      <c r="BB110" s="26"/>
      <c r="BC110" s="26"/>
      <c r="BD110" s="70" t="s">
        <v>1988</v>
      </c>
      <c r="BE110" s="46" t="e">
        <v>#REF!</v>
      </c>
      <c r="BF110" s="46" t="s">
        <v>79</v>
      </c>
      <c r="BG110" s="65">
        <v>0.5</v>
      </c>
      <c r="BH110" s="66" t="s">
        <v>1989</v>
      </c>
      <c r="BI110" s="63" t="s">
        <v>1984</v>
      </c>
    </row>
    <row r="111" spans="1:61" ht="38.25" x14ac:dyDescent="0.2">
      <c r="A111" s="45" t="s">
        <v>1990</v>
      </c>
      <c r="B111" s="46"/>
      <c r="C111" s="46" t="s">
        <v>1991</v>
      </c>
      <c r="D111" s="46" t="s">
        <v>68</v>
      </c>
      <c r="E111" s="46" t="s">
        <v>68</v>
      </c>
      <c r="F111" s="46" t="s">
        <v>68</v>
      </c>
      <c r="G111" s="46" t="s">
        <v>68</v>
      </c>
      <c r="H111" s="46" t="s">
        <v>68</v>
      </c>
      <c r="I111" s="46" t="s">
        <v>68</v>
      </c>
      <c r="J111" s="46" t="s">
        <v>71</v>
      </c>
      <c r="K111" s="47">
        <v>135</v>
      </c>
      <c r="L111" s="47">
        <v>40</v>
      </c>
      <c r="M111" s="47">
        <v>175</v>
      </c>
      <c r="N111" s="46" t="s">
        <v>1992</v>
      </c>
      <c r="O111" s="71" t="s">
        <v>1993</v>
      </c>
      <c r="P111" s="46" t="s">
        <v>1950</v>
      </c>
      <c r="Q111" s="46" t="s">
        <v>1347</v>
      </c>
      <c r="R111" s="46" t="s">
        <v>1941</v>
      </c>
      <c r="S111" s="49">
        <v>43.75</v>
      </c>
      <c r="T111" s="49">
        <v>218.75</v>
      </c>
      <c r="U111" s="67">
        <v>0.38</v>
      </c>
      <c r="V111" s="28">
        <v>0.22238805970149253</v>
      </c>
      <c r="W111" s="51">
        <v>0.29629629629629628</v>
      </c>
      <c r="X111" s="52">
        <v>21.875</v>
      </c>
      <c r="Y111" s="52">
        <v>30</v>
      </c>
      <c r="Z111" s="52">
        <v>83.75</v>
      </c>
      <c r="AA111" s="52">
        <v>135.625</v>
      </c>
      <c r="AB111" s="53">
        <v>0.62</v>
      </c>
      <c r="AC111" s="68">
        <v>83.125</v>
      </c>
      <c r="AD111" s="55">
        <v>0.38</v>
      </c>
      <c r="AE111" s="69">
        <v>1</v>
      </c>
      <c r="AF111" s="57" t="s">
        <v>77</v>
      </c>
      <c r="AG111" s="58">
        <v>27</v>
      </c>
      <c r="AH111" s="58">
        <v>40</v>
      </c>
      <c r="AI111" s="58">
        <v>67</v>
      </c>
      <c r="AJ111" s="49">
        <v>16.75</v>
      </c>
      <c r="AK111" s="49">
        <v>83.75</v>
      </c>
      <c r="AL111" s="52">
        <v>8.375</v>
      </c>
      <c r="AM111" s="52">
        <v>56.75</v>
      </c>
      <c r="AN111" s="52">
        <v>65.125</v>
      </c>
      <c r="AO111" s="59">
        <v>0.77761194029850744</v>
      </c>
      <c r="AP111" s="60">
        <v>18.625</v>
      </c>
      <c r="AQ111" s="61">
        <v>0.22238805970149253</v>
      </c>
      <c r="AR111" s="60" t="s">
        <v>78</v>
      </c>
      <c r="AS111" s="62">
        <v>176</v>
      </c>
      <c r="AT111" s="62">
        <v>52</v>
      </c>
      <c r="AU111" s="62">
        <v>228</v>
      </c>
      <c r="AV111" s="62">
        <v>285</v>
      </c>
      <c r="AW111" s="47" t="s">
        <v>74</v>
      </c>
      <c r="AX111" s="64">
        <v>45553</v>
      </c>
      <c r="AY111" s="64" t="s">
        <v>1994</v>
      </c>
      <c r="AZ111" s="86"/>
      <c r="BA111" s="46" t="s">
        <v>74</v>
      </c>
      <c r="BB111" s="26"/>
      <c r="BC111" s="26"/>
      <c r="BD111" s="46"/>
      <c r="BE111" s="46" t="e">
        <v>#REF!</v>
      </c>
      <c r="BF111" s="46" t="s">
        <v>79</v>
      </c>
      <c r="BG111" s="65">
        <v>0.5</v>
      </c>
      <c r="BH111" s="66" t="s">
        <v>1995</v>
      </c>
      <c r="BI111" s="63" t="s">
        <v>1991</v>
      </c>
    </row>
    <row r="112" spans="1:61" ht="127.5" x14ac:dyDescent="0.2">
      <c r="A112" s="45" t="s">
        <v>1996</v>
      </c>
      <c r="B112" s="46"/>
      <c r="C112" s="46" t="s">
        <v>1997</v>
      </c>
      <c r="D112" s="46" t="s">
        <v>1998</v>
      </c>
      <c r="E112" s="46" t="s">
        <v>68</v>
      </c>
      <c r="F112" s="46" t="s">
        <v>68</v>
      </c>
      <c r="G112" s="46" t="s">
        <v>68</v>
      </c>
      <c r="H112" s="46" t="s">
        <v>68</v>
      </c>
      <c r="I112" s="46" t="s">
        <v>1999</v>
      </c>
      <c r="J112" s="46" t="s">
        <v>71</v>
      </c>
      <c r="K112" s="47">
        <v>170</v>
      </c>
      <c r="L112" s="47">
        <v>50</v>
      </c>
      <c r="M112" s="47">
        <v>220</v>
      </c>
      <c r="N112" s="46" t="s">
        <v>2000</v>
      </c>
      <c r="O112" s="71" t="s">
        <v>2001</v>
      </c>
      <c r="P112" s="46" t="s">
        <v>1950</v>
      </c>
      <c r="Q112" s="46" t="s">
        <v>1347</v>
      </c>
      <c r="R112" s="46" t="s">
        <v>1941</v>
      </c>
      <c r="S112" s="49">
        <v>55</v>
      </c>
      <c r="T112" s="49">
        <v>275</v>
      </c>
      <c r="U112" s="67">
        <v>0.40909090909090912</v>
      </c>
      <c r="V112" s="67">
        <v>0.40370370370370373</v>
      </c>
      <c r="W112" s="51">
        <v>0.29411764705882354</v>
      </c>
      <c r="X112" s="52">
        <v>27.5</v>
      </c>
      <c r="Y112" s="52">
        <v>30</v>
      </c>
      <c r="Z112" s="52">
        <v>105</v>
      </c>
      <c r="AA112" s="52">
        <v>162.5</v>
      </c>
      <c r="AB112" s="53">
        <v>0.59090909090909094</v>
      </c>
      <c r="AC112" s="54">
        <v>112.5</v>
      </c>
      <c r="AD112" s="55">
        <v>0.40909090909090912</v>
      </c>
      <c r="AE112" s="56">
        <v>2</v>
      </c>
      <c r="AF112" s="57" t="s">
        <v>72</v>
      </c>
      <c r="AG112" s="58">
        <v>85</v>
      </c>
      <c r="AH112" s="58">
        <v>50</v>
      </c>
      <c r="AI112" s="58">
        <v>135</v>
      </c>
      <c r="AJ112" s="49">
        <v>33.75</v>
      </c>
      <c r="AK112" s="49">
        <v>168.75</v>
      </c>
      <c r="AL112" s="52">
        <v>16.875</v>
      </c>
      <c r="AM112" s="52">
        <v>83.75</v>
      </c>
      <c r="AN112" s="52">
        <v>100.625</v>
      </c>
      <c r="AO112" s="59">
        <v>0.59629629629629632</v>
      </c>
      <c r="AP112" s="60">
        <v>68.125</v>
      </c>
      <c r="AQ112" s="61">
        <v>0.40370370370370373</v>
      </c>
      <c r="AR112" s="60" t="s">
        <v>78</v>
      </c>
      <c r="AS112" s="62">
        <v>255</v>
      </c>
      <c r="AT112" s="62">
        <v>75</v>
      </c>
      <c r="AU112" s="62">
        <v>330</v>
      </c>
      <c r="AV112" s="62">
        <v>412.5</v>
      </c>
      <c r="AW112" s="47" t="s">
        <v>74</v>
      </c>
      <c r="AX112" s="64">
        <v>45553</v>
      </c>
      <c r="AY112" s="64" t="s">
        <v>2002</v>
      </c>
      <c r="AZ112" s="86"/>
      <c r="BA112" s="46" t="s">
        <v>74</v>
      </c>
      <c r="BB112" s="26"/>
      <c r="BC112" s="26"/>
      <c r="BD112" s="46"/>
      <c r="BE112" s="46" t="e">
        <v>#REF!</v>
      </c>
      <c r="BF112" s="46" t="s">
        <v>79</v>
      </c>
      <c r="BG112" s="65">
        <v>0.75</v>
      </c>
      <c r="BH112" s="66" t="s">
        <v>2003</v>
      </c>
      <c r="BI112" s="63" t="s">
        <v>2004</v>
      </c>
    </row>
    <row r="113" spans="1:61" ht="76.5" x14ac:dyDescent="0.2">
      <c r="A113" s="45" t="s">
        <v>2005</v>
      </c>
      <c r="B113" s="46"/>
      <c r="C113" s="46" t="s">
        <v>2006</v>
      </c>
      <c r="D113" s="46" t="s">
        <v>1182</v>
      </c>
      <c r="E113" s="46"/>
      <c r="F113" s="46" t="s">
        <v>68</v>
      </c>
      <c r="G113" s="46" t="s">
        <v>68</v>
      </c>
      <c r="H113" s="46"/>
      <c r="I113" s="46"/>
      <c r="J113" s="46" t="s">
        <v>71</v>
      </c>
      <c r="K113" s="47">
        <v>50</v>
      </c>
      <c r="L113" s="47">
        <v>0</v>
      </c>
      <c r="M113" s="47">
        <v>50</v>
      </c>
      <c r="N113" s="46"/>
      <c r="O113" s="71" t="s">
        <v>68</v>
      </c>
      <c r="P113" s="64"/>
      <c r="Q113" s="46" t="s">
        <v>1347</v>
      </c>
      <c r="R113" s="46" t="s">
        <v>1941</v>
      </c>
      <c r="S113" s="49">
        <v>12.5</v>
      </c>
      <c r="T113" s="49">
        <v>62.5</v>
      </c>
      <c r="U113" s="28">
        <v>0.22</v>
      </c>
      <c r="V113" s="67">
        <v>0.7</v>
      </c>
      <c r="W113" s="51">
        <v>0</v>
      </c>
      <c r="X113" s="52">
        <v>6.25</v>
      </c>
      <c r="Y113" s="52">
        <v>30</v>
      </c>
      <c r="Z113" s="52">
        <v>12.5</v>
      </c>
      <c r="AA113" s="52">
        <v>48.75</v>
      </c>
      <c r="AB113" s="53">
        <v>0.78</v>
      </c>
      <c r="AC113" s="75">
        <v>13.75</v>
      </c>
      <c r="AD113" s="55">
        <v>0.22</v>
      </c>
      <c r="AE113" s="69">
        <v>1</v>
      </c>
      <c r="AF113" s="57" t="s">
        <v>77</v>
      </c>
      <c r="AG113" s="58">
        <v>10</v>
      </c>
      <c r="AH113" s="58">
        <v>0</v>
      </c>
      <c r="AI113" s="58">
        <v>10</v>
      </c>
      <c r="AJ113" s="49">
        <v>2.5</v>
      </c>
      <c r="AK113" s="49">
        <v>12.5</v>
      </c>
      <c r="AL113" s="52">
        <v>1.25</v>
      </c>
      <c r="AM113" s="52">
        <v>2.5</v>
      </c>
      <c r="AN113" s="52">
        <v>3.75</v>
      </c>
      <c r="AO113" s="59">
        <v>0.3</v>
      </c>
      <c r="AP113" s="60">
        <v>8.75</v>
      </c>
      <c r="AQ113" s="61">
        <v>0.7</v>
      </c>
      <c r="AR113" s="60" t="s">
        <v>78</v>
      </c>
      <c r="AS113" s="62">
        <v>65</v>
      </c>
      <c r="AT113" s="62">
        <v>0</v>
      </c>
      <c r="AU113" s="62">
        <v>65</v>
      </c>
      <c r="AV113" s="62">
        <v>81.25</v>
      </c>
      <c r="AW113" s="63" t="s">
        <v>74</v>
      </c>
      <c r="AX113" s="64">
        <v>45341</v>
      </c>
      <c r="AY113" s="64" t="s">
        <v>2007</v>
      </c>
      <c r="AZ113" s="86"/>
      <c r="BA113" s="64"/>
      <c r="BB113" s="64"/>
      <c r="BC113" s="64"/>
      <c r="BD113" s="46"/>
      <c r="BE113" s="46" t="e">
        <v>#REF!</v>
      </c>
      <c r="BF113" s="46" t="s">
        <v>79</v>
      </c>
      <c r="BG113" s="65">
        <v>0.25</v>
      </c>
      <c r="BH113" s="66"/>
      <c r="BI113" s="63" t="s">
        <v>2008</v>
      </c>
    </row>
    <row r="114" spans="1:61" ht="25.5" x14ac:dyDescent="0.2">
      <c r="A114" s="34" t="s">
        <v>2009</v>
      </c>
      <c r="B114" s="35"/>
      <c r="C114" s="35" t="s">
        <v>68</v>
      </c>
      <c r="D114" s="35" t="s">
        <v>68</v>
      </c>
      <c r="E114" s="35" t="s">
        <v>68</v>
      </c>
      <c r="F114" s="35" t="s">
        <v>68</v>
      </c>
      <c r="G114" s="35" t="s">
        <v>68</v>
      </c>
      <c r="H114" s="35" t="s">
        <v>68</v>
      </c>
      <c r="I114" s="35" t="s">
        <v>68</v>
      </c>
      <c r="J114" s="35" t="s">
        <v>68</v>
      </c>
      <c r="K114" s="36" t="s">
        <v>68</v>
      </c>
      <c r="L114" s="36" t="s">
        <v>68</v>
      </c>
      <c r="M114" s="36" t="s">
        <v>68</v>
      </c>
      <c r="N114" s="35"/>
      <c r="O114" s="35" t="s">
        <v>68</v>
      </c>
      <c r="P114" s="37"/>
      <c r="Q114" s="38" t="s">
        <v>1347</v>
      </c>
      <c r="R114" s="38" t="s">
        <v>2010</v>
      </c>
      <c r="S114" s="36" t="s">
        <v>68</v>
      </c>
      <c r="T114" s="36" t="s">
        <v>68</v>
      </c>
      <c r="U114" s="39" t="s">
        <v>68</v>
      </c>
      <c r="V114" s="39" t="s">
        <v>68</v>
      </c>
      <c r="W114" s="40" t="s">
        <v>68</v>
      </c>
      <c r="X114" s="36" t="s">
        <v>68</v>
      </c>
      <c r="Y114" s="36" t="s">
        <v>68</v>
      </c>
      <c r="Z114" s="36" t="s">
        <v>68</v>
      </c>
      <c r="AA114" s="36" t="s">
        <v>68</v>
      </c>
      <c r="AB114" s="39" t="s">
        <v>68</v>
      </c>
      <c r="AC114" s="36" t="s">
        <v>68</v>
      </c>
      <c r="AD114" s="39" t="s">
        <v>68</v>
      </c>
      <c r="AE114" s="41"/>
      <c r="AF114" s="42" t="s">
        <v>68</v>
      </c>
      <c r="AG114" s="36" t="s">
        <v>68</v>
      </c>
      <c r="AH114" s="36" t="s">
        <v>68</v>
      </c>
      <c r="AI114" s="36" t="s">
        <v>68</v>
      </c>
      <c r="AJ114" s="36" t="s">
        <v>68</v>
      </c>
      <c r="AK114" s="36" t="s">
        <v>68</v>
      </c>
      <c r="AL114" s="36" t="s">
        <v>68</v>
      </c>
      <c r="AM114" s="36" t="s">
        <v>68</v>
      </c>
      <c r="AN114" s="36" t="s">
        <v>68</v>
      </c>
      <c r="AO114" s="43" t="s">
        <v>68</v>
      </c>
      <c r="AP114" s="36" t="s">
        <v>68</v>
      </c>
      <c r="AQ114" s="39" t="s">
        <v>68</v>
      </c>
      <c r="AR114" s="36" t="s">
        <v>68</v>
      </c>
      <c r="AS114" s="36" t="s">
        <v>68</v>
      </c>
      <c r="AT114" s="36" t="s">
        <v>68</v>
      </c>
      <c r="AU114" s="36" t="s">
        <v>68</v>
      </c>
      <c r="AV114" s="36" t="s">
        <v>68</v>
      </c>
      <c r="AW114" s="35"/>
      <c r="AX114" s="37"/>
      <c r="AY114" s="37" t="s">
        <v>68</v>
      </c>
      <c r="AZ114" s="86"/>
      <c r="BA114" s="37"/>
      <c r="BB114" s="37"/>
      <c r="BC114" s="37"/>
      <c r="BD114" s="35"/>
      <c r="BE114" s="35" t="e">
        <v>#REF!</v>
      </c>
      <c r="BF114" s="35"/>
      <c r="BG114" s="44"/>
      <c r="BH114" s="38" t="s">
        <v>2011</v>
      </c>
      <c r="BI114" s="35" t="s">
        <v>68</v>
      </c>
    </row>
    <row r="115" spans="1:61" ht="331.5" x14ac:dyDescent="0.2">
      <c r="A115" s="45" t="s">
        <v>2012</v>
      </c>
      <c r="B115" s="46"/>
      <c r="C115" s="46" t="s">
        <v>2013</v>
      </c>
      <c r="D115" s="46" t="s">
        <v>68</v>
      </c>
      <c r="E115" s="46" t="s">
        <v>68</v>
      </c>
      <c r="F115" s="46" t="s">
        <v>68</v>
      </c>
      <c r="G115" s="46" t="s">
        <v>68</v>
      </c>
      <c r="H115" s="46" t="s">
        <v>68</v>
      </c>
      <c r="I115" s="46" t="s">
        <v>2014</v>
      </c>
      <c r="J115" s="46" t="s">
        <v>71</v>
      </c>
      <c r="K115" s="47">
        <v>150</v>
      </c>
      <c r="L115" s="47">
        <v>70</v>
      </c>
      <c r="M115" s="47">
        <v>220</v>
      </c>
      <c r="N115" s="46" t="s">
        <v>2015</v>
      </c>
      <c r="O115" s="71" t="s">
        <v>2016</v>
      </c>
      <c r="P115" s="46" t="s">
        <v>2017</v>
      </c>
      <c r="Q115" s="46" t="s">
        <v>1347</v>
      </c>
      <c r="R115" s="46" t="s">
        <v>2010</v>
      </c>
      <c r="S115" s="49">
        <v>55</v>
      </c>
      <c r="T115" s="49">
        <v>275</v>
      </c>
      <c r="U115" s="67">
        <v>0.33636363636363636</v>
      </c>
      <c r="V115" s="67">
        <v>0.31379310344827588</v>
      </c>
      <c r="W115" s="51">
        <v>0.46666666666666667</v>
      </c>
      <c r="X115" s="52">
        <v>27.5</v>
      </c>
      <c r="Y115" s="52">
        <v>30</v>
      </c>
      <c r="Z115" s="52">
        <v>125</v>
      </c>
      <c r="AA115" s="52">
        <v>182.5</v>
      </c>
      <c r="AB115" s="53">
        <v>0.66363636363636369</v>
      </c>
      <c r="AC115" s="54">
        <v>92.5</v>
      </c>
      <c r="AD115" s="55">
        <v>0.33636363636363636</v>
      </c>
      <c r="AE115" s="56">
        <v>2</v>
      </c>
      <c r="AF115" s="57" t="s">
        <v>72</v>
      </c>
      <c r="AG115" s="58">
        <v>75</v>
      </c>
      <c r="AH115" s="58">
        <v>70</v>
      </c>
      <c r="AI115" s="58">
        <v>145</v>
      </c>
      <c r="AJ115" s="49">
        <v>36.25</v>
      </c>
      <c r="AK115" s="49">
        <v>181.25</v>
      </c>
      <c r="AL115" s="52">
        <v>18.125</v>
      </c>
      <c r="AM115" s="52">
        <v>106.25</v>
      </c>
      <c r="AN115" s="52">
        <v>124.375</v>
      </c>
      <c r="AO115" s="59">
        <v>0.68620689655172418</v>
      </c>
      <c r="AP115" s="60">
        <v>56.875</v>
      </c>
      <c r="AQ115" s="61">
        <v>0.31379310344827588</v>
      </c>
      <c r="AR115" s="60" t="s">
        <v>78</v>
      </c>
      <c r="AS115" s="62">
        <v>225</v>
      </c>
      <c r="AT115" s="62">
        <v>105</v>
      </c>
      <c r="AU115" s="62">
        <v>330</v>
      </c>
      <c r="AV115" s="62">
        <v>412.5</v>
      </c>
      <c r="AW115" s="47" t="s">
        <v>74</v>
      </c>
      <c r="AX115" s="64">
        <v>45295</v>
      </c>
      <c r="AY115" s="64" t="s">
        <v>2018</v>
      </c>
      <c r="AZ115" s="86"/>
      <c r="BA115" s="46" t="s">
        <v>107</v>
      </c>
      <c r="BB115" s="46" t="s">
        <v>2019</v>
      </c>
      <c r="BC115" s="46" t="s">
        <v>2020</v>
      </c>
      <c r="BD115" s="70" t="s">
        <v>2021</v>
      </c>
      <c r="BE115" s="46" t="e">
        <v>#REF!</v>
      </c>
      <c r="BF115" s="46" t="s">
        <v>79</v>
      </c>
      <c r="BG115" s="65">
        <v>0.5</v>
      </c>
      <c r="BH115" s="66" t="s">
        <v>2022</v>
      </c>
      <c r="BI115" s="63" t="s">
        <v>2023</v>
      </c>
    </row>
    <row r="116" spans="1:61" ht="331.5" x14ac:dyDescent="0.2">
      <c r="A116" s="45" t="s">
        <v>2024</v>
      </c>
      <c r="B116" s="46"/>
      <c r="C116" s="46" t="s">
        <v>2013</v>
      </c>
      <c r="D116" s="46" t="s">
        <v>68</v>
      </c>
      <c r="E116" s="46" t="s">
        <v>68</v>
      </c>
      <c r="F116" s="46" t="s">
        <v>68</v>
      </c>
      <c r="G116" s="46" t="s">
        <v>68</v>
      </c>
      <c r="H116" s="46" t="s">
        <v>68</v>
      </c>
      <c r="I116" s="46" t="s">
        <v>2025</v>
      </c>
      <c r="J116" s="46" t="s">
        <v>71</v>
      </c>
      <c r="K116" s="47">
        <v>150</v>
      </c>
      <c r="L116" s="47">
        <v>160</v>
      </c>
      <c r="M116" s="47">
        <v>310</v>
      </c>
      <c r="N116" s="46" t="s">
        <v>2015</v>
      </c>
      <c r="O116" s="71" t="s">
        <v>2026</v>
      </c>
      <c r="P116" s="46" t="s">
        <v>2017</v>
      </c>
      <c r="Q116" s="46" t="s">
        <v>1347</v>
      </c>
      <c r="R116" s="46" t="s">
        <v>2010</v>
      </c>
      <c r="S116" s="49">
        <v>77.5</v>
      </c>
      <c r="T116" s="49">
        <v>387.5</v>
      </c>
      <c r="U116" s="28">
        <v>0.20967741935483872</v>
      </c>
      <c r="V116" s="50">
        <v>0.15531914893617021</v>
      </c>
      <c r="W116" s="74">
        <v>1.0666666666666667</v>
      </c>
      <c r="X116" s="52">
        <v>38.75</v>
      </c>
      <c r="Y116" s="52">
        <v>30</v>
      </c>
      <c r="Z116" s="52">
        <v>237.5</v>
      </c>
      <c r="AA116" s="52">
        <v>306.25</v>
      </c>
      <c r="AB116" s="53">
        <v>0.79032258064516125</v>
      </c>
      <c r="AC116" s="68">
        <v>81.25</v>
      </c>
      <c r="AD116" s="55">
        <v>0.20967741935483872</v>
      </c>
      <c r="AE116" s="56">
        <v>2</v>
      </c>
      <c r="AF116" s="57" t="s">
        <v>72</v>
      </c>
      <c r="AG116" s="58">
        <v>75</v>
      </c>
      <c r="AH116" s="58">
        <v>160</v>
      </c>
      <c r="AI116" s="58">
        <v>235</v>
      </c>
      <c r="AJ116" s="49">
        <v>58.75</v>
      </c>
      <c r="AK116" s="49">
        <v>293.75</v>
      </c>
      <c r="AL116" s="52">
        <v>29.375</v>
      </c>
      <c r="AM116" s="52">
        <v>218.75</v>
      </c>
      <c r="AN116" s="52">
        <v>248.125</v>
      </c>
      <c r="AO116" s="59">
        <v>0.84468085106382984</v>
      </c>
      <c r="AP116" s="60">
        <v>45.625</v>
      </c>
      <c r="AQ116" s="61">
        <v>0.15531914893617021</v>
      </c>
      <c r="AR116" s="60" t="s">
        <v>73</v>
      </c>
      <c r="AS116" s="62">
        <v>225</v>
      </c>
      <c r="AT116" s="62">
        <v>240</v>
      </c>
      <c r="AU116" s="62">
        <v>465</v>
      </c>
      <c r="AV116" s="62">
        <v>581.25</v>
      </c>
      <c r="AW116" s="47" t="s">
        <v>74</v>
      </c>
      <c r="AX116" s="64">
        <v>45295</v>
      </c>
      <c r="AY116" s="64" t="s">
        <v>2027</v>
      </c>
      <c r="AZ116" s="86"/>
      <c r="BA116" s="46" t="s">
        <v>107</v>
      </c>
      <c r="BB116" s="46" t="s">
        <v>2019</v>
      </c>
      <c r="BC116" s="46" t="s">
        <v>2020</v>
      </c>
      <c r="BD116" s="70" t="s">
        <v>2028</v>
      </c>
      <c r="BE116" s="46" t="e">
        <v>#REF!</v>
      </c>
      <c r="BF116" s="46" t="s">
        <v>79</v>
      </c>
      <c r="BG116" s="65">
        <v>0.5</v>
      </c>
      <c r="BH116" s="66" t="s">
        <v>2029</v>
      </c>
      <c r="BI116" s="63" t="s">
        <v>2030</v>
      </c>
    </row>
    <row r="117" spans="1:61" ht="331.5" x14ac:dyDescent="0.2">
      <c r="A117" s="45" t="s">
        <v>2031</v>
      </c>
      <c r="B117" s="46"/>
      <c r="C117" s="46" t="s">
        <v>2032</v>
      </c>
      <c r="D117" s="46" t="s">
        <v>68</v>
      </c>
      <c r="E117" s="46" t="s">
        <v>68</v>
      </c>
      <c r="F117" s="46" t="s">
        <v>68</v>
      </c>
      <c r="G117" s="46" t="s">
        <v>68</v>
      </c>
      <c r="H117" s="46" t="s">
        <v>68</v>
      </c>
      <c r="I117" s="46" t="s">
        <v>445</v>
      </c>
      <c r="J117" s="46" t="s">
        <v>71</v>
      </c>
      <c r="K117" s="47">
        <v>220</v>
      </c>
      <c r="L117" s="47">
        <v>180</v>
      </c>
      <c r="M117" s="47">
        <v>400</v>
      </c>
      <c r="N117" s="46" t="s">
        <v>2015</v>
      </c>
      <c r="O117" s="71" t="s">
        <v>2033</v>
      </c>
      <c r="P117" s="46" t="s">
        <v>2034</v>
      </c>
      <c r="Q117" s="46" t="s">
        <v>1347</v>
      </c>
      <c r="R117" s="46" t="s">
        <v>2010</v>
      </c>
      <c r="S117" s="49">
        <v>100</v>
      </c>
      <c r="T117" s="49">
        <v>500</v>
      </c>
      <c r="U117" s="28">
        <v>0.28000000000000003</v>
      </c>
      <c r="V117" s="67">
        <v>0.34</v>
      </c>
      <c r="W117" s="51">
        <v>0.81818181818181823</v>
      </c>
      <c r="X117" s="52">
        <v>50</v>
      </c>
      <c r="Y117" s="52">
        <v>30</v>
      </c>
      <c r="Z117" s="52">
        <v>280</v>
      </c>
      <c r="AA117" s="52">
        <v>360</v>
      </c>
      <c r="AB117" s="53">
        <v>0.72</v>
      </c>
      <c r="AC117" s="72">
        <v>140</v>
      </c>
      <c r="AD117" s="55">
        <v>0.28000000000000003</v>
      </c>
      <c r="AE117" s="73">
        <v>3</v>
      </c>
      <c r="AF117" s="57" t="s">
        <v>95</v>
      </c>
      <c r="AG117" s="58">
        <v>220</v>
      </c>
      <c r="AH117" s="58">
        <v>180</v>
      </c>
      <c r="AI117" s="58">
        <v>400</v>
      </c>
      <c r="AJ117" s="49">
        <v>100</v>
      </c>
      <c r="AK117" s="49">
        <v>500</v>
      </c>
      <c r="AL117" s="52">
        <v>50</v>
      </c>
      <c r="AM117" s="52">
        <v>280</v>
      </c>
      <c r="AN117" s="52">
        <v>330</v>
      </c>
      <c r="AO117" s="59">
        <v>0.66</v>
      </c>
      <c r="AP117" s="60">
        <v>170</v>
      </c>
      <c r="AQ117" s="61">
        <v>0.34</v>
      </c>
      <c r="AR117" s="60" t="s">
        <v>78</v>
      </c>
      <c r="AS117" s="62">
        <v>352</v>
      </c>
      <c r="AT117" s="62">
        <v>288</v>
      </c>
      <c r="AU117" s="62">
        <v>640</v>
      </c>
      <c r="AV117" s="62">
        <v>800</v>
      </c>
      <c r="AW117" s="47" t="s">
        <v>74</v>
      </c>
      <c r="AX117" s="64">
        <v>45054</v>
      </c>
      <c r="AY117" s="64" t="s">
        <v>2035</v>
      </c>
      <c r="AZ117" s="86"/>
      <c r="BA117" s="46" t="s">
        <v>107</v>
      </c>
      <c r="BB117" s="46" t="s">
        <v>2019</v>
      </c>
      <c r="BC117" s="46" t="s">
        <v>2020</v>
      </c>
      <c r="BD117" s="70" t="s">
        <v>2036</v>
      </c>
      <c r="BE117" s="46" t="e">
        <v>#REF!</v>
      </c>
      <c r="BF117" s="46" t="s">
        <v>79</v>
      </c>
      <c r="BG117" s="65">
        <v>0.5</v>
      </c>
      <c r="BH117" s="66" t="s">
        <v>2037</v>
      </c>
      <c r="BI117" s="63" t="s">
        <v>2038</v>
      </c>
    </row>
    <row r="118" spans="1:61" ht="331.5" x14ac:dyDescent="0.2">
      <c r="A118" s="45" t="s">
        <v>2039</v>
      </c>
      <c r="B118" s="46"/>
      <c r="C118" s="46" t="s">
        <v>2032</v>
      </c>
      <c r="D118" s="46"/>
      <c r="E118" s="46"/>
      <c r="F118" s="46"/>
      <c r="G118" s="46"/>
      <c r="H118" s="46"/>
      <c r="I118" s="46" t="s">
        <v>449</v>
      </c>
      <c r="J118" s="46" t="s">
        <v>71</v>
      </c>
      <c r="K118" s="47">
        <v>220</v>
      </c>
      <c r="L118" s="47">
        <v>260</v>
      </c>
      <c r="M118" s="47">
        <v>480</v>
      </c>
      <c r="N118" s="46" t="s">
        <v>2015</v>
      </c>
      <c r="O118" s="71" t="s">
        <v>2040</v>
      </c>
      <c r="P118" s="46" t="s">
        <v>2034</v>
      </c>
      <c r="Q118" s="46" t="s">
        <v>1347</v>
      </c>
      <c r="R118" s="46" t="s">
        <v>2010</v>
      </c>
      <c r="S118" s="49">
        <v>120</v>
      </c>
      <c r="T118" s="49">
        <v>600</v>
      </c>
      <c r="U118" s="28">
        <v>0.21666666666666667</v>
      </c>
      <c r="V118" s="28">
        <v>0.26666666666666666</v>
      </c>
      <c r="W118" s="74">
        <v>1.1818181818181819</v>
      </c>
      <c r="X118" s="52">
        <v>60</v>
      </c>
      <c r="Y118" s="52">
        <v>30</v>
      </c>
      <c r="Z118" s="52">
        <v>380</v>
      </c>
      <c r="AA118" s="52">
        <v>470</v>
      </c>
      <c r="AB118" s="53">
        <v>0.78333333333333333</v>
      </c>
      <c r="AC118" s="72">
        <v>130</v>
      </c>
      <c r="AD118" s="55">
        <v>0.21666666666666667</v>
      </c>
      <c r="AE118" s="73">
        <v>3</v>
      </c>
      <c r="AF118" s="57" t="s">
        <v>95</v>
      </c>
      <c r="AG118" s="58">
        <v>220</v>
      </c>
      <c r="AH118" s="58">
        <v>260</v>
      </c>
      <c r="AI118" s="58">
        <v>480</v>
      </c>
      <c r="AJ118" s="49">
        <v>120</v>
      </c>
      <c r="AK118" s="49">
        <v>600</v>
      </c>
      <c r="AL118" s="52">
        <v>60</v>
      </c>
      <c r="AM118" s="52">
        <v>380</v>
      </c>
      <c r="AN118" s="52">
        <v>440</v>
      </c>
      <c r="AO118" s="59">
        <v>0.73333333333333328</v>
      </c>
      <c r="AP118" s="60">
        <v>160</v>
      </c>
      <c r="AQ118" s="61">
        <v>0.26666666666666666</v>
      </c>
      <c r="AR118" s="60" t="s">
        <v>78</v>
      </c>
      <c r="AS118" s="62">
        <v>352</v>
      </c>
      <c r="AT118" s="62">
        <v>416</v>
      </c>
      <c r="AU118" s="62">
        <v>768</v>
      </c>
      <c r="AV118" s="62">
        <v>960</v>
      </c>
      <c r="AW118" s="47" t="s">
        <v>74</v>
      </c>
      <c r="AX118" s="64">
        <v>45295</v>
      </c>
      <c r="AY118" s="64" t="s">
        <v>2041</v>
      </c>
      <c r="AZ118" s="86"/>
      <c r="BA118" s="46" t="s">
        <v>107</v>
      </c>
      <c r="BB118" s="46" t="s">
        <v>2019</v>
      </c>
      <c r="BC118" s="46" t="s">
        <v>2020</v>
      </c>
      <c r="BD118" s="70" t="s">
        <v>2042</v>
      </c>
      <c r="BE118" s="46" t="e">
        <v>#REF!</v>
      </c>
      <c r="BF118" s="46" t="s">
        <v>79</v>
      </c>
      <c r="BG118" s="65">
        <v>0.5</v>
      </c>
      <c r="BH118" s="66"/>
      <c r="BI118" s="63" t="s">
        <v>2043</v>
      </c>
    </row>
    <row r="119" spans="1:61" ht="357" x14ac:dyDescent="0.2">
      <c r="A119" s="45" t="s">
        <v>2044</v>
      </c>
      <c r="B119" s="46"/>
      <c r="C119" s="46" t="s">
        <v>2032</v>
      </c>
      <c r="D119" s="46" t="s">
        <v>2045</v>
      </c>
      <c r="E119" s="46"/>
      <c r="F119" s="46"/>
      <c r="G119" s="46"/>
      <c r="H119" s="46"/>
      <c r="I119" s="46" t="s">
        <v>445</v>
      </c>
      <c r="J119" s="46" t="s">
        <v>71</v>
      </c>
      <c r="K119" s="47">
        <v>270</v>
      </c>
      <c r="L119" s="47">
        <v>700</v>
      </c>
      <c r="M119" s="47">
        <v>970</v>
      </c>
      <c r="N119" s="46" t="s">
        <v>2015</v>
      </c>
      <c r="O119" s="71" t="s">
        <v>2046</v>
      </c>
      <c r="P119" s="46" t="s">
        <v>2047</v>
      </c>
      <c r="Q119" s="46" t="s">
        <v>1347</v>
      </c>
      <c r="R119" s="46" t="s">
        <v>2010</v>
      </c>
      <c r="S119" s="49">
        <v>242.5</v>
      </c>
      <c r="T119" s="49">
        <v>1212.5</v>
      </c>
      <c r="U119" s="50">
        <v>9.7938144329896906E-2</v>
      </c>
      <c r="V119" s="50">
        <v>2.9341317365269463E-2</v>
      </c>
      <c r="W119" s="77">
        <v>2.5925925925925926</v>
      </c>
      <c r="X119" s="52">
        <v>121.25</v>
      </c>
      <c r="Y119" s="52">
        <v>30</v>
      </c>
      <c r="Z119" s="52">
        <v>942.5</v>
      </c>
      <c r="AA119" s="52">
        <v>1093.75</v>
      </c>
      <c r="AB119" s="53">
        <v>0.90206185567010311</v>
      </c>
      <c r="AC119" s="54">
        <v>118.75</v>
      </c>
      <c r="AD119" s="55">
        <v>9.7938144329896906E-2</v>
      </c>
      <c r="AE119" s="56">
        <v>2</v>
      </c>
      <c r="AF119" s="57" t="s">
        <v>72</v>
      </c>
      <c r="AG119" s="58">
        <v>135</v>
      </c>
      <c r="AH119" s="58">
        <v>700</v>
      </c>
      <c r="AI119" s="58">
        <v>835</v>
      </c>
      <c r="AJ119" s="49">
        <v>208.75</v>
      </c>
      <c r="AK119" s="49">
        <v>1043.75</v>
      </c>
      <c r="AL119" s="52">
        <v>104.375</v>
      </c>
      <c r="AM119" s="52">
        <v>908.75</v>
      </c>
      <c r="AN119" s="52">
        <v>1013.125</v>
      </c>
      <c r="AO119" s="59">
        <v>0.97065868263473054</v>
      </c>
      <c r="AP119" s="60">
        <v>30.625</v>
      </c>
      <c r="AQ119" s="61">
        <v>2.9341317365269463E-2</v>
      </c>
      <c r="AR119" s="60" t="s">
        <v>73</v>
      </c>
      <c r="AS119" s="62">
        <v>405</v>
      </c>
      <c r="AT119" s="62">
        <v>1050</v>
      </c>
      <c r="AU119" s="62">
        <v>1455</v>
      </c>
      <c r="AV119" s="62">
        <v>1818.75</v>
      </c>
      <c r="AW119" s="47" t="s">
        <v>74</v>
      </c>
      <c r="AX119" s="64">
        <v>45233</v>
      </c>
      <c r="AY119" s="64" t="s">
        <v>2048</v>
      </c>
      <c r="AZ119" s="86"/>
      <c r="BA119" s="46" t="s">
        <v>107</v>
      </c>
      <c r="BB119" s="46" t="s">
        <v>2019</v>
      </c>
      <c r="BC119" s="46" t="s">
        <v>2020</v>
      </c>
      <c r="BD119" s="70" t="s">
        <v>2049</v>
      </c>
      <c r="BE119" s="46" t="e">
        <v>#REF!</v>
      </c>
      <c r="BF119" s="46" t="s">
        <v>79</v>
      </c>
      <c r="BG119" s="65">
        <v>0.5</v>
      </c>
      <c r="BH119" s="66"/>
      <c r="BI119" s="63" t="s">
        <v>2050</v>
      </c>
    </row>
    <row r="120" spans="1:61" ht="357" x14ac:dyDescent="0.2">
      <c r="A120" s="45" t="s">
        <v>2051</v>
      </c>
      <c r="B120" s="46"/>
      <c r="C120" s="46" t="s">
        <v>2032</v>
      </c>
      <c r="D120" s="46" t="s">
        <v>2045</v>
      </c>
      <c r="E120" s="46"/>
      <c r="F120" s="46"/>
      <c r="G120" s="46"/>
      <c r="H120" s="46"/>
      <c r="I120" s="46" t="s">
        <v>449</v>
      </c>
      <c r="J120" s="46" t="s">
        <v>71</v>
      </c>
      <c r="K120" s="47">
        <v>270</v>
      </c>
      <c r="L120" s="47">
        <v>950</v>
      </c>
      <c r="M120" s="47">
        <v>1220</v>
      </c>
      <c r="N120" s="46" t="s">
        <v>2015</v>
      </c>
      <c r="O120" s="71" t="s">
        <v>2052</v>
      </c>
      <c r="P120" s="46" t="s">
        <v>2047</v>
      </c>
      <c r="Q120" s="46" t="s">
        <v>1347</v>
      </c>
      <c r="R120" s="46" t="s">
        <v>2010</v>
      </c>
      <c r="S120" s="49">
        <v>305</v>
      </c>
      <c r="T120" s="49">
        <v>1525</v>
      </c>
      <c r="U120" s="50">
        <v>5.737704918032787E-2</v>
      </c>
      <c r="V120" s="78">
        <v>-4.608294930875576E-4</v>
      </c>
      <c r="W120" s="77">
        <v>3.5185185185185186</v>
      </c>
      <c r="X120" s="52">
        <v>152.5</v>
      </c>
      <c r="Y120" s="52">
        <v>30</v>
      </c>
      <c r="Z120" s="52">
        <v>1255</v>
      </c>
      <c r="AA120" s="52">
        <v>1437.5</v>
      </c>
      <c r="AB120" s="53">
        <v>0.94262295081967218</v>
      </c>
      <c r="AC120" s="68">
        <v>87.5</v>
      </c>
      <c r="AD120" s="55">
        <v>5.737704918032787E-2</v>
      </c>
      <c r="AE120" s="56">
        <v>2</v>
      </c>
      <c r="AF120" s="57" t="s">
        <v>72</v>
      </c>
      <c r="AG120" s="58">
        <v>135</v>
      </c>
      <c r="AH120" s="58">
        <v>950</v>
      </c>
      <c r="AI120" s="58">
        <v>1085</v>
      </c>
      <c r="AJ120" s="49">
        <v>271.25</v>
      </c>
      <c r="AK120" s="49">
        <v>1356.25</v>
      </c>
      <c r="AL120" s="52">
        <v>135.625</v>
      </c>
      <c r="AM120" s="52">
        <v>1221.25</v>
      </c>
      <c r="AN120" s="52">
        <v>1356.875</v>
      </c>
      <c r="AO120" s="59">
        <v>1.0004608294930875</v>
      </c>
      <c r="AP120" s="79">
        <v>-0.625</v>
      </c>
      <c r="AQ120" s="80">
        <v>-4.608294930875576E-4</v>
      </c>
      <c r="AR120" s="60" t="s">
        <v>73</v>
      </c>
      <c r="AS120" s="62">
        <v>405</v>
      </c>
      <c r="AT120" s="62">
        <v>1425</v>
      </c>
      <c r="AU120" s="62">
        <v>1830</v>
      </c>
      <c r="AV120" s="62">
        <v>2287.5</v>
      </c>
      <c r="AW120" s="47" t="s">
        <v>74</v>
      </c>
      <c r="AX120" s="64">
        <v>45233</v>
      </c>
      <c r="AY120" s="64" t="s">
        <v>2053</v>
      </c>
      <c r="AZ120" s="86"/>
      <c r="BA120" s="46" t="s">
        <v>107</v>
      </c>
      <c r="BB120" s="46" t="s">
        <v>2019</v>
      </c>
      <c r="BC120" s="46" t="s">
        <v>2020</v>
      </c>
      <c r="BD120" s="70" t="s">
        <v>2054</v>
      </c>
      <c r="BE120" s="46" t="e">
        <v>#REF!</v>
      </c>
      <c r="BF120" s="46" t="s">
        <v>79</v>
      </c>
      <c r="BG120" s="65">
        <v>0.5</v>
      </c>
      <c r="BH120" s="66"/>
      <c r="BI120" s="63" t="s">
        <v>2055</v>
      </c>
    </row>
    <row r="121" spans="1:61" ht="318.75" x14ac:dyDescent="0.2">
      <c r="A121" s="45" t="s">
        <v>2056</v>
      </c>
      <c r="B121" s="46"/>
      <c r="C121" s="46" t="s">
        <v>2057</v>
      </c>
      <c r="D121" s="46" t="s">
        <v>68</v>
      </c>
      <c r="E121" s="46" t="s">
        <v>68</v>
      </c>
      <c r="F121" s="46" t="s">
        <v>68</v>
      </c>
      <c r="G121" s="46" t="s">
        <v>68</v>
      </c>
      <c r="H121" s="46" t="s">
        <v>68</v>
      </c>
      <c r="I121" s="46" t="s">
        <v>68</v>
      </c>
      <c r="J121" s="46" t="s">
        <v>71</v>
      </c>
      <c r="K121" s="47">
        <v>140</v>
      </c>
      <c r="L121" s="47">
        <v>20</v>
      </c>
      <c r="M121" s="47">
        <v>160</v>
      </c>
      <c r="N121" s="46" t="s">
        <v>2058</v>
      </c>
      <c r="O121" s="71" t="s">
        <v>2059</v>
      </c>
      <c r="P121" s="46" t="s">
        <v>2060</v>
      </c>
      <c r="Q121" s="46" t="s">
        <v>1347</v>
      </c>
      <c r="R121" s="46" t="s">
        <v>2010</v>
      </c>
      <c r="S121" s="49">
        <v>40</v>
      </c>
      <c r="T121" s="49">
        <v>200</v>
      </c>
      <c r="U121" s="67">
        <v>0.45</v>
      </c>
      <c r="V121" s="67">
        <v>0.52222222222222225</v>
      </c>
      <c r="W121" s="51">
        <v>0.14285714285714285</v>
      </c>
      <c r="X121" s="52">
        <v>20</v>
      </c>
      <c r="Y121" s="52">
        <v>30</v>
      </c>
      <c r="Z121" s="52">
        <v>60</v>
      </c>
      <c r="AA121" s="52">
        <v>110</v>
      </c>
      <c r="AB121" s="53">
        <v>0.55000000000000004</v>
      </c>
      <c r="AC121" s="54">
        <v>90</v>
      </c>
      <c r="AD121" s="55">
        <v>0.45</v>
      </c>
      <c r="AE121" s="56">
        <v>2</v>
      </c>
      <c r="AF121" s="57" t="s">
        <v>72</v>
      </c>
      <c r="AG121" s="58">
        <v>70</v>
      </c>
      <c r="AH121" s="58">
        <v>20</v>
      </c>
      <c r="AI121" s="58">
        <v>90</v>
      </c>
      <c r="AJ121" s="49">
        <v>22.5</v>
      </c>
      <c r="AK121" s="49">
        <v>112.5</v>
      </c>
      <c r="AL121" s="52">
        <v>11.25</v>
      </c>
      <c r="AM121" s="52">
        <v>42.5</v>
      </c>
      <c r="AN121" s="52">
        <v>53.75</v>
      </c>
      <c r="AO121" s="59">
        <v>0.4777777777777778</v>
      </c>
      <c r="AP121" s="60">
        <v>58.75</v>
      </c>
      <c r="AQ121" s="61">
        <v>0.52222222222222225</v>
      </c>
      <c r="AR121" s="60" t="s">
        <v>78</v>
      </c>
      <c r="AS121" s="62">
        <v>210</v>
      </c>
      <c r="AT121" s="62">
        <v>30</v>
      </c>
      <c r="AU121" s="62">
        <v>240</v>
      </c>
      <c r="AV121" s="62">
        <v>300</v>
      </c>
      <c r="AW121" s="47" t="s">
        <v>74</v>
      </c>
      <c r="AX121" s="64">
        <v>45553</v>
      </c>
      <c r="AY121" s="64" t="s">
        <v>2061</v>
      </c>
      <c r="AZ121" s="86"/>
      <c r="BA121" s="46" t="s">
        <v>107</v>
      </c>
      <c r="BB121" s="46" t="s">
        <v>2019</v>
      </c>
      <c r="BC121" s="46" t="s">
        <v>2020</v>
      </c>
      <c r="BD121" s="46"/>
      <c r="BE121" s="46" t="e">
        <v>#REF!</v>
      </c>
      <c r="BF121" s="46" t="s">
        <v>79</v>
      </c>
      <c r="BG121" s="65">
        <v>0.5</v>
      </c>
      <c r="BH121" s="66" t="s">
        <v>2062</v>
      </c>
      <c r="BI121" s="63" t="s">
        <v>2057</v>
      </c>
    </row>
    <row r="122" spans="1:61" ht="331.5" x14ac:dyDescent="0.2">
      <c r="A122" s="45" t="s">
        <v>2063</v>
      </c>
      <c r="B122" s="46"/>
      <c r="C122" s="46" t="s">
        <v>2064</v>
      </c>
      <c r="D122" s="46" t="s">
        <v>2065</v>
      </c>
      <c r="E122" s="46" t="s">
        <v>68</v>
      </c>
      <c r="F122" s="46" t="s">
        <v>68</v>
      </c>
      <c r="G122" s="46"/>
      <c r="H122" s="46" t="s">
        <v>68</v>
      </c>
      <c r="I122" s="46" t="s">
        <v>68</v>
      </c>
      <c r="J122" s="46" t="s">
        <v>71</v>
      </c>
      <c r="K122" s="47">
        <v>200</v>
      </c>
      <c r="L122" s="47">
        <v>50</v>
      </c>
      <c r="M122" s="47">
        <v>250</v>
      </c>
      <c r="N122" s="46" t="s">
        <v>2066</v>
      </c>
      <c r="O122" s="71" t="s">
        <v>2067</v>
      </c>
      <c r="P122" s="46" t="s">
        <v>1453</v>
      </c>
      <c r="Q122" s="46" t="s">
        <v>1347</v>
      </c>
      <c r="R122" s="46" t="s">
        <v>2010</v>
      </c>
      <c r="S122" s="49">
        <v>62.5</v>
      </c>
      <c r="T122" s="49">
        <v>312.5</v>
      </c>
      <c r="U122" s="67">
        <v>0.44400000000000001</v>
      </c>
      <c r="V122" s="67">
        <v>0.43333333333333335</v>
      </c>
      <c r="W122" s="51">
        <v>0.25</v>
      </c>
      <c r="X122" s="52">
        <v>31.25</v>
      </c>
      <c r="Y122" s="52">
        <v>30</v>
      </c>
      <c r="Z122" s="52">
        <v>112.5</v>
      </c>
      <c r="AA122" s="52">
        <v>173.75</v>
      </c>
      <c r="AB122" s="53">
        <v>0.55600000000000005</v>
      </c>
      <c r="AC122" s="72">
        <v>138.75</v>
      </c>
      <c r="AD122" s="55">
        <v>0.44400000000000001</v>
      </c>
      <c r="AE122" s="56">
        <v>2</v>
      </c>
      <c r="AF122" s="57" t="s">
        <v>72</v>
      </c>
      <c r="AG122" s="58">
        <v>100</v>
      </c>
      <c r="AH122" s="58">
        <v>50</v>
      </c>
      <c r="AI122" s="58">
        <v>150</v>
      </c>
      <c r="AJ122" s="49">
        <v>37.5</v>
      </c>
      <c r="AK122" s="49">
        <v>187.5</v>
      </c>
      <c r="AL122" s="52">
        <v>18.75</v>
      </c>
      <c r="AM122" s="52">
        <v>87.5</v>
      </c>
      <c r="AN122" s="52">
        <v>106.25</v>
      </c>
      <c r="AO122" s="59">
        <v>0.56666666666666665</v>
      </c>
      <c r="AP122" s="60">
        <v>81.25</v>
      </c>
      <c r="AQ122" s="61">
        <v>0.43333333333333335</v>
      </c>
      <c r="AR122" s="60" t="s">
        <v>78</v>
      </c>
      <c r="AS122" s="62">
        <v>300</v>
      </c>
      <c r="AT122" s="62">
        <v>75</v>
      </c>
      <c r="AU122" s="62">
        <v>375</v>
      </c>
      <c r="AV122" s="62">
        <v>468.75</v>
      </c>
      <c r="AW122" s="47" t="s">
        <v>74</v>
      </c>
      <c r="AX122" s="64">
        <v>45054</v>
      </c>
      <c r="AY122" s="64" t="s">
        <v>2068</v>
      </c>
      <c r="AZ122" s="86"/>
      <c r="BA122" s="46" t="s">
        <v>107</v>
      </c>
      <c r="BB122" s="46" t="s">
        <v>2069</v>
      </c>
      <c r="BC122" s="46" t="s">
        <v>2020</v>
      </c>
      <c r="BD122" s="46"/>
      <c r="BE122" s="46" t="e">
        <v>#REF!</v>
      </c>
      <c r="BF122" s="46" t="s">
        <v>75</v>
      </c>
      <c r="BG122" s="65">
        <v>1</v>
      </c>
      <c r="BH122" s="66" t="s">
        <v>2070</v>
      </c>
      <c r="BI122" s="63" t="s">
        <v>2071</v>
      </c>
    </row>
    <row r="123" spans="1:61" ht="331.5" x14ac:dyDescent="0.2">
      <c r="A123" s="45" t="s">
        <v>2072</v>
      </c>
      <c r="B123" s="46"/>
      <c r="C123" s="46" t="s">
        <v>2064</v>
      </c>
      <c r="D123" s="46" t="s">
        <v>2073</v>
      </c>
      <c r="E123" s="46" t="s">
        <v>68</v>
      </c>
      <c r="F123" s="46" t="s">
        <v>68</v>
      </c>
      <c r="G123" s="46"/>
      <c r="H123" s="46" t="s">
        <v>68</v>
      </c>
      <c r="I123" s="46" t="s">
        <v>68</v>
      </c>
      <c r="J123" s="46" t="s">
        <v>71</v>
      </c>
      <c r="K123" s="47">
        <v>300</v>
      </c>
      <c r="L123" s="47">
        <v>100</v>
      </c>
      <c r="M123" s="47">
        <v>400</v>
      </c>
      <c r="N123" s="46" t="s">
        <v>2066</v>
      </c>
      <c r="O123" s="71" t="s">
        <v>2074</v>
      </c>
      <c r="P123" s="46" t="s">
        <v>1453</v>
      </c>
      <c r="Q123" s="46" t="s">
        <v>1347</v>
      </c>
      <c r="R123" s="46" t="s">
        <v>2010</v>
      </c>
      <c r="S123" s="49">
        <v>100</v>
      </c>
      <c r="T123" s="49">
        <v>500</v>
      </c>
      <c r="U123" s="67">
        <v>0.44</v>
      </c>
      <c r="V123" s="67">
        <v>0.5</v>
      </c>
      <c r="W123" s="51">
        <v>0.33333333333333331</v>
      </c>
      <c r="X123" s="52">
        <v>50</v>
      </c>
      <c r="Y123" s="52">
        <v>30</v>
      </c>
      <c r="Z123" s="52">
        <v>200</v>
      </c>
      <c r="AA123" s="52">
        <v>280</v>
      </c>
      <c r="AB123" s="53">
        <v>0.56000000000000005</v>
      </c>
      <c r="AC123" s="72">
        <v>220</v>
      </c>
      <c r="AD123" s="55">
        <v>0.44</v>
      </c>
      <c r="AE123" s="73">
        <v>3</v>
      </c>
      <c r="AF123" s="57" t="s">
        <v>95</v>
      </c>
      <c r="AG123" s="58">
        <v>300</v>
      </c>
      <c r="AH123" s="58">
        <v>100</v>
      </c>
      <c r="AI123" s="58">
        <v>400</v>
      </c>
      <c r="AJ123" s="49">
        <v>100</v>
      </c>
      <c r="AK123" s="49">
        <v>500</v>
      </c>
      <c r="AL123" s="52">
        <v>50</v>
      </c>
      <c r="AM123" s="52">
        <v>200</v>
      </c>
      <c r="AN123" s="52">
        <v>250</v>
      </c>
      <c r="AO123" s="59">
        <v>0.5</v>
      </c>
      <c r="AP123" s="60">
        <v>250</v>
      </c>
      <c r="AQ123" s="61">
        <v>0.5</v>
      </c>
      <c r="AR123" s="60" t="s">
        <v>78</v>
      </c>
      <c r="AS123" s="62">
        <v>480</v>
      </c>
      <c r="AT123" s="62">
        <v>160</v>
      </c>
      <c r="AU123" s="62">
        <v>640</v>
      </c>
      <c r="AV123" s="62">
        <v>800</v>
      </c>
      <c r="AW123" s="47" t="s">
        <v>74</v>
      </c>
      <c r="AX123" s="64">
        <v>45054</v>
      </c>
      <c r="AY123" s="64" t="s">
        <v>2075</v>
      </c>
      <c r="AZ123" s="86"/>
      <c r="BA123" s="46" t="s">
        <v>107</v>
      </c>
      <c r="BB123" s="46" t="s">
        <v>2069</v>
      </c>
      <c r="BC123" s="46" t="s">
        <v>2020</v>
      </c>
      <c r="BD123" s="46"/>
      <c r="BE123" s="46" t="e">
        <v>#REF!</v>
      </c>
      <c r="BF123" s="46" t="s">
        <v>75</v>
      </c>
      <c r="BG123" s="65">
        <v>2</v>
      </c>
      <c r="BH123" s="66" t="s">
        <v>2076</v>
      </c>
      <c r="BI123" s="63" t="s">
        <v>2077</v>
      </c>
    </row>
    <row r="124" spans="1:61" ht="25.5" x14ac:dyDescent="0.2">
      <c r="A124" s="34" t="s">
        <v>2078</v>
      </c>
      <c r="B124" s="35"/>
      <c r="C124" s="35" t="s">
        <v>68</v>
      </c>
      <c r="D124" s="35" t="s">
        <v>68</v>
      </c>
      <c r="E124" s="35" t="s">
        <v>68</v>
      </c>
      <c r="F124" s="35" t="s">
        <v>68</v>
      </c>
      <c r="G124" s="35" t="s">
        <v>68</v>
      </c>
      <c r="H124" s="35" t="s">
        <v>68</v>
      </c>
      <c r="I124" s="35" t="s">
        <v>68</v>
      </c>
      <c r="J124" s="35" t="s">
        <v>68</v>
      </c>
      <c r="K124" s="36" t="s">
        <v>68</v>
      </c>
      <c r="L124" s="36" t="s">
        <v>68</v>
      </c>
      <c r="M124" s="36" t="s">
        <v>68</v>
      </c>
      <c r="N124" s="35"/>
      <c r="O124" s="35" t="s">
        <v>68</v>
      </c>
      <c r="P124" s="37"/>
      <c r="Q124" s="38" t="s">
        <v>1347</v>
      </c>
      <c r="R124" s="38" t="s">
        <v>2079</v>
      </c>
      <c r="S124" s="36" t="s">
        <v>68</v>
      </c>
      <c r="T124" s="36" t="s">
        <v>68</v>
      </c>
      <c r="U124" s="39" t="s">
        <v>68</v>
      </c>
      <c r="V124" s="39" t="s">
        <v>68</v>
      </c>
      <c r="W124" s="40" t="s">
        <v>68</v>
      </c>
      <c r="X124" s="36" t="s">
        <v>68</v>
      </c>
      <c r="Y124" s="36" t="s">
        <v>68</v>
      </c>
      <c r="Z124" s="36" t="s">
        <v>68</v>
      </c>
      <c r="AA124" s="36" t="s">
        <v>68</v>
      </c>
      <c r="AB124" s="39" t="s">
        <v>68</v>
      </c>
      <c r="AC124" s="36" t="s">
        <v>68</v>
      </c>
      <c r="AD124" s="39" t="s">
        <v>68</v>
      </c>
      <c r="AE124" s="41"/>
      <c r="AF124" s="42" t="s">
        <v>68</v>
      </c>
      <c r="AG124" s="36" t="s">
        <v>68</v>
      </c>
      <c r="AH124" s="36" t="s">
        <v>68</v>
      </c>
      <c r="AI124" s="36" t="s">
        <v>68</v>
      </c>
      <c r="AJ124" s="36" t="s">
        <v>68</v>
      </c>
      <c r="AK124" s="36" t="s">
        <v>68</v>
      </c>
      <c r="AL124" s="36" t="s">
        <v>68</v>
      </c>
      <c r="AM124" s="36" t="s">
        <v>68</v>
      </c>
      <c r="AN124" s="36" t="s">
        <v>68</v>
      </c>
      <c r="AO124" s="43" t="s">
        <v>68</v>
      </c>
      <c r="AP124" s="36" t="s">
        <v>68</v>
      </c>
      <c r="AQ124" s="39" t="s">
        <v>68</v>
      </c>
      <c r="AR124" s="36" t="s">
        <v>68</v>
      </c>
      <c r="AS124" s="36" t="s">
        <v>68</v>
      </c>
      <c r="AT124" s="36" t="s">
        <v>68</v>
      </c>
      <c r="AU124" s="36" t="s">
        <v>68</v>
      </c>
      <c r="AV124" s="36" t="s">
        <v>68</v>
      </c>
      <c r="AW124" s="35"/>
      <c r="AX124" s="37"/>
      <c r="AY124" s="37" t="s">
        <v>68</v>
      </c>
      <c r="AZ124" s="86"/>
      <c r="BA124" s="37"/>
      <c r="BB124" s="37"/>
      <c r="BC124" s="37"/>
      <c r="BD124" s="35"/>
      <c r="BE124" s="35" t="e">
        <v>#REF!</v>
      </c>
      <c r="BF124" s="35"/>
      <c r="BG124" s="44"/>
      <c r="BH124" s="38" t="s">
        <v>2080</v>
      </c>
      <c r="BI124" s="35" t="s">
        <v>68</v>
      </c>
    </row>
    <row r="125" spans="1:61" ht="331.5" x14ac:dyDescent="0.2">
      <c r="A125" s="45" t="s">
        <v>2081</v>
      </c>
      <c r="B125" s="46"/>
      <c r="C125" s="46" t="s">
        <v>2082</v>
      </c>
      <c r="D125" s="46" t="s">
        <v>68</v>
      </c>
      <c r="E125" s="46" t="s">
        <v>68</v>
      </c>
      <c r="F125" s="46" t="s">
        <v>68</v>
      </c>
      <c r="G125" s="46" t="s">
        <v>68</v>
      </c>
      <c r="H125" s="46" t="s">
        <v>68</v>
      </c>
      <c r="I125" s="46" t="s">
        <v>454</v>
      </c>
      <c r="J125" s="46" t="s">
        <v>71</v>
      </c>
      <c r="K125" s="47">
        <v>160</v>
      </c>
      <c r="L125" s="47">
        <v>190</v>
      </c>
      <c r="M125" s="47">
        <v>350</v>
      </c>
      <c r="N125" s="46" t="s">
        <v>2083</v>
      </c>
      <c r="O125" s="71" t="s">
        <v>2084</v>
      </c>
      <c r="P125" s="46" t="s">
        <v>2085</v>
      </c>
      <c r="Q125" s="46" t="s">
        <v>1347</v>
      </c>
      <c r="R125" s="46" t="s">
        <v>2079</v>
      </c>
      <c r="S125" s="49">
        <v>87.5</v>
      </c>
      <c r="T125" s="49">
        <v>437.5</v>
      </c>
      <c r="U125" s="50">
        <v>0.19714285714285715</v>
      </c>
      <c r="V125" s="50">
        <v>0.13703703703703704</v>
      </c>
      <c r="W125" s="74">
        <v>1.1875</v>
      </c>
      <c r="X125" s="52">
        <v>43.75</v>
      </c>
      <c r="Y125" s="52">
        <v>30</v>
      </c>
      <c r="Z125" s="52">
        <v>277.5</v>
      </c>
      <c r="AA125" s="52">
        <v>351.25</v>
      </c>
      <c r="AB125" s="53">
        <v>0.80285714285714282</v>
      </c>
      <c r="AC125" s="68">
        <v>86.25</v>
      </c>
      <c r="AD125" s="55">
        <v>0.19714285714285715</v>
      </c>
      <c r="AE125" s="56">
        <v>2</v>
      </c>
      <c r="AF125" s="57" t="s">
        <v>72</v>
      </c>
      <c r="AG125" s="58">
        <v>80</v>
      </c>
      <c r="AH125" s="58">
        <v>190</v>
      </c>
      <c r="AI125" s="58">
        <v>270</v>
      </c>
      <c r="AJ125" s="49">
        <v>67.5</v>
      </c>
      <c r="AK125" s="49">
        <v>337.5</v>
      </c>
      <c r="AL125" s="52">
        <v>33.75</v>
      </c>
      <c r="AM125" s="52">
        <v>257.5</v>
      </c>
      <c r="AN125" s="52">
        <v>291.25</v>
      </c>
      <c r="AO125" s="59">
        <v>0.86296296296296293</v>
      </c>
      <c r="AP125" s="60">
        <v>46.25</v>
      </c>
      <c r="AQ125" s="61">
        <v>0.13703703703703704</v>
      </c>
      <c r="AR125" s="60" t="s">
        <v>73</v>
      </c>
      <c r="AS125" s="62">
        <v>240</v>
      </c>
      <c r="AT125" s="62">
        <v>285</v>
      </c>
      <c r="AU125" s="62">
        <v>525</v>
      </c>
      <c r="AV125" s="62">
        <v>656.25</v>
      </c>
      <c r="AW125" s="47" t="s">
        <v>74</v>
      </c>
      <c r="AX125" s="64">
        <v>45553</v>
      </c>
      <c r="AY125" s="64" t="s">
        <v>2086</v>
      </c>
      <c r="AZ125" s="86"/>
      <c r="BA125" s="46" t="s">
        <v>107</v>
      </c>
      <c r="BB125" s="46" t="s">
        <v>2019</v>
      </c>
      <c r="BC125" s="46" t="s">
        <v>2087</v>
      </c>
      <c r="BD125" s="46"/>
      <c r="BE125" s="46" t="e">
        <v>#REF!</v>
      </c>
      <c r="BF125" s="46" t="s">
        <v>79</v>
      </c>
      <c r="BG125" s="65">
        <v>1</v>
      </c>
      <c r="BH125" s="66" t="s">
        <v>2088</v>
      </c>
      <c r="BI125" s="63" t="s">
        <v>2089</v>
      </c>
    </row>
    <row r="126" spans="1:61" ht="331.5" x14ac:dyDescent="0.2">
      <c r="A126" s="45" t="s">
        <v>2090</v>
      </c>
      <c r="B126" s="46"/>
      <c r="C126" s="46" t="s">
        <v>2082</v>
      </c>
      <c r="D126" s="46" t="s">
        <v>68</v>
      </c>
      <c r="E126" s="46" t="s">
        <v>68</v>
      </c>
      <c r="F126" s="46" t="s">
        <v>68</v>
      </c>
      <c r="G126" s="46" t="s">
        <v>68</v>
      </c>
      <c r="H126" s="46" t="s">
        <v>68</v>
      </c>
      <c r="I126" s="46" t="s">
        <v>445</v>
      </c>
      <c r="J126" s="46" t="s">
        <v>71</v>
      </c>
      <c r="K126" s="47">
        <v>190</v>
      </c>
      <c r="L126" s="47">
        <v>300</v>
      </c>
      <c r="M126" s="47">
        <v>490</v>
      </c>
      <c r="N126" s="46" t="s">
        <v>2083</v>
      </c>
      <c r="O126" s="71" t="s">
        <v>2091</v>
      </c>
      <c r="P126" s="46" t="s">
        <v>2085</v>
      </c>
      <c r="Q126" s="46" t="s">
        <v>1347</v>
      </c>
      <c r="R126" s="46" t="s">
        <v>2079</v>
      </c>
      <c r="S126" s="49">
        <v>122.5</v>
      </c>
      <c r="T126" s="49">
        <v>612.5</v>
      </c>
      <c r="U126" s="50">
        <v>0.16122448979591836</v>
      </c>
      <c r="V126" s="50">
        <v>9.2405063291139247E-2</v>
      </c>
      <c r="W126" s="77">
        <v>1.5789473684210527</v>
      </c>
      <c r="X126" s="52">
        <v>61.25</v>
      </c>
      <c r="Y126" s="52">
        <v>30</v>
      </c>
      <c r="Z126" s="52">
        <v>422.5</v>
      </c>
      <c r="AA126" s="52">
        <v>513.75</v>
      </c>
      <c r="AB126" s="53">
        <v>0.83877551020408159</v>
      </c>
      <c r="AC126" s="54">
        <v>98.75</v>
      </c>
      <c r="AD126" s="55">
        <v>0.16122448979591836</v>
      </c>
      <c r="AE126" s="56">
        <v>2</v>
      </c>
      <c r="AF126" s="57" t="s">
        <v>72</v>
      </c>
      <c r="AG126" s="58">
        <v>95</v>
      </c>
      <c r="AH126" s="58">
        <v>300</v>
      </c>
      <c r="AI126" s="58">
        <v>395</v>
      </c>
      <c r="AJ126" s="49">
        <v>98.75</v>
      </c>
      <c r="AK126" s="49">
        <v>493.75</v>
      </c>
      <c r="AL126" s="52">
        <v>49.375</v>
      </c>
      <c r="AM126" s="52">
        <v>398.75</v>
      </c>
      <c r="AN126" s="52">
        <v>448.125</v>
      </c>
      <c r="AO126" s="59">
        <v>0.90759493670886071</v>
      </c>
      <c r="AP126" s="60">
        <v>45.625</v>
      </c>
      <c r="AQ126" s="61">
        <v>9.2405063291139247E-2</v>
      </c>
      <c r="AR126" s="60" t="s">
        <v>73</v>
      </c>
      <c r="AS126" s="62">
        <v>285</v>
      </c>
      <c r="AT126" s="62">
        <v>450</v>
      </c>
      <c r="AU126" s="62">
        <v>735</v>
      </c>
      <c r="AV126" s="62">
        <v>918.75</v>
      </c>
      <c r="AW126" s="47" t="s">
        <v>74</v>
      </c>
      <c r="AX126" s="64">
        <v>45553</v>
      </c>
      <c r="AY126" s="64" t="s">
        <v>2092</v>
      </c>
      <c r="AZ126" s="86"/>
      <c r="BA126" s="46" t="s">
        <v>107</v>
      </c>
      <c r="BB126" s="46" t="s">
        <v>2019</v>
      </c>
      <c r="BC126" s="46" t="s">
        <v>2087</v>
      </c>
      <c r="BD126" s="46"/>
      <c r="BE126" s="46" t="e">
        <v>#REF!</v>
      </c>
      <c r="BF126" s="46" t="s">
        <v>79</v>
      </c>
      <c r="BG126" s="65">
        <v>1</v>
      </c>
      <c r="BH126" s="66" t="s">
        <v>2093</v>
      </c>
      <c r="BI126" s="63" t="s">
        <v>2094</v>
      </c>
    </row>
    <row r="127" spans="1:61" ht="331.5" x14ac:dyDescent="0.2">
      <c r="A127" s="45" t="s">
        <v>2095</v>
      </c>
      <c r="B127" s="46"/>
      <c r="C127" s="46" t="s">
        <v>2082</v>
      </c>
      <c r="D127" s="46" t="s">
        <v>68</v>
      </c>
      <c r="E127" s="46" t="s">
        <v>68</v>
      </c>
      <c r="F127" s="46" t="s">
        <v>68</v>
      </c>
      <c r="G127" s="46" t="s">
        <v>68</v>
      </c>
      <c r="H127" s="46" t="s">
        <v>68</v>
      </c>
      <c r="I127" s="46" t="s">
        <v>449</v>
      </c>
      <c r="J127" s="46" t="s">
        <v>71</v>
      </c>
      <c r="K127" s="47">
        <v>265</v>
      </c>
      <c r="L127" s="47">
        <v>680</v>
      </c>
      <c r="M127" s="47">
        <v>945</v>
      </c>
      <c r="N127" s="46" t="s">
        <v>2083</v>
      </c>
      <c r="O127" s="71" t="s">
        <v>2096</v>
      </c>
      <c r="P127" s="46" t="s">
        <v>2085</v>
      </c>
      <c r="Q127" s="46" t="s">
        <v>1347</v>
      </c>
      <c r="R127" s="46" t="s">
        <v>2079</v>
      </c>
      <c r="S127" s="49">
        <v>236.25</v>
      </c>
      <c r="T127" s="49">
        <v>1181.25</v>
      </c>
      <c r="U127" s="50">
        <v>9.8941798941798942E-2</v>
      </c>
      <c r="V127" s="50">
        <v>3.046153846153846E-2</v>
      </c>
      <c r="W127" s="77">
        <v>2.5660377358490565</v>
      </c>
      <c r="X127" s="52">
        <v>118.125</v>
      </c>
      <c r="Y127" s="52">
        <v>30</v>
      </c>
      <c r="Z127" s="52">
        <v>916.25</v>
      </c>
      <c r="AA127" s="52">
        <v>1064.375</v>
      </c>
      <c r="AB127" s="53">
        <v>0.90105820105820111</v>
      </c>
      <c r="AC127" s="54">
        <v>116.875</v>
      </c>
      <c r="AD127" s="55">
        <v>9.8941798941798942E-2</v>
      </c>
      <c r="AE127" s="56">
        <v>2</v>
      </c>
      <c r="AF127" s="57" t="s">
        <v>72</v>
      </c>
      <c r="AG127" s="58">
        <v>132.5</v>
      </c>
      <c r="AH127" s="58">
        <v>680</v>
      </c>
      <c r="AI127" s="58">
        <v>812.5</v>
      </c>
      <c r="AJ127" s="49">
        <v>203.125</v>
      </c>
      <c r="AK127" s="49">
        <v>1015.625</v>
      </c>
      <c r="AL127" s="52">
        <v>101.5625</v>
      </c>
      <c r="AM127" s="52">
        <v>883.125</v>
      </c>
      <c r="AN127" s="52">
        <v>984.6875</v>
      </c>
      <c r="AO127" s="59">
        <v>0.96953846153846157</v>
      </c>
      <c r="AP127" s="60">
        <v>30.9375</v>
      </c>
      <c r="AQ127" s="61">
        <v>3.046153846153846E-2</v>
      </c>
      <c r="AR127" s="60" t="s">
        <v>73</v>
      </c>
      <c r="AS127" s="62">
        <v>398</v>
      </c>
      <c r="AT127" s="62">
        <v>1020</v>
      </c>
      <c r="AU127" s="62">
        <v>1418</v>
      </c>
      <c r="AV127" s="62">
        <v>1772.5</v>
      </c>
      <c r="AW127" s="47" t="s">
        <v>74</v>
      </c>
      <c r="AX127" s="64">
        <v>45553</v>
      </c>
      <c r="AY127" s="64" t="s">
        <v>2097</v>
      </c>
      <c r="AZ127" s="86"/>
      <c r="BA127" s="46" t="s">
        <v>107</v>
      </c>
      <c r="BB127" s="46" t="s">
        <v>2019</v>
      </c>
      <c r="BC127" s="46" t="s">
        <v>2087</v>
      </c>
      <c r="BD127" s="46"/>
      <c r="BE127" s="46" t="e">
        <v>#REF!</v>
      </c>
      <c r="BF127" s="46" t="s">
        <v>79</v>
      </c>
      <c r="BG127" s="65">
        <v>1</v>
      </c>
      <c r="BH127" s="66" t="s">
        <v>2098</v>
      </c>
      <c r="BI127" s="63" t="s">
        <v>2099</v>
      </c>
    </row>
    <row r="128" spans="1:61" ht="306" x14ac:dyDescent="0.2">
      <c r="A128" s="45" t="s">
        <v>2100</v>
      </c>
      <c r="B128" s="46"/>
      <c r="C128" s="46" t="s">
        <v>2101</v>
      </c>
      <c r="D128" s="46" t="s">
        <v>2102</v>
      </c>
      <c r="E128" s="46" t="s">
        <v>68</v>
      </c>
      <c r="F128" s="46" t="s">
        <v>68</v>
      </c>
      <c r="G128" s="46" t="s">
        <v>68</v>
      </c>
      <c r="H128" s="46" t="s">
        <v>68</v>
      </c>
      <c r="I128" s="46" t="s">
        <v>68</v>
      </c>
      <c r="J128" s="46" t="s">
        <v>71</v>
      </c>
      <c r="K128" s="47">
        <v>140</v>
      </c>
      <c r="L128" s="47">
        <v>40</v>
      </c>
      <c r="M128" s="47">
        <v>180</v>
      </c>
      <c r="N128" s="46" t="s">
        <v>2083</v>
      </c>
      <c r="O128" s="71" t="s">
        <v>2103</v>
      </c>
      <c r="P128" s="46" t="s">
        <v>1950</v>
      </c>
      <c r="Q128" s="46" t="s">
        <v>1347</v>
      </c>
      <c r="R128" s="46" t="s">
        <v>2079</v>
      </c>
      <c r="S128" s="49">
        <v>45</v>
      </c>
      <c r="T128" s="49">
        <v>225</v>
      </c>
      <c r="U128" s="67">
        <v>0.3888888888888889</v>
      </c>
      <c r="V128" s="67">
        <v>0.40909090909090912</v>
      </c>
      <c r="W128" s="51">
        <v>0.2857142857142857</v>
      </c>
      <c r="X128" s="52">
        <v>22.5</v>
      </c>
      <c r="Y128" s="52">
        <v>30</v>
      </c>
      <c r="Z128" s="52">
        <v>85</v>
      </c>
      <c r="AA128" s="52">
        <v>137.5</v>
      </c>
      <c r="AB128" s="53">
        <v>0.61111111111111116</v>
      </c>
      <c r="AC128" s="68">
        <v>87.5</v>
      </c>
      <c r="AD128" s="55">
        <v>0.3888888888888889</v>
      </c>
      <c r="AE128" s="56">
        <v>2</v>
      </c>
      <c r="AF128" s="57" t="s">
        <v>72</v>
      </c>
      <c r="AG128" s="58">
        <v>70</v>
      </c>
      <c r="AH128" s="58">
        <v>40</v>
      </c>
      <c r="AI128" s="58">
        <v>110</v>
      </c>
      <c r="AJ128" s="49">
        <v>27.5</v>
      </c>
      <c r="AK128" s="49">
        <v>137.5</v>
      </c>
      <c r="AL128" s="52">
        <v>13.75</v>
      </c>
      <c r="AM128" s="52">
        <v>67.5</v>
      </c>
      <c r="AN128" s="52">
        <v>81.25</v>
      </c>
      <c r="AO128" s="59">
        <v>0.59090909090909094</v>
      </c>
      <c r="AP128" s="60">
        <v>56.25</v>
      </c>
      <c r="AQ128" s="61">
        <v>0.40909090909090912</v>
      </c>
      <c r="AR128" s="60" t="s">
        <v>78</v>
      </c>
      <c r="AS128" s="62">
        <v>210</v>
      </c>
      <c r="AT128" s="62">
        <v>60</v>
      </c>
      <c r="AU128" s="62">
        <v>270</v>
      </c>
      <c r="AV128" s="62">
        <v>337.5</v>
      </c>
      <c r="AW128" s="47" t="s">
        <v>74</v>
      </c>
      <c r="AX128" s="64">
        <v>45553</v>
      </c>
      <c r="AY128" s="64" t="s">
        <v>2104</v>
      </c>
      <c r="AZ128" s="86"/>
      <c r="BA128" s="46" t="s">
        <v>107</v>
      </c>
      <c r="BB128" s="46" t="s">
        <v>2019</v>
      </c>
      <c r="BC128" s="46" t="s">
        <v>2087</v>
      </c>
      <c r="BD128" s="46"/>
      <c r="BE128" s="46" t="e">
        <v>#REF!</v>
      </c>
      <c r="BF128" s="46" t="s">
        <v>79</v>
      </c>
      <c r="BG128" s="65">
        <v>0.5</v>
      </c>
      <c r="BH128" s="66" t="s">
        <v>2105</v>
      </c>
      <c r="BI128" s="63" t="s">
        <v>2106</v>
      </c>
    </row>
    <row r="129" spans="1:61" ht="318.75" x14ac:dyDescent="0.2">
      <c r="A129" s="45" t="s">
        <v>2107</v>
      </c>
      <c r="B129" s="46"/>
      <c r="C129" s="46" t="s">
        <v>2108</v>
      </c>
      <c r="D129" s="46" t="s">
        <v>2102</v>
      </c>
      <c r="E129" s="46" t="s">
        <v>68</v>
      </c>
      <c r="F129" s="46" t="s">
        <v>68</v>
      </c>
      <c r="G129" s="46" t="s">
        <v>68</v>
      </c>
      <c r="H129" s="46" t="s">
        <v>68</v>
      </c>
      <c r="I129" s="46" t="s">
        <v>68</v>
      </c>
      <c r="J129" s="46" t="s">
        <v>71</v>
      </c>
      <c r="K129" s="47">
        <v>145</v>
      </c>
      <c r="L129" s="47">
        <v>30</v>
      </c>
      <c r="M129" s="47">
        <v>175</v>
      </c>
      <c r="N129" s="46" t="s">
        <v>2083</v>
      </c>
      <c r="O129" s="71" t="s">
        <v>2109</v>
      </c>
      <c r="P129" s="46" t="s">
        <v>1950</v>
      </c>
      <c r="Q129" s="46" t="s">
        <v>1347</v>
      </c>
      <c r="R129" s="46" t="s">
        <v>2079</v>
      </c>
      <c r="S129" s="49">
        <v>43.75</v>
      </c>
      <c r="T129" s="49">
        <v>218.75</v>
      </c>
      <c r="U129" s="67">
        <v>0.42571428571428571</v>
      </c>
      <c r="V129" s="67">
        <v>0.46585365853658539</v>
      </c>
      <c r="W129" s="51">
        <v>0.20689655172413793</v>
      </c>
      <c r="X129" s="52">
        <v>21.875</v>
      </c>
      <c r="Y129" s="52">
        <v>30</v>
      </c>
      <c r="Z129" s="52">
        <v>73.75</v>
      </c>
      <c r="AA129" s="52">
        <v>125.625</v>
      </c>
      <c r="AB129" s="53">
        <v>0.57428571428571429</v>
      </c>
      <c r="AC129" s="54">
        <v>93.125</v>
      </c>
      <c r="AD129" s="55">
        <v>0.42571428571428571</v>
      </c>
      <c r="AE129" s="56">
        <v>2</v>
      </c>
      <c r="AF129" s="57" t="s">
        <v>72</v>
      </c>
      <c r="AG129" s="58">
        <v>72.5</v>
      </c>
      <c r="AH129" s="58">
        <v>30</v>
      </c>
      <c r="AI129" s="58">
        <v>102.5</v>
      </c>
      <c r="AJ129" s="49">
        <v>25.625</v>
      </c>
      <c r="AK129" s="49">
        <v>128.125</v>
      </c>
      <c r="AL129" s="52">
        <v>12.8125</v>
      </c>
      <c r="AM129" s="52">
        <v>55.625</v>
      </c>
      <c r="AN129" s="52">
        <v>68.4375</v>
      </c>
      <c r="AO129" s="59">
        <v>0.53414634146341466</v>
      </c>
      <c r="AP129" s="60">
        <v>59.6875</v>
      </c>
      <c r="AQ129" s="61">
        <v>0.46585365853658539</v>
      </c>
      <c r="AR129" s="60" t="s">
        <v>78</v>
      </c>
      <c r="AS129" s="62">
        <v>218</v>
      </c>
      <c r="AT129" s="62">
        <v>45</v>
      </c>
      <c r="AU129" s="62">
        <v>263</v>
      </c>
      <c r="AV129" s="62">
        <v>328.75</v>
      </c>
      <c r="AW129" s="47" t="s">
        <v>74</v>
      </c>
      <c r="AX129" s="64">
        <v>45553</v>
      </c>
      <c r="AY129" s="64" t="s">
        <v>2110</v>
      </c>
      <c r="AZ129" s="86"/>
      <c r="BA129" s="46" t="s">
        <v>107</v>
      </c>
      <c r="BB129" s="46" t="s">
        <v>2019</v>
      </c>
      <c r="BC129" s="46" t="s">
        <v>2087</v>
      </c>
      <c r="BD129" s="46"/>
      <c r="BE129" s="46" t="e">
        <v>#REF!</v>
      </c>
      <c r="BF129" s="46" t="s">
        <v>79</v>
      </c>
      <c r="BG129" s="65">
        <v>0.5</v>
      </c>
      <c r="BH129" s="66" t="s">
        <v>2111</v>
      </c>
      <c r="BI129" s="63" t="s">
        <v>2112</v>
      </c>
    </row>
    <row r="130" spans="1:61" ht="318.75" x14ac:dyDescent="0.2">
      <c r="A130" s="45" t="s">
        <v>2113</v>
      </c>
      <c r="B130" s="46"/>
      <c r="C130" s="46" t="s">
        <v>2114</v>
      </c>
      <c r="D130" s="46" t="s">
        <v>2102</v>
      </c>
      <c r="E130" s="46" t="s">
        <v>68</v>
      </c>
      <c r="F130" s="46" t="s">
        <v>68</v>
      </c>
      <c r="G130" s="46" t="s">
        <v>68</v>
      </c>
      <c r="H130" s="46" t="s">
        <v>68</v>
      </c>
      <c r="I130" s="46" t="s">
        <v>68</v>
      </c>
      <c r="J130" s="46" t="s">
        <v>71</v>
      </c>
      <c r="K130" s="47">
        <v>140</v>
      </c>
      <c r="L130" s="47">
        <v>80</v>
      </c>
      <c r="M130" s="47">
        <v>220</v>
      </c>
      <c r="N130" s="46" t="s">
        <v>2083</v>
      </c>
      <c r="O130" s="71" t="s">
        <v>2115</v>
      </c>
      <c r="P130" s="46" t="s">
        <v>1950</v>
      </c>
      <c r="Q130" s="46" t="s">
        <v>1347</v>
      </c>
      <c r="R130" s="46" t="s">
        <v>2079</v>
      </c>
      <c r="S130" s="49">
        <v>55</v>
      </c>
      <c r="T130" s="49">
        <v>275</v>
      </c>
      <c r="U130" s="67">
        <v>0.3</v>
      </c>
      <c r="V130" s="50">
        <v>0.10740740740740741</v>
      </c>
      <c r="W130" s="51">
        <v>0.5714285714285714</v>
      </c>
      <c r="X130" s="52">
        <v>27.5</v>
      </c>
      <c r="Y130" s="52">
        <v>30</v>
      </c>
      <c r="Z130" s="52">
        <v>135</v>
      </c>
      <c r="AA130" s="52">
        <v>192.5</v>
      </c>
      <c r="AB130" s="53">
        <v>0.7</v>
      </c>
      <c r="AC130" s="68">
        <v>82.5</v>
      </c>
      <c r="AD130" s="55">
        <v>0.3</v>
      </c>
      <c r="AE130" s="69">
        <v>1</v>
      </c>
      <c r="AF130" s="57" t="s">
        <v>77</v>
      </c>
      <c r="AG130" s="58">
        <v>28</v>
      </c>
      <c r="AH130" s="58">
        <v>80</v>
      </c>
      <c r="AI130" s="58">
        <v>108</v>
      </c>
      <c r="AJ130" s="49">
        <v>27</v>
      </c>
      <c r="AK130" s="49">
        <v>135</v>
      </c>
      <c r="AL130" s="52">
        <v>13.5</v>
      </c>
      <c r="AM130" s="52">
        <v>107</v>
      </c>
      <c r="AN130" s="52">
        <v>120.5</v>
      </c>
      <c r="AO130" s="59">
        <v>0.8925925925925926</v>
      </c>
      <c r="AP130" s="60">
        <v>14.5</v>
      </c>
      <c r="AQ130" s="61">
        <v>0.10740740740740741</v>
      </c>
      <c r="AR130" s="60" t="s">
        <v>73</v>
      </c>
      <c r="AS130" s="62">
        <v>182</v>
      </c>
      <c r="AT130" s="62">
        <v>104</v>
      </c>
      <c r="AU130" s="62">
        <v>286</v>
      </c>
      <c r="AV130" s="62">
        <v>357.5</v>
      </c>
      <c r="AW130" s="47" t="s">
        <v>74</v>
      </c>
      <c r="AX130" s="64">
        <v>45553</v>
      </c>
      <c r="AY130" s="64" t="s">
        <v>2116</v>
      </c>
      <c r="AZ130" s="86"/>
      <c r="BA130" s="46" t="s">
        <v>107</v>
      </c>
      <c r="BB130" s="46" t="s">
        <v>2019</v>
      </c>
      <c r="BC130" s="46" t="s">
        <v>2087</v>
      </c>
      <c r="BD130" s="46"/>
      <c r="BE130" s="46" t="e">
        <v>#REF!</v>
      </c>
      <c r="BF130" s="46" t="s">
        <v>79</v>
      </c>
      <c r="BG130" s="65">
        <v>0.25</v>
      </c>
      <c r="BH130" s="66" t="s">
        <v>2117</v>
      </c>
      <c r="BI130" s="63" t="s">
        <v>2118</v>
      </c>
    </row>
    <row r="131" spans="1:61" ht="38.25" x14ac:dyDescent="0.2">
      <c r="A131" s="45" t="s">
        <v>2119</v>
      </c>
      <c r="B131" s="46"/>
      <c r="C131" s="46" t="s">
        <v>2120</v>
      </c>
      <c r="D131" s="46" t="s">
        <v>68</v>
      </c>
      <c r="E131" s="46" t="s">
        <v>68</v>
      </c>
      <c r="F131" s="46" t="s">
        <v>68</v>
      </c>
      <c r="G131" s="46" t="s">
        <v>68</v>
      </c>
      <c r="H131" s="46" t="s">
        <v>68</v>
      </c>
      <c r="I131" s="46" t="s">
        <v>68</v>
      </c>
      <c r="J131" s="46" t="s">
        <v>71</v>
      </c>
      <c r="K131" s="47">
        <v>145</v>
      </c>
      <c r="L131" s="47">
        <v>30</v>
      </c>
      <c r="M131" s="47">
        <v>175</v>
      </c>
      <c r="N131" s="46" t="s">
        <v>2083</v>
      </c>
      <c r="O131" s="71" t="s">
        <v>2121</v>
      </c>
      <c r="P131" s="46" t="s">
        <v>1950</v>
      </c>
      <c r="Q131" s="46" t="s">
        <v>1347</v>
      </c>
      <c r="R131" s="46" t="s">
        <v>2079</v>
      </c>
      <c r="S131" s="49">
        <v>43.75</v>
      </c>
      <c r="T131" s="49">
        <v>218.75</v>
      </c>
      <c r="U131" s="67">
        <v>0.42571428571428571</v>
      </c>
      <c r="V131" s="67">
        <v>0.46585365853658539</v>
      </c>
      <c r="W131" s="51">
        <v>0.20689655172413793</v>
      </c>
      <c r="X131" s="52">
        <v>21.875</v>
      </c>
      <c r="Y131" s="52">
        <v>30</v>
      </c>
      <c r="Z131" s="52">
        <v>73.75</v>
      </c>
      <c r="AA131" s="52">
        <v>125.625</v>
      </c>
      <c r="AB131" s="53">
        <v>0.57428571428571429</v>
      </c>
      <c r="AC131" s="54">
        <v>93.125</v>
      </c>
      <c r="AD131" s="55">
        <v>0.42571428571428571</v>
      </c>
      <c r="AE131" s="56">
        <v>2</v>
      </c>
      <c r="AF131" s="57" t="s">
        <v>72</v>
      </c>
      <c r="AG131" s="58">
        <v>72.5</v>
      </c>
      <c r="AH131" s="58">
        <v>30</v>
      </c>
      <c r="AI131" s="58">
        <v>102.5</v>
      </c>
      <c r="AJ131" s="49">
        <v>25.625</v>
      </c>
      <c r="AK131" s="49">
        <v>128.125</v>
      </c>
      <c r="AL131" s="52">
        <v>12.8125</v>
      </c>
      <c r="AM131" s="52">
        <v>55.625</v>
      </c>
      <c r="AN131" s="52">
        <v>68.4375</v>
      </c>
      <c r="AO131" s="59">
        <v>0.53414634146341466</v>
      </c>
      <c r="AP131" s="60">
        <v>59.6875</v>
      </c>
      <c r="AQ131" s="61">
        <v>0.46585365853658539</v>
      </c>
      <c r="AR131" s="60" t="s">
        <v>78</v>
      </c>
      <c r="AS131" s="62">
        <v>218</v>
      </c>
      <c r="AT131" s="62">
        <v>45</v>
      </c>
      <c r="AU131" s="62">
        <v>263</v>
      </c>
      <c r="AV131" s="62">
        <v>328.75</v>
      </c>
      <c r="AW131" s="47" t="s">
        <v>74</v>
      </c>
      <c r="AX131" s="64">
        <v>45553</v>
      </c>
      <c r="AY131" s="64" t="s">
        <v>2122</v>
      </c>
      <c r="AZ131" s="86"/>
      <c r="BA131" s="46" t="s">
        <v>74</v>
      </c>
      <c r="BB131" s="24"/>
      <c r="BC131" s="24"/>
      <c r="BD131" s="46"/>
      <c r="BE131" s="46" t="e">
        <v>#REF!</v>
      </c>
      <c r="BF131" s="46" t="s">
        <v>79</v>
      </c>
      <c r="BG131" s="65">
        <v>0.5</v>
      </c>
      <c r="BH131" s="66" t="s">
        <v>2123</v>
      </c>
      <c r="BI131" s="63" t="s">
        <v>2120</v>
      </c>
    </row>
    <row r="132" spans="1:61" ht="12.75" x14ac:dyDescent="0.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row>
    <row r="133" spans="1:61" ht="12.75" x14ac:dyDescent="0.2">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row>
    <row r="134" spans="1:61" ht="12.75" x14ac:dyDescent="0.2">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row>
    <row r="135" spans="1:61" ht="12.75" x14ac:dyDescent="0.2">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row>
    <row r="136" spans="1:61" ht="12.75" x14ac:dyDescent="0.2">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row>
    <row r="137" spans="1:61" ht="12.75" x14ac:dyDescent="0.2">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row>
    <row r="138" spans="1:61" ht="12.75" x14ac:dyDescent="0.2">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row>
    <row r="139" spans="1:61" ht="12.75" x14ac:dyDescent="0.2">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row>
    <row r="140" spans="1:61" ht="12.75" x14ac:dyDescent="0.2">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row>
    <row r="141" spans="1:61" ht="12.75" x14ac:dyDescent="0.2">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row>
    <row r="142" spans="1:61" ht="12.75" x14ac:dyDescent="0.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row>
    <row r="143" spans="1:61" ht="12.75" x14ac:dyDescent="0.2">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row>
    <row r="144" spans="1:61" ht="12.75" x14ac:dyDescent="0.2">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row>
    <row r="145" spans="1:61" ht="12.75" x14ac:dyDescent="0.2">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row>
    <row r="146" spans="1:61" ht="12.75" x14ac:dyDescent="0.2">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row>
    <row r="147" spans="1:61" ht="12.75" x14ac:dyDescent="0.2">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row>
    <row r="148" spans="1:61" ht="12.75" x14ac:dyDescent="0.2">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row>
    <row r="149" spans="1:61" ht="12.75" x14ac:dyDescent="0.2">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row>
    <row r="150" spans="1:61" ht="12.75" x14ac:dyDescent="0.2">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row>
    <row r="151" spans="1:61" ht="12.75" x14ac:dyDescent="0.2">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row>
    <row r="152" spans="1:61" ht="12.75" x14ac:dyDescent="0.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row>
    <row r="153" spans="1:61" ht="12.75" x14ac:dyDescent="0.2">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row>
    <row r="154" spans="1:61" ht="12.75" x14ac:dyDescent="0.2">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row>
    <row r="155" spans="1:61" ht="12.75" x14ac:dyDescent="0.2">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row>
    <row r="156" spans="1:61" ht="12.75" x14ac:dyDescent="0.2">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row>
    <row r="157" spans="1:61" ht="12.75" x14ac:dyDescent="0.2">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row>
    <row r="158" spans="1:61" ht="12.75" x14ac:dyDescent="0.2">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row>
    <row r="159" spans="1:61" ht="12.75" x14ac:dyDescent="0.2">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row>
    <row r="160" spans="1:61" ht="12.75" x14ac:dyDescent="0.2">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row>
    <row r="161" spans="1:61" ht="12.75" x14ac:dyDescent="0.2">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row>
    <row r="162" spans="1:61" ht="12.75" x14ac:dyDescent="0.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row>
    <row r="163" spans="1:61" ht="12.75" x14ac:dyDescent="0.2">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row>
    <row r="164" spans="1:61" ht="12.75" x14ac:dyDescent="0.2">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row>
    <row r="165" spans="1:61" ht="12.75" x14ac:dyDescent="0.2">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row>
    <row r="166" spans="1:61" ht="12.75" x14ac:dyDescent="0.2">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row>
    <row r="167" spans="1:61" ht="12.75" x14ac:dyDescent="0.2">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row>
    <row r="168" spans="1:61" ht="12.75" x14ac:dyDescent="0.2">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row>
    <row r="169" spans="1:61" ht="12.75" x14ac:dyDescent="0.2">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row>
    <row r="170" spans="1:61" ht="12.75" x14ac:dyDescent="0.2">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row>
    <row r="171" spans="1:61" ht="12.75" x14ac:dyDescent="0.2">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row>
    <row r="172" spans="1:61" ht="12.75" x14ac:dyDescent="0.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row>
    <row r="173" spans="1:61" ht="12.75" x14ac:dyDescent="0.2">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row>
    <row r="174" spans="1:61" ht="12.75" x14ac:dyDescent="0.2">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row>
    <row r="175" spans="1:61" ht="12.75" x14ac:dyDescent="0.2">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row>
    <row r="176" spans="1:61" ht="12.75" x14ac:dyDescent="0.2">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row>
    <row r="177" spans="1:61" ht="12.75" x14ac:dyDescent="0.2">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row>
    <row r="178" spans="1:61" ht="12.75" x14ac:dyDescent="0.2">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row>
    <row r="179" spans="1:61" ht="12.75" x14ac:dyDescent="0.2">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row>
    <row r="180" spans="1:61" ht="12.75" x14ac:dyDescent="0.2">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row>
    <row r="181" spans="1:61" ht="12.75" x14ac:dyDescent="0.2">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row>
    <row r="182" spans="1:61" ht="12.75" x14ac:dyDescent="0.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row>
    <row r="183" spans="1:61" ht="12.75" x14ac:dyDescent="0.2">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row>
    <row r="184" spans="1:61" ht="12.75" x14ac:dyDescent="0.2">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row>
    <row r="185" spans="1:61" ht="12.75" x14ac:dyDescent="0.2">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row>
    <row r="186" spans="1:61" ht="12.75" x14ac:dyDescent="0.2">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row>
    <row r="187" spans="1:61" ht="12.75" x14ac:dyDescent="0.2">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row>
    <row r="188" spans="1:61" ht="12.75" x14ac:dyDescent="0.2">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row>
    <row r="189" spans="1:61" ht="12.75" x14ac:dyDescent="0.2">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row>
    <row r="190" spans="1:61" ht="12.75" x14ac:dyDescent="0.2">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row>
    <row r="191" spans="1:61" ht="12.75" x14ac:dyDescent="0.2">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row>
    <row r="192" spans="1:61" ht="12.75" x14ac:dyDescent="0.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row>
    <row r="193" spans="1:61" ht="12.75" x14ac:dyDescent="0.2">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row>
    <row r="194" spans="1:61" ht="12.75" x14ac:dyDescent="0.2">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row>
    <row r="195" spans="1:61" ht="12.75" x14ac:dyDescent="0.2">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row>
    <row r="196" spans="1:61" ht="12.75" x14ac:dyDescent="0.2">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row>
    <row r="197" spans="1:61" ht="12.75" x14ac:dyDescent="0.2">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row>
    <row r="198" spans="1:61" ht="12.75" x14ac:dyDescent="0.2">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row>
    <row r="199" spans="1:61" ht="12.75" x14ac:dyDescent="0.2">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row>
    <row r="200" spans="1:61" ht="12.75" x14ac:dyDescent="0.2">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row>
    <row r="201" spans="1:61" ht="12.75" x14ac:dyDescent="0.2">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row>
    <row r="202" spans="1:61" ht="12.75" x14ac:dyDescent="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row>
    <row r="203" spans="1:61" ht="12.75" x14ac:dyDescent="0.2">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row>
    <row r="204" spans="1:61" ht="12.75" x14ac:dyDescent="0.2">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row>
    <row r="205" spans="1:61" ht="12.75" x14ac:dyDescent="0.2">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row>
    <row r="206" spans="1:61" ht="12.75" x14ac:dyDescent="0.2">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row>
    <row r="207" spans="1:61" ht="12.75" x14ac:dyDescent="0.2">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row>
    <row r="208" spans="1:61" ht="12.75" x14ac:dyDescent="0.2">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row>
    <row r="209" spans="1:61" ht="12.75" x14ac:dyDescent="0.2">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row>
    <row r="210" spans="1:61" ht="12.75" x14ac:dyDescent="0.2">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row>
    <row r="211" spans="1:61" ht="12.75" x14ac:dyDescent="0.2">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row>
    <row r="212" spans="1:61" ht="12.75" x14ac:dyDescent="0.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row>
    <row r="213" spans="1:61" ht="12.75" x14ac:dyDescent="0.2">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row>
    <row r="214" spans="1:61" ht="12.75" x14ac:dyDescent="0.2">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row>
    <row r="215" spans="1:61" ht="12.75" x14ac:dyDescent="0.2">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row>
    <row r="216" spans="1:61" ht="12.75" x14ac:dyDescent="0.2">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row>
    <row r="217" spans="1:61" ht="12.75" x14ac:dyDescent="0.2">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row>
    <row r="218" spans="1:61" ht="12.75" x14ac:dyDescent="0.2">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row>
    <row r="219" spans="1:61" ht="12.75" x14ac:dyDescent="0.2">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row>
    <row r="220" spans="1:61" ht="12.75" x14ac:dyDescent="0.2">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row>
    <row r="221" spans="1:61" ht="12.75" x14ac:dyDescent="0.2">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row>
    <row r="222" spans="1:61" ht="12.75" x14ac:dyDescent="0.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row>
    <row r="223" spans="1:61" ht="12.75" x14ac:dyDescent="0.2">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row>
    <row r="224" spans="1:61" ht="12.75" x14ac:dyDescent="0.2">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row>
    <row r="225" spans="1:61" ht="12.75" x14ac:dyDescent="0.2">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row>
    <row r="226" spans="1:61" ht="12.75" x14ac:dyDescent="0.2">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row>
    <row r="227" spans="1:61" ht="12.75" x14ac:dyDescent="0.2">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row>
    <row r="228" spans="1:61" ht="12.75" x14ac:dyDescent="0.2">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row>
    <row r="229" spans="1:61" ht="12.75" x14ac:dyDescent="0.2">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row>
    <row r="230" spans="1:61" ht="12.75" x14ac:dyDescent="0.2">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row>
    <row r="231" spans="1:61" ht="12.75" x14ac:dyDescent="0.2">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row>
    <row r="232" spans="1:61" ht="12.75" x14ac:dyDescent="0.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row>
    <row r="233" spans="1:61" ht="12.75" x14ac:dyDescent="0.2">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row>
    <row r="234" spans="1:61" ht="12.75" x14ac:dyDescent="0.2">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row>
    <row r="235" spans="1:61" ht="12.75" x14ac:dyDescent="0.2">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row>
    <row r="236" spans="1:61" ht="12.75" x14ac:dyDescent="0.2">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row>
    <row r="237" spans="1:61" ht="12.75" x14ac:dyDescent="0.2">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row>
    <row r="238" spans="1:61" ht="12.75" x14ac:dyDescent="0.2">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row>
    <row r="239" spans="1:61" ht="12.75" x14ac:dyDescent="0.2">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row>
    <row r="240" spans="1:61" ht="12.75" x14ac:dyDescent="0.2">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row>
    <row r="241" spans="1:61" ht="12.75" x14ac:dyDescent="0.2">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row>
    <row r="242" spans="1:61" ht="12.75" x14ac:dyDescent="0.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row>
    <row r="243" spans="1:61" ht="12.75" x14ac:dyDescent="0.2">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row>
    <row r="244" spans="1:61" ht="12.75" x14ac:dyDescent="0.2">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row>
    <row r="245" spans="1:61" ht="12.75" x14ac:dyDescent="0.2">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row>
    <row r="246" spans="1:61" ht="12.75" x14ac:dyDescent="0.2">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row>
    <row r="247" spans="1:61" ht="12.75" x14ac:dyDescent="0.2">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row>
    <row r="248" spans="1:61" ht="12.75" x14ac:dyDescent="0.2">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row>
    <row r="249" spans="1:61" ht="12.75" x14ac:dyDescent="0.2">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row>
    <row r="250" spans="1:61" ht="12.75" x14ac:dyDescent="0.2">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row>
    <row r="251" spans="1:61" ht="12.75" x14ac:dyDescent="0.2">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row>
    <row r="252" spans="1:61" ht="12.75" x14ac:dyDescent="0.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row>
    <row r="253" spans="1:61" ht="12.75" x14ac:dyDescent="0.2">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row>
    <row r="254" spans="1:61" ht="12.75" x14ac:dyDescent="0.2">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row>
    <row r="255" spans="1:61" ht="12.75" x14ac:dyDescent="0.2">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row>
    <row r="256" spans="1:61" ht="12.75" x14ac:dyDescent="0.2">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row>
    <row r="257" spans="1:61" ht="12.75" x14ac:dyDescent="0.2">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row>
    <row r="258" spans="1:61" ht="12.75" x14ac:dyDescent="0.2">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row>
    <row r="259" spans="1:61" ht="12.75" x14ac:dyDescent="0.2">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row>
    <row r="260" spans="1:61" ht="12.75" x14ac:dyDescent="0.2">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row>
    <row r="261" spans="1:61" ht="12.75" x14ac:dyDescent="0.2">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row>
    <row r="262" spans="1:61" ht="12.75" x14ac:dyDescent="0.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row>
    <row r="263" spans="1:61" ht="12.75" x14ac:dyDescent="0.2">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row>
    <row r="264" spans="1:61" ht="12.75" x14ac:dyDescent="0.2">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row>
    <row r="265" spans="1:61" ht="12.75" x14ac:dyDescent="0.2">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row>
    <row r="266" spans="1:61" ht="12.75" x14ac:dyDescent="0.2">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row>
    <row r="267" spans="1:61" ht="12.75" x14ac:dyDescent="0.2">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row>
    <row r="268" spans="1:61" ht="12.75" x14ac:dyDescent="0.2">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row>
    <row r="269" spans="1:61" ht="12.75" x14ac:dyDescent="0.2">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row>
    <row r="270" spans="1:61" ht="12.75" x14ac:dyDescent="0.2">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row>
    <row r="271" spans="1:61" ht="12.75" x14ac:dyDescent="0.2">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row>
    <row r="272" spans="1:61" ht="12.75" x14ac:dyDescent="0.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row>
    <row r="273" spans="1:61" ht="12.75" x14ac:dyDescent="0.2">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row>
    <row r="274" spans="1:61" ht="12.75" x14ac:dyDescent="0.2">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row>
    <row r="275" spans="1:61" ht="12.75" x14ac:dyDescent="0.2">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row>
    <row r="276" spans="1:61" ht="12.75" x14ac:dyDescent="0.2">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row>
    <row r="277" spans="1:61" ht="12.75" x14ac:dyDescent="0.2">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row>
    <row r="278" spans="1:61" ht="12.75" x14ac:dyDescent="0.2">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row>
    <row r="279" spans="1:61" ht="12.75" x14ac:dyDescent="0.2">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row>
    <row r="280" spans="1:61" ht="12.75" x14ac:dyDescent="0.2">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row>
    <row r="281" spans="1:61" ht="12.75" x14ac:dyDescent="0.2">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row>
    <row r="282" spans="1:61" ht="12.75" x14ac:dyDescent="0.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row>
    <row r="283" spans="1:61" ht="12.75" x14ac:dyDescent="0.2">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row>
    <row r="284" spans="1:61" ht="12.75" x14ac:dyDescent="0.2">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row>
    <row r="285" spans="1:61" ht="12.75" x14ac:dyDescent="0.2">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row>
    <row r="286" spans="1:61" ht="12.75" x14ac:dyDescent="0.2">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row>
    <row r="287" spans="1:61" ht="12.75" x14ac:dyDescent="0.2">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row>
    <row r="288" spans="1:61" ht="12.75" x14ac:dyDescent="0.2">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row>
    <row r="289" spans="1:61" ht="12.75" x14ac:dyDescent="0.2">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row>
    <row r="290" spans="1:61" ht="12.75" x14ac:dyDescent="0.2">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row>
    <row r="291" spans="1:61" ht="12.75"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spans="1:61" ht="12.75"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spans="1:61" ht="12.75"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spans="1:61" ht="12.75"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spans="1:61" ht="12.75"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spans="1:61" ht="12.75"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spans="1:61" ht="12.75"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spans="1:61" ht="12.75"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spans="1:61" ht="12.75"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spans="1:61" ht="12.75"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spans="1:61" ht="12.75"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spans="1:61" ht="12.75"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spans="1:61" ht="12.75"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spans="1:61" ht="12.75"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spans="1:61" ht="12.75"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spans="1:61" ht="12.75"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spans="1:61" ht="12.75"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spans="1:61" ht="12.75"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spans="1:61" ht="12.75"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spans="1:61" ht="12.75"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spans="1:61" ht="12.75"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spans="1:61" ht="12.75"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spans="1:61" ht="12.75"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spans="1:61" ht="12.75"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spans="1:61" ht="12.75"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spans="1:61" ht="12.75"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spans="1:61" ht="12.75"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spans="1:61" ht="12.75"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spans="1:61" ht="12.75"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spans="1:61" ht="12.75"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spans="1:61" ht="12.75"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spans="1:61" ht="12.75"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spans="1:61" ht="12.75"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spans="1:61" ht="12.75"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spans="1:61" ht="12.75"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spans="1:61" ht="12.75"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spans="1:61" ht="12.75"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spans="1:61" ht="12.75"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spans="1:61" ht="12.75"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spans="1:61" ht="12.75"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spans="1:61" ht="12.75"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spans="1:61" ht="12.75"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spans="1:61" ht="12.75"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spans="1:61" ht="12.75"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spans="1:61" ht="12.75"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spans="1:61" ht="12.75"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spans="1:61" ht="12.75"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spans="1:61" ht="12.75"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spans="1:61" ht="12.75"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spans="1:61" ht="12.75"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spans="1:61" ht="12.75"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spans="1:61" ht="12.75"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spans="1:61" ht="12.75"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spans="1:61" ht="12.75"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spans="1:61" ht="12.75"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spans="1:61" ht="12.75"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spans="1:61" ht="12.75"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spans="1:61" ht="12.75"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spans="1:61" ht="12.75"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spans="1:61" ht="12.75"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spans="1:61" ht="12.75"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spans="1:61" ht="12.75"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spans="1:61" ht="12.75"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spans="1:61" ht="12.75"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spans="1:61" ht="12.75"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spans="1:61" ht="12.75"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spans="1:61" ht="12.75"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spans="1:61" ht="12.75"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spans="1:61" ht="12.75"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spans="1:61" ht="12.75"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spans="1:61" ht="12.75"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spans="1:61" ht="12.75"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spans="1:61" ht="12.75"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spans="1:61" ht="12.75"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spans="1:61" ht="12.75"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spans="1:61" ht="12.75"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spans="1:61" ht="12.75"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spans="1:61" ht="12.75"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spans="1:61" ht="12.75"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spans="1:61" ht="12.75"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spans="1:61" ht="12.75"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spans="1:61" ht="12.75"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spans="1:61" ht="12.75"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spans="1:61" ht="12.75"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spans="1:61" ht="12.75"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spans="1:61" ht="12.75"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spans="1:61" ht="12.75"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spans="1:61" ht="12.75"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spans="1:61" ht="12.75"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spans="1:61" ht="12.75"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spans="1:61" ht="12.75"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spans="1:61" ht="12.75"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spans="1:61" ht="12.75"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spans="1:61" ht="12.75"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spans="1:61" ht="12.75"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spans="1:61" ht="12.75"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spans="1:61" ht="12.75"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spans="1:61" ht="12.75"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spans="1:61" ht="12.75"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spans="1:61" ht="12.75"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spans="1:61" ht="12.75"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spans="1:61" ht="12.75"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spans="1:61" ht="12.75"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spans="1:61" ht="12.75"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spans="1:61" ht="12.75"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spans="1:61" ht="12.75"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spans="1:61" ht="12.75"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spans="1:61" ht="12.75"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spans="1:61" ht="12.75"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spans="1:61" ht="12.75"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spans="1:61" ht="12.75"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spans="1:61" ht="12.75"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spans="1:61" ht="12.75"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spans="1:61" ht="12.75"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spans="1:61" ht="12.75"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spans="1:61" ht="12.75"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spans="1:61" ht="12.75"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spans="1:61" ht="12.75"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spans="1:61" ht="12.75"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spans="1:61" ht="12.75"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spans="1:61" ht="12.75"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spans="1:61" ht="12.75"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spans="1:61" ht="12.75"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spans="1:61" ht="12.75"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spans="1:61" ht="12.75"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spans="1:61" ht="12.75"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spans="1:61" ht="12.75"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spans="1:61" ht="12.75"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spans="1:61" ht="12.75"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spans="1:61" ht="12.75"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spans="1:61" ht="12.75"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spans="1:61" ht="12.75"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spans="1:61" ht="12.75"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spans="1:61" ht="12.75"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spans="1:61" ht="12.75"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spans="1:61" ht="12.75"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spans="1:61" ht="12.75"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spans="1:61" ht="12.75"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spans="1:61" ht="12.75"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spans="1:61" ht="12.75"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spans="1:61" ht="12.75"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spans="1:61" ht="12.75"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spans="1:61" ht="12.75"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spans="1:61" ht="12.75"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spans="1:61" ht="12.75"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spans="1:61" ht="12.75"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spans="1:61" ht="12.75"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spans="1:61" ht="12.75"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spans="1:61" ht="12.75"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spans="1:61" ht="12.75"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spans="1:61" ht="12.75"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spans="1:61" ht="12.75"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spans="1:61" ht="12.75"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spans="1:61" ht="12.75"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spans="1:61" ht="12.75"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spans="1:61" ht="12.75"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spans="1:61" ht="12.75"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spans="1:61" ht="12.75"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spans="1:61" ht="12.75"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spans="1:61" ht="12.75"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spans="1:61" ht="12.75"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spans="1:61" ht="12.75"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spans="1:61" ht="12.75"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spans="1:61" ht="12.75"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spans="1:61" ht="12.75"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spans="1:61" ht="12.75"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spans="1:61" ht="12.75"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spans="1:61" ht="12.75"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spans="1:61" ht="12.75"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spans="1:61" ht="12.75"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spans="1:61" ht="12.75"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spans="1:61" ht="12.75"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spans="1:61" ht="12.75"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spans="1:61" ht="12.75"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spans="1:61" ht="12.75"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spans="1:61" ht="12.75"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spans="1:61" ht="12.75"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spans="1:61" ht="12.75"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spans="1:61" ht="12.75"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spans="1:61" ht="12.75"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spans="1:61" ht="12.75"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spans="1:61" ht="12.75"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spans="1:61" ht="12.75"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spans="1:61" ht="12.75"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spans="1:61" ht="12.75"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spans="1:61" ht="12.75"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spans="1:61" ht="12.75"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spans="1:61" ht="12.75"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spans="1:61" ht="12.75"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spans="1:61" ht="12.75"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spans="1:61" ht="12.75"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spans="1:61" ht="12.75"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spans="1:61" ht="12.75"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spans="1:61" ht="12.75"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spans="1:61" ht="12.75"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spans="1:61" ht="12.75"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spans="1:61" ht="12.75"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spans="1:61" ht="12.75"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spans="1:61" ht="12.75"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spans="1:61" ht="12.75"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spans="1:61" ht="12.75"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spans="1:61" ht="12.75"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spans="1:61" ht="12.75"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spans="1:61" ht="12.75"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spans="1:61" ht="12.75"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spans="1:61" ht="12.75"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spans="1:61" ht="12.75"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spans="1:61" ht="12.75"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spans="1:61" ht="12.75"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spans="1:61" ht="12.75"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spans="1:61" ht="12.75"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spans="1:61" ht="12.75"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spans="1:61" ht="12.75"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spans="1:61" ht="12.75"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spans="1:61" ht="12.75"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spans="1:61" ht="12.75"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spans="1:61" ht="12.75"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spans="1:61" ht="12.75"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spans="1:61" ht="12.75"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spans="1:61" ht="12.75"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spans="1:61" ht="12.75"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spans="1:61" ht="12.75"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spans="1:61" ht="12.75"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spans="1:61" ht="12.75"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spans="1:61" ht="12.75"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spans="1:61" ht="12.75"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spans="1:61" ht="12.75"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spans="1:61" ht="12.75"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spans="1:61" ht="12.75"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spans="1:61" ht="12.75"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spans="1:61" ht="12.75"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spans="1:61" ht="12.75"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spans="1:61" ht="12.75"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spans="1:61" ht="12.75"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spans="1:61" ht="12.75"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spans="1:61" ht="12.75"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spans="1:61" ht="12.75"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spans="1:61" ht="12.75"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spans="1:61" ht="12.75"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spans="1:61" ht="12.75"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spans="1:61" ht="12.75"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spans="1:61" ht="12.75"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spans="1:61" ht="12.75"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spans="1:61" ht="12.75"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spans="1:61" ht="12.75"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spans="1:61" ht="12.75"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spans="1:61" ht="12.75"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spans="1:61" ht="12.75"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spans="1:61" ht="12.75"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spans="1:61" ht="12.75"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spans="1:61" ht="12.75"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spans="1:61" ht="12.75"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spans="1:61" ht="12.75"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spans="1:61" ht="12.75"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spans="1:61" ht="12.75"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spans="1:61" ht="12.75"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spans="1:61" ht="12.75"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spans="1:61" ht="12.75"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spans="1:61" ht="12.75"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spans="1:61" ht="12.75"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spans="1:61" ht="12.75"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spans="1:61" ht="12.75"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spans="1:61" ht="12.75"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spans="1:61" ht="12.75"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spans="1:61" ht="12.75"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spans="1:61" ht="12.75"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spans="1:61" ht="12.75"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spans="1:61" ht="12.75"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spans="1:61" ht="12.75"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spans="1:61" ht="12.75"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spans="1:61" ht="12.75"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spans="1:61" ht="12.75"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spans="1:61" ht="12.75"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spans="1:61" ht="12.75"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spans="1:61" ht="12.75"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spans="1:61" ht="12.75"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spans="1:61" ht="12.75"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spans="1:61" ht="12.75"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spans="1:61" ht="12.75"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spans="1:61" ht="12.75"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spans="1:61" ht="12.75"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spans="1:61" ht="12.75"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spans="1:61" ht="12.75"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spans="1:61" ht="12.75"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spans="1:61" ht="12.75"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spans="1:61" ht="12.75"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spans="1:61" ht="12.75"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spans="1:61" ht="12.75"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spans="1:61" ht="12.75"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spans="1:61" ht="12.75"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spans="1:61" ht="12.75"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spans="1:61" ht="12.75"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spans="1:61" ht="12.75"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spans="1:61" ht="12.75"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spans="1:61" ht="12.75"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spans="1:61" ht="12.75"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spans="1:61" ht="12.75"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spans="1:61" ht="12.75"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spans="1:61" ht="12.75"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spans="1:61" ht="12.75"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spans="1:61" ht="12.75"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spans="1:61" ht="12.75"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spans="1:61" ht="12.75"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spans="1:61" ht="12.75"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spans="1:61" ht="12.75"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spans="1:61" ht="12.75"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spans="1:61" ht="12.75"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spans="1:61" ht="12.75"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spans="1:61" ht="12.75"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spans="1:61" ht="12.75"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spans="1:61" ht="12.75"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spans="1:61" ht="12.75"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spans="1:61" ht="12.75"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spans="1:61" ht="12.75"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spans="1:61" ht="12.75"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spans="1:61" ht="12.75"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spans="1:61" ht="12.75"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spans="1:61" ht="12.75"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spans="1:61" ht="12.75"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spans="1:61" ht="12.75"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spans="1:61" ht="12.75"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spans="1:61" ht="12.75"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spans="1:61" ht="12.75"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spans="1:61" ht="12.75"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spans="1:61" ht="12.75"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spans="1:61" ht="12.75"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spans="1:61" ht="12.75"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spans="1:61" ht="12.75"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spans="1:61" ht="12.75"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spans="1:61" ht="12.75"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spans="1:61" ht="12.75"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spans="1:61" ht="12.75"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spans="1:61" ht="12.75"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spans="1:61" ht="12.75"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spans="1:61" ht="12.75"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spans="1:61" ht="12.75"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spans="1:61" ht="12.75"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spans="1:61" ht="12.75"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spans="1:61" ht="12.75"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spans="1:61" ht="12.75"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spans="1:61" ht="12.75"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spans="1:61" ht="12.75"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spans="1:61" ht="12.75"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spans="1:61" ht="12.75"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spans="1:61" ht="12.75"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spans="1:61" ht="12.75"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spans="1:61" ht="12.75"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spans="1:61" ht="12.75"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spans="1:61" ht="12.75"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spans="1:61" ht="12.75"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spans="1:61" ht="12.75"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spans="1:61" ht="12.75"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spans="1:61" ht="12.75"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spans="1:61" ht="12.75"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spans="1:61" ht="12.75"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spans="1:61" ht="12.75"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spans="1:61" ht="12.75"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spans="1:61" ht="12.75"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spans="1:61" ht="12.75"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spans="1:61" ht="12.75"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spans="1:61" ht="12.75"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spans="1:61" ht="12.75"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spans="1:61" ht="12.75"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spans="1:61" ht="12.75"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spans="1:61" ht="12.75"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spans="1:61" ht="12.75"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spans="1:61" ht="12.75"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spans="1:61" ht="12.75"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spans="1:61" ht="12.75"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spans="1:61" ht="12.75"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spans="1:61" ht="12.75"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spans="1:61" ht="12.75"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spans="1:61" ht="12.75"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spans="1:61" ht="12.75"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spans="1:61" ht="12.75"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spans="1:61" ht="12.75"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spans="1:61" ht="12.75"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spans="1:61" ht="12.75"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spans="1:61" ht="12.75"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spans="1:61" ht="12.75"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spans="1:61" ht="12.75"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spans="1:61" ht="12.75"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spans="1:61" ht="12.75"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spans="1:61" ht="12.75"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spans="1:61" ht="12.75"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spans="1:61" ht="12.75"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spans="1:61" ht="12.75"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spans="1:61" ht="12.75"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spans="1:61" ht="12.75"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spans="1:61" ht="12.75"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spans="1:61" ht="12.75"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spans="1:61" ht="12.75"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spans="1:61" ht="12.75"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spans="1:61" ht="12.75"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spans="1:61" ht="12.75"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spans="1:61" ht="12.75"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spans="1:61" ht="12.75"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spans="1:61" ht="12.75"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spans="1:61" ht="12.75"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spans="1:61" ht="12.75"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spans="1:61" ht="12.75"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spans="1:61" ht="12.75"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spans="1:61" ht="12.75"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spans="1:61" ht="12.75"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spans="1:61" ht="12.75"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spans="1:61" ht="12.75"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spans="1:61" ht="12.75"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spans="1:61" ht="12.75"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spans="1:61" ht="12.75"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spans="1:61" ht="12.75"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spans="1:61" ht="12.75"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spans="1:61" ht="12.75"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spans="1:61" ht="12.75"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spans="1:61" ht="12.75"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spans="1:61" ht="12.75"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spans="1:61" ht="12.75"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spans="1:61" ht="12.75"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spans="1:61" ht="12.75"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spans="1:61" ht="12.75"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spans="1:61" ht="12.75"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spans="1:61" ht="12.75"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spans="1:61" ht="12.75"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spans="1:61" ht="12.75"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spans="1:61" ht="12.75"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spans="1:61" ht="12.75"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spans="1:61" ht="12.75"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spans="1:61" ht="12.75"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spans="1:61" ht="12.75"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spans="1:61" ht="12.75"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spans="1:61" ht="12.75"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spans="1:61" ht="12.75"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spans="1:61" ht="12.75"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spans="1:61" ht="12.75"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spans="1:61" ht="12.75"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spans="1:61" ht="12.75"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spans="1:61" ht="12.75"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spans="1:61" ht="12.75"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spans="1:61" ht="12.75"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spans="1:61" ht="12.75"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spans="1:61" ht="12.75"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spans="1:61" ht="12.75"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spans="1:61" ht="12.75"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spans="1:61" ht="12.75"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spans="1:61" ht="12.75"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spans="1:61" ht="12.75"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spans="1:61" ht="12.75"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spans="1:61" ht="12.75"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spans="1:61" ht="12.75"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spans="1:61" ht="12.75"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spans="1:61" ht="12.75"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spans="1:61" ht="12.75"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spans="1:61" ht="12.75"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spans="1:61" ht="12.75"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spans="1:61" ht="12.75"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spans="1:61" ht="12.75"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spans="1:61" ht="12.75"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spans="1:61" ht="12.75"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spans="1:61" ht="12.75"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spans="1:61" ht="12.75"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spans="1:61" ht="12.75"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spans="1:61" ht="12.75"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spans="1:61" ht="12.75"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spans="1:61" ht="12.75"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spans="1:61" ht="12.75"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spans="1:61" ht="12.75"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spans="1:61" ht="12.75"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spans="1:61" ht="12.75"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spans="1:61" ht="12.75"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spans="1:61" ht="12.75"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spans="1:61" ht="12.75"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spans="1:61" ht="12.75"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spans="1:61" ht="12.75"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spans="1:61" ht="12.75"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spans="1:61" ht="12.75"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spans="1:61" ht="12.75"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spans="1:61" ht="12.75"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spans="1:61" ht="12.75"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spans="1:61" ht="12.75"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spans="1:61" ht="12.75"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spans="1:61" ht="12.75"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spans="1:61" ht="12.75"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spans="1:61" ht="12.75"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spans="1:61" ht="12.75"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spans="1:61" ht="12.75"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spans="1:61" ht="12.75"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spans="1:61" ht="12.75"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spans="1:61" ht="12.75"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spans="1:61" ht="12.75"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spans="1:61" ht="12.75"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spans="1:61" ht="12.75"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spans="1:61" ht="12.75"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spans="1:61" ht="12.75"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spans="1:61" ht="12.75"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spans="1:61" ht="12.75"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spans="1:61" ht="12.75"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spans="1:61" ht="12.75"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spans="1:61" ht="12.75"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spans="1:61" ht="12.75"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spans="1:61" ht="12.75"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spans="1:61" ht="12.75"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spans="1:61" ht="12.75"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spans="1:61" ht="12.75"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spans="1:61" ht="12.75"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spans="1:61" ht="12.75"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spans="1:61" ht="12.75"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spans="1:61" ht="12.75"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spans="1:61" ht="12.75"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spans="1:61" ht="12.75"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spans="1:61" ht="12.75"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spans="1:61" ht="12.75"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spans="1:61" ht="12.75"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spans="1:61" ht="12.75"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spans="1:61" ht="12.75"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spans="1:61" ht="12.75"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spans="1:61" ht="12.75"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spans="1:61" ht="12.75"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spans="1:61" ht="12.75"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spans="1:61" ht="12.75"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spans="1:61" ht="12.75"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spans="1:61" ht="12.75"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spans="1:61" ht="12.75"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spans="1:61" ht="12.75"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spans="1:61" ht="12.75"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spans="1:61" ht="12.75"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spans="1:61" ht="12.75"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spans="1:61" ht="12.75"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spans="1:61" ht="12.75"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spans="1:61" ht="12.75"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spans="1:61" ht="12.75"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spans="1:61" ht="12.75"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spans="1:61" ht="12.75"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spans="1:61" ht="12.75"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spans="1:61" ht="12.75"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spans="1:61" ht="12.75"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spans="1:61" ht="12.75"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spans="1:61" ht="12.75"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spans="1:61" ht="12.75"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spans="1:61" ht="12.75"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spans="1:61" ht="12.75"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spans="1:61" ht="12.75"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spans="1:61" ht="12.75"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spans="1:61" ht="12.75"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spans="1:61" ht="12.75"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spans="1:61" ht="12.75"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spans="1:61" ht="12.75"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spans="1:61" ht="12.75"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spans="1:61" ht="12.75"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spans="1:61" ht="12.75"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spans="1:61" ht="12.75"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spans="1:61" ht="12.75"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spans="1:61" ht="12.75"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spans="1:61" ht="12.75"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spans="1:61" ht="12.75"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spans="1:61" ht="12.75"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spans="1:61" ht="12.75"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spans="1:61" ht="12.75"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spans="1:61" ht="12.75"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spans="1:61" ht="12.75"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spans="1:61" ht="12.75"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spans="1:61" ht="12.75"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spans="1:61" ht="12.75"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spans="1:61" ht="12.75"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spans="1:61" ht="12.75"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spans="1:61" ht="12.75"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spans="1:61" ht="12.75"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spans="1:61" ht="12.75"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spans="1:61" ht="12.75"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spans="1:61" ht="12.75"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spans="1:61" ht="12.75"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spans="1:61" ht="12.75"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spans="1:61" ht="12.75"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spans="1:61" ht="12.75"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spans="1:61" ht="12.75"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spans="1:61" ht="12.75"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spans="1:61" ht="12.75"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spans="1:61" ht="12.75"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spans="1:61" ht="12.75"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spans="1:61" ht="12.75"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spans="1:61" ht="12.75"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spans="1:61" ht="12.75"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spans="1:61" ht="12.75"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spans="1:61" ht="12.75"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spans="1:61" ht="12.75"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spans="1:61" ht="12.75"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spans="1:61" ht="12.75"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spans="1:61" ht="12.75"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spans="1:61" ht="12.75"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spans="1:61" ht="12.75"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spans="1:61" ht="12.75"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spans="1:61" ht="12.75"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spans="1:61" ht="12.75"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spans="1:61" ht="12.75"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spans="1:61" ht="12.75"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spans="1:61" ht="12.75"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spans="1:61" ht="12.75"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spans="1:61" ht="12.75"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spans="1:61" ht="12.75"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spans="1:61" ht="12.75"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spans="1:61" ht="12.75"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spans="1:61" ht="12.75"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spans="1:61" ht="12.75"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spans="1:61" ht="12.75"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spans="1:61" ht="12.75"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spans="1:61" ht="12.75"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spans="1:61" ht="12.75"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spans="1:61" ht="12.75"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spans="1:61" ht="12.75"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spans="1:61" ht="12.75"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spans="1:61" ht="12.75"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spans="1:61" ht="12.75"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spans="1:61" ht="12.75"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spans="1:61" ht="12.75"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spans="1:61" ht="12.75"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spans="1:61" ht="12.75"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spans="1:61" ht="12.75"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spans="1:61" ht="12.75"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spans="1:61" ht="12.75"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spans="1:61" ht="12.75"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spans="1:61" ht="12.75"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spans="1:61" ht="12.75"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spans="1:61" ht="12.75"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spans="1:61" ht="12.75"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spans="1:61" ht="12.75"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spans="1:61" ht="12.75"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spans="1:61" ht="12.75"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spans="1:61" ht="12.75"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spans="1:61" ht="12.75"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spans="1:61" ht="12.75"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spans="1:61" ht="12.75"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spans="1:61" ht="12.75"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spans="1:61" ht="12.75"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spans="1:61" ht="12.75"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spans="1:61" ht="12.75"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spans="1:61" ht="12.75"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spans="1:61" ht="12.75"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spans="1:61" ht="12.75"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spans="1:61" ht="12.75"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spans="1:61" ht="12.75"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spans="1:61" ht="12.75"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spans="1:61" ht="12.75"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spans="1:61" ht="12.75"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spans="1:61" ht="12.75"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spans="1:61" ht="12.75"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spans="1:61" ht="12.75"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spans="1:61" ht="12.75"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spans="1:61" ht="12.75"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spans="1:61" ht="12.75"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spans="1:61" ht="12.75"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spans="1:61" ht="12.75"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spans="1:61" ht="12.75"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spans="1:61" ht="12.75"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spans="1:61" ht="12.75"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spans="1:61" ht="12.75"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spans="1:61" ht="12.75"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spans="1:61" ht="12.75"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spans="1:61" ht="12.75"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spans="1:61" ht="12.75"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spans="1:61" ht="12.75"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spans="1:61" ht="12.75"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spans="1:61" ht="12.75"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spans="1:61" ht="12.75"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spans="1:61" ht="12.75"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spans="1:61" ht="12.75"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spans="1:61" ht="12.75"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spans="1:61" ht="12.75"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spans="1:61" ht="12.75"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spans="1:61" ht="12.75"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spans="1:61" ht="12.75"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spans="1:61" ht="12.75"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spans="1:61" ht="12.75"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spans="1:61" ht="12.75"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spans="1:61" ht="12.75"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spans="1:61" ht="12.75"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spans="1:61" ht="12.75"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spans="1:61" ht="12.75"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spans="1:61" ht="12.75"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spans="1:61" ht="12.75"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spans="1:61" ht="12.75"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spans="1:61" ht="12.75"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spans="1:61" ht="12.75"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spans="1:61" ht="12.75"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spans="1:61" ht="12.75"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spans="1:61" ht="12.75"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spans="1:61" ht="12.75"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spans="1:61" ht="12.75"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spans="1:61" ht="12.75"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spans="1:61" ht="12.75"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spans="1:61" ht="12.75"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spans="1:61" ht="12.75"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spans="1:61" ht="12.75"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spans="1:61" ht="12.75"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spans="1:61" ht="12.75"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spans="1:61" ht="12.75"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spans="1:61" ht="12.75"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spans="1:61" ht="12.75"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spans="1:61" ht="12.75"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spans="1:61" ht="12.75"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spans="1:61" ht="12.75"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spans="1:61" ht="12.75"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spans="1:61" ht="12.75"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spans="1:61" ht="12.75"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spans="1:61" ht="12.75"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spans="1:61" ht="12.75"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spans="1:61" ht="12.75"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spans="1:61" ht="12.75"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spans="1:61" ht="12.75"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spans="1:61" ht="12.75"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spans="1:61" ht="12.75"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spans="1:61" ht="12.75"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spans="1:61" ht="12.75"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row r="1001" spans="1:61" ht="12.75"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row>
    <row r="1002" spans="1:61" ht="12.75"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row>
    <row r="1003" spans="1:61" ht="12.75"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row>
    <row r="1004" spans="1:61" ht="12.75"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row>
    <row r="1005" spans="1:61" ht="12.75"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row>
    <row r="1006" spans="1:61" ht="12.75"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row>
    <row r="1007" spans="1:61" ht="12.75" x14ac:dyDescent="0.2">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row>
    <row r="1008" spans="1:61" ht="12.75" x14ac:dyDescent="0.2">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row>
    <row r="1009" spans="1:61" ht="12.75" x14ac:dyDescent="0.2">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row>
    <row r="1010" spans="1:61" ht="12.75" x14ac:dyDescent="0.2">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row>
    <row r="1011" spans="1:61" ht="12.75" x14ac:dyDescent="0.2">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row>
    <row r="1012" spans="1:61" ht="12.75" x14ac:dyDescent="0.2">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row>
    <row r="1013" spans="1:61" ht="12.75" x14ac:dyDescent="0.2">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row>
    <row r="1014" spans="1:61" ht="12.75" x14ac:dyDescent="0.2">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row>
    <row r="1015" spans="1:61" ht="12.75" x14ac:dyDescent="0.2">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row>
    <row r="1016" spans="1:61" ht="12.75" x14ac:dyDescent="0.2">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row>
    <row r="1017" spans="1:61" ht="12.75" x14ac:dyDescent="0.2">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row>
    <row r="1018" spans="1:61" ht="12.75" x14ac:dyDescent="0.2">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row>
    <row r="1019" spans="1:61" ht="12.75" x14ac:dyDescent="0.2">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row>
    <row r="1020" spans="1:61" ht="12.75" x14ac:dyDescent="0.2">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row>
    <row r="1021" spans="1:61" ht="12.75" x14ac:dyDescent="0.2">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row>
    <row r="1022" spans="1:61" ht="12.75" x14ac:dyDescent="0.2">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row>
    <row r="1023" spans="1:61" ht="12.75" x14ac:dyDescent="0.2">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row>
    <row r="1024" spans="1:61" ht="12.75" x14ac:dyDescent="0.2">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row>
    <row r="1025" spans="1:61" ht="12.75" x14ac:dyDescent="0.2">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row>
    <row r="1026" spans="1:61" ht="12.75" x14ac:dyDescent="0.2">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row>
    <row r="1027" spans="1:61" ht="12.75" x14ac:dyDescent="0.2">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row>
    <row r="1028" spans="1:61" ht="12.75" x14ac:dyDescent="0.2">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row>
    <row r="1029" spans="1:61" ht="12.75" x14ac:dyDescent="0.2">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row>
    <row r="1030" spans="1:61" ht="12.75" x14ac:dyDescent="0.2">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row>
    <row r="1031" spans="1:61" ht="12.75" x14ac:dyDescent="0.2">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row>
    <row r="1032" spans="1:61" ht="12.75" x14ac:dyDescent="0.2">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row>
    <row r="1033" spans="1:61" ht="12.75" x14ac:dyDescent="0.2">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row>
    <row r="1034" spans="1:61" ht="12.75" x14ac:dyDescent="0.2">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row>
    <row r="1035" spans="1:61" ht="12.75" x14ac:dyDescent="0.2">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row>
    <row r="1036" spans="1:61" ht="12.75" x14ac:dyDescent="0.2">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row>
    <row r="1037" spans="1:61" ht="12.75" x14ac:dyDescent="0.2">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row>
    <row r="1038" spans="1:61" ht="12.75" x14ac:dyDescent="0.2">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row>
    <row r="1039" spans="1:61" ht="12.75" x14ac:dyDescent="0.2">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row>
    <row r="1040" spans="1:61" ht="12.75" x14ac:dyDescent="0.2">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row>
    <row r="1041" spans="1:61" ht="12.75" x14ac:dyDescent="0.2">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row>
    <row r="1042" spans="1:61" ht="12.75" x14ac:dyDescent="0.2">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row>
    <row r="1043" spans="1:61" ht="12.75" x14ac:dyDescent="0.2">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row>
    <row r="1044" spans="1:61" ht="12.75" x14ac:dyDescent="0.2">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row>
    <row r="1045" spans="1:61" ht="12.75" x14ac:dyDescent="0.2">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row>
    <row r="1046" spans="1:61" ht="12.75" x14ac:dyDescent="0.2">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row>
    <row r="1047" spans="1:61" ht="12.75" x14ac:dyDescent="0.2">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row>
    <row r="1048" spans="1:61" ht="12.75" x14ac:dyDescent="0.2">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row>
    <row r="1049" spans="1:61" ht="12.75" x14ac:dyDescent="0.2">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row>
    <row r="1050" spans="1:61" ht="12.75" x14ac:dyDescent="0.2">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row>
    <row r="1051" spans="1:61" ht="12.75" x14ac:dyDescent="0.2">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row>
    <row r="1052" spans="1:61" ht="12.75" x14ac:dyDescent="0.2">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row>
    <row r="1053" spans="1:61" ht="12.75" x14ac:dyDescent="0.2">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row>
    <row r="1054" spans="1:61" ht="12.75" x14ac:dyDescent="0.2">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row>
    <row r="1055" spans="1:61" ht="12.75" x14ac:dyDescent="0.2">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row>
    <row r="1056" spans="1:61" ht="12.75" x14ac:dyDescent="0.2">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row>
    <row r="1057" spans="1:61" ht="12.75" x14ac:dyDescent="0.2">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row>
    <row r="1058" spans="1:61" ht="12.75" x14ac:dyDescent="0.2">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row>
    <row r="1059" spans="1:61" ht="12.75" x14ac:dyDescent="0.2">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row>
    <row r="1060" spans="1:61" ht="12.75" x14ac:dyDescent="0.2">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row>
    <row r="1061" spans="1:61" ht="12.75" x14ac:dyDescent="0.2">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row>
    <row r="1062" spans="1:61" ht="12.75" x14ac:dyDescent="0.2">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row>
    <row r="1063" spans="1:61" ht="12.75" x14ac:dyDescent="0.2">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row>
    <row r="1064" spans="1:61" ht="12.75" x14ac:dyDescent="0.2">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row>
    <row r="1065" spans="1:61" ht="12.75" x14ac:dyDescent="0.2">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row>
    <row r="1066" spans="1:61" ht="12.75" x14ac:dyDescent="0.2">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row>
    <row r="1067" spans="1:61" ht="12.75" x14ac:dyDescent="0.2">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row>
    <row r="1068" spans="1:61" ht="12.75" x14ac:dyDescent="0.2">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row>
    <row r="1069" spans="1:61" ht="12.75" x14ac:dyDescent="0.2">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row>
    <row r="1070" spans="1:61" ht="12.75" x14ac:dyDescent="0.2">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row>
    <row r="1071" spans="1:61" ht="12.75" x14ac:dyDescent="0.2">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row>
    <row r="1072" spans="1:61" ht="12.75" x14ac:dyDescent="0.2">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row>
    <row r="1073" spans="1:61" ht="12.75" x14ac:dyDescent="0.2">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row>
    <row r="1074" spans="1:61" ht="12.75" x14ac:dyDescent="0.2">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row>
    <row r="1075" spans="1:61" ht="12.75" x14ac:dyDescent="0.2">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row>
    <row r="1076" spans="1:61" ht="12.75" x14ac:dyDescent="0.2">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row>
    <row r="1077" spans="1:61" ht="12.75" x14ac:dyDescent="0.2">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row>
    <row r="1078" spans="1:61" ht="12.75" x14ac:dyDescent="0.2">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row>
    <row r="1079" spans="1:61" ht="12.75" x14ac:dyDescent="0.2">
      <c r="A1079" s="86"/>
      <c r="B1079" s="86"/>
      <c r="C1079" s="86"/>
      <c r="D1079" s="86"/>
      <c r="E1079" s="86"/>
      <c r="F1079" s="86"/>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6"/>
      <c r="AV1079" s="86"/>
      <c r="AW1079" s="86"/>
      <c r="AX1079" s="86"/>
      <c r="AY1079" s="86"/>
      <c r="AZ1079" s="86"/>
      <c r="BA1079" s="86"/>
      <c r="BB1079" s="86"/>
      <c r="BC1079" s="86"/>
      <c r="BD1079" s="86"/>
      <c r="BE1079" s="86"/>
      <c r="BF1079" s="86"/>
      <c r="BG1079" s="86"/>
      <c r="BH1079" s="86"/>
      <c r="BI1079" s="86"/>
    </row>
    <row r="1080" spans="1:61" ht="12.75" x14ac:dyDescent="0.2">
      <c r="A1080" s="86"/>
      <c r="B1080" s="86"/>
      <c r="C1080" s="86"/>
      <c r="D1080" s="86"/>
      <c r="E1080" s="86"/>
      <c r="F1080" s="86"/>
      <c r="G1080" s="86"/>
      <c r="H1080" s="86"/>
      <c r="I1080" s="86"/>
      <c r="J1080" s="86"/>
      <c r="K1080" s="86"/>
      <c r="L1080" s="86"/>
      <c r="M1080" s="86"/>
      <c r="N1080" s="86"/>
      <c r="O1080" s="86"/>
      <c r="P1080" s="86"/>
      <c r="Q1080" s="86"/>
      <c r="R1080" s="86"/>
      <c r="S1080" s="86"/>
      <c r="T1080" s="86"/>
      <c r="U1080" s="86"/>
      <c r="V1080" s="86"/>
      <c r="W1080" s="86"/>
      <c r="X1080" s="86"/>
      <c r="Y1080" s="86"/>
      <c r="Z1080" s="86"/>
      <c r="AA1080" s="86"/>
      <c r="AB1080" s="86"/>
      <c r="AC1080" s="86"/>
      <c r="AD1080" s="86"/>
      <c r="AE1080" s="86"/>
      <c r="AF1080" s="86"/>
      <c r="AG1080" s="86"/>
      <c r="AH1080" s="86"/>
      <c r="AI1080" s="86"/>
      <c r="AJ1080" s="86"/>
      <c r="AK1080" s="86"/>
      <c r="AL1080" s="86"/>
      <c r="AM1080" s="86"/>
      <c r="AN1080" s="86"/>
      <c r="AO1080" s="86"/>
      <c r="AP1080" s="86"/>
      <c r="AQ1080" s="86"/>
      <c r="AR1080" s="86"/>
      <c r="AS1080" s="86"/>
      <c r="AT1080" s="86"/>
      <c r="AU1080" s="86"/>
      <c r="AV1080" s="86"/>
      <c r="AW1080" s="86"/>
      <c r="AX1080" s="86"/>
      <c r="AY1080" s="86"/>
      <c r="AZ1080" s="86"/>
      <c r="BA1080" s="86"/>
      <c r="BB1080" s="86"/>
      <c r="BC1080" s="86"/>
      <c r="BD1080" s="86"/>
      <c r="BE1080" s="86"/>
      <c r="BF1080" s="86"/>
      <c r="BG1080" s="86"/>
      <c r="BH1080" s="86"/>
      <c r="BI1080" s="86"/>
    </row>
    <row r="1081" spans="1:61" ht="12.75" x14ac:dyDescent="0.2">
      <c r="A1081" s="86"/>
      <c r="B1081" s="86"/>
      <c r="C1081" s="86"/>
      <c r="D1081" s="86"/>
      <c r="E1081" s="86"/>
      <c r="F1081" s="86"/>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6"/>
      <c r="AV1081" s="86"/>
      <c r="AW1081" s="86"/>
      <c r="AX1081" s="86"/>
      <c r="AY1081" s="86"/>
      <c r="AZ1081" s="86"/>
      <c r="BA1081" s="86"/>
      <c r="BB1081" s="86"/>
      <c r="BC1081" s="86"/>
      <c r="BD1081" s="86"/>
      <c r="BE1081" s="86"/>
      <c r="BF1081" s="86"/>
      <c r="BG1081" s="86"/>
      <c r="BH1081" s="86"/>
      <c r="BI1081" s="86"/>
    </row>
    <row r="1082" spans="1:61" ht="12.75" x14ac:dyDescent="0.2">
      <c r="A1082" s="86"/>
      <c r="B1082" s="86"/>
      <c r="C1082" s="86"/>
      <c r="D1082" s="86"/>
      <c r="E1082" s="86"/>
      <c r="F1082" s="86"/>
      <c r="G1082" s="86"/>
      <c r="H1082" s="86"/>
      <c r="I1082" s="86"/>
      <c r="J1082" s="86"/>
      <c r="K1082" s="86"/>
      <c r="L1082" s="86"/>
      <c r="M1082" s="86"/>
      <c r="N1082" s="86"/>
      <c r="O1082" s="86"/>
      <c r="P1082" s="86"/>
      <c r="Q1082" s="86"/>
      <c r="R1082" s="86"/>
      <c r="S1082" s="86"/>
      <c r="T1082" s="86"/>
      <c r="U1082" s="86"/>
      <c r="V1082" s="86"/>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6"/>
      <c r="AV1082" s="86"/>
      <c r="AW1082" s="86"/>
      <c r="AX1082" s="86"/>
      <c r="AY1082" s="86"/>
      <c r="AZ1082" s="86"/>
      <c r="BA1082" s="86"/>
      <c r="BB1082" s="86"/>
      <c r="BC1082" s="86"/>
      <c r="BD1082" s="86"/>
      <c r="BE1082" s="86"/>
      <c r="BF1082" s="86"/>
      <c r="BG1082" s="86"/>
      <c r="BH1082" s="86"/>
      <c r="BI1082" s="86"/>
    </row>
    <row r="1083" spans="1:61" ht="12.75" x14ac:dyDescent="0.2">
      <c r="A1083" s="86"/>
      <c r="B1083" s="86"/>
      <c r="C1083" s="86"/>
      <c r="D1083" s="86"/>
      <c r="E1083" s="86"/>
      <c r="F1083" s="86"/>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c r="AC1083" s="86"/>
      <c r="AD1083" s="86"/>
      <c r="AE1083" s="86"/>
      <c r="AF1083" s="86"/>
      <c r="AG1083" s="86"/>
      <c r="AH1083" s="86"/>
      <c r="AI1083" s="86"/>
      <c r="AJ1083" s="86"/>
      <c r="AK1083" s="86"/>
      <c r="AL1083" s="86"/>
      <c r="AM1083" s="86"/>
      <c r="AN1083" s="86"/>
      <c r="AO1083" s="86"/>
      <c r="AP1083" s="86"/>
      <c r="AQ1083" s="86"/>
      <c r="AR1083" s="86"/>
      <c r="AS1083" s="86"/>
      <c r="AT1083" s="86"/>
      <c r="AU1083" s="86"/>
      <c r="AV1083" s="86"/>
      <c r="AW1083" s="86"/>
      <c r="AX1083" s="86"/>
      <c r="AY1083" s="86"/>
      <c r="AZ1083" s="86"/>
      <c r="BA1083" s="86"/>
      <c r="BB1083" s="86"/>
      <c r="BC1083" s="86"/>
      <c r="BD1083" s="86"/>
      <c r="BE1083" s="86"/>
      <c r="BF1083" s="86"/>
      <c r="BG1083" s="86"/>
      <c r="BH1083" s="86"/>
      <c r="BI1083" s="86"/>
    </row>
    <row r="1084" spans="1:61" ht="12.75" x14ac:dyDescent="0.2">
      <c r="A1084" s="86"/>
      <c r="B1084" s="86"/>
      <c r="C1084" s="86"/>
      <c r="D1084" s="86"/>
      <c r="E1084" s="86"/>
      <c r="F1084" s="86"/>
      <c r="G1084" s="86"/>
      <c r="H1084" s="86"/>
      <c r="I1084" s="86"/>
      <c r="J1084" s="86"/>
      <c r="K1084" s="86"/>
      <c r="L1084" s="86"/>
      <c r="M1084" s="86"/>
      <c r="N1084" s="86"/>
      <c r="O1084" s="86"/>
      <c r="P1084" s="86"/>
      <c r="Q1084" s="86"/>
      <c r="R1084" s="86"/>
      <c r="S1084" s="86"/>
      <c r="T1084" s="86"/>
      <c r="U1084" s="86"/>
      <c r="V1084" s="86"/>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6"/>
      <c r="AV1084" s="86"/>
      <c r="AW1084" s="86"/>
      <c r="AX1084" s="86"/>
      <c r="AY1084" s="86"/>
      <c r="AZ1084" s="86"/>
      <c r="BA1084" s="86"/>
      <c r="BB1084" s="86"/>
      <c r="BC1084" s="86"/>
      <c r="BD1084" s="86"/>
      <c r="BE1084" s="86"/>
      <c r="BF1084" s="86"/>
      <c r="BG1084" s="86"/>
      <c r="BH1084" s="86"/>
      <c r="BI1084" s="86"/>
    </row>
    <row r="1085" spans="1:61" ht="12.75" x14ac:dyDescent="0.2">
      <c r="A1085" s="86"/>
      <c r="B1085" s="86"/>
      <c r="C1085" s="86"/>
      <c r="D1085" s="86"/>
      <c r="E1085" s="86"/>
      <c r="F1085" s="86"/>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6"/>
      <c r="AV1085" s="86"/>
      <c r="AW1085" s="86"/>
      <c r="AX1085" s="86"/>
      <c r="AY1085" s="86"/>
      <c r="AZ1085" s="86"/>
      <c r="BA1085" s="86"/>
      <c r="BB1085" s="86"/>
      <c r="BC1085" s="86"/>
      <c r="BD1085" s="86"/>
      <c r="BE1085" s="86"/>
      <c r="BF1085" s="86"/>
      <c r="BG1085" s="86"/>
      <c r="BH1085" s="86"/>
      <c r="BI1085" s="86"/>
    </row>
    <row r="1086" spans="1:61" ht="12.75" x14ac:dyDescent="0.2">
      <c r="A1086" s="86"/>
      <c r="B1086" s="86"/>
      <c r="C1086" s="86"/>
      <c r="D1086" s="86"/>
      <c r="E1086" s="86"/>
      <c r="F1086" s="86"/>
      <c r="G1086" s="86"/>
      <c r="H1086" s="86"/>
      <c r="I1086" s="86"/>
      <c r="J1086" s="86"/>
      <c r="K1086" s="86"/>
      <c r="L1086" s="86"/>
      <c r="M1086" s="86"/>
      <c r="N1086" s="86"/>
      <c r="O1086" s="86"/>
      <c r="P1086" s="86"/>
      <c r="Q1086" s="86"/>
      <c r="R1086" s="86"/>
      <c r="S1086" s="86"/>
      <c r="T1086" s="86"/>
      <c r="U1086" s="86"/>
      <c r="V1086" s="86"/>
      <c r="W1086" s="86"/>
      <c r="X1086" s="86"/>
      <c r="Y1086" s="86"/>
      <c r="Z1086" s="86"/>
      <c r="AA1086" s="86"/>
      <c r="AB1086" s="86"/>
      <c r="AC1086" s="86"/>
      <c r="AD1086" s="86"/>
      <c r="AE1086" s="86"/>
      <c r="AF1086" s="86"/>
      <c r="AG1086" s="86"/>
      <c r="AH1086" s="86"/>
      <c r="AI1086" s="86"/>
      <c r="AJ1086" s="86"/>
      <c r="AK1086" s="86"/>
      <c r="AL1086" s="86"/>
      <c r="AM1086" s="86"/>
      <c r="AN1086" s="86"/>
      <c r="AO1086" s="86"/>
      <c r="AP1086" s="86"/>
      <c r="AQ1086" s="86"/>
      <c r="AR1086" s="86"/>
      <c r="AS1086" s="86"/>
      <c r="AT1086" s="86"/>
      <c r="AU1086" s="86"/>
      <c r="AV1086" s="86"/>
      <c r="AW1086" s="86"/>
      <c r="AX1086" s="86"/>
      <c r="AY1086" s="86"/>
      <c r="AZ1086" s="86"/>
      <c r="BA1086" s="86"/>
      <c r="BB1086" s="86"/>
      <c r="BC1086" s="86"/>
      <c r="BD1086" s="86"/>
      <c r="BE1086" s="86"/>
      <c r="BF1086" s="86"/>
      <c r="BG1086" s="86"/>
      <c r="BH1086" s="86"/>
      <c r="BI1086" s="86"/>
    </row>
    <row r="1087" spans="1:61" ht="12.75" x14ac:dyDescent="0.2">
      <c r="A1087" s="86"/>
      <c r="B1087" s="86"/>
      <c r="C1087" s="86"/>
      <c r="D1087" s="86"/>
      <c r="E1087" s="86"/>
      <c r="F1087" s="86"/>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c r="AC1087" s="86"/>
      <c r="AD1087" s="86"/>
      <c r="AE1087" s="86"/>
      <c r="AF1087" s="86"/>
      <c r="AG1087" s="86"/>
      <c r="AH1087" s="86"/>
      <c r="AI1087" s="86"/>
      <c r="AJ1087" s="86"/>
      <c r="AK1087" s="86"/>
      <c r="AL1087" s="86"/>
      <c r="AM1087" s="86"/>
      <c r="AN1087" s="86"/>
      <c r="AO1087" s="86"/>
      <c r="AP1087" s="86"/>
      <c r="AQ1087" s="86"/>
      <c r="AR1087" s="86"/>
      <c r="AS1087" s="86"/>
      <c r="AT1087" s="86"/>
      <c r="AU1087" s="86"/>
      <c r="AV1087" s="86"/>
      <c r="AW1087" s="86"/>
      <c r="AX1087" s="86"/>
      <c r="AY1087" s="86"/>
      <c r="AZ1087" s="86"/>
      <c r="BA1087" s="86"/>
      <c r="BB1087" s="86"/>
      <c r="BC1087" s="86"/>
      <c r="BD1087" s="86"/>
      <c r="BE1087" s="86"/>
      <c r="BF1087" s="86"/>
      <c r="BG1087" s="86"/>
      <c r="BH1087" s="86"/>
      <c r="BI1087" s="86"/>
    </row>
    <row r="1088" spans="1:61" ht="12.75" x14ac:dyDescent="0.2">
      <c r="A1088" s="86"/>
      <c r="B1088" s="86"/>
      <c r="C1088" s="86"/>
      <c r="D1088" s="86"/>
      <c r="E1088" s="86"/>
      <c r="F1088" s="86"/>
      <c r="G1088" s="86"/>
      <c r="H1088" s="86"/>
      <c r="I1088" s="86"/>
      <c r="J1088" s="86"/>
      <c r="K1088" s="86"/>
      <c r="L1088" s="86"/>
      <c r="M1088" s="86"/>
      <c r="N1088" s="86"/>
      <c r="O1088" s="86"/>
      <c r="P1088" s="86"/>
      <c r="Q1088" s="86"/>
      <c r="R1088" s="86"/>
      <c r="S1088" s="86"/>
      <c r="T1088" s="86"/>
      <c r="U1088" s="86"/>
      <c r="V1088" s="86"/>
      <c r="W1088" s="86"/>
      <c r="X1088" s="86"/>
      <c r="Y1088" s="86"/>
      <c r="Z1088" s="86"/>
      <c r="AA1088" s="86"/>
      <c r="AB1088" s="86"/>
      <c r="AC1088" s="86"/>
      <c r="AD1088" s="86"/>
      <c r="AE1088" s="86"/>
      <c r="AF1088" s="86"/>
      <c r="AG1088" s="86"/>
      <c r="AH1088" s="86"/>
      <c r="AI1088" s="86"/>
      <c r="AJ1088" s="86"/>
      <c r="AK1088" s="86"/>
      <c r="AL1088" s="86"/>
      <c r="AM1088" s="86"/>
      <c r="AN1088" s="86"/>
      <c r="AO1088" s="86"/>
      <c r="AP1088" s="86"/>
      <c r="AQ1088" s="86"/>
      <c r="AR1088" s="86"/>
      <c r="AS1088" s="86"/>
      <c r="AT1088" s="86"/>
      <c r="AU1088" s="86"/>
      <c r="AV1088" s="86"/>
      <c r="AW1088" s="86"/>
      <c r="AX1088" s="86"/>
      <c r="AY1088" s="86"/>
      <c r="AZ1088" s="86"/>
      <c r="BA1088" s="86"/>
      <c r="BB1088" s="86"/>
      <c r="BC1088" s="86"/>
      <c r="BD1088" s="86"/>
      <c r="BE1088" s="86"/>
      <c r="BF1088" s="86"/>
      <c r="BG1088" s="86"/>
      <c r="BH1088" s="86"/>
      <c r="BI1088" s="86"/>
    </row>
    <row r="1089" spans="1:61" ht="12.75" x14ac:dyDescent="0.2">
      <c r="A1089" s="86"/>
      <c r="B1089" s="86"/>
      <c r="C1089" s="86"/>
      <c r="D1089" s="86"/>
      <c r="E1089" s="86"/>
      <c r="F1089" s="86"/>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c r="AC1089" s="86"/>
      <c r="AD1089" s="86"/>
      <c r="AE1089" s="86"/>
      <c r="AF1089" s="86"/>
      <c r="AG1089" s="86"/>
      <c r="AH1089" s="86"/>
      <c r="AI1089" s="86"/>
      <c r="AJ1089" s="86"/>
      <c r="AK1089" s="86"/>
      <c r="AL1089" s="86"/>
      <c r="AM1089" s="86"/>
      <c r="AN1089" s="86"/>
      <c r="AO1089" s="86"/>
      <c r="AP1089" s="86"/>
      <c r="AQ1089" s="86"/>
      <c r="AR1089" s="86"/>
      <c r="AS1089" s="86"/>
      <c r="AT1089" s="86"/>
      <c r="AU1089" s="86"/>
      <c r="AV1089" s="86"/>
      <c r="AW1089" s="86"/>
      <c r="AX1089" s="86"/>
      <c r="AY1089" s="86"/>
      <c r="AZ1089" s="86"/>
      <c r="BA1089" s="86"/>
      <c r="BB1089" s="86"/>
      <c r="BC1089" s="86"/>
      <c r="BD1089" s="86"/>
      <c r="BE1089" s="86"/>
      <c r="BF1089" s="86"/>
      <c r="BG1089" s="86"/>
      <c r="BH1089" s="86"/>
      <c r="BI1089" s="86"/>
    </row>
    <row r="1090" spans="1:61" ht="12.75" x14ac:dyDescent="0.2">
      <c r="A1090" s="86"/>
      <c r="B1090" s="86"/>
      <c r="C1090" s="86"/>
      <c r="D1090" s="86"/>
      <c r="E1090" s="86"/>
      <c r="F1090" s="86"/>
      <c r="G1090" s="86"/>
      <c r="H1090" s="86"/>
      <c r="I1090" s="86"/>
      <c r="J1090" s="86"/>
      <c r="K1090" s="86"/>
      <c r="L1090" s="86"/>
      <c r="M1090" s="86"/>
      <c r="N1090" s="86"/>
      <c r="O1090" s="86"/>
      <c r="P1090" s="86"/>
      <c r="Q1090" s="86"/>
      <c r="R1090" s="86"/>
      <c r="S1090" s="86"/>
      <c r="T1090" s="86"/>
      <c r="U1090" s="86"/>
      <c r="V1090" s="86"/>
      <c r="W1090" s="86"/>
      <c r="X1090" s="86"/>
      <c r="Y1090" s="86"/>
      <c r="Z1090" s="86"/>
      <c r="AA1090" s="86"/>
      <c r="AB1090" s="86"/>
      <c r="AC1090" s="86"/>
      <c r="AD1090" s="86"/>
      <c r="AE1090" s="86"/>
      <c r="AF1090" s="86"/>
      <c r="AG1090" s="86"/>
      <c r="AH1090" s="86"/>
      <c r="AI1090" s="86"/>
      <c r="AJ1090" s="86"/>
      <c r="AK1090" s="86"/>
      <c r="AL1090" s="86"/>
      <c r="AM1090" s="86"/>
      <c r="AN1090" s="86"/>
      <c r="AO1090" s="86"/>
      <c r="AP1090" s="86"/>
      <c r="AQ1090" s="86"/>
      <c r="AR1090" s="86"/>
      <c r="AS1090" s="86"/>
      <c r="AT1090" s="86"/>
      <c r="AU1090" s="86"/>
      <c r="AV1090" s="86"/>
      <c r="AW1090" s="86"/>
      <c r="AX1090" s="86"/>
      <c r="AY1090" s="86"/>
      <c r="AZ1090" s="86"/>
      <c r="BA1090" s="86"/>
      <c r="BB1090" s="86"/>
      <c r="BC1090" s="86"/>
      <c r="BD1090" s="86"/>
      <c r="BE1090" s="86"/>
      <c r="BF1090" s="86"/>
      <c r="BG1090" s="86"/>
      <c r="BH1090" s="86"/>
      <c r="BI1090" s="86"/>
    </row>
    <row r="1091" spans="1:61" ht="12.75" x14ac:dyDescent="0.2">
      <c r="A1091" s="86"/>
      <c r="B1091" s="86"/>
      <c r="C1091" s="86"/>
      <c r="D1091" s="86"/>
      <c r="E1091" s="86"/>
      <c r="F1091" s="86"/>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c r="AC1091" s="86"/>
      <c r="AD1091" s="86"/>
      <c r="AE1091" s="86"/>
      <c r="AF1091" s="86"/>
      <c r="AG1091" s="86"/>
      <c r="AH1091" s="86"/>
      <c r="AI1091" s="86"/>
      <c r="AJ1091" s="86"/>
      <c r="AK1091" s="86"/>
      <c r="AL1091" s="86"/>
      <c r="AM1091" s="86"/>
      <c r="AN1091" s="86"/>
      <c r="AO1091" s="86"/>
      <c r="AP1091" s="86"/>
      <c r="AQ1091" s="86"/>
      <c r="AR1091" s="86"/>
      <c r="AS1091" s="86"/>
      <c r="AT1091" s="86"/>
      <c r="AU1091" s="86"/>
      <c r="AV1091" s="86"/>
      <c r="AW1091" s="86"/>
      <c r="AX1091" s="86"/>
      <c r="AY1091" s="86"/>
      <c r="AZ1091" s="86"/>
      <c r="BA1091" s="86"/>
      <c r="BB1091" s="86"/>
      <c r="BC1091" s="86"/>
      <c r="BD1091" s="86"/>
      <c r="BE1091" s="86"/>
      <c r="BF1091" s="86"/>
      <c r="BG1091" s="86"/>
      <c r="BH1091" s="86"/>
      <c r="BI1091" s="86"/>
    </row>
    <row r="1092" spans="1:61" ht="12.75" x14ac:dyDescent="0.2">
      <c r="A1092" s="86"/>
      <c r="B1092" s="86"/>
      <c r="C1092" s="86"/>
      <c r="D1092" s="86"/>
      <c r="E1092" s="86"/>
      <c r="F1092" s="86"/>
      <c r="G1092" s="86"/>
      <c r="H1092" s="86"/>
      <c r="I1092" s="86"/>
      <c r="J1092" s="86"/>
      <c r="K1092" s="86"/>
      <c r="L1092" s="86"/>
      <c r="M1092" s="86"/>
      <c r="N1092" s="86"/>
      <c r="O1092" s="86"/>
      <c r="P1092" s="86"/>
      <c r="Q1092" s="86"/>
      <c r="R1092" s="86"/>
      <c r="S1092" s="86"/>
      <c r="T1092" s="86"/>
      <c r="U1092" s="86"/>
      <c r="V1092" s="86"/>
      <c r="W1092" s="86"/>
      <c r="X1092" s="86"/>
      <c r="Y1092" s="86"/>
      <c r="Z1092" s="86"/>
      <c r="AA1092" s="86"/>
      <c r="AB1092" s="86"/>
      <c r="AC1092" s="86"/>
      <c r="AD1092" s="86"/>
      <c r="AE1092" s="86"/>
      <c r="AF1092" s="86"/>
      <c r="AG1092" s="86"/>
      <c r="AH1092" s="86"/>
      <c r="AI1092" s="86"/>
      <c r="AJ1092" s="86"/>
      <c r="AK1092" s="86"/>
      <c r="AL1092" s="86"/>
      <c r="AM1092" s="86"/>
      <c r="AN1092" s="86"/>
      <c r="AO1092" s="86"/>
      <c r="AP1092" s="86"/>
      <c r="AQ1092" s="86"/>
      <c r="AR1092" s="86"/>
      <c r="AS1092" s="86"/>
      <c r="AT1092" s="86"/>
      <c r="AU1092" s="86"/>
      <c r="AV1092" s="86"/>
      <c r="AW1092" s="86"/>
      <c r="AX1092" s="86"/>
      <c r="AY1092" s="86"/>
      <c r="AZ1092" s="86"/>
      <c r="BA1092" s="86"/>
      <c r="BB1092" s="86"/>
      <c r="BC1092" s="86"/>
      <c r="BD1092" s="86"/>
      <c r="BE1092" s="86"/>
      <c r="BF1092" s="86"/>
      <c r="BG1092" s="86"/>
      <c r="BH1092" s="86"/>
      <c r="BI1092" s="86"/>
    </row>
    <row r="1093" spans="1:61" ht="12.75" x14ac:dyDescent="0.2">
      <c r="A1093" s="86"/>
      <c r="B1093" s="86"/>
      <c r="C1093" s="86"/>
      <c r="D1093" s="86"/>
      <c r="E1093" s="86"/>
      <c r="F1093" s="86"/>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c r="AC1093" s="86"/>
      <c r="AD1093" s="86"/>
      <c r="AE1093" s="86"/>
      <c r="AF1093" s="86"/>
      <c r="AG1093" s="86"/>
      <c r="AH1093" s="86"/>
      <c r="AI1093" s="86"/>
      <c r="AJ1093" s="86"/>
      <c r="AK1093" s="86"/>
      <c r="AL1093" s="86"/>
      <c r="AM1093" s="86"/>
      <c r="AN1093" s="86"/>
      <c r="AO1093" s="86"/>
      <c r="AP1093" s="86"/>
      <c r="AQ1093" s="86"/>
      <c r="AR1093" s="86"/>
      <c r="AS1093" s="86"/>
      <c r="AT1093" s="86"/>
      <c r="AU1093" s="86"/>
      <c r="AV1093" s="86"/>
      <c r="AW1093" s="86"/>
      <c r="AX1093" s="86"/>
      <c r="AY1093" s="86"/>
      <c r="AZ1093" s="86"/>
      <c r="BA1093" s="86"/>
      <c r="BB1093" s="86"/>
      <c r="BC1093" s="86"/>
      <c r="BD1093" s="86"/>
      <c r="BE1093" s="86"/>
      <c r="BF1093" s="86"/>
      <c r="BG1093" s="86"/>
      <c r="BH1093" s="86"/>
      <c r="BI1093" s="86"/>
    </row>
    <row r="1094" spans="1:61" ht="12.75" x14ac:dyDescent="0.2">
      <c r="A1094" s="86"/>
      <c r="B1094" s="86"/>
      <c r="C1094" s="86"/>
      <c r="D1094" s="86"/>
      <c r="E1094" s="86"/>
      <c r="F1094" s="86"/>
      <c r="G1094" s="86"/>
      <c r="H1094" s="86"/>
      <c r="I1094" s="86"/>
      <c r="J1094" s="86"/>
      <c r="K1094" s="86"/>
      <c r="L1094" s="86"/>
      <c r="M1094" s="86"/>
      <c r="N1094" s="86"/>
      <c r="O1094" s="86"/>
      <c r="P1094" s="86"/>
      <c r="Q1094" s="86"/>
      <c r="R1094" s="86"/>
      <c r="S1094" s="86"/>
      <c r="T1094" s="86"/>
      <c r="U1094" s="86"/>
      <c r="V1094" s="86"/>
      <c r="W1094" s="86"/>
      <c r="X1094" s="86"/>
      <c r="Y1094" s="86"/>
      <c r="Z1094" s="86"/>
      <c r="AA1094" s="86"/>
      <c r="AB1094" s="86"/>
      <c r="AC1094" s="86"/>
      <c r="AD1094" s="86"/>
      <c r="AE1094" s="86"/>
      <c r="AF1094" s="86"/>
      <c r="AG1094" s="86"/>
      <c r="AH1094" s="86"/>
      <c r="AI1094" s="86"/>
      <c r="AJ1094" s="86"/>
      <c r="AK1094" s="86"/>
      <c r="AL1094" s="86"/>
      <c r="AM1094" s="86"/>
      <c r="AN1094" s="86"/>
      <c r="AO1094" s="86"/>
      <c r="AP1094" s="86"/>
      <c r="AQ1094" s="86"/>
      <c r="AR1094" s="86"/>
      <c r="AS1094" s="86"/>
      <c r="AT1094" s="86"/>
      <c r="AU1094" s="86"/>
      <c r="AV1094" s="86"/>
      <c r="AW1094" s="86"/>
      <c r="AX1094" s="86"/>
      <c r="AY1094" s="86"/>
      <c r="AZ1094" s="86"/>
      <c r="BA1094" s="86"/>
      <c r="BB1094" s="86"/>
      <c r="BC1094" s="86"/>
      <c r="BD1094" s="86"/>
      <c r="BE1094" s="86"/>
      <c r="BF1094" s="86"/>
      <c r="BG1094" s="86"/>
      <c r="BH1094" s="86"/>
      <c r="BI1094" s="86"/>
    </row>
    <row r="1095" spans="1:61" ht="12.75" x14ac:dyDescent="0.2">
      <c r="A1095" s="86"/>
      <c r="B1095" s="86"/>
      <c r="C1095" s="86"/>
      <c r="D1095" s="86"/>
      <c r="E1095" s="86"/>
      <c r="F1095" s="86"/>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c r="AC1095" s="86"/>
      <c r="AD1095" s="86"/>
      <c r="AE1095" s="86"/>
      <c r="AF1095" s="86"/>
      <c r="AG1095" s="86"/>
      <c r="AH1095" s="86"/>
      <c r="AI1095" s="86"/>
      <c r="AJ1095" s="86"/>
      <c r="AK1095" s="86"/>
      <c r="AL1095" s="86"/>
      <c r="AM1095" s="86"/>
      <c r="AN1095" s="86"/>
      <c r="AO1095" s="86"/>
      <c r="AP1095" s="86"/>
      <c r="AQ1095" s="86"/>
      <c r="AR1095" s="86"/>
      <c r="AS1095" s="86"/>
      <c r="AT1095" s="86"/>
      <c r="AU1095" s="86"/>
      <c r="AV1095" s="86"/>
      <c r="AW1095" s="86"/>
      <c r="AX1095" s="86"/>
      <c r="AY1095" s="86"/>
      <c r="AZ1095" s="86"/>
      <c r="BA1095" s="86"/>
      <c r="BB1095" s="86"/>
      <c r="BC1095" s="86"/>
      <c r="BD1095" s="86"/>
      <c r="BE1095" s="86"/>
      <c r="BF1095" s="86"/>
      <c r="BG1095" s="86"/>
      <c r="BH1095" s="86"/>
      <c r="BI1095" s="86"/>
    </row>
    <row r="1096" spans="1:61" ht="12.75" x14ac:dyDescent="0.2">
      <c r="A1096" s="86"/>
      <c r="B1096" s="86"/>
      <c r="C1096" s="86"/>
      <c r="D1096" s="86"/>
      <c r="E1096" s="86"/>
      <c r="F1096" s="86"/>
      <c r="G1096" s="86"/>
      <c r="H1096" s="86"/>
      <c r="I1096" s="86"/>
      <c r="J1096" s="86"/>
      <c r="K1096" s="86"/>
      <c r="L1096" s="86"/>
      <c r="M1096" s="86"/>
      <c r="N1096" s="86"/>
      <c r="O1096" s="86"/>
      <c r="P1096" s="86"/>
      <c r="Q1096" s="86"/>
      <c r="R1096" s="86"/>
      <c r="S1096" s="86"/>
      <c r="T1096" s="86"/>
      <c r="U1096" s="86"/>
      <c r="V1096" s="86"/>
      <c r="W1096" s="86"/>
      <c r="X1096" s="86"/>
      <c r="Y1096" s="86"/>
      <c r="Z1096" s="86"/>
      <c r="AA1096" s="86"/>
      <c r="AB1096" s="86"/>
      <c r="AC1096" s="86"/>
      <c r="AD1096" s="86"/>
      <c r="AE1096" s="86"/>
      <c r="AF1096" s="86"/>
      <c r="AG1096" s="86"/>
      <c r="AH1096" s="86"/>
      <c r="AI1096" s="86"/>
      <c r="AJ1096" s="86"/>
      <c r="AK1096" s="86"/>
      <c r="AL1096" s="86"/>
      <c r="AM1096" s="86"/>
      <c r="AN1096" s="86"/>
      <c r="AO1096" s="86"/>
      <c r="AP1096" s="86"/>
      <c r="AQ1096" s="86"/>
      <c r="AR1096" s="86"/>
      <c r="AS1096" s="86"/>
      <c r="AT1096" s="86"/>
      <c r="AU1096" s="86"/>
      <c r="AV1096" s="86"/>
      <c r="AW1096" s="86"/>
      <c r="AX1096" s="86"/>
      <c r="AY1096" s="86"/>
      <c r="AZ1096" s="86"/>
      <c r="BA1096" s="86"/>
      <c r="BB1096" s="86"/>
      <c r="BC1096" s="86"/>
      <c r="BD1096" s="86"/>
      <c r="BE1096" s="86"/>
      <c r="BF1096" s="86"/>
      <c r="BG1096" s="86"/>
      <c r="BH1096" s="86"/>
      <c r="BI1096" s="86"/>
    </row>
    <row r="1097" spans="1:61" ht="12.75" x14ac:dyDescent="0.2">
      <c r="A1097" s="86"/>
      <c r="B1097" s="86"/>
      <c r="C1097" s="86"/>
      <c r="D1097" s="86"/>
      <c r="E1097" s="86"/>
      <c r="F1097" s="86"/>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c r="AC1097" s="86"/>
      <c r="AD1097" s="86"/>
      <c r="AE1097" s="86"/>
      <c r="AF1097" s="86"/>
      <c r="AG1097" s="86"/>
      <c r="AH1097" s="86"/>
      <c r="AI1097" s="86"/>
      <c r="AJ1097" s="86"/>
      <c r="AK1097" s="86"/>
      <c r="AL1097" s="86"/>
      <c r="AM1097" s="86"/>
      <c r="AN1097" s="86"/>
      <c r="AO1097" s="86"/>
      <c r="AP1097" s="86"/>
      <c r="AQ1097" s="86"/>
      <c r="AR1097" s="86"/>
      <c r="AS1097" s="86"/>
      <c r="AT1097" s="86"/>
      <c r="AU1097" s="86"/>
      <c r="AV1097" s="86"/>
      <c r="AW1097" s="86"/>
      <c r="AX1097" s="86"/>
      <c r="AY1097" s="86"/>
      <c r="AZ1097" s="86"/>
      <c r="BA1097" s="86"/>
      <c r="BB1097" s="86"/>
      <c r="BC1097" s="86"/>
      <c r="BD1097" s="86"/>
      <c r="BE1097" s="86"/>
      <c r="BF1097" s="86"/>
      <c r="BG1097" s="86"/>
      <c r="BH1097" s="86"/>
      <c r="BI1097" s="86"/>
    </row>
    <row r="1098" spans="1:61" ht="12.75" x14ac:dyDescent="0.2">
      <c r="A1098" s="86"/>
      <c r="B1098" s="86"/>
      <c r="C1098" s="86"/>
      <c r="D1098" s="86"/>
      <c r="E1098" s="86"/>
      <c r="F1098" s="86"/>
      <c r="G1098" s="86"/>
      <c r="H1098" s="86"/>
      <c r="I1098" s="86"/>
      <c r="J1098" s="86"/>
      <c r="K1098" s="86"/>
      <c r="L1098" s="86"/>
      <c r="M1098" s="86"/>
      <c r="N1098" s="86"/>
      <c r="O1098" s="86"/>
      <c r="P1098" s="86"/>
      <c r="Q1098" s="86"/>
      <c r="R1098" s="86"/>
      <c r="S1098" s="86"/>
      <c r="T1098" s="86"/>
      <c r="U1098" s="86"/>
      <c r="V1098" s="86"/>
      <c r="W1098" s="86"/>
      <c r="X1098" s="86"/>
      <c r="Y1098" s="86"/>
      <c r="Z1098" s="86"/>
      <c r="AA1098" s="86"/>
      <c r="AB1098" s="86"/>
      <c r="AC1098" s="86"/>
      <c r="AD1098" s="86"/>
      <c r="AE1098" s="86"/>
      <c r="AF1098" s="86"/>
      <c r="AG1098" s="86"/>
      <c r="AH1098" s="86"/>
      <c r="AI1098" s="86"/>
      <c r="AJ1098" s="86"/>
      <c r="AK1098" s="86"/>
      <c r="AL1098" s="86"/>
      <c r="AM1098" s="86"/>
      <c r="AN1098" s="86"/>
      <c r="AO1098" s="86"/>
      <c r="AP1098" s="86"/>
      <c r="AQ1098" s="86"/>
      <c r="AR1098" s="86"/>
      <c r="AS1098" s="86"/>
      <c r="AT1098" s="86"/>
      <c r="AU1098" s="86"/>
      <c r="AV1098" s="86"/>
      <c r="AW1098" s="86"/>
      <c r="AX1098" s="86"/>
      <c r="AY1098" s="86"/>
      <c r="AZ1098" s="86"/>
      <c r="BA1098" s="86"/>
      <c r="BB1098" s="86"/>
      <c r="BC1098" s="86"/>
      <c r="BD1098" s="86"/>
      <c r="BE1098" s="86"/>
      <c r="BF1098" s="86"/>
      <c r="BG1098" s="86"/>
      <c r="BH1098" s="86"/>
      <c r="BI1098" s="86"/>
    </row>
    <row r="1099" spans="1:61" ht="12.75" x14ac:dyDescent="0.2">
      <c r="A1099" s="86"/>
      <c r="B1099" s="86"/>
      <c r="C1099" s="86"/>
      <c r="D1099" s="86"/>
      <c r="E1099" s="86"/>
      <c r="F1099" s="86"/>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c r="AC1099" s="86"/>
      <c r="AD1099" s="86"/>
      <c r="AE1099" s="86"/>
      <c r="AF1099" s="86"/>
      <c r="AG1099" s="86"/>
      <c r="AH1099" s="86"/>
      <c r="AI1099" s="86"/>
      <c r="AJ1099" s="86"/>
      <c r="AK1099" s="86"/>
      <c r="AL1099" s="86"/>
      <c r="AM1099" s="86"/>
      <c r="AN1099" s="86"/>
      <c r="AO1099" s="86"/>
      <c r="AP1099" s="86"/>
      <c r="AQ1099" s="86"/>
      <c r="AR1099" s="86"/>
      <c r="AS1099" s="86"/>
      <c r="AT1099" s="86"/>
      <c r="AU1099" s="86"/>
      <c r="AV1099" s="86"/>
      <c r="AW1099" s="86"/>
      <c r="AX1099" s="86"/>
      <c r="AY1099" s="86"/>
      <c r="AZ1099" s="86"/>
      <c r="BA1099" s="86"/>
      <c r="BB1099" s="86"/>
      <c r="BC1099" s="86"/>
      <c r="BD1099" s="86"/>
      <c r="BE1099" s="86"/>
      <c r="BF1099" s="86"/>
      <c r="BG1099" s="86"/>
      <c r="BH1099" s="86"/>
      <c r="BI1099" s="86"/>
    </row>
    <row r="1100" spans="1:61" ht="12.75" x14ac:dyDescent="0.2">
      <c r="A1100" s="86"/>
      <c r="B1100" s="86"/>
      <c r="C1100" s="86"/>
      <c r="D1100" s="86"/>
      <c r="E1100" s="86"/>
      <c r="F1100" s="86"/>
      <c r="G1100" s="86"/>
      <c r="H1100" s="86"/>
      <c r="I1100" s="86"/>
      <c r="J1100" s="86"/>
      <c r="K1100" s="86"/>
      <c r="L1100" s="86"/>
      <c r="M1100" s="86"/>
      <c r="N1100" s="86"/>
      <c r="O1100" s="86"/>
      <c r="P1100" s="86"/>
      <c r="Q1100" s="86"/>
      <c r="R1100" s="86"/>
      <c r="S1100" s="86"/>
      <c r="T1100" s="86"/>
      <c r="U1100" s="86"/>
      <c r="V1100" s="86"/>
      <c r="W1100" s="86"/>
      <c r="X1100" s="86"/>
      <c r="Y1100" s="86"/>
      <c r="Z1100" s="86"/>
      <c r="AA1100" s="86"/>
      <c r="AB1100" s="86"/>
      <c r="AC1100" s="86"/>
      <c r="AD1100" s="86"/>
      <c r="AE1100" s="86"/>
      <c r="AF1100" s="86"/>
      <c r="AG1100" s="86"/>
      <c r="AH1100" s="86"/>
      <c r="AI1100" s="86"/>
      <c r="AJ1100" s="86"/>
      <c r="AK1100" s="86"/>
      <c r="AL1100" s="86"/>
      <c r="AM1100" s="86"/>
      <c r="AN1100" s="86"/>
      <c r="AO1100" s="86"/>
      <c r="AP1100" s="86"/>
      <c r="AQ1100" s="86"/>
      <c r="AR1100" s="86"/>
      <c r="AS1100" s="86"/>
      <c r="AT1100" s="86"/>
      <c r="AU1100" s="86"/>
      <c r="AV1100" s="86"/>
      <c r="AW1100" s="86"/>
      <c r="AX1100" s="86"/>
      <c r="AY1100" s="86"/>
      <c r="AZ1100" s="86"/>
      <c r="BA1100" s="86"/>
      <c r="BB1100" s="86"/>
      <c r="BC1100" s="86"/>
      <c r="BD1100" s="86"/>
      <c r="BE1100" s="86"/>
      <c r="BF1100" s="86"/>
      <c r="BG1100" s="86"/>
      <c r="BH1100" s="86"/>
      <c r="BI1100" s="86"/>
    </row>
    <row r="1101" spans="1:61" ht="12.75" x14ac:dyDescent="0.2">
      <c r="A1101" s="86"/>
      <c r="B1101" s="86"/>
      <c r="C1101" s="86"/>
      <c r="D1101" s="86"/>
      <c r="E1101" s="86"/>
      <c r="F1101" s="86"/>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c r="AC1101" s="86"/>
      <c r="AD1101" s="86"/>
      <c r="AE1101" s="86"/>
      <c r="AF1101" s="86"/>
      <c r="AG1101" s="86"/>
      <c r="AH1101" s="86"/>
      <c r="AI1101" s="86"/>
      <c r="AJ1101" s="86"/>
      <c r="AK1101" s="86"/>
      <c r="AL1101" s="86"/>
      <c r="AM1101" s="86"/>
      <c r="AN1101" s="86"/>
      <c r="AO1101" s="86"/>
      <c r="AP1101" s="86"/>
      <c r="AQ1101" s="86"/>
      <c r="AR1101" s="86"/>
      <c r="AS1101" s="86"/>
      <c r="AT1101" s="86"/>
      <c r="AU1101" s="86"/>
      <c r="AV1101" s="86"/>
      <c r="AW1101" s="86"/>
      <c r="AX1101" s="86"/>
      <c r="AY1101" s="86"/>
      <c r="AZ1101" s="86"/>
      <c r="BA1101" s="86"/>
      <c r="BB1101" s="86"/>
      <c r="BC1101" s="86"/>
      <c r="BD1101" s="86"/>
      <c r="BE1101" s="86"/>
      <c r="BF1101" s="86"/>
      <c r="BG1101" s="86"/>
      <c r="BH1101" s="86"/>
      <c r="BI1101" s="86"/>
    </row>
    <row r="1102" spans="1:61" ht="12.75" x14ac:dyDescent="0.2">
      <c r="A1102" s="86"/>
      <c r="B1102" s="86"/>
      <c r="C1102" s="86"/>
      <c r="D1102" s="86"/>
      <c r="E1102" s="86"/>
      <c r="F1102" s="86"/>
      <c r="G1102" s="86"/>
      <c r="H1102" s="86"/>
      <c r="I1102" s="86"/>
      <c r="J1102" s="86"/>
      <c r="K1102" s="86"/>
      <c r="L1102" s="86"/>
      <c r="M1102" s="86"/>
      <c r="N1102" s="86"/>
      <c r="O1102" s="86"/>
      <c r="P1102" s="86"/>
      <c r="Q1102" s="86"/>
      <c r="R1102" s="86"/>
      <c r="S1102" s="86"/>
      <c r="T1102" s="86"/>
      <c r="U1102" s="86"/>
      <c r="V1102" s="86"/>
      <c r="W1102" s="86"/>
      <c r="X1102" s="86"/>
      <c r="Y1102" s="86"/>
      <c r="Z1102" s="86"/>
      <c r="AA1102" s="86"/>
      <c r="AB1102" s="86"/>
      <c r="AC1102" s="86"/>
      <c r="AD1102" s="86"/>
      <c r="AE1102" s="86"/>
      <c r="AF1102" s="86"/>
      <c r="AG1102" s="86"/>
      <c r="AH1102" s="86"/>
      <c r="AI1102" s="86"/>
      <c r="AJ1102" s="86"/>
      <c r="AK1102" s="86"/>
      <c r="AL1102" s="86"/>
      <c r="AM1102" s="86"/>
      <c r="AN1102" s="86"/>
      <c r="AO1102" s="86"/>
      <c r="AP1102" s="86"/>
      <c r="AQ1102" s="86"/>
      <c r="AR1102" s="86"/>
      <c r="AS1102" s="86"/>
      <c r="AT1102" s="86"/>
      <c r="AU1102" s="86"/>
      <c r="AV1102" s="86"/>
      <c r="AW1102" s="86"/>
      <c r="AX1102" s="86"/>
      <c r="AY1102" s="86"/>
      <c r="AZ1102" s="86"/>
      <c r="BA1102" s="86"/>
      <c r="BB1102" s="86"/>
      <c r="BC1102" s="86"/>
      <c r="BD1102" s="86"/>
      <c r="BE1102" s="86"/>
      <c r="BF1102" s="86"/>
      <c r="BG1102" s="86"/>
      <c r="BH1102" s="86"/>
      <c r="BI1102" s="86"/>
    </row>
    <row r="1103" spans="1:61" ht="12.75" x14ac:dyDescent="0.2">
      <c r="A1103" s="86"/>
      <c r="B1103" s="86"/>
      <c r="C1103" s="86"/>
      <c r="D1103" s="86"/>
      <c r="E1103" s="86"/>
      <c r="F1103" s="86"/>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c r="AC1103" s="86"/>
      <c r="AD1103" s="86"/>
      <c r="AE1103" s="86"/>
      <c r="AF1103" s="86"/>
      <c r="AG1103" s="86"/>
      <c r="AH1103" s="86"/>
      <c r="AI1103" s="86"/>
      <c r="AJ1103" s="86"/>
      <c r="AK1103" s="86"/>
      <c r="AL1103" s="86"/>
      <c r="AM1103" s="86"/>
      <c r="AN1103" s="86"/>
      <c r="AO1103" s="86"/>
      <c r="AP1103" s="86"/>
      <c r="AQ1103" s="86"/>
      <c r="AR1103" s="86"/>
      <c r="AS1103" s="86"/>
      <c r="AT1103" s="86"/>
      <c r="AU1103" s="86"/>
      <c r="AV1103" s="86"/>
      <c r="AW1103" s="86"/>
      <c r="AX1103" s="86"/>
      <c r="AY1103" s="86"/>
      <c r="AZ1103" s="86"/>
      <c r="BA1103" s="86"/>
      <c r="BB1103" s="86"/>
      <c r="BC1103" s="86"/>
      <c r="BD1103" s="86"/>
      <c r="BE1103" s="86"/>
      <c r="BF1103" s="86"/>
      <c r="BG1103" s="86"/>
      <c r="BH1103" s="86"/>
      <c r="BI1103" s="86"/>
    </row>
    <row r="1104" spans="1:61" ht="12.75" x14ac:dyDescent="0.2">
      <c r="A1104" s="86"/>
      <c r="B1104" s="86"/>
      <c r="C1104" s="86"/>
      <c r="D1104" s="86"/>
      <c r="E1104" s="86"/>
      <c r="F1104" s="86"/>
      <c r="G1104" s="86"/>
      <c r="H1104" s="86"/>
      <c r="I1104" s="86"/>
      <c r="J1104" s="86"/>
      <c r="K1104" s="86"/>
      <c r="L1104" s="86"/>
      <c r="M1104" s="86"/>
      <c r="N1104" s="86"/>
      <c r="O1104" s="86"/>
      <c r="P1104" s="86"/>
      <c r="Q1104" s="86"/>
      <c r="R1104" s="86"/>
      <c r="S1104" s="86"/>
      <c r="T1104" s="86"/>
      <c r="U1104" s="86"/>
      <c r="V1104" s="86"/>
      <c r="W1104" s="86"/>
      <c r="X1104" s="86"/>
      <c r="Y1104" s="86"/>
      <c r="Z1104" s="86"/>
      <c r="AA1104" s="86"/>
      <c r="AB1104" s="86"/>
      <c r="AC1104" s="86"/>
      <c r="AD1104" s="86"/>
      <c r="AE1104" s="86"/>
      <c r="AF1104" s="86"/>
      <c r="AG1104" s="86"/>
      <c r="AH1104" s="86"/>
      <c r="AI1104" s="86"/>
      <c r="AJ1104" s="86"/>
      <c r="AK1104" s="86"/>
      <c r="AL1104" s="86"/>
      <c r="AM1104" s="86"/>
      <c r="AN1104" s="86"/>
      <c r="AO1104" s="86"/>
      <c r="AP1104" s="86"/>
      <c r="AQ1104" s="86"/>
      <c r="AR1104" s="86"/>
      <c r="AS1104" s="86"/>
      <c r="AT1104" s="86"/>
      <c r="AU1104" s="86"/>
      <c r="AV1104" s="86"/>
      <c r="AW1104" s="86"/>
      <c r="AX1104" s="86"/>
      <c r="AY1104" s="86"/>
      <c r="AZ1104" s="86"/>
      <c r="BA1104" s="86"/>
      <c r="BB1104" s="86"/>
      <c r="BC1104" s="86"/>
      <c r="BD1104" s="86"/>
      <c r="BE1104" s="86"/>
      <c r="BF1104" s="86"/>
      <c r="BG1104" s="86"/>
      <c r="BH1104" s="86"/>
      <c r="BI1104" s="86"/>
    </row>
    <row r="1105" spans="1:61" ht="12.75" x14ac:dyDescent="0.2">
      <c r="A1105" s="86"/>
      <c r="B1105" s="86"/>
      <c r="C1105" s="86"/>
      <c r="D1105" s="86"/>
      <c r="E1105" s="86"/>
      <c r="F1105" s="86"/>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c r="AC1105" s="86"/>
      <c r="AD1105" s="86"/>
      <c r="AE1105" s="86"/>
      <c r="AF1105" s="86"/>
      <c r="AG1105" s="86"/>
      <c r="AH1105" s="86"/>
      <c r="AI1105" s="86"/>
      <c r="AJ1105" s="86"/>
      <c r="AK1105" s="86"/>
      <c r="AL1105" s="86"/>
      <c r="AM1105" s="86"/>
      <c r="AN1105" s="86"/>
      <c r="AO1105" s="86"/>
      <c r="AP1105" s="86"/>
      <c r="AQ1105" s="86"/>
      <c r="AR1105" s="86"/>
      <c r="AS1105" s="86"/>
      <c r="AT1105" s="86"/>
      <c r="AU1105" s="86"/>
      <c r="AV1105" s="86"/>
      <c r="AW1105" s="86"/>
      <c r="AX1105" s="86"/>
      <c r="AY1105" s="86"/>
      <c r="AZ1105" s="86"/>
      <c r="BA1105" s="86"/>
      <c r="BB1105" s="86"/>
      <c r="BC1105" s="86"/>
      <c r="BD1105" s="86"/>
      <c r="BE1105" s="86"/>
      <c r="BF1105" s="86"/>
      <c r="BG1105" s="86"/>
      <c r="BH1105" s="86"/>
      <c r="BI1105" s="86"/>
    </row>
    <row r="1106" spans="1:61" ht="12.75" x14ac:dyDescent="0.2">
      <c r="A1106" s="86"/>
      <c r="B1106" s="86"/>
      <c r="C1106" s="86"/>
      <c r="D1106" s="86"/>
      <c r="E1106" s="86"/>
      <c r="F1106" s="86"/>
      <c r="G1106" s="86"/>
      <c r="H1106" s="86"/>
      <c r="I1106" s="86"/>
      <c r="J1106" s="86"/>
      <c r="K1106" s="86"/>
      <c r="L1106" s="86"/>
      <c r="M1106" s="86"/>
      <c r="N1106" s="86"/>
      <c r="O1106" s="86"/>
      <c r="P1106" s="86"/>
      <c r="Q1106" s="86"/>
      <c r="R1106" s="86"/>
      <c r="S1106" s="86"/>
      <c r="T1106" s="86"/>
      <c r="U1106" s="86"/>
      <c r="V1106" s="86"/>
      <c r="W1106" s="86"/>
      <c r="X1106" s="86"/>
      <c r="Y1106" s="86"/>
      <c r="Z1106" s="86"/>
      <c r="AA1106" s="86"/>
      <c r="AB1106" s="86"/>
      <c r="AC1106" s="86"/>
      <c r="AD1106" s="86"/>
      <c r="AE1106" s="86"/>
      <c r="AF1106" s="86"/>
      <c r="AG1106" s="86"/>
      <c r="AH1106" s="86"/>
      <c r="AI1106" s="86"/>
      <c r="AJ1106" s="86"/>
      <c r="AK1106" s="86"/>
      <c r="AL1106" s="86"/>
      <c r="AM1106" s="86"/>
      <c r="AN1106" s="86"/>
      <c r="AO1106" s="86"/>
      <c r="AP1106" s="86"/>
      <c r="AQ1106" s="86"/>
      <c r="AR1106" s="86"/>
      <c r="AS1106" s="86"/>
      <c r="AT1106" s="86"/>
      <c r="AU1106" s="86"/>
      <c r="AV1106" s="86"/>
      <c r="AW1106" s="86"/>
      <c r="AX1106" s="86"/>
      <c r="AY1106" s="86"/>
      <c r="AZ1106" s="86"/>
      <c r="BA1106" s="86"/>
      <c r="BB1106" s="86"/>
      <c r="BC1106" s="86"/>
      <c r="BD1106" s="86"/>
      <c r="BE1106" s="86"/>
      <c r="BF1106" s="86"/>
      <c r="BG1106" s="86"/>
      <c r="BH1106" s="86"/>
      <c r="BI1106" s="86"/>
    </row>
    <row r="1107" spans="1:61" ht="12.75" x14ac:dyDescent="0.2">
      <c r="A1107" s="86"/>
      <c r="B1107" s="86"/>
      <c r="C1107" s="86"/>
      <c r="D1107" s="86"/>
      <c r="E1107" s="86"/>
      <c r="F1107" s="86"/>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c r="AC1107" s="86"/>
      <c r="AD1107" s="86"/>
      <c r="AE1107" s="86"/>
      <c r="AF1107" s="86"/>
      <c r="AG1107" s="86"/>
      <c r="AH1107" s="86"/>
      <c r="AI1107" s="86"/>
      <c r="AJ1107" s="86"/>
      <c r="AK1107" s="86"/>
      <c r="AL1107" s="86"/>
      <c r="AM1107" s="86"/>
      <c r="AN1107" s="86"/>
      <c r="AO1107" s="86"/>
      <c r="AP1107" s="86"/>
      <c r="AQ1107" s="86"/>
      <c r="AR1107" s="86"/>
      <c r="AS1107" s="86"/>
      <c r="AT1107" s="86"/>
      <c r="AU1107" s="86"/>
      <c r="AV1107" s="86"/>
      <c r="AW1107" s="86"/>
      <c r="AX1107" s="86"/>
      <c r="AY1107" s="86"/>
      <c r="AZ1107" s="86"/>
      <c r="BA1107" s="86"/>
      <c r="BB1107" s="86"/>
      <c r="BC1107" s="86"/>
      <c r="BD1107" s="86"/>
      <c r="BE1107" s="86"/>
      <c r="BF1107" s="86"/>
      <c r="BG1107" s="86"/>
      <c r="BH1107" s="86"/>
      <c r="BI1107" s="86"/>
    </row>
    <row r="1108" spans="1:61" ht="12.75" x14ac:dyDescent="0.2">
      <c r="A1108" s="86"/>
      <c r="B1108" s="86"/>
      <c r="C1108" s="86"/>
      <c r="D1108" s="86"/>
      <c r="E1108" s="86"/>
      <c r="F1108" s="86"/>
      <c r="G1108" s="86"/>
      <c r="H1108" s="86"/>
      <c r="I1108" s="86"/>
      <c r="J1108" s="86"/>
      <c r="K1108" s="86"/>
      <c r="L1108" s="86"/>
      <c r="M1108" s="86"/>
      <c r="N1108" s="86"/>
      <c r="O1108" s="86"/>
      <c r="P1108" s="86"/>
      <c r="Q1108" s="86"/>
      <c r="R1108" s="86"/>
      <c r="S1108" s="86"/>
      <c r="T1108" s="86"/>
      <c r="U1108" s="86"/>
      <c r="V1108" s="86"/>
      <c r="W1108" s="86"/>
      <c r="X1108" s="86"/>
      <c r="Y1108" s="86"/>
      <c r="Z1108" s="86"/>
      <c r="AA1108" s="86"/>
      <c r="AB1108" s="86"/>
      <c r="AC1108" s="86"/>
      <c r="AD1108" s="86"/>
      <c r="AE1108" s="86"/>
      <c r="AF1108" s="86"/>
      <c r="AG1108" s="86"/>
      <c r="AH1108" s="86"/>
      <c r="AI1108" s="86"/>
      <c r="AJ1108" s="86"/>
      <c r="AK1108" s="86"/>
      <c r="AL1108" s="86"/>
      <c r="AM1108" s="86"/>
      <c r="AN1108" s="86"/>
      <c r="AO1108" s="86"/>
      <c r="AP1108" s="86"/>
      <c r="AQ1108" s="86"/>
      <c r="AR1108" s="86"/>
      <c r="AS1108" s="86"/>
      <c r="AT1108" s="86"/>
      <c r="AU1108" s="86"/>
      <c r="AV1108" s="86"/>
      <c r="AW1108" s="86"/>
      <c r="AX1108" s="86"/>
      <c r="AY1108" s="86"/>
      <c r="AZ1108" s="86"/>
      <c r="BA1108" s="86"/>
      <c r="BB1108" s="86"/>
      <c r="BC1108" s="86"/>
      <c r="BD1108" s="86"/>
      <c r="BE1108" s="86"/>
      <c r="BF1108" s="86"/>
      <c r="BG1108" s="86"/>
      <c r="BH1108" s="86"/>
      <c r="BI1108" s="86"/>
    </row>
    <row r="1109" spans="1:61" ht="12.75" x14ac:dyDescent="0.2">
      <c r="A1109" s="86"/>
      <c r="B1109" s="86"/>
      <c r="C1109" s="86"/>
      <c r="D1109" s="86"/>
      <c r="E1109" s="86"/>
      <c r="F1109" s="86"/>
      <c r="G1109" s="86"/>
      <c r="H1109" s="86"/>
      <c r="I1109" s="86"/>
      <c r="J1109" s="86"/>
      <c r="K1109" s="86"/>
      <c r="L1109" s="86"/>
      <c r="M1109" s="86"/>
      <c r="N1109" s="86"/>
      <c r="O1109" s="86"/>
      <c r="P1109" s="86"/>
      <c r="Q1109" s="86"/>
      <c r="R1109" s="86"/>
      <c r="S1109" s="86"/>
      <c r="T1109" s="86"/>
      <c r="U1109" s="86"/>
      <c r="V1109" s="86"/>
      <c r="W1109" s="86"/>
      <c r="X1109" s="86"/>
      <c r="Y1109" s="86"/>
      <c r="Z1109" s="86"/>
      <c r="AA1109" s="86"/>
      <c r="AB1109" s="86"/>
      <c r="AC1109" s="86"/>
      <c r="AD1109" s="86"/>
      <c r="AE1109" s="86"/>
      <c r="AF1109" s="86"/>
      <c r="AG1109" s="86"/>
      <c r="AH1109" s="86"/>
      <c r="AI1109" s="86"/>
      <c r="AJ1109" s="86"/>
      <c r="AK1109" s="86"/>
      <c r="AL1109" s="86"/>
      <c r="AM1109" s="86"/>
      <c r="AN1109" s="86"/>
      <c r="AO1109" s="86"/>
      <c r="AP1109" s="86"/>
      <c r="AQ1109" s="86"/>
      <c r="AR1109" s="86"/>
      <c r="AS1109" s="86"/>
      <c r="AT1109" s="86"/>
      <c r="AU1109" s="86"/>
      <c r="AV1109" s="86"/>
      <c r="AW1109" s="86"/>
      <c r="AX1109" s="86"/>
      <c r="AY1109" s="86"/>
      <c r="AZ1109" s="86"/>
      <c r="BA1109" s="86"/>
      <c r="BB1109" s="86"/>
      <c r="BC1109" s="86"/>
      <c r="BD1109" s="86"/>
      <c r="BE1109" s="86"/>
      <c r="BF1109" s="86"/>
      <c r="BG1109" s="86"/>
      <c r="BH1109" s="86"/>
      <c r="BI1109" s="86"/>
    </row>
    <row r="1110" spans="1:61" ht="12.75" x14ac:dyDescent="0.2">
      <c r="A1110" s="86"/>
      <c r="B1110" s="86"/>
      <c r="C1110" s="86"/>
      <c r="D1110" s="86"/>
      <c r="E1110" s="86"/>
      <c r="F1110" s="86"/>
      <c r="G1110" s="86"/>
      <c r="H1110" s="86"/>
      <c r="I1110" s="86"/>
      <c r="J1110" s="86"/>
      <c r="K1110" s="86"/>
      <c r="L1110" s="86"/>
      <c r="M1110" s="86"/>
      <c r="N1110" s="86"/>
      <c r="O1110" s="86"/>
      <c r="P1110" s="86"/>
      <c r="Q1110" s="86"/>
      <c r="R1110" s="86"/>
      <c r="S1110" s="86"/>
      <c r="T1110" s="86"/>
      <c r="U1110" s="86"/>
      <c r="V1110" s="86"/>
      <c r="W1110" s="86"/>
      <c r="X1110" s="86"/>
      <c r="Y1110" s="86"/>
      <c r="Z1110" s="86"/>
      <c r="AA1110" s="86"/>
      <c r="AB1110" s="86"/>
      <c r="AC1110" s="86"/>
      <c r="AD1110" s="86"/>
      <c r="AE1110" s="86"/>
      <c r="AF1110" s="86"/>
      <c r="AG1110" s="86"/>
      <c r="AH1110" s="86"/>
      <c r="AI1110" s="86"/>
      <c r="AJ1110" s="86"/>
      <c r="AK1110" s="86"/>
      <c r="AL1110" s="86"/>
      <c r="AM1110" s="86"/>
      <c r="AN1110" s="86"/>
      <c r="AO1110" s="86"/>
      <c r="AP1110" s="86"/>
      <c r="AQ1110" s="86"/>
      <c r="AR1110" s="86"/>
      <c r="AS1110" s="86"/>
      <c r="AT1110" s="86"/>
      <c r="AU1110" s="86"/>
      <c r="AV1110" s="86"/>
      <c r="AW1110" s="86"/>
      <c r="AX1110" s="86"/>
      <c r="AY1110" s="86"/>
      <c r="AZ1110" s="86"/>
      <c r="BA1110" s="86"/>
      <c r="BB1110" s="86"/>
      <c r="BC1110" s="86"/>
      <c r="BD1110" s="86"/>
      <c r="BE1110" s="86"/>
      <c r="BF1110" s="86"/>
      <c r="BG1110" s="86"/>
      <c r="BH1110" s="86"/>
      <c r="BI1110" s="86"/>
    </row>
    <row r="1111" spans="1:61" ht="12.75" x14ac:dyDescent="0.2">
      <c r="A1111" s="86"/>
      <c r="B1111" s="86"/>
      <c r="C1111" s="86"/>
      <c r="D1111" s="86"/>
      <c r="E1111" s="86"/>
      <c r="F1111" s="86"/>
      <c r="G1111" s="86"/>
      <c r="H1111" s="86"/>
      <c r="I1111" s="86"/>
      <c r="J1111" s="86"/>
      <c r="K1111" s="86"/>
      <c r="L1111" s="86"/>
      <c r="M1111" s="86"/>
      <c r="N1111" s="86"/>
      <c r="O1111" s="86"/>
      <c r="P1111" s="86"/>
      <c r="Q1111" s="86"/>
      <c r="R1111" s="86"/>
      <c r="S1111" s="86"/>
      <c r="T1111" s="86"/>
      <c r="U1111" s="86"/>
      <c r="V1111" s="86"/>
      <c r="W1111" s="86"/>
      <c r="X1111" s="86"/>
      <c r="Y1111" s="86"/>
      <c r="Z1111" s="86"/>
      <c r="AA1111" s="86"/>
      <c r="AB1111" s="86"/>
      <c r="AC1111" s="86"/>
      <c r="AD1111" s="86"/>
      <c r="AE1111" s="86"/>
      <c r="AF1111" s="86"/>
      <c r="AG1111" s="86"/>
      <c r="AH1111" s="86"/>
      <c r="AI1111" s="86"/>
      <c r="AJ1111" s="86"/>
      <c r="AK1111" s="86"/>
      <c r="AL1111" s="86"/>
      <c r="AM1111" s="86"/>
      <c r="AN1111" s="86"/>
      <c r="AO1111" s="86"/>
      <c r="AP1111" s="86"/>
      <c r="AQ1111" s="86"/>
      <c r="AR1111" s="86"/>
      <c r="AS1111" s="86"/>
      <c r="AT1111" s="86"/>
      <c r="AU1111" s="86"/>
      <c r="AV1111" s="86"/>
      <c r="AW1111" s="86"/>
      <c r="AX1111" s="86"/>
      <c r="AY1111" s="86"/>
      <c r="AZ1111" s="86"/>
      <c r="BA1111" s="86"/>
      <c r="BB1111" s="86"/>
      <c r="BC1111" s="86"/>
      <c r="BD1111" s="86"/>
      <c r="BE1111" s="86"/>
      <c r="BF1111" s="86"/>
      <c r="BG1111" s="86"/>
      <c r="BH1111" s="86"/>
      <c r="BI1111" s="86"/>
    </row>
    <row r="1112" spans="1:61" ht="12.75" x14ac:dyDescent="0.2">
      <c r="A1112" s="86"/>
      <c r="B1112" s="86"/>
      <c r="C1112" s="86"/>
      <c r="D1112" s="86"/>
      <c r="E1112" s="86"/>
      <c r="F1112" s="86"/>
      <c r="G1112" s="86"/>
      <c r="H1112" s="86"/>
      <c r="I1112" s="86"/>
      <c r="J1112" s="86"/>
      <c r="K1112" s="86"/>
      <c r="L1112" s="86"/>
      <c r="M1112" s="86"/>
      <c r="N1112" s="86"/>
      <c r="O1112" s="86"/>
      <c r="P1112" s="86"/>
      <c r="Q1112" s="86"/>
      <c r="R1112" s="86"/>
      <c r="S1112" s="86"/>
      <c r="T1112" s="86"/>
      <c r="U1112" s="86"/>
      <c r="V1112" s="86"/>
      <c r="W1112" s="86"/>
      <c r="X1112" s="86"/>
      <c r="Y1112" s="86"/>
      <c r="Z1112" s="86"/>
      <c r="AA1112" s="86"/>
      <c r="AB1112" s="86"/>
      <c r="AC1112" s="86"/>
      <c r="AD1112" s="86"/>
      <c r="AE1112" s="86"/>
      <c r="AF1112" s="86"/>
      <c r="AG1112" s="86"/>
      <c r="AH1112" s="86"/>
      <c r="AI1112" s="86"/>
      <c r="AJ1112" s="86"/>
      <c r="AK1112" s="86"/>
      <c r="AL1112" s="86"/>
      <c r="AM1112" s="86"/>
      <c r="AN1112" s="86"/>
      <c r="AO1112" s="86"/>
      <c r="AP1112" s="86"/>
      <c r="AQ1112" s="86"/>
      <c r="AR1112" s="86"/>
      <c r="AS1112" s="86"/>
      <c r="AT1112" s="86"/>
      <c r="AU1112" s="86"/>
      <c r="AV1112" s="86"/>
      <c r="AW1112" s="86"/>
      <c r="AX1112" s="86"/>
      <c r="AY1112" s="86"/>
      <c r="AZ1112" s="86"/>
      <c r="BA1112" s="86"/>
      <c r="BB1112" s="86"/>
      <c r="BC1112" s="86"/>
      <c r="BD1112" s="86"/>
      <c r="BE1112" s="86"/>
      <c r="BF1112" s="86"/>
      <c r="BG1112" s="86"/>
      <c r="BH1112" s="86"/>
      <c r="BI1112" s="86"/>
    </row>
    <row r="1113" spans="1:61" ht="12.75" x14ac:dyDescent="0.2">
      <c r="A1113" s="86"/>
      <c r="B1113" s="86"/>
      <c r="C1113" s="86"/>
      <c r="D1113" s="86"/>
      <c r="E1113" s="86"/>
      <c r="F1113" s="86"/>
      <c r="G1113" s="86"/>
      <c r="H1113" s="86"/>
      <c r="I1113" s="86"/>
      <c r="J1113" s="86"/>
      <c r="K1113" s="86"/>
      <c r="L1113" s="86"/>
      <c r="M1113" s="86"/>
      <c r="N1113" s="86"/>
      <c r="O1113" s="86"/>
      <c r="P1113" s="86"/>
      <c r="Q1113" s="86"/>
      <c r="R1113" s="86"/>
      <c r="S1113" s="86"/>
      <c r="T1113" s="86"/>
      <c r="U1113" s="86"/>
      <c r="V1113" s="86"/>
      <c r="W1113" s="86"/>
      <c r="X1113" s="86"/>
      <c r="Y1113" s="86"/>
      <c r="Z1113" s="86"/>
      <c r="AA1113" s="86"/>
      <c r="AB1113" s="86"/>
      <c r="AC1113" s="86"/>
      <c r="AD1113" s="86"/>
      <c r="AE1113" s="86"/>
      <c r="AF1113" s="86"/>
      <c r="AG1113" s="86"/>
      <c r="AH1113" s="86"/>
      <c r="AI1113" s="86"/>
      <c r="AJ1113" s="86"/>
      <c r="AK1113" s="86"/>
      <c r="AL1113" s="86"/>
      <c r="AM1113" s="86"/>
      <c r="AN1113" s="86"/>
      <c r="AO1113" s="86"/>
      <c r="AP1113" s="86"/>
      <c r="AQ1113" s="86"/>
      <c r="AR1113" s="86"/>
      <c r="AS1113" s="86"/>
      <c r="AT1113" s="86"/>
      <c r="AU1113" s="86"/>
      <c r="AV1113" s="86"/>
      <c r="AW1113" s="86"/>
      <c r="AX1113" s="86"/>
      <c r="AY1113" s="86"/>
      <c r="AZ1113" s="86"/>
      <c r="BA1113" s="86"/>
      <c r="BB1113" s="86"/>
      <c r="BC1113" s="86"/>
      <c r="BD1113" s="86"/>
      <c r="BE1113" s="86"/>
      <c r="BF1113" s="86"/>
      <c r="BG1113" s="86"/>
      <c r="BH1113" s="86"/>
      <c r="BI1113" s="86"/>
    </row>
    <row r="1114" spans="1:61" ht="12.75" x14ac:dyDescent="0.2">
      <c r="A1114" s="86"/>
      <c r="B1114" s="86"/>
      <c r="C1114" s="86"/>
      <c r="D1114" s="86"/>
      <c r="E1114" s="86"/>
      <c r="F1114" s="86"/>
      <c r="G1114" s="86"/>
      <c r="H1114" s="86"/>
      <c r="I1114" s="86"/>
      <c r="J1114" s="86"/>
      <c r="K1114" s="86"/>
      <c r="L1114" s="86"/>
      <c r="M1114" s="86"/>
      <c r="N1114" s="86"/>
      <c r="O1114" s="86"/>
      <c r="P1114" s="86"/>
      <c r="Q1114" s="86"/>
      <c r="R1114" s="86"/>
      <c r="S1114" s="86"/>
      <c r="T1114" s="86"/>
      <c r="U1114" s="86"/>
      <c r="V1114" s="86"/>
      <c r="W1114" s="86"/>
      <c r="X1114" s="86"/>
      <c r="Y1114" s="86"/>
      <c r="Z1114" s="86"/>
      <c r="AA1114" s="86"/>
      <c r="AB1114" s="86"/>
      <c r="AC1114" s="86"/>
      <c r="AD1114" s="86"/>
      <c r="AE1114" s="86"/>
      <c r="AF1114" s="86"/>
      <c r="AG1114" s="86"/>
      <c r="AH1114" s="86"/>
      <c r="AI1114" s="86"/>
      <c r="AJ1114" s="86"/>
      <c r="AK1114" s="86"/>
      <c r="AL1114" s="86"/>
      <c r="AM1114" s="86"/>
      <c r="AN1114" s="86"/>
      <c r="AO1114" s="86"/>
      <c r="AP1114" s="86"/>
      <c r="AQ1114" s="86"/>
      <c r="AR1114" s="86"/>
      <c r="AS1114" s="86"/>
      <c r="AT1114" s="86"/>
      <c r="AU1114" s="86"/>
      <c r="AV1114" s="86"/>
      <c r="AW1114" s="86"/>
      <c r="AX1114" s="86"/>
      <c r="AY1114" s="86"/>
      <c r="AZ1114" s="86"/>
      <c r="BA1114" s="86"/>
      <c r="BB1114" s="86"/>
      <c r="BC1114" s="86"/>
      <c r="BD1114" s="86"/>
      <c r="BE1114" s="86"/>
      <c r="BF1114" s="86"/>
      <c r="BG1114" s="86"/>
      <c r="BH1114" s="86"/>
      <c r="BI1114" s="86"/>
    </row>
    <row r="1115" spans="1:61" ht="12.75" x14ac:dyDescent="0.2">
      <c r="A1115" s="86"/>
      <c r="B1115" s="86"/>
      <c r="C1115" s="86"/>
      <c r="D1115" s="86"/>
      <c r="E1115" s="86"/>
      <c r="F1115" s="86"/>
      <c r="G1115" s="86"/>
      <c r="H1115" s="86"/>
      <c r="I1115" s="86"/>
      <c r="J1115" s="86"/>
      <c r="K1115" s="86"/>
      <c r="L1115" s="86"/>
      <c r="M1115" s="86"/>
      <c r="N1115" s="86"/>
      <c r="O1115" s="86"/>
      <c r="P1115" s="86"/>
      <c r="Q1115" s="86"/>
      <c r="R1115" s="86"/>
      <c r="S1115" s="86"/>
      <c r="T1115" s="86"/>
      <c r="U1115" s="86"/>
      <c r="V1115" s="86"/>
      <c r="W1115" s="86"/>
      <c r="X1115" s="86"/>
      <c r="Y1115" s="86"/>
      <c r="Z1115" s="86"/>
      <c r="AA1115" s="86"/>
      <c r="AB1115" s="86"/>
      <c r="AC1115" s="86"/>
      <c r="AD1115" s="86"/>
      <c r="AE1115" s="86"/>
      <c r="AF1115" s="86"/>
      <c r="AG1115" s="86"/>
      <c r="AH1115" s="86"/>
      <c r="AI1115" s="86"/>
      <c r="AJ1115" s="86"/>
      <c r="AK1115" s="86"/>
      <c r="AL1115" s="86"/>
      <c r="AM1115" s="86"/>
      <c r="AN1115" s="86"/>
      <c r="AO1115" s="86"/>
      <c r="AP1115" s="86"/>
      <c r="AQ1115" s="86"/>
      <c r="AR1115" s="86"/>
      <c r="AS1115" s="86"/>
      <c r="AT1115" s="86"/>
      <c r="AU1115" s="86"/>
      <c r="AV1115" s="86"/>
      <c r="AW1115" s="86"/>
      <c r="AX1115" s="86"/>
      <c r="AY1115" s="86"/>
      <c r="AZ1115" s="86"/>
      <c r="BA1115" s="86"/>
      <c r="BB1115" s="86"/>
      <c r="BC1115" s="86"/>
      <c r="BD1115" s="86"/>
      <c r="BE1115" s="86"/>
      <c r="BF1115" s="86"/>
      <c r="BG1115" s="86"/>
      <c r="BH1115" s="86"/>
      <c r="BI1115" s="86"/>
    </row>
    <row r="1116" spans="1:61" ht="12.75" x14ac:dyDescent="0.2">
      <c r="A1116" s="86"/>
      <c r="B1116" s="86"/>
      <c r="C1116" s="86"/>
      <c r="D1116" s="86"/>
      <c r="E1116" s="86"/>
      <c r="F1116" s="86"/>
      <c r="G1116" s="86"/>
      <c r="H1116" s="86"/>
      <c r="I1116" s="86"/>
      <c r="J1116" s="86"/>
      <c r="K1116" s="86"/>
      <c r="L1116" s="86"/>
      <c r="M1116" s="86"/>
      <c r="N1116" s="86"/>
      <c r="O1116" s="86"/>
      <c r="P1116" s="86"/>
      <c r="Q1116" s="86"/>
      <c r="R1116" s="86"/>
      <c r="S1116" s="86"/>
      <c r="T1116" s="86"/>
      <c r="U1116" s="86"/>
      <c r="V1116" s="86"/>
      <c r="W1116" s="86"/>
      <c r="X1116" s="86"/>
      <c r="Y1116" s="86"/>
      <c r="Z1116" s="86"/>
      <c r="AA1116" s="86"/>
      <c r="AB1116" s="86"/>
      <c r="AC1116" s="86"/>
      <c r="AD1116" s="86"/>
      <c r="AE1116" s="86"/>
      <c r="AF1116" s="86"/>
      <c r="AG1116" s="86"/>
      <c r="AH1116" s="86"/>
      <c r="AI1116" s="86"/>
      <c r="AJ1116" s="86"/>
      <c r="AK1116" s="86"/>
      <c r="AL1116" s="86"/>
      <c r="AM1116" s="86"/>
      <c r="AN1116" s="86"/>
      <c r="AO1116" s="86"/>
      <c r="AP1116" s="86"/>
      <c r="AQ1116" s="86"/>
      <c r="AR1116" s="86"/>
      <c r="AS1116" s="86"/>
      <c r="AT1116" s="86"/>
      <c r="AU1116" s="86"/>
      <c r="AV1116" s="86"/>
      <c r="AW1116" s="86"/>
      <c r="AX1116" s="86"/>
      <c r="AY1116" s="86"/>
      <c r="AZ1116" s="86"/>
      <c r="BA1116" s="86"/>
      <c r="BB1116" s="86"/>
      <c r="BC1116" s="86"/>
      <c r="BD1116" s="86"/>
      <c r="BE1116" s="86"/>
      <c r="BF1116" s="86"/>
      <c r="BG1116" s="86"/>
      <c r="BH1116" s="86"/>
      <c r="BI1116" s="86"/>
    </row>
    <row r="1117" spans="1:61" ht="12.75" x14ac:dyDescent="0.2">
      <c r="A1117" s="86"/>
      <c r="B1117" s="86"/>
      <c r="C1117" s="86"/>
      <c r="D1117" s="86"/>
      <c r="E1117" s="86"/>
      <c r="F1117" s="86"/>
      <c r="G1117" s="86"/>
      <c r="H1117" s="86"/>
      <c r="I1117" s="86"/>
      <c r="J1117" s="86"/>
      <c r="K1117" s="86"/>
      <c r="L1117" s="86"/>
      <c r="M1117" s="86"/>
      <c r="N1117" s="86"/>
      <c r="O1117" s="86"/>
      <c r="P1117" s="86"/>
      <c r="Q1117" s="86"/>
      <c r="R1117" s="86"/>
      <c r="S1117" s="86"/>
      <c r="T1117" s="86"/>
      <c r="U1117" s="86"/>
      <c r="V1117" s="86"/>
      <c r="W1117" s="86"/>
      <c r="X1117" s="86"/>
      <c r="Y1117" s="86"/>
      <c r="Z1117" s="86"/>
      <c r="AA1117" s="86"/>
      <c r="AB1117" s="86"/>
      <c r="AC1117" s="86"/>
      <c r="AD1117" s="86"/>
      <c r="AE1117" s="86"/>
      <c r="AF1117" s="86"/>
      <c r="AG1117" s="86"/>
      <c r="AH1117" s="86"/>
      <c r="AI1117" s="86"/>
      <c r="AJ1117" s="86"/>
      <c r="AK1117" s="86"/>
      <c r="AL1117" s="86"/>
      <c r="AM1117" s="86"/>
      <c r="AN1117" s="86"/>
      <c r="AO1117" s="86"/>
      <c r="AP1117" s="86"/>
      <c r="AQ1117" s="86"/>
      <c r="AR1117" s="86"/>
      <c r="AS1117" s="86"/>
      <c r="AT1117" s="86"/>
      <c r="AU1117" s="86"/>
      <c r="AV1117" s="86"/>
      <c r="AW1117" s="86"/>
      <c r="AX1117" s="86"/>
      <c r="AY1117" s="86"/>
      <c r="AZ1117" s="86"/>
      <c r="BA1117" s="86"/>
      <c r="BB1117" s="86"/>
      <c r="BC1117" s="86"/>
      <c r="BD1117" s="86"/>
      <c r="BE1117" s="86"/>
      <c r="BF1117" s="86"/>
      <c r="BG1117" s="86"/>
      <c r="BH1117" s="86"/>
      <c r="BI1117" s="86"/>
    </row>
    <row r="1118" spans="1:61" ht="12.75" x14ac:dyDescent="0.2">
      <c r="A1118" s="86"/>
      <c r="B1118" s="86"/>
      <c r="C1118" s="86"/>
      <c r="D1118" s="86"/>
      <c r="E1118" s="86"/>
      <c r="F1118" s="86"/>
      <c r="G1118" s="86"/>
      <c r="H1118" s="86"/>
      <c r="I1118" s="86"/>
      <c r="J1118" s="86"/>
      <c r="K1118" s="86"/>
      <c r="L1118" s="86"/>
      <c r="M1118" s="86"/>
      <c r="N1118" s="86"/>
      <c r="O1118" s="86"/>
      <c r="P1118" s="86"/>
      <c r="Q1118" s="86"/>
      <c r="R1118" s="86"/>
      <c r="S1118" s="86"/>
      <c r="T1118" s="86"/>
      <c r="U1118" s="86"/>
      <c r="V1118" s="86"/>
      <c r="W1118" s="86"/>
      <c r="X1118" s="86"/>
      <c r="Y1118" s="86"/>
      <c r="Z1118" s="86"/>
      <c r="AA1118" s="86"/>
      <c r="AB1118" s="86"/>
      <c r="AC1118" s="86"/>
      <c r="AD1118" s="86"/>
      <c r="AE1118" s="86"/>
      <c r="AF1118" s="86"/>
      <c r="AG1118" s="86"/>
      <c r="AH1118" s="86"/>
      <c r="AI1118" s="86"/>
      <c r="AJ1118" s="86"/>
      <c r="AK1118" s="86"/>
      <c r="AL1118" s="86"/>
      <c r="AM1118" s="86"/>
      <c r="AN1118" s="86"/>
      <c r="AO1118" s="86"/>
      <c r="AP1118" s="86"/>
      <c r="AQ1118" s="86"/>
      <c r="AR1118" s="86"/>
      <c r="AS1118" s="86"/>
      <c r="AT1118" s="86"/>
      <c r="AU1118" s="86"/>
      <c r="AV1118" s="86"/>
      <c r="AW1118" s="86"/>
      <c r="AX1118" s="86"/>
      <c r="AY1118" s="86"/>
      <c r="AZ1118" s="86"/>
      <c r="BA1118" s="86"/>
      <c r="BB1118" s="86"/>
      <c r="BC1118" s="86"/>
      <c r="BD1118" s="86"/>
      <c r="BE1118" s="86"/>
      <c r="BF1118" s="86"/>
      <c r="BG1118" s="86"/>
      <c r="BH1118" s="86"/>
      <c r="BI1118" s="86"/>
    </row>
    <row r="1119" spans="1:61" ht="12.75" x14ac:dyDescent="0.2">
      <c r="A1119" s="86"/>
      <c r="B1119" s="86"/>
      <c r="C1119" s="86"/>
      <c r="D1119" s="86"/>
      <c r="E1119" s="86"/>
      <c r="F1119" s="86"/>
      <c r="G1119" s="86"/>
      <c r="H1119" s="86"/>
      <c r="I1119" s="86"/>
      <c r="J1119" s="86"/>
      <c r="K1119" s="86"/>
      <c r="L1119" s="86"/>
      <c r="M1119" s="86"/>
      <c r="N1119" s="86"/>
      <c r="O1119" s="86"/>
      <c r="P1119" s="86"/>
      <c r="Q1119" s="86"/>
      <c r="R1119" s="86"/>
      <c r="S1119" s="86"/>
      <c r="T1119" s="86"/>
      <c r="U1119" s="86"/>
      <c r="V1119" s="86"/>
      <c r="W1119" s="86"/>
      <c r="X1119" s="86"/>
      <c r="Y1119" s="86"/>
      <c r="Z1119" s="86"/>
      <c r="AA1119" s="86"/>
      <c r="AB1119" s="86"/>
      <c r="AC1119" s="86"/>
      <c r="AD1119" s="86"/>
      <c r="AE1119" s="86"/>
      <c r="AF1119" s="86"/>
      <c r="AG1119" s="86"/>
      <c r="AH1119" s="86"/>
      <c r="AI1119" s="86"/>
      <c r="AJ1119" s="86"/>
      <c r="AK1119" s="86"/>
      <c r="AL1119" s="86"/>
      <c r="AM1119" s="86"/>
      <c r="AN1119" s="86"/>
      <c r="AO1119" s="86"/>
      <c r="AP1119" s="86"/>
      <c r="AQ1119" s="86"/>
      <c r="AR1119" s="86"/>
      <c r="AS1119" s="86"/>
      <c r="AT1119" s="86"/>
      <c r="AU1119" s="86"/>
      <c r="AV1119" s="86"/>
      <c r="AW1119" s="86"/>
      <c r="AX1119" s="86"/>
      <c r="AY1119" s="86"/>
      <c r="AZ1119" s="86"/>
      <c r="BA1119" s="86"/>
      <c r="BB1119" s="86"/>
      <c r="BC1119" s="86"/>
      <c r="BD1119" s="86"/>
      <c r="BE1119" s="86"/>
      <c r="BF1119" s="86"/>
      <c r="BG1119" s="86"/>
      <c r="BH1119" s="86"/>
      <c r="BI1119" s="86"/>
    </row>
    <row r="1120" spans="1:61" ht="12.75" x14ac:dyDescent="0.2">
      <c r="A1120" s="86"/>
      <c r="B1120" s="86"/>
      <c r="C1120" s="86"/>
      <c r="D1120" s="86"/>
      <c r="E1120" s="86"/>
      <c r="F1120" s="86"/>
      <c r="G1120" s="86"/>
      <c r="H1120" s="86"/>
      <c r="I1120" s="86"/>
      <c r="J1120" s="86"/>
      <c r="K1120" s="86"/>
      <c r="L1120" s="86"/>
      <c r="M1120" s="86"/>
      <c r="N1120" s="86"/>
      <c r="O1120" s="86"/>
      <c r="P1120" s="86"/>
      <c r="Q1120" s="86"/>
      <c r="R1120" s="86"/>
      <c r="S1120" s="86"/>
      <c r="T1120" s="86"/>
      <c r="U1120" s="86"/>
      <c r="V1120" s="86"/>
      <c r="W1120" s="86"/>
      <c r="X1120" s="86"/>
      <c r="Y1120" s="86"/>
      <c r="Z1120" s="86"/>
      <c r="AA1120" s="86"/>
      <c r="AB1120" s="86"/>
      <c r="AC1120" s="86"/>
      <c r="AD1120" s="86"/>
      <c r="AE1120" s="86"/>
      <c r="AF1120" s="86"/>
      <c r="AG1120" s="86"/>
      <c r="AH1120" s="86"/>
      <c r="AI1120" s="86"/>
      <c r="AJ1120" s="86"/>
      <c r="AK1120" s="86"/>
      <c r="AL1120" s="86"/>
      <c r="AM1120" s="86"/>
      <c r="AN1120" s="86"/>
      <c r="AO1120" s="86"/>
      <c r="AP1120" s="86"/>
      <c r="AQ1120" s="86"/>
      <c r="AR1120" s="86"/>
      <c r="AS1120" s="86"/>
      <c r="AT1120" s="86"/>
      <c r="AU1120" s="86"/>
      <c r="AV1120" s="86"/>
      <c r="AW1120" s="86"/>
      <c r="AX1120" s="86"/>
      <c r="AY1120" s="86"/>
      <c r="AZ1120" s="86"/>
      <c r="BA1120" s="86"/>
      <c r="BB1120" s="86"/>
      <c r="BC1120" s="86"/>
      <c r="BD1120" s="86"/>
      <c r="BE1120" s="86"/>
      <c r="BF1120" s="86"/>
      <c r="BG1120" s="86"/>
      <c r="BH1120" s="86"/>
      <c r="BI1120" s="86"/>
    </row>
    <row r="1121" spans="1:61" ht="12.75" x14ac:dyDescent="0.2">
      <c r="A1121" s="86"/>
      <c r="B1121" s="86"/>
      <c r="C1121" s="86"/>
      <c r="D1121" s="86"/>
      <c r="E1121" s="86"/>
      <c r="F1121" s="86"/>
      <c r="G1121" s="86"/>
      <c r="H1121" s="86"/>
      <c r="I1121" s="86"/>
      <c r="J1121" s="86"/>
      <c r="K1121" s="86"/>
      <c r="L1121" s="86"/>
      <c r="M1121" s="86"/>
      <c r="N1121" s="86"/>
      <c r="O1121" s="86"/>
      <c r="P1121" s="86"/>
      <c r="Q1121" s="86"/>
      <c r="R1121" s="86"/>
      <c r="S1121" s="86"/>
      <c r="T1121" s="86"/>
      <c r="U1121" s="86"/>
      <c r="V1121" s="86"/>
      <c r="W1121" s="86"/>
      <c r="X1121" s="86"/>
      <c r="Y1121" s="86"/>
      <c r="Z1121" s="86"/>
      <c r="AA1121" s="86"/>
      <c r="AB1121" s="86"/>
      <c r="AC1121" s="86"/>
      <c r="AD1121" s="86"/>
      <c r="AE1121" s="86"/>
      <c r="AF1121" s="86"/>
      <c r="AG1121" s="86"/>
      <c r="AH1121" s="86"/>
      <c r="AI1121" s="86"/>
      <c r="AJ1121" s="86"/>
      <c r="AK1121" s="86"/>
      <c r="AL1121" s="86"/>
      <c r="AM1121" s="86"/>
      <c r="AN1121" s="86"/>
      <c r="AO1121" s="86"/>
      <c r="AP1121" s="86"/>
      <c r="AQ1121" s="86"/>
      <c r="AR1121" s="86"/>
      <c r="AS1121" s="86"/>
      <c r="AT1121" s="86"/>
      <c r="AU1121" s="86"/>
      <c r="AV1121" s="86"/>
      <c r="AW1121" s="86"/>
      <c r="AX1121" s="86"/>
      <c r="AY1121" s="86"/>
      <c r="AZ1121" s="86"/>
      <c r="BA1121" s="86"/>
      <c r="BB1121" s="86"/>
      <c r="BC1121" s="86"/>
      <c r="BD1121" s="86"/>
      <c r="BE1121" s="86"/>
      <c r="BF1121" s="86"/>
      <c r="BG1121" s="86"/>
      <c r="BH1121" s="86"/>
      <c r="BI1121" s="86"/>
    </row>
  </sheetData>
  <hyperlinks>
    <hyperlink ref="BD4" r:id="rId1"/>
    <hyperlink ref="BD5" r:id="rId2"/>
    <hyperlink ref="BD6" r:id="rId3"/>
    <hyperlink ref="BD7" r:id="rId4"/>
    <hyperlink ref="BD8" r:id="rId5"/>
    <hyperlink ref="BD9" r:id="rId6"/>
    <hyperlink ref="BD10" r:id="rId7"/>
    <hyperlink ref="BD11" r:id="rId8"/>
    <hyperlink ref="BD19" r:id="rId9"/>
    <hyperlink ref="BD20" r:id="rId10"/>
    <hyperlink ref="BD21" r:id="rId11"/>
    <hyperlink ref="BD22" r:id="rId12"/>
    <hyperlink ref="BD23" r:id="rId13"/>
    <hyperlink ref="BD24" r:id="rId14"/>
    <hyperlink ref="BD25" r:id="rId15"/>
    <hyperlink ref="BD26" r:id="rId16"/>
    <hyperlink ref="BD27" r:id="rId17"/>
    <hyperlink ref="BD28" r:id="rId18"/>
    <hyperlink ref="BD29" r:id="rId19"/>
    <hyperlink ref="BD30" r:id="rId20"/>
    <hyperlink ref="BD31" r:id="rId21"/>
    <hyperlink ref="BD32" r:id="rId22"/>
    <hyperlink ref="BD33" r:id="rId23"/>
    <hyperlink ref="BD34" r:id="rId24"/>
    <hyperlink ref="BD35" r:id="rId25"/>
    <hyperlink ref="BD36" r:id="rId26"/>
    <hyperlink ref="BD37" r:id="rId27"/>
    <hyperlink ref="BD38" r:id="rId28"/>
    <hyperlink ref="BD39" r:id="rId29"/>
    <hyperlink ref="BD40" r:id="rId30"/>
    <hyperlink ref="BD41" r:id="rId31"/>
    <hyperlink ref="BD42" r:id="rId32"/>
    <hyperlink ref="BD43" r:id="rId33"/>
    <hyperlink ref="BD44" r:id="rId34"/>
    <hyperlink ref="BD45" r:id="rId35"/>
    <hyperlink ref="BD46" r:id="rId36"/>
    <hyperlink ref="BD47" r:id="rId37"/>
    <hyperlink ref="BD48" r:id="rId38"/>
    <hyperlink ref="BD49" r:id="rId39"/>
    <hyperlink ref="BD50" r:id="rId40"/>
    <hyperlink ref="BD51" r:id="rId41"/>
    <hyperlink ref="BD52" r:id="rId42"/>
    <hyperlink ref="BD53" r:id="rId43"/>
    <hyperlink ref="BD54" r:id="rId44"/>
    <hyperlink ref="BD55" r:id="rId45"/>
    <hyperlink ref="BD56" r:id="rId46"/>
    <hyperlink ref="BD57" r:id="rId47"/>
    <hyperlink ref="BD58" r:id="rId48"/>
    <hyperlink ref="BD59" r:id="rId49"/>
    <hyperlink ref="BD60" r:id="rId50"/>
    <hyperlink ref="BD61" r:id="rId51"/>
    <hyperlink ref="BD69" r:id="rId52"/>
    <hyperlink ref="BD70" r:id="rId53"/>
    <hyperlink ref="BD71" r:id="rId54"/>
    <hyperlink ref="BD84" r:id="rId55"/>
    <hyperlink ref="BD85" r:id="rId56"/>
    <hyperlink ref="BD87" r:id="rId57"/>
    <hyperlink ref="BD96" r:id="rId58"/>
    <hyperlink ref="BD97" r:id="rId59"/>
    <hyperlink ref="BD98" r:id="rId60"/>
    <hyperlink ref="BD99" r:id="rId61"/>
    <hyperlink ref="BD102" r:id="rId62"/>
    <hyperlink ref="BD104" r:id="rId63"/>
    <hyperlink ref="BD105" r:id="rId64"/>
    <hyperlink ref="BD106" r:id="rId65"/>
    <hyperlink ref="BD107" r:id="rId66"/>
    <hyperlink ref="BD108" r:id="rId67"/>
    <hyperlink ref="BD109" r:id="rId68"/>
    <hyperlink ref="BD110" r:id="rId69"/>
    <hyperlink ref="BD115" r:id="rId70"/>
    <hyperlink ref="BD116" r:id="rId71"/>
    <hyperlink ref="BD117" r:id="rId72"/>
    <hyperlink ref="BD118" r:id="rId73"/>
    <hyperlink ref="BD119" r:id="rId74" location="reco_item_pos=6&amp;reco_backend=vip_pads_up_buybox&amp;reco_backend_type=low_level&amp;reco_client=vip-pads-up&amp;reco_id=305d3988-b866-4961-affd-620d467202a3&amp;is_advertising=true&amp;ad_domain=VIPDESKTOP_UP&amp;ad_position=7&amp;ad_click_id=OGExMzdmMWQtMmE0NC00ZGY2LWFiZTUtZGE4NDlhYjI3ZGU3"/>
    <hyperlink ref="BD120" r:id="rId75" location="position=14&amp;search_layout=grid&amp;type=item&amp;tracking_id=2a0df658-e9c2-4aec-a43f-926a56966b87"/>
  </hyperlinks>
  <pageMargins left="0.511811024" right="0.511811024" top="0.78740157499999996" bottom="0.78740157499999996" header="0.31496062000000002" footer="0.31496062000000002"/>
  <legacyDrawing r:id="rId7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106"/>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19.2851562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38.42578125" customWidth="1"/>
    <col min="15" max="15" width="39.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0" width="12.5703125" hidden="1"/>
    <col min="51" max="51" width="47.5703125" hidden="1" customWidth="1"/>
    <col min="52"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19.85546875" hidden="1" customWidth="1"/>
    <col min="61" max="61" width="38.57031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2124</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2125</v>
      </c>
      <c r="AZ1" s="21"/>
      <c r="BA1" s="9" t="s">
        <v>60</v>
      </c>
      <c r="BB1" s="9" t="s">
        <v>2126</v>
      </c>
      <c r="BC1" s="9" t="s">
        <v>2127</v>
      </c>
      <c r="BD1" s="9" t="s">
        <v>61</v>
      </c>
      <c r="BE1" s="9" t="s">
        <v>62</v>
      </c>
      <c r="BF1" s="9" t="s">
        <v>63</v>
      </c>
      <c r="BG1" s="22" t="s">
        <v>64</v>
      </c>
      <c r="BH1" s="9" t="s">
        <v>65</v>
      </c>
      <c r="BI1" s="9" t="s">
        <v>66</v>
      </c>
    </row>
    <row r="2" spans="1:61" ht="25.5" hidden="1" x14ac:dyDescent="0.2">
      <c r="A2" s="23" t="s">
        <v>2128</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2129</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AZ2" s="87"/>
      <c r="BA2" s="26"/>
      <c r="BB2" s="26"/>
      <c r="BC2" s="26"/>
      <c r="BD2" s="24"/>
      <c r="BE2" s="27" t="s">
        <v>2128</v>
      </c>
      <c r="BF2" s="24"/>
      <c r="BG2" s="33"/>
      <c r="BH2" s="27" t="s">
        <v>2130</v>
      </c>
      <c r="BI2" s="24" t="s">
        <v>68</v>
      </c>
    </row>
    <row r="3" spans="1:61" ht="25.5" hidden="1" x14ac:dyDescent="0.2">
      <c r="A3" s="34" t="s">
        <v>2131</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2129</v>
      </c>
      <c r="R3" s="38" t="s">
        <v>2132</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AZ3" s="87"/>
      <c r="BA3" s="37"/>
      <c r="BB3" s="37"/>
      <c r="BC3" s="37"/>
      <c r="BD3" s="35"/>
      <c r="BE3" s="35" t="e">
        <v>#REF!</v>
      </c>
      <c r="BF3" s="35"/>
      <c r="BG3" s="44"/>
      <c r="BH3" s="38" t="s">
        <v>2133</v>
      </c>
      <c r="BI3" s="35" t="s">
        <v>68</v>
      </c>
    </row>
    <row r="4" spans="1:61" ht="38.25" x14ac:dyDescent="0.2">
      <c r="A4" s="45" t="s">
        <v>2134</v>
      </c>
      <c r="B4" s="46"/>
      <c r="C4" s="46" t="s">
        <v>2135</v>
      </c>
      <c r="D4" s="46" t="s">
        <v>2136</v>
      </c>
      <c r="E4" s="46" t="s">
        <v>2137</v>
      </c>
      <c r="F4" s="46" t="s">
        <v>68</v>
      </c>
      <c r="G4" s="46" t="s">
        <v>68</v>
      </c>
      <c r="H4" s="46" t="s">
        <v>68</v>
      </c>
      <c r="I4" s="46" t="s">
        <v>68</v>
      </c>
      <c r="J4" s="46" t="s">
        <v>71</v>
      </c>
      <c r="K4" s="47">
        <v>150</v>
      </c>
      <c r="L4" s="47">
        <v>150</v>
      </c>
      <c r="M4" s="47">
        <v>300</v>
      </c>
      <c r="N4" s="46"/>
      <c r="O4" s="71" t="s">
        <v>68</v>
      </c>
      <c r="P4" s="64"/>
      <c r="Q4" s="46" t="s">
        <v>2129</v>
      </c>
      <c r="R4" s="46" t="s">
        <v>2132</v>
      </c>
      <c r="S4" s="49">
        <v>75</v>
      </c>
      <c r="T4" s="49">
        <v>375</v>
      </c>
      <c r="U4" s="28">
        <v>0.22</v>
      </c>
      <c r="V4" s="50">
        <v>0.16666666666666666</v>
      </c>
      <c r="W4" s="51">
        <v>1</v>
      </c>
      <c r="X4" s="52">
        <v>37.5</v>
      </c>
      <c r="Y4" s="52">
        <v>30</v>
      </c>
      <c r="Z4" s="52">
        <v>225</v>
      </c>
      <c r="AA4" s="52">
        <v>292.5</v>
      </c>
      <c r="AB4" s="53">
        <v>0.78</v>
      </c>
      <c r="AC4" s="68">
        <v>82.5</v>
      </c>
      <c r="AD4" s="55">
        <v>0.22</v>
      </c>
      <c r="AE4" s="56">
        <v>2</v>
      </c>
      <c r="AF4" s="57" t="s">
        <v>72</v>
      </c>
      <c r="AG4" s="58">
        <v>75</v>
      </c>
      <c r="AH4" s="58">
        <v>150</v>
      </c>
      <c r="AI4" s="58">
        <v>225</v>
      </c>
      <c r="AJ4" s="49">
        <v>56.25</v>
      </c>
      <c r="AK4" s="49">
        <v>281.25</v>
      </c>
      <c r="AL4" s="52">
        <v>28.125</v>
      </c>
      <c r="AM4" s="52">
        <v>206.25</v>
      </c>
      <c r="AN4" s="52">
        <v>234.375</v>
      </c>
      <c r="AO4" s="59">
        <v>0.83333333333333337</v>
      </c>
      <c r="AP4" s="60">
        <v>46.875</v>
      </c>
      <c r="AQ4" s="61">
        <v>0.16666666666666666</v>
      </c>
      <c r="AR4" s="60" t="s">
        <v>73</v>
      </c>
      <c r="AS4" s="62">
        <v>225</v>
      </c>
      <c r="AT4" s="62">
        <v>225</v>
      </c>
      <c r="AU4" s="62">
        <v>450</v>
      </c>
      <c r="AV4" s="62">
        <v>562.5</v>
      </c>
      <c r="AW4" s="47" t="s">
        <v>74</v>
      </c>
      <c r="AX4" s="64">
        <v>45553</v>
      </c>
      <c r="AY4" s="64" t="s">
        <v>2138</v>
      </c>
      <c r="AZ4" s="87"/>
      <c r="BA4" s="64"/>
      <c r="BB4" s="64"/>
      <c r="BC4" s="64"/>
      <c r="BD4" s="46"/>
      <c r="BE4" s="46" t="e">
        <v>#REF!</v>
      </c>
      <c r="BF4" s="46" t="s">
        <v>75</v>
      </c>
      <c r="BG4" s="65">
        <v>1</v>
      </c>
      <c r="BH4" s="66" t="s">
        <v>2139</v>
      </c>
      <c r="BI4" s="63" t="s">
        <v>2140</v>
      </c>
    </row>
    <row r="5" spans="1:61" ht="38.25" x14ac:dyDescent="0.2">
      <c r="A5" s="45" t="s">
        <v>2141</v>
      </c>
      <c r="B5" s="46"/>
      <c r="C5" s="46" t="s">
        <v>2135</v>
      </c>
      <c r="D5" s="46" t="s">
        <v>2142</v>
      </c>
      <c r="E5" s="46" t="s">
        <v>2137</v>
      </c>
      <c r="F5" s="46" t="s">
        <v>68</v>
      </c>
      <c r="G5" s="46" t="s">
        <v>68</v>
      </c>
      <c r="H5" s="46" t="s">
        <v>68</v>
      </c>
      <c r="I5" s="46" t="s">
        <v>68</v>
      </c>
      <c r="J5" s="46" t="s">
        <v>71</v>
      </c>
      <c r="K5" s="47">
        <v>230</v>
      </c>
      <c r="L5" s="47">
        <v>450</v>
      </c>
      <c r="M5" s="47">
        <v>680</v>
      </c>
      <c r="N5" s="46"/>
      <c r="O5" s="71" t="s">
        <v>68</v>
      </c>
      <c r="P5" s="64"/>
      <c r="Q5" s="46" t="s">
        <v>2129</v>
      </c>
      <c r="R5" s="46" t="s">
        <v>2132</v>
      </c>
      <c r="S5" s="49">
        <v>170</v>
      </c>
      <c r="T5" s="49">
        <v>850</v>
      </c>
      <c r="U5" s="50">
        <v>0.13529411764705881</v>
      </c>
      <c r="V5" s="50">
        <v>6.2831858407079652E-2</v>
      </c>
      <c r="W5" s="77">
        <v>1.9565217391304348</v>
      </c>
      <c r="X5" s="52">
        <v>85</v>
      </c>
      <c r="Y5" s="52">
        <v>30</v>
      </c>
      <c r="Z5" s="52">
        <v>620</v>
      </c>
      <c r="AA5" s="52">
        <v>735</v>
      </c>
      <c r="AB5" s="53">
        <v>0.86470588235294121</v>
      </c>
      <c r="AC5" s="54">
        <v>115</v>
      </c>
      <c r="AD5" s="55">
        <v>0.13529411764705881</v>
      </c>
      <c r="AE5" s="56">
        <v>2</v>
      </c>
      <c r="AF5" s="57" t="s">
        <v>72</v>
      </c>
      <c r="AG5" s="58">
        <v>115</v>
      </c>
      <c r="AH5" s="58">
        <v>450</v>
      </c>
      <c r="AI5" s="58">
        <v>565</v>
      </c>
      <c r="AJ5" s="49">
        <v>141.25</v>
      </c>
      <c r="AK5" s="49">
        <v>706.25</v>
      </c>
      <c r="AL5" s="52">
        <v>70.625</v>
      </c>
      <c r="AM5" s="52">
        <v>591.25</v>
      </c>
      <c r="AN5" s="52">
        <v>661.875</v>
      </c>
      <c r="AO5" s="59">
        <v>0.93716814159292039</v>
      </c>
      <c r="AP5" s="60">
        <v>44.375</v>
      </c>
      <c r="AQ5" s="61">
        <v>6.2831858407079652E-2</v>
      </c>
      <c r="AR5" s="60" t="s">
        <v>73</v>
      </c>
      <c r="AS5" s="62">
        <v>345</v>
      </c>
      <c r="AT5" s="62">
        <v>675</v>
      </c>
      <c r="AU5" s="62">
        <v>1020</v>
      </c>
      <c r="AV5" s="62">
        <v>1275</v>
      </c>
      <c r="AW5" s="47" t="s">
        <v>74</v>
      </c>
      <c r="AX5" s="64">
        <v>45553</v>
      </c>
      <c r="AY5" s="64" t="s">
        <v>2143</v>
      </c>
      <c r="AZ5" s="87"/>
      <c r="BA5" s="64"/>
      <c r="BB5" s="64"/>
      <c r="BC5" s="64"/>
      <c r="BD5" s="46"/>
      <c r="BE5" s="46" t="e">
        <v>#REF!</v>
      </c>
      <c r="BF5" s="46" t="s">
        <v>75</v>
      </c>
      <c r="BG5" s="65">
        <v>1</v>
      </c>
      <c r="BH5" s="66" t="s">
        <v>2144</v>
      </c>
      <c r="BI5" s="63" t="s">
        <v>2145</v>
      </c>
    </row>
    <row r="6" spans="1:61" ht="25.5" x14ac:dyDescent="0.2">
      <c r="A6" s="45" t="s">
        <v>2146</v>
      </c>
      <c r="B6" s="46"/>
      <c r="C6" s="46" t="s">
        <v>2147</v>
      </c>
      <c r="D6" s="46" t="s">
        <v>254</v>
      </c>
      <c r="E6" s="46" t="s">
        <v>2148</v>
      </c>
      <c r="F6" s="46" t="s">
        <v>68</v>
      </c>
      <c r="G6" s="46" t="s">
        <v>68</v>
      </c>
      <c r="H6" s="46" t="s">
        <v>68</v>
      </c>
      <c r="I6" s="46" t="s">
        <v>68</v>
      </c>
      <c r="J6" s="46" t="s">
        <v>71</v>
      </c>
      <c r="K6" s="47">
        <v>150</v>
      </c>
      <c r="L6" s="47">
        <v>20</v>
      </c>
      <c r="M6" s="47">
        <v>170</v>
      </c>
      <c r="N6" s="46"/>
      <c r="O6" s="71" t="s">
        <v>68</v>
      </c>
      <c r="P6" s="64"/>
      <c r="Q6" s="46" t="s">
        <v>2129</v>
      </c>
      <c r="R6" s="46" t="s">
        <v>2132</v>
      </c>
      <c r="S6" s="49">
        <v>42.5</v>
      </c>
      <c r="T6" s="49">
        <v>212.5</v>
      </c>
      <c r="U6" s="67">
        <v>0.46470588235294119</v>
      </c>
      <c r="V6" s="67">
        <v>0.53157894736842104</v>
      </c>
      <c r="W6" s="51">
        <v>0.13333333333333333</v>
      </c>
      <c r="X6" s="52">
        <v>21.25</v>
      </c>
      <c r="Y6" s="52">
        <v>30</v>
      </c>
      <c r="Z6" s="52">
        <v>62.5</v>
      </c>
      <c r="AA6" s="52">
        <v>113.75</v>
      </c>
      <c r="AB6" s="53">
        <v>0.53529411764705881</v>
      </c>
      <c r="AC6" s="54">
        <v>98.75</v>
      </c>
      <c r="AD6" s="55">
        <v>0.46470588235294119</v>
      </c>
      <c r="AE6" s="56">
        <v>2</v>
      </c>
      <c r="AF6" s="57" t="s">
        <v>72</v>
      </c>
      <c r="AG6" s="58">
        <v>75</v>
      </c>
      <c r="AH6" s="58">
        <v>20</v>
      </c>
      <c r="AI6" s="58">
        <v>95</v>
      </c>
      <c r="AJ6" s="49">
        <v>23.75</v>
      </c>
      <c r="AK6" s="49">
        <v>118.75</v>
      </c>
      <c r="AL6" s="52">
        <v>11.875</v>
      </c>
      <c r="AM6" s="52">
        <v>43.75</v>
      </c>
      <c r="AN6" s="52">
        <v>55.625</v>
      </c>
      <c r="AO6" s="59">
        <v>0.46842105263157896</v>
      </c>
      <c r="AP6" s="60">
        <v>63.125</v>
      </c>
      <c r="AQ6" s="61">
        <v>0.53157894736842104</v>
      </c>
      <c r="AR6" s="60" t="s">
        <v>78</v>
      </c>
      <c r="AS6" s="62">
        <v>225</v>
      </c>
      <c r="AT6" s="62">
        <v>30</v>
      </c>
      <c r="AU6" s="62">
        <v>255</v>
      </c>
      <c r="AV6" s="62">
        <v>318.75</v>
      </c>
      <c r="AW6" s="47" t="s">
        <v>74</v>
      </c>
      <c r="AX6" s="64">
        <v>45553</v>
      </c>
      <c r="AY6" s="64" t="s">
        <v>2149</v>
      </c>
      <c r="AZ6" s="87"/>
      <c r="BA6" s="64"/>
      <c r="BB6" s="64"/>
      <c r="BC6" s="64"/>
      <c r="BD6" s="46"/>
      <c r="BE6" s="46" t="e">
        <v>#REF!</v>
      </c>
      <c r="BF6" s="46" t="s">
        <v>79</v>
      </c>
      <c r="BG6" s="65">
        <v>0.5</v>
      </c>
      <c r="BH6" s="66" t="s">
        <v>2150</v>
      </c>
      <c r="BI6" s="63" t="s">
        <v>2151</v>
      </c>
    </row>
    <row r="7" spans="1:61" ht="25.5" x14ac:dyDescent="0.2">
      <c r="A7" s="45" t="s">
        <v>2152</v>
      </c>
      <c r="B7" s="46"/>
      <c r="C7" s="46" t="s">
        <v>2147</v>
      </c>
      <c r="D7" s="46" t="s">
        <v>257</v>
      </c>
      <c r="E7" s="46" t="s">
        <v>2148</v>
      </c>
      <c r="F7" s="46" t="s">
        <v>68</v>
      </c>
      <c r="G7" s="46" t="s">
        <v>68</v>
      </c>
      <c r="H7" s="46" t="s">
        <v>68</v>
      </c>
      <c r="I7" s="46" t="s">
        <v>68</v>
      </c>
      <c r="J7" s="46" t="s">
        <v>71</v>
      </c>
      <c r="K7" s="47">
        <v>150</v>
      </c>
      <c r="L7" s="47">
        <v>50</v>
      </c>
      <c r="M7" s="47">
        <v>200</v>
      </c>
      <c r="N7" s="46"/>
      <c r="O7" s="71" t="s">
        <v>68</v>
      </c>
      <c r="P7" s="64"/>
      <c r="Q7" s="46" t="s">
        <v>2129</v>
      </c>
      <c r="R7" s="46" t="s">
        <v>2132</v>
      </c>
      <c r="S7" s="49">
        <v>50</v>
      </c>
      <c r="T7" s="49">
        <v>250</v>
      </c>
      <c r="U7" s="67">
        <v>0.38</v>
      </c>
      <c r="V7" s="67">
        <v>0.38</v>
      </c>
      <c r="W7" s="51">
        <v>0.33333333333333331</v>
      </c>
      <c r="X7" s="52">
        <v>25</v>
      </c>
      <c r="Y7" s="52">
        <v>30</v>
      </c>
      <c r="Z7" s="52">
        <v>100</v>
      </c>
      <c r="AA7" s="52">
        <v>155</v>
      </c>
      <c r="AB7" s="53">
        <v>0.62</v>
      </c>
      <c r="AC7" s="54">
        <v>95</v>
      </c>
      <c r="AD7" s="55">
        <v>0.38</v>
      </c>
      <c r="AE7" s="56">
        <v>2</v>
      </c>
      <c r="AF7" s="57" t="s">
        <v>72</v>
      </c>
      <c r="AG7" s="58">
        <v>75</v>
      </c>
      <c r="AH7" s="58">
        <v>50</v>
      </c>
      <c r="AI7" s="58">
        <v>125</v>
      </c>
      <c r="AJ7" s="49">
        <v>31.25</v>
      </c>
      <c r="AK7" s="49">
        <v>156.25</v>
      </c>
      <c r="AL7" s="52">
        <v>15.625</v>
      </c>
      <c r="AM7" s="52">
        <v>81.25</v>
      </c>
      <c r="AN7" s="52">
        <v>96.875</v>
      </c>
      <c r="AO7" s="59">
        <v>0.62</v>
      </c>
      <c r="AP7" s="60">
        <v>59.375</v>
      </c>
      <c r="AQ7" s="61">
        <v>0.38</v>
      </c>
      <c r="AR7" s="60" t="s">
        <v>78</v>
      </c>
      <c r="AS7" s="62">
        <v>225</v>
      </c>
      <c r="AT7" s="62">
        <v>75</v>
      </c>
      <c r="AU7" s="62">
        <v>300</v>
      </c>
      <c r="AV7" s="62">
        <v>375</v>
      </c>
      <c r="AW7" s="47" t="s">
        <v>74</v>
      </c>
      <c r="AX7" s="64">
        <v>45133</v>
      </c>
      <c r="AY7" s="64" t="s">
        <v>2153</v>
      </c>
      <c r="AZ7" s="87"/>
      <c r="BA7" s="64"/>
      <c r="BB7" s="64"/>
      <c r="BC7" s="64"/>
      <c r="BD7" s="46"/>
      <c r="BE7" s="46" t="e">
        <v>#REF!</v>
      </c>
      <c r="BF7" s="46" t="s">
        <v>79</v>
      </c>
      <c r="BG7" s="65">
        <v>0.5</v>
      </c>
      <c r="BH7" s="66"/>
      <c r="BI7" s="63" t="s">
        <v>2154</v>
      </c>
    </row>
    <row r="8" spans="1:61" ht="25.5" x14ac:dyDescent="0.2">
      <c r="A8" s="45" t="s">
        <v>2155</v>
      </c>
      <c r="B8" s="46"/>
      <c r="C8" s="46" t="s">
        <v>2156</v>
      </c>
      <c r="D8" s="46" t="s">
        <v>2148</v>
      </c>
      <c r="E8" s="46" t="s">
        <v>2157</v>
      </c>
      <c r="F8" s="46" t="s">
        <v>68</v>
      </c>
      <c r="G8" s="46" t="s">
        <v>68</v>
      </c>
      <c r="H8" s="46" t="s">
        <v>68</v>
      </c>
      <c r="I8" s="46" t="s">
        <v>68</v>
      </c>
      <c r="J8" s="46" t="s">
        <v>71</v>
      </c>
      <c r="K8" s="47">
        <v>150</v>
      </c>
      <c r="L8" s="47">
        <v>30</v>
      </c>
      <c r="M8" s="47">
        <v>180</v>
      </c>
      <c r="N8" s="46"/>
      <c r="O8" s="71" t="s">
        <v>68</v>
      </c>
      <c r="P8" s="64"/>
      <c r="Q8" s="46" t="s">
        <v>2129</v>
      </c>
      <c r="R8" s="46" t="s">
        <v>2132</v>
      </c>
      <c r="S8" s="49">
        <v>45</v>
      </c>
      <c r="T8" s="49">
        <v>225</v>
      </c>
      <c r="U8" s="67">
        <v>0.43333333333333335</v>
      </c>
      <c r="V8" s="67">
        <v>0.47142857142857142</v>
      </c>
      <c r="W8" s="51">
        <v>0.2</v>
      </c>
      <c r="X8" s="52">
        <v>22.5</v>
      </c>
      <c r="Y8" s="52">
        <v>30</v>
      </c>
      <c r="Z8" s="52">
        <v>75</v>
      </c>
      <c r="AA8" s="52">
        <v>127.5</v>
      </c>
      <c r="AB8" s="53">
        <v>0.56666666666666665</v>
      </c>
      <c r="AC8" s="54">
        <v>97.5</v>
      </c>
      <c r="AD8" s="55">
        <v>0.43333333333333335</v>
      </c>
      <c r="AE8" s="56">
        <v>2</v>
      </c>
      <c r="AF8" s="57" t="s">
        <v>72</v>
      </c>
      <c r="AG8" s="58">
        <v>75</v>
      </c>
      <c r="AH8" s="58">
        <v>30</v>
      </c>
      <c r="AI8" s="58">
        <v>105</v>
      </c>
      <c r="AJ8" s="49">
        <v>26.25</v>
      </c>
      <c r="AK8" s="49">
        <v>131.25</v>
      </c>
      <c r="AL8" s="52">
        <v>13.125</v>
      </c>
      <c r="AM8" s="52">
        <v>56.25</v>
      </c>
      <c r="AN8" s="52">
        <v>69.375</v>
      </c>
      <c r="AO8" s="59">
        <v>0.52857142857142858</v>
      </c>
      <c r="AP8" s="60">
        <v>61.875</v>
      </c>
      <c r="AQ8" s="61">
        <v>0.47142857142857142</v>
      </c>
      <c r="AR8" s="60" t="s">
        <v>78</v>
      </c>
      <c r="AS8" s="62">
        <v>225</v>
      </c>
      <c r="AT8" s="62">
        <v>45</v>
      </c>
      <c r="AU8" s="62">
        <v>270</v>
      </c>
      <c r="AV8" s="62">
        <v>337.5</v>
      </c>
      <c r="AW8" s="47" t="s">
        <v>74</v>
      </c>
      <c r="AX8" s="64">
        <v>45553</v>
      </c>
      <c r="AY8" s="64" t="s">
        <v>2158</v>
      </c>
      <c r="AZ8" s="87"/>
      <c r="BA8" s="64"/>
      <c r="BB8" s="64"/>
      <c r="BC8" s="64"/>
      <c r="BD8" s="46"/>
      <c r="BE8" s="46" t="e">
        <v>#REF!</v>
      </c>
      <c r="BF8" s="46" t="s">
        <v>79</v>
      </c>
      <c r="BG8" s="65">
        <v>0.75</v>
      </c>
      <c r="BH8" s="66" t="s">
        <v>2159</v>
      </c>
      <c r="BI8" s="63" t="s">
        <v>2160</v>
      </c>
    </row>
    <row r="9" spans="1:61" ht="38.25" x14ac:dyDescent="0.2">
      <c r="A9" s="45" t="s">
        <v>2161</v>
      </c>
      <c r="B9" s="46"/>
      <c r="C9" s="46" t="s">
        <v>2162</v>
      </c>
      <c r="D9" s="46" t="s">
        <v>254</v>
      </c>
      <c r="E9" s="46" t="s">
        <v>68</v>
      </c>
      <c r="F9" s="46" t="s">
        <v>68</v>
      </c>
      <c r="G9" s="46" t="s">
        <v>68</v>
      </c>
      <c r="H9" s="46" t="s">
        <v>68</v>
      </c>
      <c r="I9" s="46" t="s">
        <v>68</v>
      </c>
      <c r="J9" s="46" t="s">
        <v>71</v>
      </c>
      <c r="K9" s="47">
        <v>130</v>
      </c>
      <c r="L9" s="47">
        <v>20</v>
      </c>
      <c r="M9" s="47">
        <v>150</v>
      </c>
      <c r="N9" s="46"/>
      <c r="O9" s="71" t="s">
        <v>68</v>
      </c>
      <c r="P9" s="46" t="s">
        <v>1950</v>
      </c>
      <c r="Q9" s="46" t="s">
        <v>2129</v>
      </c>
      <c r="R9" s="46" t="s">
        <v>2132</v>
      </c>
      <c r="S9" s="49">
        <v>37.5</v>
      </c>
      <c r="T9" s="49">
        <v>187.5</v>
      </c>
      <c r="U9" s="67">
        <v>0.43333333333333335</v>
      </c>
      <c r="V9" s="67">
        <v>0.35217391304347828</v>
      </c>
      <c r="W9" s="51">
        <v>0.15384615384615385</v>
      </c>
      <c r="X9" s="52">
        <v>18.75</v>
      </c>
      <c r="Y9" s="52">
        <v>30</v>
      </c>
      <c r="Z9" s="52">
        <v>57.5</v>
      </c>
      <c r="AA9" s="52">
        <v>106.25</v>
      </c>
      <c r="AB9" s="53">
        <v>0.56666666666666665</v>
      </c>
      <c r="AC9" s="68">
        <v>81.25</v>
      </c>
      <c r="AD9" s="55">
        <v>0.43333333333333335</v>
      </c>
      <c r="AE9" s="69">
        <v>1</v>
      </c>
      <c r="AF9" s="57" t="s">
        <v>77</v>
      </c>
      <c r="AG9" s="58">
        <v>26</v>
      </c>
      <c r="AH9" s="58">
        <v>20</v>
      </c>
      <c r="AI9" s="58">
        <v>46</v>
      </c>
      <c r="AJ9" s="49">
        <v>11.5</v>
      </c>
      <c r="AK9" s="49">
        <v>57.5</v>
      </c>
      <c r="AL9" s="52">
        <v>5.75</v>
      </c>
      <c r="AM9" s="52">
        <v>31.5</v>
      </c>
      <c r="AN9" s="52">
        <v>37.25</v>
      </c>
      <c r="AO9" s="59">
        <v>0.64782608695652177</v>
      </c>
      <c r="AP9" s="60">
        <v>20.25</v>
      </c>
      <c r="AQ9" s="61">
        <v>0.35217391304347828</v>
      </c>
      <c r="AR9" s="60" t="s">
        <v>78</v>
      </c>
      <c r="AS9" s="62">
        <v>169</v>
      </c>
      <c r="AT9" s="62">
        <v>26</v>
      </c>
      <c r="AU9" s="62">
        <v>195</v>
      </c>
      <c r="AV9" s="62">
        <v>243.75</v>
      </c>
      <c r="AW9" s="47" t="s">
        <v>74</v>
      </c>
      <c r="AX9" s="64">
        <v>45148</v>
      </c>
      <c r="AY9" s="64" t="s">
        <v>2163</v>
      </c>
      <c r="AZ9" s="87"/>
      <c r="BA9" s="64"/>
      <c r="BB9" s="64"/>
      <c r="BC9" s="64"/>
      <c r="BD9" s="70" t="s">
        <v>2164</v>
      </c>
      <c r="BE9" s="46" t="e">
        <v>#REF!</v>
      </c>
      <c r="BF9" s="46" t="s">
        <v>79</v>
      </c>
      <c r="BG9" s="65">
        <v>0.25</v>
      </c>
      <c r="BH9" s="66" t="s">
        <v>2165</v>
      </c>
      <c r="BI9" s="63" t="s">
        <v>2166</v>
      </c>
    </row>
    <row r="10" spans="1:61" ht="38.25" x14ac:dyDescent="0.2">
      <c r="A10" s="45" t="s">
        <v>2167</v>
      </c>
      <c r="B10" s="46"/>
      <c r="C10" s="46" t="s">
        <v>2168</v>
      </c>
      <c r="D10" s="46"/>
      <c r="E10" s="46" t="s">
        <v>68</v>
      </c>
      <c r="F10" s="46" t="s">
        <v>68</v>
      </c>
      <c r="G10" s="46" t="s">
        <v>68</v>
      </c>
      <c r="H10" s="46" t="s">
        <v>68</v>
      </c>
      <c r="I10" s="46" t="s">
        <v>68</v>
      </c>
      <c r="J10" s="46" t="s">
        <v>71</v>
      </c>
      <c r="K10" s="47">
        <v>200</v>
      </c>
      <c r="L10" s="47">
        <v>50</v>
      </c>
      <c r="M10" s="47">
        <v>250</v>
      </c>
      <c r="N10" s="46"/>
      <c r="O10" s="71" t="s">
        <v>68</v>
      </c>
      <c r="P10" s="46" t="s">
        <v>2169</v>
      </c>
      <c r="Q10" s="46" t="s">
        <v>2129</v>
      </c>
      <c r="R10" s="46" t="s">
        <v>2132</v>
      </c>
      <c r="S10" s="49">
        <v>62.5</v>
      </c>
      <c r="T10" s="49">
        <v>312.5</v>
      </c>
      <c r="U10" s="67">
        <v>0.44400000000000001</v>
      </c>
      <c r="V10" s="67">
        <v>0.43333333333333335</v>
      </c>
      <c r="W10" s="51">
        <v>0.25</v>
      </c>
      <c r="X10" s="52">
        <v>31.25</v>
      </c>
      <c r="Y10" s="52">
        <v>30</v>
      </c>
      <c r="Z10" s="52">
        <v>112.5</v>
      </c>
      <c r="AA10" s="52">
        <v>173.75</v>
      </c>
      <c r="AB10" s="53">
        <v>0.55600000000000005</v>
      </c>
      <c r="AC10" s="72">
        <v>138.75</v>
      </c>
      <c r="AD10" s="55">
        <v>0.44400000000000001</v>
      </c>
      <c r="AE10" s="56">
        <v>2</v>
      </c>
      <c r="AF10" s="57" t="s">
        <v>72</v>
      </c>
      <c r="AG10" s="58">
        <v>100</v>
      </c>
      <c r="AH10" s="58">
        <v>50</v>
      </c>
      <c r="AI10" s="58">
        <v>150</v>
      </c>
      <c r="AJ10" s="49">
        <v>37.5</v>
      </c>
      <c r="AK10" s="49">
        <v>187.5</v>
      </c>
      <c r="AL10" s="52">
        <v>18.75</v>
      </c>
      <c r="AM10" s="52">
        <v>87.5</v>
      </c>
      <c r="AN10" s="52">
        <v>106.25</v>
      </c>
      <c r="AO10" s="59">
        <v>0.56666666666666665</v>
      </c>
      <c r="AP10" s="60">
        <v>81.25</v>
      </c>
      <c r="AQ10" s="61">
        <v>0.43333333333333335</v>
      </c>
      <c r="AR10" s="60" t="s">
        <v>78</v>
      </c>
      <c r="AS10" s="62">
        <v>300</v>
      </c>
      <c r="AT10" s="62">
        <v>75</v>
      </c>
      <c r="AU10" s="62">
        <v>375</v>
      </c>
      <c r="AV10" s="62">
        <v>468.75</v>
      </c>
      <c r="AW10" s="47" t="s">
        <v>74</v>
      </c>
      <c r="AX10" s="64">
        <v>45553</v>
      </c>
      <c r="AY10" s="64" t="s">
        <v>2170</v>
      </c>
      <c r="AZ10" s="87"/>
      <c r="BA10" s="64"/>
      <c r="BB10" s="64"/>
      <c r="BC10" s="64"/>
      <c r="BD10" s="46"/>
      <c r="BE10" s="46" t="e">
        <v>#REF!</v>
      </c>
      <c r="BF10" s="46" t="s">
        <v>79</v>
      </c>
      <c r="BG10" s="65">
        <v>0.5</v>
      </c>
      <c r="BH10" s="66" t="s">
        <v>2171</v>
      </c>
      <c r="BI10" s="63" t="s">
        <v>2168</v>
      </c>
    </row>
    <row r="11" spans="1:61" ht="38.25" x14ac:dyDescent="0.2">
      <c r="A11" s="45" t="s">
        <v>2172</v>
      </c>
      <c r="B11" s="46"/>
      <c r="C11" s="46" t="s">
        <v>2173</v>
      </c>
      <c r="D11" s="46" t="s">
        <v>2174</v>
      </c>
      <c r="E11" s="46"/>
      <c r="F11" s="46" t="s">
        <v>2157</v>
      </c>
      <c r="G11" s="46" t="s">
        <v>68</v>
      </c>
      <c r="H11" s="46" t="s">
        <v>68</v>
      </c>
      <c r="I11" s="46" t="s">
        <v>68</v>
      </c>
      <c r="J11" s="46" t="s">
        <v>71</v>
      </c>
      <c r="K11" s="47">
        <v>150</v>
      </c>
      <c r="L11" s="47">
        <v>80</v>
      </c>
      <c r="M11" s="47">
        <v>230</v>
      </c>
      <c r="N11" s="46"/>
      <c r="O11" s="71" t="s">
        <v>68</v>
      </c>
      <c r="P11" s="46" t="s">
        <v>1950</v>
      </c>
      <c r="Q11" s="46" t="s">
        <v>2129</v>
      </c>
      <c r="R11" s="46" t="s">
        <v>2132</v>
      </c>
      <c r="S11" s="49">
        <v>57.5</v>
      </c>
      <c r="T11" s="49">
        <v>287.5</v>
      </c>
      <c r="U11" s="67">
        <v>0.31739130434782609</v>
      </c>
      <c r="V11" s="28">
        <v>0.2870967741935484</v>
      </c>
      <c r="W11" s="51">
        <v>0.53333333333333333</v>
      </c>
      <c r="X11" s="52">
        <v>28.75</v>
      </c>
      <c r="Y11" s="52">
        <v>30</v>
      </c>
      <c r="Z11" s="52">
        <v>137.5</v>
      </c>
      <c r="AA11" s="52">
        <v>196.25</v>
      </c>
      <c r="AB11" s="53">
        <v>0.68260869565217386</v>
      </c>
      <c r="AC11" s="54">
        <v>91.25</v>
      </c>
      <c r="AD11" s="55">
        <v>0.31739130434782609</v>
      </c>
      <c r="AE11" s="56">
        <v>2</v>
      </c>
      <c r="AF11" s="57" t="s">
        <v>72</v>
      </c>
      <c r="AG11" s="58">
        <v>75</v>
      </c>
      <c r="AH11" s="58">
        <v>80</v>
      </c>
      <c r="AI11" s="58">
        <v>155</v>
      </c>
      <c r="AJ11" s="49">
        <v>38.75</v>
      </c>
      <c r="AK11" s="49">
        <v>193.75</v>
      </c>
      <c r="AL11" s="52">
        <v>19.375</v>
      </c>
      <c r="AM11" s="52">
        <v>118.75</v>
      </c>
      <c r="AN11" s="52">
        <v>138.125</v>
      </c>
      <c r="AO11" s="59">
        <v>0.7129032258064516</v>
      </c>
      <c r="AP11" s="60">
        <v>55.625</v>
      </c>
      <c r="AQ11" s="61">
        <v>0.2870967741935484</v>
      </c>
      <c r="AR11" s="60" t="s">
        <v>78</v>
      </c>
      <c r="AS11" s="62">
        <v>225</v>
      </c>
      <c r="AT11" s="62">
        <v>120</v>
      </c>
      <c r="AU11" s="62">
        <v>345</v>
      </c>
      <c r="AV11" s="62">
        <v>431.25</v>
      </c>
      <c r="AW11" s="47" t="s">
        <v>74</v>
      </c>
      <c r="AX11" s="64">
        <v>45553</v>
      </c>
      <c r="AY11" s="64" t="s">
        <v>2175</v>
      </c>
      <c r="AZ11" s="87"/>
      <c r="BA11" s="64"/>
      <c r="BB11" s="64"/>
      <c r="BC11" s="64"/>
      <c r="BD11" s="46"/>
      <c r="BE11" s="46" t="e">
        <v>#REF!</v>
      </c>
      <c r="BF11" s="46" t="s">
        <v>79</v>
      </c>
      <c r="BG11" s="65">
        <v>0.75</v>
      </c>
      <c r="BH11" s="66" t="s">
        <v>2176</v>
      </c>
      <c r="BI11" s="63" t="s">
        <v>2177</v>
      </c>
    </row>
    <row r="12" spans="1:61" ht="38.25" x14ac:dyDescent="0.2">
      <c r="A12" s="45" t="s">
        <v>2178</v>
      </c>
      <c r="B12" s="46"/>
      <c r="C12" s="46" t="s">
        <v>2179</v>
      </c>
      <c r="D12" s="46" t="s">
        <v>2180</v>
      </c>
      <c r="E12" s="46"/>
      <c r="F12" s="46" t="s">
        <v>68</v>
      </c>
      <c r="G12" s="46" t="s">
        <v>68</v>
      </c>
      <c r="H12" s="46" t="s">
        <v>68</v>
      </c>
      <c r="I12" s="46" t="s">
        <v>68</v>
      </c>
      <c r="J12" s="46" t="s">
        <v>71</v>
      </c>
      <c r="K12" s="47">
        <v>150</v>
      </c>
      <c r="L12" s="47">
        <v>100</v>
      </c>
      <c r="M12" s="47">
        <v>250</v>
      </c>
      <c r="N12" s="46"/>
      <c r="O12" s="71" t="s">
        <v>68</v>
      </c>
      <c r="P12" s="46" t="s">
        <v>1950</v>
      </c>
      <c r="Q12" s="46" t="s">
        <v>2129</v>
      </c>
      <c r="R12" s="46" t="s">
        <v>2132</v>
      </c>
      <c r="S12" s="49">
        <v>62.5</v>
      </c>
      <c r="T12" s="49">
        <v>312.5</v>
      </c>
      <c r="U12" s="28">
        <v>0.28399999999999997</v>
      </c>
      <c r="V12" s="67">
        <v>0.38</v>
      </c>
      <c r="W12" s="51">
        <v>0.66666666666666663</v>
      </c>
      <c r="X12" s="52">
        <v>31.25</v>
      </c>
      <c r="Y12" s="52">
        <v>30</v>
      </c>
      <c r="Z12" s="52">
        <v>162.5</v>
      </c>
      <c r="AA12" s="52">
        <v>223.75</v>
      </c>
      <c r="AB12" s="53">
        <v>0.71599999999999997</v>
      </c>
      <c r="AC12" s="68">
        <v>88.75</v>
      </c>
      <c r="AD12" s="55">
        <v>0.28399999999999997</v>
      </c>
      <c r="AE12" s="73">
        <v>3</v>
      </c>
      <c r="AF12" s="57" t="s">
        <v>95</v>
      </c>
      <c r="AG12" s="58">
        <v>150</v>
      </c>
      <c r="AH12" s="58">
        <v>100</v>
      </c>
      <c r="AI12" s="58">
        <v>250</v>
      </c>
      <c r="AJ12" s="49">
        <v>62.5</v>
      </c>
      <c r="AK12" s="49">
        <v>312.5</v>
      </c>
      <c r="AL12" s="52">
        <v>31.25</v>
      </c>
      <c r="AM12" s="52">
        <v>162.5</v>
      </c>
      <c r="AN12" s="52">
        <v>193.75</v>
      </c>
      <c r="AO12" s="59">
        <v>0.62</v>
      </c>
      <c r="AP12" s="60">
        <v>118.75</v>
      </c>
      <c r="AQ12" s="61">
        <v>0.38</v>
      </c>
      <c r="AR12" s="60" t="s">
        <v>78</v>
      </c>
      <c r="AS12" s="62">
        <v>240</v>
      </c>
      <c r="AT12" s="62">
        <v>160</v>
      </c>
      <c r="AU12" s="62">
        <v>400</v>
      </c>
      <c r="AV12" s="62">
        <v>500</v>
      </c>
      <c r="AW12" s="47" t="s">
        <v>74</v>
      </c>
      <c r="AX12" s="64">
        <v>45553</v>
      </c>
      <c r="AY12" s="64" t="s">
        <v>2181</v>
      </c>
      <c r="AZ12" s="87"/>
      <c r="BA12" s="64"/>
      <c r="BB12" s="64"/>
      <c r="BC12" s="64"/>
      <c r="BD12" s="46"/>
      <c r="BE12" s="46" t="e">
        <v>#REF!</v>
      </c>
      <c r="BF12" s="46" t="s">
        <v>75</v>
      </c>
      <c r="BG12" s="65">
        <v>1.5</v>
      </c>
      <c r="BH12" s="66"/>
      <c r="BI12" s="63" t="s">
        <v>2182</v>
      </c>
    </row>
    <row r="13" spans="1:61" ht="38.25" x14ac:dyDescent="0.2">
      <c r="A13" s="45" t="s">
        <v>2183</v>
      </c>
      <c r="B13" s="46"/>
      <c r="C13" s="46" t="s">
        <v>2184</v>
      </c>
      <c r="D13" s="46" t="s">
        <v>2142</v>
      </c>
      <c r="E13" s="46"/>
      <c r="F13" s="46" t="s">
        <v>68</v>
      </c>
      <c r="G13" s="46" t="s">
        <v>68</v>
      </c>
      <c r="H13" s="46" t="s">
        <v>68</v>
      </c>
      <c r="I13" s="46" t="s">
        <v>68</v>
      </c>
      <c r="J13" s="46" t="s">
        <v>71</v>
      </c>
      <c r="K13" s="47">
        <v>280</v>
      </c>
      <c r="L13" s="47">
        <v>670</v>
      </c>
      <c r="M13" s="47">
        <v>950</v>
      </c>
      <c r="N13" s="46"/>
      <c r="O13" s="71" t="s">
        <v>68</v>
      </c>
      <c r="P13" s="46" t="s">
        <v>2185</v>
      </c>
      <c r="Q13" s="46" t="s">
        <v>2129</v>
      </c>
      <c r="R13" s="46" t="s">
        <v>2132</v>
      </c>
      <c r="S13" s="49">
        <v>237.5</v>
      </c>
      <c r="T13" s="49">
        <v>1187.5</v>
      </c>
      <c r="U13" s="50">
        <v>0.11052631578947368</v>
      </c>
      <c r="V13" s="50">
        <v>0.13578947368421052</v>
      </c>
      <c r="W13" s="77">
        <v>2.3928571428571428</v>
      </c>
      <c r="X13" s="52">
        <v>118.75</v>
      </c>
      <c r="Y13" s="52">
        <v>30</v>
      </c>
      <c r="Z13" s="52">
        <v>907.5</v>
      </c>
      <c r="AA13" s="52">
        <v>1056.25</v>
      </c>
      <c r="AB13" s="53">
        <v>0.88947368421052631</v>
      </c>
      <c r="AC13" s="72">
        <v>131.25</v>
      </c>
      <c r="AD13" s="55">
        <v>0.11052631578947368</v>
      </c>
      <c r="AE13" s="73">
        <v>3</v>
      </c>
      <c r="AF13" s="57" t="s">
        <v>95</v>
      </c>
      <c r="AG13" s="58">
        <v>280</v>
      </c>
      <c r="AH13" s="58">
        <v>670</v>
      </c>
      <c r="AI13" s="58">
        <v>950</v>
      </c>
      <c r="AJ13" s="49">
        <v>237.5</v>
      </c>
      <c r="AK13" s="49">
        <v>1187.5</v>
      </c>
      <c r="AL13" s="52">
        <v>118.75</v>
      </c>
      <c r="AM13" s="52">
        <v>907.5</v>
      </c>
      <c r="AN13" s="52">
        <v>1026.25</v>
      </c>
      <c r="AO13" s="59">
        <v>0.86421052631578943</v>
      </c>
      <c r="AP13" s="60">
        <v>161.25</v>
      </c>
      <c r="AQ13" s="61">
        <v>0.13578947368421052</v>
      </c>
      <c r="AR13" s="60" t="s">
        <v>73</v>
      </c>
      <c r="AS13" s="62">
        <v>448</v>
      </c>
      <c r="AT13" s="62">
        <v>1072</v>
      </c>
      <c r="AU13" s="62">
        <v>1520</v>
      </c>
      <c r="AV13" s="62">
        <v>1900</v>
      </c>
      <c r="AW13" s="47" t="s">
        <v>74</v>
      </c>
      <c r="AX13" s="64">
        <v>45553</v>
      </c>
      <c r="AY13" s="64" t="s">
        <v>2186</v>
      </c>
      <c r="AZ13" s="87"/>
      <c r="BA13" s="64"/>
      <c r="BB13" s="64"/>
      <c r="BC13" s="64"/>
      <c r="BD13" s="46"/>
      <c r="BE13" s="46" t="e">
        <v>#REF!</v>
      </c>
      <c r="BF13" s="46" t="s">
        <v>75</v>
      </c>
      <c r="BG13" s="65">
        <v>2.5</v>
      </c>
      <c r="BH13" s="66"/>
      <c r="BI13" s="63" t="s">
        <v>2187</v>
      </c>
    </row>
    <row r="14" spans="1:61" ht="38.25" x14ac:dyDescent="0.2">
      <c r="A14" s="45" t="s">
        <v>2188</v>
      </c>
      <c r="B14" s="46"/>
      <c r="C14" s="46" t="s">
        <v>2189</v>
      </c>
      <c r="D14" s="46" t="s">
        <v>2142</v>
      </c>
      <c r="E14" s="46"/>
      <c r="F14" s="46" t="s">
        <v>68</v>
      </c>
      <c r="G14" s="46" t="s">
        <v>68</v>
      </c>
      <c r="H14" s="46" t="s">
        <v>68</v>
      </c>
      <c r="I14" s="46" t="s">
        <v>68</v>
      </c>
      <c r="J14" s="46" t="s">
        <v>71</v>
      </c>
      <c r="K14" s="47">
        <v>400</v>
      </c>
      <c r="L14" s="47">
        <v>900</v>
      </c>
      <c r="M14" s="47">
        <v>1300</v>
      </c>
      <c r="N14" s="46"/>
      <c r="O14" s="71" t="s">
        <v>68</v>
      </c>
      <c r="P14" s="46" t="s">
        <v>2185</v>
      </c>
      <c r="Q14" s="46" t="s">
        <v>2129</v>
      </c>
      <c r="R14" s="46" t="s">
        <v>2132</v>
      </c>
      <c r="S14" s="49">
        <v>325</v>
      </c>
      <c r="T14" s="49">
        <v>1625</v>
      </c>
      <c r="U14" s="50">
        <v>0.12769230769230769</v>
      </c>
      <c r="V14" s="50">
        <v>0.14615384615384616</v>
      </c>
      <c r="W14" s="77">
        <v>2.25</v>
      </c>
      <c r="X14" s="52">
        <v>162.5</v>
      </c>
      <c r="Y14" s="52">
        <v>30</v>
      </c>
      <c r="Z14" s="52">
        <v>1225</v>
      </c>
      <c r="AA14" s="52">
        <v>1417.5</v>
      </c>
      <c r="AB14" s="53">
        <v>0.87230769230769234</v>
      </c>
      <c r="AC14" s="72">
        <v>207.5</v>
      </c>
      <c r="AD14" s="55">
        <v>0.12769230769230769</v>
      </c>
      <c r="AE14" s="73">
        <v>3</v>
      </c>
      <c r="AF14" s="57" t="s">
        <v>95</v>
      </c>
      <c r="AG14" s="58">
        <v>400</v>
      </c>
      <c r="AH14" s="58">
        <v>900</v>
      </c>
      <c r="AI14" s="58">
        <v>1300</v>
      </c>
      <c r="AJ14" s="49">
        <v>325</v>
      </c>
      <c r="AK14" s="49">
        <v>1625</v>
      </c>
      <c r="AL14" s="52">
        <v>162.5</v>
      </c>
      <c r="AM14" s="52">
        <v>1225</v>
      </c>
      <c r="AN14" s="52">
        <v>1387.5</v>
      </c>
      <c r="AO14" s="59">
        <v>0.85384615384615381</v>
      </c>
      <c r="AP14" s="60">
        <v>237.5</v>
      </c>
      <c r="AQ14" s="61">
        <v>0.14615384615384616</v>
      </c>
      <c r="AR14" s="60" t="s">
        <v>73</v>
      </c>
      <c r="AS14" s="62">
        <v>640</v>
      </c>
      <c r="AT14" s="62">
        <v>1440</v>
      </c>
      <c r="AU14" s="62">
        <v>2080</v>
      </c>
      <c r="AV14" s="62">
        <v>2600</v>
      </c>
      <c r="AW14" s="47" t="s">
        <v>74</v>
      </c>
      <c r="AX14" s="64">
        <v>45553</v>
      </c>
      <c r="AY14" s="64" t="s">
        <v>2190</v>
      </c>
      <c r="AZ14" s="87"/>
      <c r="BA14" s="64"/>
      <c r="BB14" s="64"/>
      <c r="BC14" s="64"/>
      <c r="BD14" s="46"/>
      <c r="BE14" s="46" t="e">
        <v>#REF!</v>
      </c>
      <c r="BF14" s="46" t="s">
        <v>75</v>
      </c>
      <c r="BG14" s="65">
        <v>3.5</v>
      </c>
      <c r="BH14" s="66"/>
      <c r="BI14" s="63" t="s">
        <v>2191</v>
      </c>
    </row>
    <row r="15" spans="1:61" ht="38.25" x14ac:dyDescent="0.2">
      <c r="A15" s="45" t="s">
        <v>2192</v>
      </c>
      <c r="B15" s="46"/>
      <c r="C15" s="46" t="s">
        <v>2184</v>
      </c>
      <c r="D15" s="46" t="s">
        <v>2136</v>
      </c>
      <c r="E15" s="46"/>
      <c r="F15" s="46" t="s">
        <v>68</v>
      </c>
      <c r="G15" s="46" t="s">
        <v>68</v>
      </c>
      <c r="H15" s="46" t="s">
        <v>68</v>
      </c>
      <c r="I15" s="46" t="s">
        <v>68</v>
      </c>
      <c r="J15" s="46" t="s">
        <v>71</v>
      </c>
      <c r="K15" s="47">
        <v>200</v>
      </c>
      <c r="L15" s="47">
        <v>400</v>
      </c>
      <c r="M15" s="47">
        <v>600</v>
      </c>
      <c r="N15" s="46"/>
      <c r="O15" s="71" t="s">
        <v>68</v>
      </c>
      <c r="P15" s="46" t="s">
        <v>2185</v>
      </c>
      <c r="Q15" s="46" t="s">
        <v>2129</v>
      </c>
      <c r="R15" s="46" t="s">
        <v>2132</v>
      </c>
      <c r="S15" s="49">
        <v>150</v>
      </c>
      <c r="T15" s="49">
        <v>750</v>
      </c>
      <c r="U15" s="50">
        <v>0.12666666666666668</v>
      </c>
      <c r="V15" s="50">
        <v>0.16666666666666666</v>
      </c>
      <c r="W15" s="77">
        <v>2</v>
      </c>
      <c r="X15" s="52">
        <v>75</v>
      </c>
      <c r="Y15" s="52">
        <v>30</v>
      </c>
      <c r="Z15" s="52">
        <v>550</v>
      </c>
      <c r="AA15" s="52">
        <v>655</v>
      </c>
      <c r="AB15" s="53">
        <v>0.87333333333333329</v>
      </c>
      <c r="AC15" s="54">
        <v>95</v>
      </c>
      <c r="AD15" s="55">
        <v>0.12666666666666668</v>
      </c>
      <c r="AE15" s="73">
        <v>3</v>
      </c>
      <c r="AF15" s="57" t="s">
        <v>95</v>
      </c>
      <c r="AG15" s="58">
        <v>200</v>
      </c>
      <c r="AH15" s="58">
        <v>400</v>
      </c>
      <c r="AI15" s="58">
        <v>600</v>
      </c>
      <c r="AJ15" s="49">
        <v>150</v>
      </c>
      <c r="AK15" s="49">
        <v>750</v>
      </c>
      <c r="AL15" s="52">
        <v>75</v>
      </c>
      <c r="AM15" s="52">
        <v>550</v>
      </c>
      <c r="AN15" s="52">
        <v>625</v>
      </c>
      <c r="AO15" s="59">
        <v>0.83333333333333337</v>
      </c>
      <c r="AP15" s="60">
        <v>125</v>
      </c>
      <c r="AQ15" s="61">
        <v>0.16666666666666666</v>
      </c>
      <c r="AR15" s="60" t="s">
        <v>73</v>
      </c>
      <c r="AS15" s="62">
        <v>320</v>
      </c>
      <c r="AT15" s="62">
        <v>640</v>
      </c>
      <c r="AU15" s="62">
        <v>960</v>
      </c>
      <c r="AV15" s="62">
        <v>1200</v>
      </c>
      <c r="AW15" s="47" t="s">
        <v>74</v>
      </c>
      <c r="AX15" s="64">
        <v>45553</v>
      </c>
      <c r="AY15" s="64" t="s">
        <v>2193</v>
      </c>
      <c r="AZ15" s="87"/>
      <c r="BA15" s="64"/>
      <c r="BB15" s="64"/>
      <c r="BC15" s="64"/>
      <c r="BD15" s="46"/>
      <c r="BE15" s="46" t="e">
        <v>#REF!</v>
      </c>
      <c r="BF15" s="46" t="s">
        <v>75</v>
      </c>
      <c r="BG15" s="65">
        <v>2.5</v>
      </c>
      <c r="BH15" s="66"/>
      <c r="BI15" s="63" t="s">
        <v>2194</v>
      </c>
    </row>
    <row r="16" spans="1:61" ht="38.25" x14ac:dyDescent="0.2">
      <c r="A16" s="45" t="s">
        <v>2195</v>
      </c>
      <c r="B16" s="46"/>
      <c r="C16" s="46" t="s">
        <v>2189</v>
      </c>
      <c r="D16" s="46" t="s">
        <v>2136</v>
      </c>
      <c r="E16" s="46"/>
      <c r="F16" s="46"/>
      <c r="G16" s="46"/>
      <c r="H16" s="46"/>
      <c r="I16" s="46"/>
      <c r="J16" s="46" t="s">
        <v>71</v>
      </c>
      <c r="K16" s="47">
        <v>300</v>
      </c>
      <c r="L16" s="47">
        <v>550</v>
      </c>
      <c r="M16" s="47">
        <v>850</v>
      </c>
      <c r="N16" s="46"/>
      <c r="O16" s="71" t="s">
        <v>68</v>
      </c>
      <c r="P16" s="46" t="s">
        <v>2185</v>
      </c>
      <c r="Q16" s="46" t="s">
        <v>2129</v>
      </c>
      <c r="R16" s="46" t="s">
        <v>2132</v>
      </c>
      <c r="S16" s="49">
        <v>212.5</v>
      </c>
      <c r="T16" s="49">
        <v>1062.5</v>
      </c>
      <c r="U16" s="50">
        <v>0.15411764705882353</v>
      </c>
      <c r="V16" s="50">
        <v>0.18235294117647058</v>
      </c>
      <c r="W16" s="77">
        <v>1.8333333333333333</v>
      </c>
      <c r="X16" s="52">
        <v>106.25</v>
      </c>
      <c r="Y16" s="52">
        <v>30</v>
      </c>
      <c r="Z16" s="52">
        <v>762.5</v>
      </c>
      <c r="AA16" s="52">
        <v>898.75</v>
      </c>
      <c r="AB16" s="53">
        <v>0.84588235294117642</v>
      </c>
      <c r="AC16" s="72">
        <v>163.75</v>
      </c>
      <c r="AD16" s="55">
        <v>0.15411764705882353</v>
      </c>
      <c r="AE16" s="73">
        <v>3</v>
      </c>
      <c r="AF16" s="57" t="s">
        <v>95</v>
      </c>
      <c r="AG16" s="58">
        <v>300</v>
      </c>
      <c r="AH16" s="58">
        <v>550</v>
      </c>
      <c r="AI16" s="58">
        <v>850</v>
      </c>
      <c r="AJ16" s="49">
        <v>212.5</v>
      </c>
      <c r="AK16" s="49">
        <v>1062.5</v>
      </c>
      <c r="AL16" s="52">
        <v>106.25</v>
      </c>
      <c r="AM16" s="52">
        <v>762.5</v>
      </c>
      <c r="AN16" s="52">
        <v>868.75</v>
      </c>
      <c r="AO16" s="59">
        <v>0.81764705882352939</v>
      </c>
      <c r="AP16" s="60">
        <v>193.75</v>
      </c>
      <c r="AQ16" s="61">
        <v>0.18235294117647058</v>
      </c>
      <c r="AR16" s="60" t="s">
        <v>73</v>
      </c>
      <c r="AS16" s="62">
        <v>480</v>
      </c>
      <c r="AT16" s="62">
        <v>880</v>
      </c>
      <c r="AU16" s="62">
        <v>1360</v>
      </c>
      <c r="AV16" s="62">
        <v>1700</v>
      </c>
      <c r="AW16" s="47" t="s">
        <v>74</v>
      </c>
      <c r="AX16" s="64">
        <v>45323</v>
      </c>
      <c r="AY16" s="64" t="s">
        <v>2196</v>
      </c>
      <c r="AZ16" s="87"/>
      <c r="BA16" s="64"/>
      <c r="BB16" s="64"/>
      <c r="BC16" s="64"/>
      <c r="BD16" s="46"/>
      <c r="BE16" s="46" t="e">
        <v>#REF!</v>
      </c>
      <c r="BF16" s="46" t="s">
        <v>75</v>
      </c>
      <c r="BG16" s="65">
        <v>3.5</v>
      </c>
      <c r="BH16" s="66"/>
      <c r="BI16" s="63" t="s">
        <v>2197</v>
      </c>
    </row>
    <row r="17" spans="1:61" ht="25.5" x14ac:dyDescent="0.2">
      <c r="A17" s="34" t="s">
        <v>2198</v>
      </c>
      <c r="B17" s="35"/>
      <c r="C17" s="35" t="s">
        <v>68</v>
      </c>
      <c r="D17" s="35" t="s">
        <v>68</v>
      </c>
      <c r="E17" s="35" t="s">
        <v>68</v>
      </c>
      <c r="F17" s="35" t="s">
        <v>68</v>
      </c>
      <c r="G17" s="35" t="s">
        <v>68</v>
      </c>
      <c r="H17" s="35" t="s">
        <v>68</v>
      </c>
      <c r="I17" s="35" t="s">
        <v>68</v>
      </c>
      <c r="J17" s="35" t="s">
        <v>68</v>
      </c>
      <c r="K17" s="36" t="s">
        <v>68</v>
      </c>
      <c r="L17" s="36" t="s">
        <v>68</v>
      </c>
      <c r="M17" s="36" t="s">
        <v>68</v>
      </c>
      <c r="N17" s="35"/>
      <c r="O17" s="35" t="s">
        <v>68</v>
      </c>
      <c r="P17" s="37"/>
      <c r="Q17" s="38" t="s">
        <v>2129</v>
      </c>
      <c r="R17" s="38" t="s">
        <v>2199</v>
      </c>
      <c r="S17" s="36" t="s">
        <v>68</v>
      </c>
      <c r="T17" s="36" t="s">
        <v>68</v>
      </c>
      <c r="U17" s="39" t="s">
        <v>68</v>
      </c>
      <c r="V17" s="39" t="s">
        <v>68</v>
      </c>
      <c r="W17" s="40" t="s">
        <v>68</v>
      </c>
      <c r="X17" s="36" t="s">
        <v>68</v>
      </c>
      <c r="Y17" s="36" t="s">
        <v>68</v>
      </c>
      <c r="Z17" s="36" t="s">
        <v>68</v>
      </c>
      <c r="AA17" s="36" t="s">
        <v>68</v>
      </c>
      <c r="AB17" s="39" t="s">
        <v>68</v>
      </c>
      <c r="AC17" s="36" t="s">
        <v>68</v>
      </c>
      <c r="AD17" s="39" t="s">
        <v>68</v>
      </c>
      <c r="AE17" s="41"/>
      <c r="AF17" s="42" t="s">
        <v>68</v>
      </c>
      <c r="AG17" s="36" t="s">
        <v>68</v>
      </c>
      <c r="AH17" s="36" t="s">
        <v>68</v>
      </c>
      <c r="AI17" s="36" t="s">
        <v>68</v>
      </c>
      <c r="AJ17" s="36" t="s">
        <v>68</v>
      </c>
      <c r="AK17" s="36" t="s">
        <v>68</v>
      </c>
      <c r="AL17" s="36" t="s">
        <v>68</v>
      </c>
      <c r="AM17" s="36" t="s">
        <v>68</v>
      </c>
      <c r="AN17" s="36" t="s">
        <v>68</v>
      </c>
      <c r="AO17" s="43" t="s">
        <v>68</v>
      </c>
      <c r="AP17" s="36" t="s">
        <v>68</v>
      </c>
      <c r="AQ17" s="39" t="s">
        <v>68</v>
      </c>
      <c r="AR17" s="36" t="s">
        <v>68</v>
      </c>
      <c r="AS17" s="36" t="s">
        <v>68</v>
      </c>
      <c r="AT17" s="36" t="s">
        <v>68</v>
      </c>
      <c r="AU17" s="36" t="s">
        <v>68</v>
      </c>
      <c r="AV17" s="36" t="s">
        <v>68</v>
      </c>
      <c r="AW17" s="35"/>
      <c r="AX17" s="37"/>
      <c r="AY17" s="37" t="s">
        <v>68</v>
      </c>
      <c r="AZ17" s="87"/>
      <c r="BA17" s="37"/>
      <c r="BB17" s="37"/>
      <c r="BC17" s="37"/>
      <c r="BD17" s="35"/>
      <c r="BE17" s="35" t="e">
        <v>#REF!</v>
      </c>
      <c r="BF17" s="35"/>
      <c r="BG17" s="44"/>
      <c r="BH17" s="38" t="s">
        <v>2200</v>
      </c>
      <c r="BI17" s="35" t="s">
        <v>68</v>
      </c>
    </row>
    <row r="18" spans="1:61" ht="25.5" x14ac:dyDescent="0.2">
      <c r="A18" s="45" t="s">
        <v>2201</v>
      </c>
      <c r="B18" s="46"/>
      <c r="C18" s="46" t="s">
        <v>2202</v>
      </c>
      <c r="D18" s="46" t="s">
        <v>2203</v>
      </c>
      <c r="E18" s="46" t="s">
        <v>2204</v>
      </c>
      <c r="F18" s="46" t="s">
        <v>68</v>
      </c>
      <c r="G18" s="46" t="s">
        <v>68</v>
      </c>
      <c r="H18" s="46" t="s">
        <v>68</v>
      </c>
      <c r="I18" s="46" t="s">
        <v>68</v>
      </c>
      <c r="J18" s="46" t="s">
        <v>71</v>
      </c>
      <c r="K18" s="47">
        <v>150</v>
      </c>
      <c r="L18" s="47">
        <v>140</v>
      </c>
      <c r="M18" s="47">
        <v>290</v>
      </c>
      <c r="N18" s="46"/>
      <c r="O18" s="71" t="s">
        <v>68</v>
      </c>
      <c r="P18" s="64"/>
      <c r="Q18" s="46" t="s">
        <v>2129</v>
      </c>
      <c r="R18" s="46" t="s">
        <v>2199</v>
      </c>
      <c r="S18" s="49">
        <v>72.5</v>
      </c>
      <c r="T18" s="49">
        <v>362.5</v>
      </c>
      <c r="U18" s="28">
        <v>0.23103448275862068</v>
      </c>
      <c r="V18" s="50">
        <v>0.17906976744186046</v>
      </c>
      <c r="W18" s="51">
        <v>0.93333333333333335</v>
      </c>
      <c r="X18" s="52">
        <v>36.25</v>
      </c>
      <c r="Y18" s="52">
        <v>30</v>
      </c>
      <c r="Z18" s="52">
        <v>212.5</v>
      </c>
      <c r="AA18" s="52">
        <v>278.75</v>
      </c>
      <c r="AB18" s="53">
        <v>0.76896551724137929</v>
      </c>
      <c r="AC18" s="68">
        <v>83.75</v>
      </c>
      <c r="AD18" s="55">
        <v>0.23103448275862068</v>
      </c>
      <c r="AE18" s="56">
        <v>2</v>
      </c>
      <c r="AF18" s="57" t="s">
        <v>72</v>
      </c>
      <c r="AG18" s="58">
        <v>75</v>
      </c>
      <c r="AH18" s="58">
        <v>140</v>
      </c>
      <c r="AI18" s="58">
        <v>215</v>
      </c>
      <c r="AJ18" s="49">
        <v>53.75</v>
      </c>
      <c r="AK18" s="49">
        <v>268.75</v>
      </c>
      <c r="AL18" s="52">
        <v>26.875</v>
      </c>
      <c r="AM18" s="52">
        <v>193.75</v>
      </c>
      <c r="AN18" s="52">
        <v>220.625</v>
      </c>
      <c r="AO18" s="59">
        <v>0.82093023255813957</v>
      </c>
      <c r="AP18" s="60">
        <v>48.125</v>
      </c>
      <c r="AQ18" s="61">
        <v>0.17906976744186046</v>
      </c>
      <c r="AR18" s="60" t="s">
        <v>73</v>
      </c>
      <c r="AS18" s="62">
        <v>225</v>
      </c>
      <c r="AT18" s="62">
        <v>210</v>
      </c>
      <c r="AU18" s="62">
        <v>435</v>
      </c>
      <c r="AV18" s="62">
        <v>543.75</v>
      </c>
      <c r="AW18" s="47" t="s">
        <v>74</v>
      </c>
      <c r="AX18" s="64">
        <v>45156</v>
      </c>
      <c r="AY18" s="64" t="s">
        <v>2205</v>
      </c>
      <c r="AZ18" s="87"/>
      <c r="BA18" s="64"/>
      <c r="BB18" s="64"/>
      <c r="BC18" s="64"/>
      <c r="BD18" s="46"/>
      <c r="BE18" s="46" t="e">
        <v>#REF!</v>
      </c>
      <c r="BF18" s="46" t="s">
        <v>79</v>
      </c>
      <c r="BG18" s="65">
        <v>0.75</v>
      </c>
      <c r="BH18" s="66" t="s">
        <v>2206</v>
      </c>
      <c r="BI18" s="63" t="s">
        <v>2207</v>
      </c>
    </row>
    <row r="19" spans="1:61" ht="25.5" x14ac:dyDescent="0.2">
      <c r="A19" s="45" t="s">
        <v>2208</v>
      </c>
      <c r="B19" s="46"/>
      <c r="C19" s="46" t="s">
        <v>2202</v>
      </c>
      <c r="D19" s="46" t="s">
        <v>2203</v>
      </c>
      <c r="E19" s="46" t="s">
        <v>2209</v>
      </c>
      <c r="F19" s="46" t="s">
        <v>68</v>
      </c>
      <c r="G19" s="46" t="s">
        <v>68</v>
      </c>
      <c r="H19" s="46" t="s">
        <v>68</v>
      </c>
      <c r="I19" s="46" t="s">
        <v>68</v>
      </c>
      <c r="J19" s="46" t="s">
        <v>71</v>
      </c>
      <c r="K19" s="47">
        <v>180</v>
      </c>
      <c r="L19" s="47">
        <v>210</v>
      </c>
      <c r="M19" s="47">
        <v>390</v>
      </c>
      <c r="N19" s="46"/>
      <c r="O19" s="71" t="s">
        <v>68</v>
      </c>
      <c r="P19" s="64"/>
      <c r="Q19" s="46" t="s">
        <v>2129</v>
      </c>
      <c r="R19" s="46" t="s">
        <v>2199</v>
      </c>
      <c r="S19" s="49">
        <v>97.5</v>
      </c>
      <c r="T19" s="49">
        <v>487.5</v>
      </c>
      <c r="U19" s="28">
        <v>0.2076923076923077</v>
      </c>
      <c r="V19" s="50">
        <v>0.14000000000000001</v>
      </c>
      <c r="W19" s="74">
        <v>1.1666666666666667</v>
      </c>
      <c r="X19" s="52">
        <v>48.75</v>
      </c>
      <c r="Y19" s="52">
        <v>30</v>
      </c>
      <c r="Z19" s="52">
        <v>307.5</v>
      </c>
      <c r="AA19" s="52">
        <v>386.25</v>
      </c>
      <c r="AB19" s="53">
        <v>0.79230769230769227</v>
      </c>
      <c r="AC19" s="54">
        <v>101.25</v>
      </c>
      <c r="AD19" s="55">
        <v>0.2076923076923077</v>
      </c>
      <c r="AE19" s="56">
        <v>2</v>
      </c>
      <c r="AF19" s="57" t="s">
        <v>72</v>
      </c>
      <c r="AG19" s="58">
        <v>90</v>
      </c>
      <c r="AH19" s="58">
        <v>210</v>
      </c>
      <c r="AI19" s="58">
        <v>300</v>
      </c>
      <c r="AJ19" s="49">
        <v>75</v>
      </c>
      <c r="AK19" s="49">
        <v>375</v>
      </c>
      <c r="AL19" s="52">
        <v>37.5</v>
      </c>
      <c r="AM19" s="52">
        <v>285</v>
      </c>
      <c r="AN19" s="52">
        <v>322.5</v>
      </c>
      <c r="AO19" s="59">
        <v>0.86</v>
      </c>
      <c r="AP19" s="60">
        <v>52.5</v>
      </c>
      <c r="AQ19" s="61">
        <v>0.14000000000000001</v>
      </c>
      <c r="AR19" s="60" t="s">
        <v>73</v>
      </c>
      <c r="AS19" s="62">
        <v>270</v>
      </c>
      <c r="AT19" s="62">
        <v>315</v>
      </c>
      <c r="AU19" s="62">
        <v>585</v>
      </c>
      <c r="AV19" s="62">
        <v>731.25</v>
      </c>
      <c r="AW19" s="47" t="s">
        <v>74</v>
      </c>
      <c r="AX19" s="64">
        <v>45156</v>
      </c>
      <c r="AY19" s="64" t="s">
        <v>2210</v>
      </c>
      <c r="AZ19" s="87"/>
      <c r="BA19" s="64"/>
      <c r="BB19" s="64"/>
      <c r="BC19" s="64"/>
      <c r="BD19" s="46"/>
      <c r="BE19" s="46" t="e">
        <v>#REF!</v>
      </c>
      <c r="BF19" s="46" t="s">
        <v>79</v>
      </c>
      <c r="BG19" s="65">
        <v>0.75</v>
      </c>
      <c r="BH19" s="66"/>
      <c r="BI19" s="63" t="s">
        <v>2211</v>
      </c>
    </row>
    <row r="20" spans="1:61" ht="25.5" x14ac:dyDescent="0.2">
      <c r="A20" s="45" t="s">
        <v>2212</v>
      </c>
      <c r="B20" s="46"/>
      <c r="C20" s="46" t="s">
        <v>2202</v>
      </c>
      <c r="D20" s="46" t="s">
        <v>2203</v>
      </c>
      <c r="E20" s="46" t="s">
        <v>2213</v>
      </c>
      <c r="F20" s="46" t="s">
        <v>68</v>
      </c>
      <c r="G20" s="46" t="s">
        <v>68</v>
      </c>
      <c r="H20" s="46" t="s">
        <v>68</v>
      </c>
      <c r="I20" s="46" t="s">
        <v>68</v>
      </c>
      <c r="J20" s="46" t="s">
        <v>71</v>
      </c>
      <c r="K20" s="47">
        <v>230</v>
      </c>
      <c r="L20" s="47">
        <v>350</v>
      </c>
      <c r="M20" s="47">
        <v>580</v>
      </c>
      <c r="N20" s="46"/>
      <c r="O20" s="71" t="s">
        <v>68</v>
      </c>
      <c r="P20" s="64"/>
      <c r="Q20" s="46" t="s">
        <v>2129</v>
      </c>
      <c r="R20" s="46" t="s">
        <v>2199</v>
      </c>
      <c r="S20" s="49">
        <v>145</v>
      </c>
      <c r="T20" s="49">
        <v>725</v>
      </c>
      <c r="U20" s="50">
        <v>0.17586206896551723</v>
      </c>
      <c r="V20" s="28">
        <v>0.21724137931034482</v>
      </c>
      <c r="W20" s="77">
        <v>1.5217391304347827</v>
      </c>
      <c r="X20" s="52">
        <v>72.5</v>
      </c>
      <c r="Y20" s="52">
        <v>30</v>
      </c>
      <c r="Z20" s="52">
        <v>495</v>
      </c>
      <c r="AA20" s="52">
        <v>597.5</v>
      </c>
      <c r="AB20" s="53">
        <v>0.82413793103448274</v>
      </c>
      <c r="AC20" s="72">
        <v>127.5</v>
      </c>
      <c r="AD20" s="55">
        <v>0.17586206896551723</v>
      </c>
      <c r="AE20" s="73">
        <v>3</v>
      </c>
      <c r="AF20" s="57" t="s">
        <v>95</v>
      </c>
      <c r="AG20" s="58">
        <v>230</v>
      </c>
      <c r="AH20" s="58">
        <v>350</v>
      </c>
      <c r="AI20" s="58">
        <v>580</v>
      </c>
      <c r="AJ20" s="49">
        <v>145</v>
      </c>
      <c r="AK20" s="49">
        <v>725</v>
      </c>
      <c r="AL20" s="52">
        <v>72.5</v>
      </c>
      <c r="AM20" s="52">
        <v>495</v>
      </c>
      <c r="AN20" s="52">
        <v>567.5</v>
      </c>
      <c r="AO20" s="59">
        <v>0.78275862068965518</v>
      </c>
      <c r="AP20" s="60">
        <v>157.5</v>
      </c>
      <c r="AQ20" s="61">
        <v>0.21724137931034482</v>
      </c>
      <c r="AR20" s="60" t="s">
        <v>78</v>
      </c>
      <c r="AS20" s="62">
        <v>368</v>
      </c>
      <c r="AT20" s="62">
        <v>560</v>
      </c>
      <c r="AU20" s="62">
        <v>928</v>
      </c>
      <c r="AV20" s="62">
        <v>1160</v>
      </c>
      <c r="AW20" s="47" t="s">
        <v>74</v>
      </c>
      <c r="AX20" s="64">
        <v>45156</v>
      </c>
      <c r="AY20" s="64" t="s">
        <v>2214</v>
      </c>
      <c r="AZ20" s="87"/>
      <c r="BA20" s="64"/>
      <c r="BB20" s="64"/>
      <c r="BC20" s="64"/>
      <c r="BD20" s="46"/>
      <c r="BE20" s="46" t="e">
        <v>#REF!</v>
      </c>
      <c r="BF20" s="46" t="s">
        <v>79</v>
      </c>
      <c r="BG20" s="65">
        <v>0.75</v>
      </c>
      <c r="BH20" s="66"/>
      <c r="BI20" s="63" t="s">
        <v>2215</v>
      </c>
    </row>
    <row r="21" spans="1:61" ht="25.5" x14ac:dyDescent="0.2">
      <c r="A21" s="45" t="s">
        <v>2216</v>
      </c>
      <c r="B21" s="46"/>
      <c r="C21" s="46" t="s">
        <v>2202</v>
      </c>
      <c r="D21" s="46" t="s">
        <v>2203</v>
      </c>
      <c r="E21" s="46" t="s">
        <v>2217</v>
      </c>
      <c r="F21" s="46" t="s">
        <v>68</v>
      </c>
      <c r="G21" s="46" t="s">
        <v>68</v>
      </c>
      <c r="H21" s="46" t="s">
        <v>68</v>
      </c>
      <c r="I21" s="46" t="s">
        <v>68</v>
      </c>
      <c r="J21" s="46" t="s">
        <v>71</v>
      </c>
      <c r="K21" s="47">
        <v>280</v>
      </c>
      <c r="L21" s="47">
        <v>500</v>
      </c>
      <c r="M21" s="47">
        <v>780</v>
      </c>
      <c r="N21" s="46"/>
      <c r="O21" s="71" t="s">
        <v>68</v>
      </c>
      <c r="P21" s="64"/>
      <c r="Q21" s="46" t="s">
        <v>2129</v>
      </c>
      <c r="R21" s="46" t="s">
        <v>2199</v>
      </c>
      <c r="S21" s="49">
        <v>195</v>
      </c>
      <c r="T21" s="49">
        <v>975</v>
      </c>
      <c r="U21" s="50">
        <v>0.15641025641025641</v>
      </c>
      <c r="V21" s="50">
        <v>0.18717948717948718</v>
      </c>
      <c r="W21" s="77">
        <v>1.7857142857142858</v>
      </c>
      <c r="X21" s="52">
        <v>97.5</v>
      </c>
      <c r="Y21" s="52">
        <v>30</v>
      </c>
      <c r="Z21" s="52">
        <v>695</v>
      </c>
      <c r="AA21" s="52">
        <v>822.5</v>
      </c>
      <c r="AB21" s="53">
        <v>0.84358974358974359</v>
      </c>
      <c r="AC21" s="72">
        <v>152.5</v>
      </c>
      <c r="AD21" s="55">
        <v>0.15641025641025641</v>
      </c>
      <c r="AE21" s="73">
        <v>3</v>
      </c>
      <c r="AF21" s="57" t="s">
        <v>95</v>
      </c>
      <c r="AG21" s="58">
        <v>280</v>
      </c>
      <c r="AH21" s="58">
        <v>500</v>
      </c>
      <c r="AI21" s="58">
        <v>780</v>
      </c>
      <c r="AJ21" s="49">
        <v>195</v>
      </c>
      <c r="AK21" s="49">
        <v>975</v>
      </c>
      <c r="AL21" s="52">
        <v>97.5</v>
      </c>
      <c r="AM21" s="52">
        <v>695</v>
      </c>
      <c r="AN21" s="52">
        <v>792.5</v>
      </c>
      <c r="AO21" s="59">
        <v>0.81282051282051282</v>
      </c>
      <c r="AP21" s="60">
        <v>182.5</v>
      </c>
      <c r="AQ21" s="61">
        <v>0.18717948717948718</v>
      </c>
      <c r="AR21" s="60" t="s">
        <v>73</v>
      </c>
      <c r="AS21" s="62">
        <v>448</v>
      </c>
      <c r="AT21" s="62">
        <v>800</v>
      </c>
      <c r="AU21" s="62">
        <v>1248</v>
      </c>
      <c r="AV21" s="62">
        <v>1560</v>
      </c>
      <c r="AW21" s="47" t="s">
        <v>74</v>
      </c>
      <c r="AX21" s="64">
        <v>45156</v>
      </c>
      <c r="AY21" s="64" t="s">
        <v>2218</v>
      </c>
      <c r="AZ21" s="87"/>
      <c r="BA21" s="64"/>
      <c r="BB21" s="64"/>
      <c r="BC21" s="64"/>
      <c r="BD21" s="46"/>
      <c r="BE21" s="46" t="e">
        <v>#REF!</v>
      </c>
      <c r="BF21" s="46" t="s">
        <v>79</v>
      </c>
      <c r="BG21" s="65">
        <v>0.75</v>
      </c>
      <c r="BH21" s="66"/>
      <c r="BI21" s="63" t="s">
        <v>2219</v>
      </c>
    </row>
    <row r="22" spans="1:61" ht="25.5" x14ac:dyDescent="0.2">
      <c r="A22" s="34" t="s">
        <v>2220</v>
      </c>
      <c r="B22" s="35"/>
      <c r="C22" s="35" t="s">
        <v>68</v>
      </c>
      <c r="D22" s="35" t="s">
        <v>68</v>
      </c>
      <c r="E22" s="35" t="s">
        <v>68</v>
      </c>
      <c r="F22" s="35" t="s">
        <v>68</v>
      </c>
      <c r="G22" s="35" t="s">
        <v>68</v>
      </c>
      <c r="H22" s="35" t="s">
        <v>68</v>
      </c>
      <c r="I22" s="35" t="s">
        <v>68</v>
      </c>
      <c r="J22" s="35" t="s">
        <v>68</v>
      </c>
      <c r="K22" s="36" t="s">
        <v>68</v>
      </c>
      <c r="L22" s="36" t="s">
        <v>68</v>
      </c>
      <c r="M22" s="36" t="s">
        <v>68</v>
      </c>
      <c r="N22" s="35"/>
      <c r="O22" s="35" t="s">
        <v>68</v>
      </c>
      <c r="P22" s="37"/>
      <c r="Q22" s="38" t="s">
        <v>2129</v>
      </c>
      <c r="R22" s="38" t="s">
        <v>2221</v>
      </c>
      <c r="S22" s="36" t="s">
        <v>68</v>
      </c>
      <c r="T22" s="36" t="s">
        <v>68</v>
      </c>
      <c r="U22" s="39" t="s">
        <v>68</v>
      </c>
      <c r="V22" s="39" t="s">
        <v>68</v>
      </c>
      <c r="W22" s="40" t="s">
        <v>68</v>
      </c>
      <c r="X22" s="36" t="s">
        <v>68</v>
      </c>
      <c r="Y22" s="36" t="s">
        <v>68</v>
      </c>
      <c r="Z22" s="36" t="s">
        <v>68</v>
      </c>
      <c r="AA22" s="36" t="s">
        <v>68</v>
      </c>
      <c r="AB22" s="39" t="s">
        <v>68</v>
      </c>
      <c r="AC22" s="36" t="s">
        <v>68</v>
      </c>
      <c r="AD22" s="39" t="s">
        <v>68</v>
      </c>
      <c r="AE22" s="41"/>
      <c r="AF22" s="42" t="s">
        <v>68</v>
      </c>
      <c r="AG22" s="36" t="s">
        <v>68</v>
      </c>
      <c r="AH22" s="36" t="s">
        <v>68</v>
      </c>
      <c r="AI22" s="36" t="s">
        <v>68</v>
      </c>
      <c r="AJ22" s="36" t="s">
        <v>68</v>
      </c>
      <c r="AK22" s="36" t="s">
        <v>68</v>
      </c>
      <c r="AL22" s="36" t="s">
        <v>68</v>
      </c>
      <c r="AM22" s="36" t="s">
        <v>68</v>
      </c>
      <c r="AN22" s="36" t="s">
        <v>68</v>
      </c>
      <c r="AO22" s="43" t="s">
        <v>68</v>
      </c>
      <c r="AP22" s="36" t="s">
        <v>68</v>
      </c>
      <c r="AQ22" s="39" t="s">
        <v>68</v>
      </c>
      <c r="AR22" s="36" t="s">
        <v>68</v>
      </c>
      <c r="AS22" s="36" t="s">
        <v>68</v>
      </c>
      <c r="AT22" s="36" t="s">
        <v>68</v>
      </c>
      <c r="AU22" s="36" t="s">
        <v>68</v>
      </c>
      <c r="AV22" s="36" t="s">
        <v>68</v>
      </c>
      <c r="AW22" s="35"/>
      <c r="AX22" s="37"/>
      <c r="AY22" s="37" t="s">
        <v>68</v>
      </c>
      <c r="AZ22" s="87"/>
      <c r="BA22" s="37"/>
      <c r="BB22" s="37"/>
      <c r="BC22" s="37"/>
      <c r="BD22" s="35"/>
      <c r="BE22" s="35" t="e">
        <v>#REF!</v>
      </c>
      <c r="BF22" s="35"/>
      <c r="BG22" s="44"/>
      <c r="BH22" s="38" t="s">
        <v>2222</v>
      </c>
      <c r="BI22" s="35" t="s">
        <v>68</v>
      </c>
    </row>
    <row r="23" spans="1:61" ht="38.25" x14ac:dyDescent="0.2">
      <c r="A23" s="45" t="s">
        <v>2223</v>
      </c>
      <c r="B23" s="46"/>
      <c r="C23" s="46" t="s">
        <v>2224</v>
      </c>
      <c r="D23" s="46" t="s">
        <v>1533</v>
      </c>
      <c r="E23" s="46" t="s">
        <v>2204</v>
      </c>
      <c r="F23" s="46" t="s">
        <v>2225</v>
      </c>
      <c r="G23" s="46" t="s">
        <v>68</v>
      </c>
      <c r="H23" s="46" t="s">
        <v>68</v>
      </c>
      <c r="I23" s="46" t="s">
        <v>68</v>
      </c>
      <c r="J23" s="46" t="s">
        <v>71</v>
      </c>
      <c r="K23" s="47">
        <v>140</v>
      </c>
      <c r="L23" s="47">
        <v>80</v>
      </c>
      <c r="M23" s="47">
        <v>220</v>
      </c>
      <c r="N23" s="46"/>
      <c r="O23" s="71" t="s">
        <v>68</v>
      </c>
      <c r="P23" s="64"/>
      <c r="Q23" s="46" t="s">
        <v>2129</v>
      </c>
      <c r="R23" s="46" t="s">
        <v>2221</v>
      </c>
      <c r="S23" s="49">
        <v>55</v>
      </c>
      <c r="T23" s="49">
        <v>275</v>
      </c>
      <c r="U23" s="67">
        <v>0.3</v>
      </c>
      <c r="V23" s="28">
        <v>0.27333333333333332</v>
      </c>
      <c r="W23" s="51">
        <v>0.5714285714285714</v>
      </c>
      <c r="X23" s="52">
        <v>27.5</v>
      </c>
      <c r="Y23" s="52">
        <v>30</v>
      </c>
      <c r="Z23" s="52">
        <v>135</v>
      </c>
      <c r="AA23" s="52">
        <v>192.5</v>
      </c>
      <c r="AB23" s="53">
        <v>0.7</v>
      </c>
      <c r="AC23" s="68">
        <v>82.5</v>
      </c>
      <c r="AD23" s="55">
        <v>0.3</v>
      </c>
      <c r="AE23" s="56">
        <v>2</v>
      </c>
      <c r="AF23" s="57" t="s">
        <v>72</v>
      </c>
      <c r="AG23" s="58">
        <v>70</v>
      </c>
      <c r="AH23" s="58">
        <v>80</v>
      </c>
      <c r="AI23" s="58">
        <v>150</v>
      </c>
      <c r="AJ23" s="49">
        <v>37.5</v>
      </c>
      <c r="AK23" s="49">
        <v>187.5</v>
      </c>
      <c r="AL23" s="52">
        <v>18.75</v>
      </c>
      <c r="AM23" s="52">
        <v>117.5</v>
      </c>
      <c r="AN23" s="52">
        <v>136.25</v>
      </c>
      <c r="AO23" s="59">
        <v>0.72666666666666668</v>
      </c>
      <c r="AP23" s="60">
        <v>51.25</v>
      </c>
      <c r="AQ23" s="61">
        <v>0.27333333333333332</v>
      </c>
      <c r="AR23" s="60" t="s">
        <v>78</v>
      </c>
      <c r="AS23" s="62">
        <v>210</v>
      </c>
      <c r="AT23" s="62">
        <v>120</v>
      </c>
      <c r="AU23" s="62">
        <v>330</v>
      </c>
      <c r="AV23" s="62">
        <v>412.5</v>
      </c>
      <c r="AW23" s="47" t="s">
        <v>74</v>
      </c>
      <c r="AX23" s="64">
        <v>45156</v>
      </c>
      <c r="AY23" s="64" t="s">
        <v>2226</v>
      </c>
      <c r="AZ23" s="87"/>
      <c r="BA23" s="64"/>
      <c r="BB23" s="64"/>
      <c r="BC23" s="64"/>
      <c r="BD23" s="46"/>
      <c r="BE23" s="46" t="e">
        <v>#REF!</v>
      </c>
      <c r="BF23" s="46" t="s">
        <v>79</v>
      </c>
      <c r="BG23" s="65">
        <v>1</v>
      </c>
      <c r="BH23" s="66" t="s">
        <v>2227</v>
      </c>
      <c r="BI23" s="63" t="s">
        <v>2228</v>
      </c>
    </row>
    <row r="24" spans="1:61" ht="38.25" x14ac:dyDescent="0.2">
      <c r="A24" s="45" t="s">
        <v>2229</v>
      </c>
      <c r="B24" s="46"/>
      <c r="C24" s="46" t="s">
        <v>2230</v>
      </c>
      <c r="D24" s="46" t="s">
        <v>1533</v>
      </c>
      <c r="E24" s="46" t="s">
        <v>2204</v>
      </c>
      <c r="F24" s="46" t="s">
        <v>2225</v>
      </c>
      <c r="G24" s="46" t="s">
        <v>68</v>
      </c>
      <c r="H24" s="46" t="s">
        <v>68</v>
      </c>
      <c r="I24" s="46" t="s">
        <v>68</v>
      </c>
      <c r="J24" s="46" t="s">
        <v>71</v>
      </c>
      <c r="K24" s="47">
        <v>180</v>
      </c>
      <c r="L24" s="47">
        <v>140</v>
      </c>
      <c r="M24" s="47">
        <v>320</v>
      </c>
      <c r="N24" s="46"/>
      <c r="O24" s="71" t="s">
        <v>68</v>
      </c>
      <c r="P24" s="64"/>
      <c r="Q24" s="46" t="s">
        <v>2129</v>
      </c>
      <c r="R24" s="46" t="s">
        <v>2221</v>
      </c>
      <c r="S24" s="49">
        <v>80</v>
      </c>
      <c r="T24" s="49">
        <v>400</v>
      </c>
      <c r="U24" s="28">
        <v>0.27500000000000002</v>
      </c>
      <c r="V24" s="28">
        <v>0.21304347826086956</v>
      </c>
      <c r="W24" s="51">
        <v>0.77777777777777779</v>
      </c>
      <c r="X24" s="52">
        <v>40</v>
      </c>
      <c r="Y24" s="52">
        <v>30</v>
      </c>
      <c r="Z24" s="52">
        <v>220</v>
      </c>
      <c r="AA24" s="52">
        <v>290</v>
      </c>
      <c r="AB24" s="53">
        <v>0.72499999999999998</v>
      </c>
      <c r="AC24" s="54">
        <v>110</v>
      </c>
      <c r="AD24" s="55">
        <v>0.27500000000000002</v>
      </c>
      <c r="AE24" s="56">
        <v>2</v>
      </c>
      <c r="AF24" s="57" t="s">
        <v>72</v>
      </c>
      <c r="AG24" s="58">
        <v>90</v>
      </c>
      <c r="AH24" s="58">
        <v>140</v>
      </c>
      <c r="AI24" s="58">
        <v>230</v>
      </c>
      <c r="AJ24" s="49">
        <v>57.5</v>
      </c>
      <c r="AK24" s="49">
        <v>287.5</v>
      </c>
      <c r="AL24" s="52">
        <v>28.75</v>
      </c>
      <c r="AM24" s="52">
        <v>197.5</v>
      </c>
      <c r="AN24" s="52">
        <v>226.25</v>
      </c>
      <c r="AO24" s="59">
        <v>0.78695652173913044</v>
      </c>
      <c r="AP24" s="60">
        <v>61.25</v>
      </c>
      <c r="AQ24" s="61">
        <v>0.21304347826086956</v>
      </c>
      <c r="AR24" s="60" t="s">
        <v>78</v>
      </c>
      <c r="AS24" s="62">
        <v>270</v>
      </c>
      <c r="AT24" s="62">
        <v>210</v>
      </c>
      <c r="AU24" s="62">
        <v>480</v>
      </c>
      <c r="AV24" s="62">
        <v>600</v>
      </c>
      <c r="AW24" s="47" t="s">
        <v>74</v>
      </c>
      <c r="AX24" s="64">
        <v>45156</v>
      </c>
      <c r="AY24" s="64" t="s">
        <v>2231</v>
      </c>
      <c r="AZ24" s="87"/>
      <c r="BA24" s="64"/>
      <c r="BB24" s="64"/>
      <c r="BC24" s="64"/>
      <c r="BD24" s="46"/>
      <c r="BE24" s="46" t="e">
        <v>#REF!</v>
      </c>
      <c r="BF24" s="46" t="s">
        <v>79</v>
      </c>
      <c r="BG24" s="65">
        <v>1</v>
      </c>
      <c r="BH24" s="66"/>
      <c r="BI24" s="63" t="s">
        <v>2232</v>
      </c>
    </row>
    <row r="25" spans="1:61" ht="38.25" x14ac:dyDescent="0.2">
      <c r="A25" s="45" t="s">
        <v>2233</v>
      </c>
      <c r="B25" s="46"/>
      <c r="C25" s="46" t="s">
        <v>2224</v>
      </c>
      <c r="D25" s="46" t="s">
        <v>1533</v>
      </c>
      <c r="E25" s="46" t="s">
        <v>2209</v>
      </c>
      <c r="F25" s="46" t="s">
        <v>2225</v>
      </c>
      <c r="G25" s="46" t="s">
        <v>68</v>
      </c>
      <c r="H25" s="46" t="s">
        <v>68</v>
      </c>
      <c r="I25" s="46" t="s">
        <v>68</v>
      </c>
      <c r="J25" s="46" t="s">
        <v>71</v>
      </c>
      <c r="K25" s="47">
        <v>160</v>
      </c>
      <c r="L25" s="47">
        <v>200</v>
      </c>
      <c r="M25" s="47">
        <v>360</v>
      </c>
      <c r="N25" s="46"/>
      <c r="O25" s="71" t="s">
        <v>68</v>
      </c>
      <c r="P25" s="64"/>
      <c r="Q25" s="46" t="s">
        <v>2129</v>
      </c>
      <c r="R25" s="46" t="s">
        <v>2221</v>
      </c>
      <c r="S25" s="49">
        <v>90</v>
      </c>
      <c r="T25" s="49">
        <v>450</v>
      </c>
      <c r="U25" s="50">
        <v>0.18888888888888888</v>
      </c>
      <c r="V25" s="50">
        <v>0.12857142857142856</v>
      </c>
      <c r="W25" s="74">
        <v>1.25</v>
      </c>
      <c r="X25" s="52">
        <v>45</v>
      </c>
      <c r="Y25" s="52">
        <v>30</v>
      </c>
      <c r="Z25" s="52">
        <v>290</v>
      </c>
      <c r="AA25" s="52">
        <v>365</v>
      </c>
      <c r="AB25" s="53">
        <v>0.81111111111111112</v>
      </c>
      <c r="AC25" s="68">
        <v>85</v>
      </c>
      <c r="AD25" s="55">
        <v>0.18888888888888888</v>
      </c>
      <c r="AE25" s="56">
        <v>2</v>
      </c>
      <c r="AF25" s="57" t="s">
        <v>72</v>
      </c>
      <c r="AG25" s="58">
        <v>80</v>
      </c>
      <c r="AH25" s="58">
        <v>200</v>
      </c>
      <c r="AI25" s="58">
        <v>280</v>
      </c>
      <c r="AJ25" s="49">
        <v>70</v>
      </c>
      <c r="AK25" s="49">
        <v>350</v>
      </c>
      <c r="AL25" s="52">
        <v>35</v>
      </c>
      <c r="AM25" s="52">
        <v>270</v>
      </c>
      <c r="AN25" s="52">
        <v>305</v>
      </c>
      <c r="AO25" s="59">
        <v>0.87142857142857144</v>
      </c>
      <c r="AP25" s="60">
        <v>45</v>
      </c>
      <c r="AQ25" s="61">
        <v>0.12857142857142856</v>
      </c>
      <c r="AR25" s="60" t="s">
        <v>73</v>
      </c>
      <c r="AS25" s="62">
        <v>240</v>
      </c>
      <c r="AT25" s="62">
        <v>300</v>
      </c>
      <c r="AU25" s="62">
        <v>540</v>
      </c>
      <c r="AV25" s="62">
        <v>675</v>
      </c>
      <c r="AW25" s="47" t="s">
        <v>74</v>
      </c>
      <c r="AX25" s="64">
        <v>45156</v>
      </c>
      <c r="AY25" s="64" t="s">
        <v>2234</v>
      </c>
      <c r="AZ25" s="87"/>
      <c r="BA25" s="64"/>
      <c r="BB25" s="64"/>
      <c r="BC25" s="64"/>
      <c r="BD25" s="46"/>
      <c r="BE25" s="46" t="e">
        <v>#REF!</v>
      </c>
      <c r="BF25" s="46" t="s">
        <v>79</v>
      </c>
      <c r="BG25" s="65">
        <v>1</v>
      </c>
      <c r="BH25" s="66"/>
      <c r="BI25" s="63" t="s">
        <v>2235</v>
      </c>
    </row>
    <row r="26" spans="1:61" ht="38.25" x14ac:dyDescent="0.2">
      <c r="A26" s="45" t="s">
        <v>2236</v>
      </c>
      <c r="B26" s="46"/>
      <c r="C26" s="46" t="s">
        <v>2230</v>
      </c>
      <c r="D26" s="46" t="s">
        <v>1533</v>
      </c>
      <c r="E26" s="46" t="s">
        <v>2209</v>
      </c>
      <c r="F26" s="46" t="s">
        <v>2225</v>
      </c>
      <c r="G26" s="46" t="s">
        <v>68</v>
      </c>
      <c r="H26" s="46" t="s">
        <v>68</v>
      </c>
      <c r="I26" s="46" t="s">
        <v>68</v>
      </c>
      <c r="J26" s="46" t="s">
        <v>71</v>
      </c>
      <c r="K26" s="47">
        <v>230</v>
      </c>
      <c r="L26" s="47">
        <v>270</v>
      </c>
      <c r="M26" s="47">
        <v>500</v>
      </c>
      <c r="N26" s="46"/>
      <c r="O26" s="71" t="s">
        <v>68</v>
      </c>
      <c r="P26" s="64"/>
      <c r="Q26" s="46" t="s">
        <v>2129</v>
      </c>
      <c r="R26" s="46" t="s">
        <v>2221</v>
      </c>
      <c r="S26" s="49">
        <v>125</v>
      </c>
      <c r="T26" s="49">
        <v>625</v>
      </c>
      <c r="U26" s="28">
        <v>0.22</v>
      </c>
      <c r="V26" s="28">
        <v>0.26800000000000002</v>
      </c>
      <c r="W26" s="74">
        <v>1.173913043478261</v>
      </c>
      <c r="X26" s="52">
        <v>62.5</v>
      </c>
      <c r="Y26" s="52">
        <v>30</v>
      </c>
      <c r="Z26" s="52">
        <v>395</v>
      </c>
      <c r="AA26" s="52">
        <v>487.5</v>
      </c>
      <c r="AB26" s="53">
        <v>0.78</v>
      </c>
      <c r="AC26" s="72">
        <v>137.5</v>
      </c>
      <c r="AD26" s="55">
        <v>0.22</v>
      </c>
      <c r="AE26" s="73">
        <v>3</v>
      </c>
      <c r="AF26" s="57" t="s">
        <v>95</v>
      </c>
      <c r="AG26" s="58">
        <v>230</v>
      </c>
      <c r="AH26" s="58">
        <v>270</v>
      </c>
      <c r="AI26" s="58">
        <v>500</v>
      </c>
      <c r="AJ26" s="49">
        <v>125</v>
      </c>
      <c r="AK26" s="49">
        <v>625</v>
      </c>
      <c r="AL26" s="52">
        <v>62.5</v>
      </c>
      <c r="AM26" s="52">
        <v>395</v>
      </c>
      <c r="AN26" s="52">
        <v>457.5</v>
      </c>
      <c r="AO26" s="59">
        <v>0.73199999999999998</v>
      </c>
      <c r="AP26" s="60">
        <v>167.5</v>
      </c>
      <c r="AQ26" s="61">
        <v>0.26800000000000002</v>
      </c>
      <c r="AR26" s="60" t="s">
        <v>78</v>
      </c>
      <c r="AS26" s="62">
        <v>368</v>
      </c>
      <c r="AT26" s="62">
        <v>432</v>
      </c>
      <c r="AU26" s="62">
        <v>800</v>
      </c>
      <c r="AV26" s="62">
        <v>1000</v>
      </c>
      <c r="AW26" s="47" t="s">
        <v>74</v>
      </c>
      <c r="AX26" s="64">
        <v>45156</v>
      </c>
      <c r="AY26" s="64" t="s">
        <v>2237</v>
      </c>
      <c r="AZ26" s="87"/>
      <c r="BA26" s="64"/>
      <c r="BB26" s="64"/>
      <c r="BC26" s="64"/>
      <c r="BD26" s="46"/>
      <c r="BE26" s="46" t="e">
        <v>#REF!</v>
      </c>
      <c r="BF26" s="46" t="s">
        <v>79</v>
      </c>
      <c r="BG26" s="65">
        <v>1</v>
      </c>
      <c r="BH26" s="66"/>
      <c r="BI26" s="63" t="s">
        <v>2238</v>
      </c>
    </row>
    <row r="27" spans="1:61" ht="38.25" x14ac:dyDescent="0.2">
      <c r="A27" s="45" t="s">
        <v>2239</v>
      </c>
      <c r="B27" s="46"/>
      <c r="C27" s="46" t="s">
        <v>2224</v>
      </c>
      <c r="D27" s="46" t="s">
        <v>1589</v>
      </c>
      <c r="E27" s="46" t="s">
        <v>2204</v>
      </c>
      <c r="F27" s="46" t="s">
        <v>2225</v>
      </c>
      <c r="G27" s="46" t="s">
        <v>68</v>
      </c>
      <c r="H27" s="46" t="s">
        <v>68</v>
      </c>
      <c r="I27" s="46" t="s">
        <v>68</v>
      </c>
      <c r="J27" s="46" t="s">
        <v>71</v>
      </c>
      <c r="K27" s="47">
        <v>160</v>
      </c>
      <c r="L27" s="47">
        <v>150</v>
      </c>
      <c r="M27" s="47">
        <v>310</v>
      </c>
      <c r="N27" s="46"/>
      <c r="O27" s="71" t="s">
        <v>68</v>
      </c>
      <c r="P27" s="64"/>
      <c r="Q27" s="46" t="s">
        <v>2129</v>
      </c>
      <c r="R27" s="46" t="s">
        <v>2221</v>
      </c>
      <c r="S27" s="49">
        <v>77.5</v>
      </c>
      <c r="T27" s="49">
        <v>387.5</v>
      </c>
      <c r="U27" s="28">
        <v>0.23548387096774193</v>
      </c>
      <c r="V27" s="50">
        <v>0.17826086956521739</v>
      </c>
      <c r="W27" s="51">
        <v>0.9375</v>
      </c>
      <c r="X27" s="52">
        <v>38.75</v>
      </c>
      <c r="Y27" s="52">
        <v>30</v>
      </c>
      <c r="Z27" s="52">
        <v>227.5</v>
      </c>
      <c r="AA27" s="52">
        <v>296.25</v>
      </c>
      <c r="AB27" s="53">
        <v>0.76451612903225807</v>
      </c>
      <c r="AC27" s="54">
        <v>91.25</v>
      </c>
      <c r="AD27" s="55">
        <v>0.23548387096774193</v>
      </c>
      <c r="AE27" s="56">
        <v>2</v>
      </c>
      <c r="AF27" s="57" t="s">
        <v>72</v>
      </c>
      <c r="AG27" s="58">
        <v>80</v>
      </c>
      <c r="AH27" s="58">
        <v>150</v>
      </c>
      <c r="AI27" s="58">
        <v>230</v>
      </c>
      <c r="AJ27" s="49">
        <v>57.5</v>
      </c>
      <c r="AK27" s="49">
        <v>287.5</v>
      </c>
      <c r="AL27" s="52">
        <v>28.75</v>
      </c>
      <c r="AM27" s="52">
        <v>207.5</v>
      </c>
      <c r="AN27" s="52">
        <v>236.25</v>
      </c>
      <c r="AO27" s="59">
        <v>0.82173913043478264</v>
      </c>
      <c r="AP27" s="60">
        <v>51.25</v>
      </c>
      <c r="AQ27" s="61">
        <v>0.17826086956521739</v>
      </c>
      <c r="AR27" s="60" t="s">
        <v>73</v>
      </c>
      <c r="AS27" s="62">
        <v>240</v>
      </c>
      <c r="AT27" s="62">
        <v>225</v>
      </c>
      <c r="AU27" s="62">
        <v>465</v>
      </c>
      <c r="AV27" s="62">
        <v>581.25</v>
      </c>
      <c r="AW27" s="47" t="s">
        <v>74</v>
      </c>
      <c r="AX27" s="64">
        <v>45156</v>
      </c>
      <c r="AY27" s="64" t="s">
        <v>2240</v>
      </c>
      <c r="AZ27" s="87"/>
      <c r="BA27" s="64"/>
      <c r="BB27" s="64"/>
      <c r="BC27" s="64"/>
      <c r="BD27" s="46"/>
      <c r="BE27" s="46" t="e">
        <v>#REF!</v>
      </c>
      <c r="BF27" s="46" t="s">
        <v>79</v>
      </c>
      <c r="BG27" s="65">
        <v>1</v>
      </c>
      <c r="BH27" s="66" t="s">
        <v>2241</v>
      </c>
      <c r="BI27" s="63" t="s">
        <v>2242</v>
      </c>
    </row>
    <row r="28" spans="1:61" ht="38.25" x14ac:dyDescent="0.2">
      <c r="A28" s="45" t="s">
        <v>2243</v>
      </c>
      <c r="B28" s="46"/>
      <c r="C28" s="46" t="s">
        <v>2230</v>
      </c>
      <c r="D28" s="46" t="s">
        <v>1589</v>
      </c>
      <c r="E28" s="46" t="s">
        <v>2204</v>
      </c>
      <c r="F28" s="46" t="s">
        <v>2225</v>
      </c>
      <c r="G28" s="46" t="s">
        <v>68</v>
      </c>
      <c r="H28" s="46" t="s">
        <v>68</v>
      </c>
      <c r="I28" s="46" t="s">
        <v>68</v>
      </c>
      <c r="J28" s="46" t="s">
        <v>71</v>
      </c>
      <c r="K28" s="47">
        <v>230</v>
      </c>
      <c r="L28" s="47">
        <v>220</v>
      </c>
      <c r="M28" s="47">
        <v>450</v>
      </c>
      <c r="N28" s="46"/>
      <c r="O28" s="71" t="s">
        <v>68</v>
      </c>
      <c r="P28" s="64"/>
      <c r="Q28" s="46" t="s">
        <v>2129</v>
      </c>
      <c r="R28" s="46" t="s">
        <v>2221</v>
      </c>
      <c r="S28" s="49">
        <v>112.5</v>
      </c>
      <c r="T28" s="49">
        <v>562.5</v>
      </c>
      <c r="U28" s="28">
        <v>0.25555555555555554</v>
      </c>
      <c r="V28" s="50">
        <v>0.17462686567164179</v>
      </c>
      <c r="W28" s="51">
        <v>0.95652173913043481</v>
      </c>
      <c r="X28" s="52">
        <v>56.25</v>
      </c>
      <c r="Y28" s="52">
        <v>30</v>
      </c>
      <c r="Z28" s="52">
        <v>332.5</v>
      </c>
      <c r="AA28" s="52">
        <v>418.75</v>
      </c>
      <c r="AB28" s="53">
        <v>0.74444444444444446</v>
      </c>
      <c r="AC28" s="72">
        <v>143.75</v>
      </c>
      <c r="AD28" s="55">
        <v>0.25555555555555554</v>
      </c>
      <c r="AE28" s="56">
        <v>2</v>
      </c>
      <c r="AF28" s="57" t="s">
        <v>72</v>
      </c>
      <c r="AG28" s="58">
        <v>115</v>
      </c>
      <c r="AH28" s="58">
        <v>220</v>
      </c>
      <c r="AI28" s="58">
        <v>335</v>
      </c>
      <c r="AJ28" s="49">
        <v>83.75</v>
      </c>
      <c r="AK28" s="49">
        <v>418.75</v>
      </c>
      <c r="AL28" s="52">
        <v>41.875</v>
      </c>
      <c r="AM28" s="52">
        <v>303.75</v>
      </c>
      <c r="AN28" s="52">
        <v>345.625</v>
      </c>
      <c r="AO28" s="59">
        <v>0.82537313432835824</v>
      </c>
      <c r="AP28" s="60">
        <v>73.125</v>
      </c>
      <c r="AQ28" s="61">
        <v>0.17462686567164179</v>
      </c>
      <c r="AR28" s="60" t="s">
        <v>73</v>
      </c>
      <c r="AS28" s="62">
        <v>345</v>
      </c>
      <c r="AT28" s="62">
        <v>330</v>
      </c>
      <c r="AU28" s="62">
        <v>675</v>
      </c>
      <c r="AV28" s="62">
        <v>843.75</v>
      </c>
      <c r="AW28" s="47" t="s">
        <v>74</v>
      </c>
      <c r="AX28" s="64">
        <v>45156</v>
      </c>
      <c r="AY28" s="64" t="s">
        <v>2244</v>
      </c>
      <c r="AZ28" s="87"/>
      <c r="BA28" s="64"/>
      <c r="BB28" s="64"/>
      <c r="BC28" s="64"/>
      <c r="BD28" s="46"/>
      <c r="BE28" s="46" t="e">
        <v>#REF!</v>
      </c>
      <c r="BF28" s="46" t="s">
        <v>79</v>
      </c>
      <c r="BG28" s="65">
        <v>1</v>
      </c>
      <c r="BH28" s="66"/>
      <c r="BI28" s="63" t="s">
        <v>2245</v>
      </c>
    </row>
    <row r="29" spans="1:61" ht="38.25" x14ac:dyDescent="0.2">
      <c r="A29" s="45" t="s">
        <v>2246</v>
      </c>
      <c r="B29" s="46"/>
      <c r="C29" s="46" t="s">
        <v>2224</v>
      </c>
      <c r="D29" s="46" t="s">
        <v>1589</v>
      </c>
      <c r="E29" s="46" t="s">
        <v>2209</v>
      </c>
      <c r="F29" s="46" t="s">
        <v>2225</v>
      </c>
      <c r="G29" s="46" t="s">
        <v>68</v>
      </c>
      <c r="H29" s="46" t="s">
        <v>68</v>
      </c>
      <c r="I29" s="46" t="s">
        <v>68</v>
      </c>
      <c r="J29" s="46" t="s">
        <v>71</v>
      </c>
      <c r="K29" s="47">
        <v>220</v>
      </c>
      <c r="L29" s="47">
        <v>380</v>
      </c>
      <c r="M29" s="47">
        <v>600</v>
      </c>
      <c r="N29" s="46"/>
      <c r="O29" s="71" t="s">
        <v>68</v>
      </c>
      <c r="P29" s="64"/>
      <c r="Q29" s="46" t="s">
        <v>2129</v>
      </c>
      <c r="R29" s="46" t="s">
        <v>2221</v>
      </c>
      <c r="S29" s="49">
        <v>150</v>
      </c>
      <c r="T29" s="49">
        <v>750</v>
      </c>
      <c r="U29" s="50">
        <v>0.15333333333333332</v>
      </c>
      <c r="V29" s="50">
        <v>0.19333333333333333</v>
      </c>
      <c r="W29" s="77">
        <v>1.7272727272727273</v>
      </c>
      <c r="X29" s="52">
        <v>75</v>
      </c>
      <c r="Y29" s="52">
        <v>30</v>
      </c>
      <c r="Z29" s="52">
        <v>530</v>
      </c>
      <c r="AA29" s="52">
        <v>635</v>
      </c>
      <c r="AB29" s="53">
        <v>0.84666666666666668</v>
      </c>
      <c r="AC29" s="54">
        <v>115</v>
      </c>
      <c r="AD29" s="55">
        <v>0.15333333333333332</v>
      </c>
      <c r="AE29" s="73">
        <v>3</v>
      </c>
      <c r="AF29" s="57" t="s">
        <v>95</v>
      </c>
      <c r="AG29" s="58">
        <v>220</v>
      </c>
      <c r="AH29" s="58">
        <v>380</v>
      </c>
      <c r="AI29" s="58">
        <v>600</v>
      </c>
      <c r="AJ29" s="49">
        <v>150</v>
      </c>
      <c r="AK29" s="49">
        <v>750</v>
      </c>
      <c r="AL29" s="52">
        <v>75</v>
      </c>
      <c r="AM29" s="52">
        <v>530</v>
      </c>
      <c r="AN29" s="52">
        <v>605</v>
      </c>
      <c r="AO29" s="59">
        <v>0.80666666666666664</v>
      </c>
      <c r="AP29" s="60">
        <v>145</v>
      </c>
      <c r="AQ29" s="61">
        <v>0.19333333333333333</v>
      </c>
      <c r="AR29" s="60" t="s">
        <v>73</v>
      </c>
      <c r="AS29" s="62">
        <v>352</v>
      </c>
      <c r="AT29" s="62">
        <v>608</v>
      </c>
      <c r="AU29" s="62">
        <v>960</v>
      </c>
      <c r="AV29" s="62">
        <v>1200</v>
      </c>
      <c r="AW29" s="47" t="s">
        <v>74</v>
      </c>
      <c r="AX29" s="64">
        <v>45156</v>
      </c>
      <c r="AY29" s="64" t="s">
        <v>2247</v>
      </c>
      <c r="AZ29" s="87"/>
      <c r="BA29" s="64"/>
      <c r="BB29" s="64"/>
      <c r="BC29" s="64"/>
      <c r="BD29" s="46"/>
      <c r="BE29" s="46" t="e">
        <v>#REF!</v>
      </c>
      <c r="BF29" s="46" t="s">
        <v>79</v>
      </c>
      <c r="BG29" s="65">
        <v>1</v>
      </c>
      <c r="BH29" s="66" t="s">
        <v>2248</v>
      </c>
      <c r="BI29" s="63" t="s">
        <v>2249</v>
      </c>
    </row>
    <row r="30" spans="1:61" ht="38.25" x14ac:dyDescent="0.2">
      <c r="A30" s="45" t="s">
        <v>2250</v>
      </c>
      <c r="B30" s="46"/>
      <c r="C30" s="46" t="s">
        <v>2230</v>
      </c>
      <c r="D30" s="46" t="s">
        <v>1589</v>
      </c>
      <c r="E30" s="46" t="s">
        <v>2209</v>
      </c>
      <c r="F30" s="46" t="s">
        <v>2225</v>
      </c>
      <c r="G30" s="46" t="s">
        <v>68</v>
      </c>
      <c r="H30" s="46" t="s">
        <v>68</v>
      </c>
      <c r="I30" s="46" t="s">
        <v>68</v>
      </c>
      <c r="J30" s="46" t="s">
        <v>71</v>
      </c>
      <c r="K30" s="47">
        <v>290</v>
      </c>
      <c r="L30" s="47">
        <v>450</v>
      </c>
      <c r="M30" s="47">
        <v>740</v>
      </c>
      <c r="N30" s="46"/>
      <c r="O30" s="71" t="s">
        <v>68</v>
      </c>
      <c r="P30" s="64"/>
      <c r="Q30" s="46" t="s">
        <v>2129</v>
      </c>
      <c r="R30" s="46" t="s">
        <v>2221</v>
      </c>
      <c r="S30" s="49">
        <v>185</v>
      </c>
      <c r="T30" s="49">
        <v>925</v>
      </c>
      <c r="U30" s="50">
        <v>0.18108108108108109</v>
      </c>
      <c r="V30" s="28">
        <v>0.21351351351351353</v>
      </c>
      <c r="W30" s="77">
        <v>1.5517241379310345</v>
      </c>
      <c r="X30" s="52">
        <v>92.5</v>
      </c>
      <c r="Y30" s="52">
        <v>30</v>
      </c>
      <c r="Z30" s="52">
        <v>635</v>
      </c>
      <c r="AA30" s="52">
        <v>757.5</v>
      </c>
      <c r="AB30" s="53">
        <v>0.81891891891891888</v>
      </c>
      <c r="AC30" s="72">
        <v>167.5</v>
      </c>
      <c r="AD30" s="55">
        <v>0.18108108108108109</v>
      </c>
      <c r="AE30" s="73">
        <v>3</v>
      </c>
      <c r="AF30" s="57" t="s">
        <v>95</v>
      </c>
      <c r="AG30" s="58">
        <v>290</v>
      </c>
      <c r="AH30" s="58">
        <v>450</v>
      </c>
      <c r="AI30" s="58">
        <v>740</v>
      </c>
      <c r="AJ30" s="49">
        <v>185</v>
      </c>
      <c r="AK30" s="49">
        <v>925</v>
      </c>
      <c r="AL30" s="52">
        <v>92.5</v>
      </c>
      <c r="AM30" s="52">
        <v>635</v>
      </c>
      <c r="AN30" s="52">
        <v>727.5</v>
      </c>
      <c r="AO30" s="59">
        <v>0.78648648648648645</v>
      </c>
      <c r="AP30" s="60">
        <v>197.5</v>
      </c>
      <c r="AQ30" s="61">
        <v>0.21351351351351353</v>
      </c>
      <c r="AR30" s="60" t="s">
        <v>78</v>
      </c>
      <c r="AS30" s="62">
        <v>464</v>
      </c>
      <c r="AT30" s="62">
        <v>720</v>
      </c>
      <c r="AU30" s="62">
        <v>1184</v>
      </c>
      <c r="AV30" s="62">
        <v>1480</v>
      </c>
      <c r="AW30" s="47" t="s">
        <v>74</v>
      </c>
      <c r="AX30" s="64">
        <v>45156</v>
      </c>
      <c r="AY30" s="64" t="s">
        <v>2251</v>
      </c>
      <c r="AZ30" s="87"/>
      <c r="BA30" s="64"/>
      <c r="BB30" s="64"/>
      <c r="BC30" s="64"/>
      <c r="BD30" s="46"/>
      <c r="BE30" s="46" t="e">
        <v>#REF!</v>
      </c>
      <c r="BF30" s="46" t="s">
        <v>79</v>
      </c>
      <c r="BG30" s="65">
        <v>1</v>
      </c>
      <c r="BH30" s="66"/>
      <c r="BI30" s="63" t="s">
        <v>2252</v>
      </c>
    </row>
    <row r="31" spans="1:61" ht="25.5" x14ac:dyDescent="0.2">
      <c r="A31" s="45" t="s">
        <v>2253</v>
      </c>
      <c r="B31" s="46"/>
      <c r="C31" s="46" t="s">
        <v>2254</v>
      </c>
      <c r="D31" s="46" t="s">
        <v>2157</v>
      </c>
      <c r="E31" s="46"/>
      <c r="F31" s="46"/>
      <c r="G31" s="46"/>
      <c r="H31" s="46"/>
      <c r="I31" s="46"/>
      <c r="J31" s="46" t="s">
        <v>71</v>
      </c>
      <c r="K31" s="47">
        <v>135</v>
      </c>
      <c r="L31" s="47">
        <v>15</v>
      </c>
      <c r="M31" s="47">
        <v>150</v>
      </c>
      <c r="N31" s="46"/>
      <c r="O31" s="71" t="s">
        <v>68</v>
      </c>
      <c r="P31" s="64"/>
      <c r="Q31" s="46" t="s">
        <v>2129</v>
      </c>
      <c r="R31" s="46" t="s">
        <v>2221</v>
      </c>
      <c r="S31" s="49">
        <v>37.5</v>
      </c>
      <c r="T31" s="49">
        <v>187.5</v>
      </c>
      <c r="U31" s="67">
        <v>0.46</v>
      </c>
      <c r="V31" s="67">
        <v>0.41428571428571431</v>
      </c>
      <c r="W31" s="51">
        <v>0.1111111111111111</v>
      </c>
      <c r="X31" s="52">
        <v>18.75</v>
      </c>
      <c r="Y31" s="52">
        <v>30</v>
      </c>
      <c r="Z31" s="52">
        <v>52.5</v>
      </c>
      <c r="AA31" s="52">
        <v>101.25</v>
      </c>
      <c r="AB31" s="53">
        <v>0.54</v>
      </c>
      <c r="AC31" s="68">
        <v>86.25</v>
      </c>
      <c r="AD31" s="55">
        <v>0.46</v>
      </c>
      <c r="AE31" s="69">
        <v>1</v>
      </c>
      <c r="AF31" s="57" t="s">
        <v>77</v>
      </c>
      <c r="AG31" s="58">
        <v>27</v>
      </c>
      <c r="AH31" s="58">
        <v>15</v>
      </c>
      <c r="AI31" s="58">
        <v>42</v>
      </c>
      <c r="AJ31" s="49">
        <v>10.5</v>
      </c>
      <c r="AK31" s="49">
        <v>52.5</v>
      </c>
      <c r="AL31" s="52">
        <v>5.25</v>
      </c>
      <c r="AM31" s="52">
        <v>25.5</v>
      </c>
      <c r="AN31" s="52">
        <v>30.75</v>
      </c>
      <c r="AO31" s="59">
        <v>0.58571428571428574</v>
      </c>
      <c r="AP31" s="60">
        <v>21.75</v>
      </c>
      <c r="AQ31" s="61">
        <v>0.41428571428571431</v>
      </c>
      <c r="AR31" s="60" t="s">
        <v>78</v>
      </c>
      <c r="AS31" s="62">
        <v>176</v>
      </c>
      <c r="AT31" s="62">
        <v>20</v>
      </c>
      <c r="AU31" s="62">
        <v>196</v>
      </c>
      <c r="AV31" s="62">
        <v>245</v>
      </c>
      <c r="AW31" s="47" t="s">
        <v>74</v>
      </c>
      <c r="AX31" s="64">
        <v>45156</v>
      </c>
      <c r="AY31" s="64" t="s">
        <v>2255</v>
      </c>
      <c r="AZ31" s="87"/>
      <c r="BA31" s="64"/>
      <c r="BB31" s="64"/>
      <c r="BC31" s="64"/>
      <c r="BD31" s="46"/>
      <c r="BE31" s="46" t="e">
        <v>#REF!</v>
      </c>
      <c r="BF31" s="46" t="s">
        <v>79</v>
      </c>
      <c r="BG31" s="65">
        <v>0.5</v>
      </c>
      <c r="BH31" s="66"/>
      <c r="BI31" s="63" t="s">
        <v>2256</v>
      </c>
    </row>
    <row r="32" spans="1:61" ht="51" x14ac:dyDescent="0.2">
      <c r="A32" s="45" t="s">
        <v>2257</v>
      </c>
      <c r="B32" s="46"/>
      <c r="C32" s="46" t="s">
        <v>2258</v>
      </c>
      <c r="D32" s="46" t="s">
        <v>1589</v>
      </c>
      <c r="E32" s="46" t="s">
        <v>2204</v>
      </c>
      <c r="F32" s="46" t="s">
        <v>2259</v>
      </c>
      <c r="G32" s="46" t="s">
        <v>2225</v>
      </c>
      <c r="H32" s="46"/>
      <c r="I32" s="46"/>
      <c r="J32" s="46" t="s">
        <v>71</v>
      </c>
      <c r="K32" s="47">
        <v>200</v>
      </c>
      <c r="L32" s="47">
        <v>250</v>
      </c>
      <c r="M32" s="47">
        <v>450</v>
      </c>
      <c r="N32" s="46"/>
      <c r="O32" s="71"/>
      <c r="P32" s="64"/>
      <c r="Q32" s="46" t="s">
        <v>2129</v>
      </c>
      <c r="R32" s="46" t="s">
        <v>2221</v>
      </c>
      <c r="S32" s="49">
        <v>112.5</v>
      </c>
      <c r="T32" s="49">
        <v>562.5</v>
      </c>
      <c r="U32" s="28">
        <v>0.20222222222222222</v>
      </c>
      <c r="V32" s="28">
        <v>0.25555555555555554</v>
      </c>
      <c r="W32" s="74">
        <v>1.25</v>
      </c>
      <c r="X32" s="52">
        <v>56.25</v>
      </c>
      <c r="Y32" s="52">
        <v>30</v>
      </c>
      <c r="Z32" s="52">
        <v>362.5</v>
      </c>
      <c r="AA32" s="52">
        <v>448.75</v>
      </c>
      <c r="AB32" s="53">
        <v>0.79777777777777781</v>
      </c>
      <c r="AC32" s="54">
        <v>113.75</v>
      </c>
      <c r="AD32" s="55">
        <v>0.20222222222222222</v>
      </c>
      <c r="AE32" s="73">
        <v>3</v>
      </c>
      <c r="AF32" s="57" t="s">
        <v>95</v>
      </c>
      <c r="AG32" s="58">
        <v>200</v>
      </c>
      <c r="AH32" s="58">
        <v>250</v>
      </c>
      <c r="AI32" s="58">
        <v>450</v>
      </c>
      <c r="AJ32" s="49">
        <v>112.5</v>
      </c>
      <c r="AK32" s="49">
        <v>562.5</v>
      </c>
      <c r="AL32" s="52">
        <v>56.25</v>
      </c>
      <c r="AM32" s="52">
        <v>362.5</v>
      </c>
      <c r="AN32" s="52">
        <v>418.75</v>
      </c>
      <c r="AO32" s="59">
        <v>0.74444444444444446</v>
      </c>
      <c r="AP32" s="60">
        <v>143.75</v>
      </c>
      <c r="AQ32" s="61">
        <v>0.25555555555555554</v>
      </c>
      <c r="AR32" s="60" t="s">
        <v>78</v>
      </c>
      <c r="AS32" s="62">
        <v>320</v>
      </c>
      <c r="AT32" s="62">
        <v>400</v>
      </c>
      <c r="AU32" s="62">
        <v>720</v>
      </c>
      <c r="AV32" s="62">
        <v>900</v>
      </c>
      <c r="AW32" s="63" t="s">
        <v>107</v>
      </c>
      <c r="AX32" s="64">
        <v>45463</v>
      </c>
      <c r="AY32" s="64" t="s">
        <v>2260</v>
      </c>
      <c r="AZ32" s="87"/>
      <c r="BA32" s="64"/>
      <c r="BB32" s="64"/>
      <c r="BC32" s="64"/>
      <c r="BD32" s="46"/>
      <c r="BE32" s="46" t="e">
        <v>#REF!</v>
      </c>
      <c r="BF32" s="46"/>
      <c r="BG32" s="65"/>
      <c r="BH32" s="66"/>
      <c r="BI32" s="63" t="s">
        <v>2261</v>
      </c>
    </row>
    <row r="33" spans="1:61" ht="51" x14ac:dyDescent="0.2">
      <c r="A33" s="45" t="s">
        <v>2262</v>
      </c>
      <c r="B33" s="46"/>
      <c r="C33" s="46" t="s">
        <v>2258</v>
      </c>
      <c r="D33" s="46" t="s">
        <v>1589</v>
      </c>
      <c r="E33" s="46" t="s">
        <v>2209</v>
      </c>
      <c r="F33" s="46" t="s">
        <v>2259</v>
      </c>
      <c r="G33" s="46" t="s">
        <v>2225</v>
      </c>
      <c r="H33" s="46"/>
      <c r="I33" s="46"/>
      <c r="J33" s="46" t="s">
        <v>71</v>
      </c>
      <c r="K33" s="47">
        <v>250</v>
      </c>
      <c r="L33" s="47">
        <v>350</v>
      </c>
      <c r="M33" s="47">
        <v>600</v>
      </c>
      <c r="N33" s="46"/>
      <c r="O33" s="71"/>
      <c r="P33" s="64"/>
      <c r="Q33" s="46" t="s">
        <v>2129</v>
      </c>
      <c r="R33" s="46" t="s">
        <v>2221</v>
      </c>
      <c r="S33" s="49">
        <v>150</v>
      </c>
      <c r="T33" s="49">
        <v>750</v>
      </c>
      <c r="U33" s="50">
        <v>0.19333333333333333</v>
      </c>
      <c r="V33" s="28">
        <v>0.23333333333333334</v>
      </c>
      <c r="W33" s="74">
        <v>1.4</v>
      </c>
      <c r="X33" s="52">
        <v>75</v>
      </c>
      <c r="Y33" s="52">
        <v>30</v>
      </c>
      <c r="Z33" s="52">
        <v>500</v>
      </c>
      <c r="AA33" s="52">
        <v>605</v>
      </c>
      <c r="AB33" s="53">
        <v>0.80666666666666664</v>
      </c>
      <c r="AC33" s="72">
        <v>145</v>
      </c>
      <c r="AD33" s="55">
        <v>0.19333333333333333</v>
      </c>
      <c r="AE33" s="73">
        <v>3</v>
      </c>
      <c r="AF33" s="57" t="s">
        <v>95</v>
      </c>
      <c r="AG33" s="58">
        <v>250</v>
      </c>
      <c r="AH33" s="58">
        <v>350</v>
      </c>
      <c r="AI33" s="58">
        <v>600</v>
      </c>
      <c r="AJ33" s="49">
        <v>150</v>
      </c>
      <c r="AK33" s="49">
        <v>750</v>
      </c>
      <c r="AL33" s="52">
        <v>75</v>
      </c>
      <c r="AM33" s="52">
        <v>500</v>
      </c>
      <c r="AN33" s="52">
        <v>575</v>
      </c>
      <c r="AO33" s="59">
        <v>0.76666666666666672</v>
      </c>
      <c r="AP33" s="60">
        <v>175</v>
      </c>
      <c r="AQ33" s="61">
        <v>0.23333333333333334</v>
      </c>
      <c r="AR33" s="60" t="s">
        <v>78</v>
      </c>
      <c r="AS33" s="62">
        <v>400</v>
      </c>
      <c r="AT33" s="62">
        <v>560</v>
      </c>
      <c r="AU33" s="62">
        <v>960</v>
      </c>
      <c r="AV33" s="62">
        <v>1200</v>
      </c>
      <c r="AW33" s="63" t="s">
        <v>107</v>
      </c>
      <c r="AX33" s="64">
        <v>45463</v>
      </c>
      <c r="AY33" s="64" t="s">
        <v>2263</v>
      </c>
      <c r="AZ33" s="87"/>
      <c r="BA33" s="64"/>
      <c r="BB33" s="64"/>
      <c r="BC33" s="64"/>
      <c r="BD33" s="46"/>
      <c r="BE33" s="46" t="e">
        <v>#REF!</v>
      </c>
      <c r="BF33" s="46"/>
      <c r="BG33" s="65"/>
      <c r="BH33" s="66"/>
      <c r="BI33" s="63" t="s">
        <v>2264</v>
      </c>
    </row>
    <row r="34" spans="1:61" ht="51" x14ac:dyDescent="0.2">
      <c r="A34" s="45" t="s">
        <v>2265</v>
      </c>
      <c r="B34" s="46"/>
      <c r="C34" s="46" t="s">
        <v>2258</v>
      </c>
      <c r="D34" s="46" t="s">
        <v>2266</v>
      </c>
      <c r="E34" s="46" t="s">
        <v>2204</v>
      </c>
      <c r="F34" s="46" t="s">
        <v>2259</v>
      </c>
      <c r="G34" s="46" t="s">
        <v>2225</v>
      </c>
      <c r="H34" s="46"/>
      <c r="I34" s="46"/>
      <c r="J34" s="46" t="s">
        <v>71</v>
      </c>
      <c r="K34" s="47">
        <v>300</v>
      </c>
      <c r="L34" s="47">
        <v>500</v>
      </c>
      <c r="M34" s="47">
        <v>800</v>
      </c>
      <c r="N34" s="46"/>
      <c r="O34" s="71"/>
      <c r="P34" s="64"/>
      <c r="Q34" s="46" t="s">
        <v>2129</v>
      </c>
      <c r="R34" s="46" t="s">
        <v>2221</v>
      </c>
      <c r="S34" s="49">
        <v>200</v>
      </c>
      <c r="T34" s="49">
        <v>1000</v>
      </c>
      <c r="U34" s="50">
        <v>0.17</v>
      </c>
      <c r="V34" s="28">
        <v>0.2</v>
      </c>
      <c r="W34" s="77">
        <v>1.6666666666666667</v>
      </c>
      <c r="X34" s="52">
        <v>100</v>
      </c>
      <c r="Y34" s="52">
        <v>30</v>
      </c>
      <c r="Z34" s="52">
        <v>700</v>
      </c>
      <c r="AA34" s="52">
        <v>830</v>
      </c>
      <c r="AB34" s="53">
        <v>0.83</v>
      </c>
      <c r="AC34" s="72">
        <v>170</v>
      </c>
      <c r="AD34" s="55">
        <v>0.17</v>
      </c>
      <c r="AE34" s="73">
        <v>3</v>
      </c>
      <c r="AF34" s="57" t="s">
        <v>95</v>
      </c>
      <c r="AG34" s="58">
        <v>300</v>
      </c>
      <c r="AH34" s="58">
        <v>500</v>
      </c>
      <c r="AI34" s="58">
        <v>800</v>
      </c>
      <c r="AJ34" s="49">
        <v>200</v>
      </c>
      <c r="AK34" s="49">
        <v>1000</v>
      </c>
      <c r="AL34" s="52">
        <v>100</v>
      </c>
      <c r="AM34" s="52">
        <v>700</v>
      </c>
      <c r="AN34" s="52">
        <v>800</v>
      </c>
      <c r="AO34" s="59">
        <v>0.8</v>
      </c>
      <c r="AP34" s="60">
        <v>200</v>
      </c>
      <c r="AQ34" s="61">
        <v>0.2</v>
      </c>
      <c r="AR34" s="60" t="s">
        <v>78</v>
      </c>
      <c r="AS34" s="62">
        <v>480</v>
      </c>
      <c r="AT34" s="62">
        <v>800</v>
      </c>
      <c r="AU34" s="62">
        <v>1280</v>
      </c>
      <c r="AV34" s="62">
        <v>1600</v>
      </c>
      <c r="AW34" s="63" t="s">
        <v>107</v>
      </c>
      <c r="AX34" s="64">
        <v>45463</v>
      </c>
      <c r="AY34" s="64" t="s">
        <v>2267</v>
      </c>
      <c r="AZ34" s="87"/>
      <c r="BA34" s="64"/>
      <c r="BB34" s="64"/>
      <c r="BC34" s="64"/>
      <c r="BD34" s="46"/>
      <c r="BE34" s="46" t="e">
        <v>#REF!</v>
      </c>
      <c r="BF34" s="46"/>
      <c r="BG34" s="65"/>
      <c r="BH34" s="66"/>
      <c r="BI34" s="63" t="s">
        <v>2268</v>
      </c>
    </row>
    <row r="35" spans="1:61" ht="51" x14ac:dyDescent="0.2">
      <c r="A35" s="45" t="s">
        <v>2269</v>
      </c>
      <c r="B35" s="46"/>
      <c r="C35" s="46" t="s">
        <v>2258</v>
      </c>
      <c r="D35" s="46" t="s">
        <v>2266</v>
      </c>
      <c r="E35" s="46" t="s">
        <v>2209</v>
      </c>
      <c r="F35" s="46" t="s">
        <v>2259</v>
      </c>
      <c r="G35" s="46" t="s">
        <v>2225</v>
      </c>
      <c r="H35" s="46"/>
      <c r="I35" s="46"/>
      <c r="J35" s="46" t="s">
        <v>71</v>
      </c>
      <c r="K35" s="47">
        <v>400</v>
      </c>
      <c r="L35" s="47">
        <v>900</v>
      </c>
      <c r="M35" s="47">
        <v>1300</v>
      </c>
      <c r="N35" s="46"/>
      <c r="O35" s="71"/>
      <c r="P35" s="64"/>
      <c r="Q35" s="46" t="s">
        <v>2129</v>
      </c>
      <c r="R35" s="46" t="s">
        <v>2221</v>
      </c>
      <c r="S35" s="49">
        <v>325</v>
      </c>
      <c r="T35" s="49">
        <v>1625</v>
      </c>
      <c r="U35" s="50">
        <v>0.12769230769230769</v>
      </c>
      <c r="V35" s="50">
        <v>0.14615384615384616</v>
      </c>
      <c r="W35" s="77">
        <v>2.25</v>
      </c>
      <c r="X35" s="52">
        <v>162.5</v>
      </c>
      <c r="Y35" s="52">
        <v>30</v>
      </c>
      <c r="Z35" s="52">
        <v>1225</v>
      </c>
      <c r="AA35" s="52">
        <v>1417.5</v>
      </c>
      <c r="AB35" s="53">
        <v>0.87230769230769234</v>
      </c>
      <c r="AC35" s="72">
        <v>207.5</v>
      </c>
      <c r="AD35" s="55">
        <v>0.12769230769230769</v>
      </c>
      <c r="AE35" s="73">
        <v>3</v>
      </c>
      <c r="AF35" s="57" t="s">
        <v>95</v>
      </c>
      <c r="AG35" s="58">
        <v>400</v>
      </c>
      <c r="AH35" s="58">
        <v>900</v>
      </c>
      <c r="AI35" s="58">
        <v>1300</v>
      </c>
      <c r="AJ35" s="49">
        <v>325</v>
      </c>
      <c r="AK35" s="49">
        <v>1625</v>
      </c>
      <c r="AL35" s="52">
        <v>162.5</v>
      </c>
      <c r="AM35" s="52">
        <v>1225</v>
      </c>
      <c r="AN35" s="52">
        <v>1387.5</v>
      </c>
      <c r="AO35" s="59">
        <v>0.85384615384615381</v>
      </c>
      <c r="AP35" s="60">
        <v>237.5</v>
      </c>
      <c r="AQ35" s="61">
        <v>0.14615384615384616</v>
      </c>
      <c r="AR35" s="60" t="s">
        <v>73</v>
      </c>
      <c r="AS35" s="62">
        <v>640</v>
      </c>
      <c r="AT35" s="62">
        <v>1440</v>
      </c>
      <c r="AU35" s="62">
        <v>2080</v>
      </c>
      <c r="AV35" s="62">
        <v>2600</v>
      </c>
      <c r="AW35" s="63" t="s">
        <v>107</v>
      </c>
      <c r="AX35" s="64">
        <v>45463</v>
      </c>
      <c r="AY35" s="64" t="s">
        <v>2270</v>
      </c>
      <c r="AZ35" s="87"/>
      <c r="BA35" s="64"/>
      <c r="BB35" s="64"/>
      <c r="BC35" s="64"/>
      <c r="BD35" s="46"/>
      <c r="BE35" s="46" t="e">
        <v>#REF!</v>
      </c>
      <c r="BF35" s="46"/>
      <c r="BG35" s="65"/>
      <c r="BH35" s="66"/>
      <c r="BI35" s="63" t="s">
        <v>2271</v>
      </c>
    </row>
    <row r="36" spans="1:61" ht="51" x14ac:dyDescent="0.2">
      <c r="A36" s="45" t="s">
        <v>2272</v>
      </c>
      <c r="B36" s="46"/>
      <c r="C36" s="46" t="s">
        <v>2258</v>
      </c>
      <c r="D36" s="46" t="s">
        <v>1589</v>
      </c>
      <c r="E36" s="46" t="s">
        <v>2204</v>
      </c>
      <c r="F36" s="46" t="s">
        <v>2273</v>
      </c>
      <c r="G36" s="46" t="s">
        <v>2225</v>
      </c>
      <c r="H36" s="46"/>
      <c r="I36" s="46"/>
      <c r="J36" s="46" t="s">
        <v>71</v>
      </c>
      <c r="K36" s="47">
        <f t="shared" ref="K36:K39" si="0">K32+50</f>
        <v>250</v>
      </c>
      <c r="L36" s="47">
        <f t="shared" ref="L36:L39" si="1">L32+100</f>
        <v>350</v>
      </c>
      <c r="M36" s="47">
        <v>600</v>
      </c>
      <c r="N36" s="46"/>
      <c r="O36" s="71"/>
      <c r="P36" s="64"/>
      <c r="Q36" s="46" t="s">
        <v>2129</v>
      </c>
      <c r="R36" s="46" t="s">
        <v>2221</v>
      </c>
      <c r="S36" s="49">
        <v>150</v>
      </c>
      <c r="T36" s="49">
        <v>750</v>
      </c>
      <c r="U36" s="50">
        <v>0.19333333333333333</v>
      </c>
      <c r="V36" s="28">
        <v>0.23333333333333334</v>
      </c>
      <c r="W36" s="74">
        <v>1.4</v>
      </c>
      <c r="X36" s="52">
        <v>75</v>
      </c>
      <c r="Y36" s="52">
        <v>30</v>
      </c>
      <c r="Z36" s="52">
        <v>500</v>
      </c>
      <c r="AA36" s="52">
        <v>605</v>
      </c>
      <c r="AB36" s="53">
        <v>0.80666666666666664</v>
      </c>
      <c r="AC36" s="72">
        <v>145</v>
      </c>
      <c r="AD36" s="55">
        <v>0.19333333333333333</v>
      </c>
      <c r="AE36" s="73">
        <v>3</v>
      </c>
      <c r="AF36" s="57" t="s">
        <v>95</v>
      </c>
      <c r="AG36" s="58">
        <v>250</v>
      </c>
      <c r="AH36" s="58">
        <v>350</v>
      </c>
      <c r="AI36" s="58">
        <v>600</v>
      </c>
      <c r="AJ36" s="49">
        <v>150</v>
      </c>
      <c r="AK36" s="49">
        <v>750</v>
      </c>
      <c r="AL36" s="52">
        <v>75</v>
      </c>
      <c r="AM36" s="52">
        <v>500</v>
      </c>
      <c r="AN36" s="52">
        <v>575</v>
      </c>
      <c r="AO36" s="59">
        <v>0.76666666666666672</v>
      </c>
      <c r="AP36" s="60">
        <v>175</v>
      </c>
      <c r="AQ36" s="61">
        <v>0.23333333333333334</v>
      </c>
      <c r="AR36" s="60" t="s">
        <v>78</v>
      </c>
      <c r="AS36" s="62">
        <v>400</v>
      </c>
      <c r="AT36" s="62">
        <v>560</v>
      </c>
      <c r="AU36" s="62">
        <v>960</v>
      </c>
      <c r="AV36" s="62">
        <v>1200</v>
      </c>
      <c r="AW36" s="63" t="s">
        <v>107</v>
      </c>
      <c r="AX36" s="64">
        <v>45463</v>
      </c>
      <c r="AY36" s="64" t="s">
        <v>2274</v>
      </c>
      <c r="AZ36" s="87"/>
      <c r="BA36" s="64"/>
      <c r="BB36" s="64"/>
      <c r="BC36" s="64"/>
      <c r="BD36" s="46"/>
      <c r="BE36" s="46" t="e">
        <v>#REF!</v>
      </c>
      <c r="BF36" s="46"/>
      <c r="BG36" s="65"/>
      <c r="BH36" s="66"/>
      <c r="BI36" s="63" t="s">
        <v>2275</v>
      </c>
    </row>
    <row r="37" spans="1:61" ht="51" x14ac:dyDescent="0.2">
      <c r="A37" s="45" t="s">
        <v>2276</v>
      </c>
      <c r="B37" s="46"/>
      <c r="C37" s="46" t="s">
        <v>2258</v>
      </c>
      <c r="D37" s="46" t="s">
        <v>1589</v>
      </c>
      <c r="E37" s="46" t="s">
        <v>2209</v>
      </c>
      <c r="F37" s="46" t="s">
        <v>2273</v>
      </c>
      <c r="G37" s="46" t="s">
        <v>2225</v>
      </c>
      <c r="H37" s="46"/>
      <c r="I37" s="46"/>
      <c r="J37" s="46" t="s">
        <v>71</v>
      </c>
      <c r="K37" s="47">
        <f t="shared" si="0"/>
        <v>300</v>
      </c>
      <c r="L37" s="47">
        <f t="shared" si="1"/>
        <v>450</v>
      </c>
      <c r="M37" s="47">
        <v>750</v>
      </c>
      <c r="N37" s="46"/>
      <c r="O37" s="71"/>
      <c r="P37" s="64"/>
      <c r="Q37" s="46" t="s">
        <v>2129</v>
      </c>
      <c r="R37" s="46" t="s">
        <v>2221</v>
      </c>
      <c r="S37" s="49">
        <v>187.5</v>
      </c>
      <c r="T37" s="49">
        <v>937.5</v>
      </c>
      <c r="U37" s="50">
        <v>0.188</v>
      </c>
      <c r="V37" s="28">
        <v>0.22</v>
      </c>
      <c r="W37" s="74">
        <v>1.5</v>
      </c>
      <c r="X37" s="52">
        <v>93.75</v>
      </c>
      <c r="Y37" s="52">
        <v>30</v>
      </c>
      <c r="Z37" s="52">
        <v>637.5</v>
      </c>
      <c r="AA37" s="52">
        <v>761.25</v>
      </c>
      <c r="AB37" s="53">
        <v>0.81200000000000006</v>
      </c>
      <c r="AC37" s="72">
        <v>176.25</v>
      </c>
      <c r="AD37" s="55">
        <v>0.188</v>
      </c>
      <c r="AE37" s="73">
        <v>3</v>
      </c>
      <c r="AF37" s="57" t="s">
        <v>95</v>
      </c>
      <c r="AG37" s="58">
        <v>300</v>
      </c>
      <c r="AH37" s="58">
        <v>450</v>
      </c>
      <c r="AI37" s="58">
        <v>750</v>
      </c>
      <c r="AJ37" s="49">
        <v>187.5</v>
      </c>
      <c r="AK37" s="49">
        <v>937.5</v>
      </c>
      <c r="AL37" s="52">
        <v>93.75</v>
      </c>
      <c r="AM37" s="52">
        <v>637.5</v>
      </c>
      <c r="AN37" s="52">
        <v>731.25</v>
      </c>
      <c r="AO37" s="59">
        <v>0.78</v>
      </c>
      <c r="AP37" s="60">
        <v>206.25</v>
      </c>
      <c r="AQ37" s="61">
        <v>0.22</v>
      </c>
      <c r="AR37" s="60" t="s">
        <v>78</v>
      </c>
      <c r="AS37" s="62">
        <v>480</v>
      </c>
      <c r="AT37" s="62">
        <v>720</v>
      </c>
      <c r="AU37" s="62">
        <v>1200</v>
      </c>
      <c r="AV37" s="62">
        <v>1500</v>
      </c>
      <c r="AW37" s="63" t="s">
        <v>107</v>
      </c>
      <c r="AX37" s="64">
        <v>45463</v>
      </c>
      <c r="AY37" s="64" t="s">
        <v>2277</v>
      </c>
      <c r="AZ37" s="87"/>
      <c r="BA37" s="64"/>
      <c r="BB37" s="64"/>
      <c r="BC37" s="64"/>
      <c r="BD37" s="46"/>
      <c r="BE37" s="46" t="e">
        <v>#REF!</v>
      </c>
      <c r="BF37" s="46"/>
      <c r="BG37" s="65"/>
      <c r="BH37" s="66"/>
      <c r="BI37" s="63" t="s">
        <v>2278</v>
      </c>
    </row>
    <row r="38" spans="1:61" ht="51" x14ac:dyDescent="0.2">
      <c r="A38" s="45" t="s">
        <v>2279</v>
      </c>
      <c r="B38" s="46"/>
      <c r="C38" s="46" t="s">
        <v>2258</v>
      </c>
      <c r="D38" s="46" t="s">
        <v>2266</v>
      </c>
      <c r="E38" s="46" t="s">
        <v>2204</v>
      </c>
      <c r="F38" s="46" t="s">
        <v>2273</v>
      </c>
      <c r="G38" s="46" t="s">
        <v>2225</v>
      </c>
      <c r="H38" s="46"/>
      <c r="I38" s="46"/>
      <c r="J38" s="46" t="s">
        <v>71</v>
      </c>
      <c r="K38" s="47">
        <f t="shared" si="0"/>
        <v>350</v>
      </c>
      <c r="L38" s="47">
        <f t="shared" si="1"/>
        <v>600</v>
      </c>
      <c r="M38" s="47">
        <v>950</v>
      </c>
      <c r="N38" s="46"/>
      <c r="O38" s="71"/>
      <c r="P38" s="64"/>
      <c r="Q38" s="46" t="s">
        <v>2129</v>
      </c>
      <c r="R38" s="46" t="s">
        <v>2221</v>
      </c>
      <c r="S38" s="49">
        <v>237.5</v>
      </c>
      <c r="T38" s="49">
        <v>1187.5</v>
      </c>
      <c r="U38" s="50">
        <v>0.1694736842105263</v>
      </c>
      <c r="V38" s="50">
        <v>0.19473684210526315</v>
      </c>
      <c r="W38" s="77">
        <v>1.7142857142857142</v>
      </c>
      <c r="X38" s="52">
        <v>118.75</v>
      </c>
      <c r="Y38" s="52">
        <v>30</v>
      </c>
      <c r="Z38" s="52">
        <v>837.5</v>
      </c>
      <c r="AA38" s="52">
        <v>986.25</v>
      </c>
      <c r="AB38" s="53">
        <v>0.83052631578947367</v>
      </c>
      <c r="AC38" s="72">
        <v>201.25</v>
      </c>
      <c r="AD38" s="55">
        <v>0.1694736842105263</v>
      </c>
      <c r="AE38" s="73">
        <v>3</v>
      </c>
      <c r="AF38" s="57" t="s">
        <v>95</v>
      </c>
      <c r="AG38" s="58">
        <v>350</v>
      </c>
      <c r="AH38" s="58">
        <v>600</v>
      </c>
      <c r="AI38" s="58">
        <v>950</v>
      </c>
      <c r="AJ38" s="49">
        <v>237.5</v>
      </c>
      <c r="AK38" s="49">
        <v>1187.5</v>
      </c>
      <c r="AL38" s="52">
        <v>118.75</v>
      </c>
      <c r="AM38" s="52">
        <v>837.5</v>
      </c>
      <c r="AN38" s="52">
        <v>956.25</v>
      </c>
      <c r="AO38" s="59">
        <v>0.80526315789473679</v>
      </c>
      <c r="AP38" s="60">
        <v>231.25</v>
      </c>
      <c r="AQ38" s="61">
        <v>0.19473684210526315</v>
      </c>
      <c r="AR38" s="60" t="s">
        <v>73</v>
      </c>
      <c r="AS38" s="62">
        <v>560</v>
      </c>
      <c r="AT38" s="62">
        <v>960</v>
      </c>
      <c r="AU38" s="62">
        <v>1520</v>
      </c>
      <c r="AV38" s="62">
        <v>1900</v>
      </c>
      <c r="AW38" s="63" t="s">
        <v>107</v>
      </c>
      <c r="AX38" s="64">
        <v>45463</v>
      </c>
      <c r="AY38" s="64" t="s">
        <v>2280</v>
      </c>
      <c r="AZ38" s="87"/>
      <c r="BA38" s="64"/>
      <c r="BB38" s="64"/>
      <c r="BC38" s="64"/>
      <c r="BD38" s="46"/>
      <c r="BE38" s="46" t="e">
        <v>#REF!</v>
      </c>
      <c r="BF38" s="46"/>
      <c r="BG38" s="65"/>
      <c r="BH38" s="66"/>
      <c r="BI38" s="63" t="s">
        <v>2281</v>
      </c>
    </row>
    <row r="39" spans="1:61" ht="51" x14ac:dyDescent="0.2">
      <c r="A39" s="45" t="s">
        <v>2282</v>
      </c>
      <c r="B39" s="46"/>
      <c r="C39" s="46" t="s">
        <v>2258</v>
      </c>
      <c r="D39" s="46" t="s">
        <v>2266</v>
      </c>
      <c r="E39" s="46" t="s">
        <v>2209</v>
      </c>
      <c r="F39" s="46" t="s">
        <v>2273</v>
      </c>
      <c r="G39" s="46" t="s">
        <v>2225</v>
      </c>
      <c r="H39" s="46"/>
      <c r="I39" s="46"/>
      <c r="J39" s="46" t="s">
        <v>71</v>
      </c>
      <c r="K39" s="47">
        <f t="shared" si="0"/>
        <v>450</v>
      </c>
      <c r="L39" s="47">
        <f t="shared" si="1"/>
        <v>1000</v>
      </c>
      <c r="M39" s="47">
        <v>1450</v>
      </c>
      <c r="N39" s="46"/>
      <c r="O39" s="71"/>
      <c r="P39" s="64"/>
      <c r="Q39" s="46" t="s">
        <v>2129</v>
      </c>
      <c r="R39" s="46" t="s">
        <v>2221</v>
      </c>
      <c r="S39" s="49">
        <v>362.5</v>
      </c>
      <c r="T39" s="49">
        <v>1812.5</v>
      </c>
      <c r="U39" s="50">
        <v>0.13172413793103449</v>
      </c>
      <c r="V39" s="50">
        <v>0.14827586206896551</v>
      </c>
      <c r="W39" s="77">
        <v>2.2222222222222223</v>
      </c>
      <c r="X39" s="52">
        <v>181.25</v>
      </c>
      <c r="Y39" s="52">
        <v>30</v>
      </c>
      <c r="Z39" s="52">
        <v>1362.5</v>
      </c>
      <c r="AA39" s="52">
        <v>1573.75</v>
      </c>
      <c r="AB39" s="53">
        <v>0.86827586206896556</v>
      </c>
      <c r="AC39" s="72">
        <v>238.75</v>
      </c>
      <c r="AD39" s="55">
        <v>0.13172413793103449</v>
      </c>
      <c r="AE39" s="73">
        <v>3</v>
      </c>
      <c r="AF39" s="57" t="s">
        <v>95</v>
      </c>
      <c r="AG39" s="58">
        <v>450</v>
      </c>
      <c r="AH39" s="58">
        <v>1000</v>
      </c>
      <c r="AI39" s="58">
        <v>1450</v>
      </c>
      <c r="AJ39" s="49">
        <v>362.5</v>
      </c>
      <c r="AK39" s="49">
        <v>1812.5</v>
      </c>
      <c r="AL39" s="52">
        <v>181.25</v>
      </c>
      <c r="AM39" s="52">
        <v>1362.5</v>
      </c>
      <c r="AN39" s="52">
        <v>1543.75</v>
      </c>
      <c r="AO39" s="59">
        <v>0.85172413793103452</v>
      </c>
      <c r="AP39" s="60">
        <v>268.75</v>
      </c>
      <c r="AQ39" s="61">
        <v>0.14827586206896551</v>
      </c>
      <c r="AR39" s="60" t="s">
        <v>73</v>
      </c>
      <c r="AS39" s="62">
        <v>720</v>
      </c>
      <c r="AT39" s="62">
        <v>1600</v>
      </c>
      <c r="AU39" s="62">
        <v>2320</v>
      </c>
      <c r="AV39" s="62">
        <v>2900</v>
      </c>
      <c r="AW39" s="63" t="s">
        <v>107</v>
      </c>
      <c r="AX39" s="64">
        <v>45463</v>
      </c>
      <c r="AY39" s="64" t="s">
        <v>2283</v>
      </c>
      <c r="AZ39" s="87"/>
      <c r="BA39" s="64"/>
      <c r="BB39" s="64"/>
      <c r="BC39" s="64"/>
      <c r="BD39" s="46"/>
      <c r="BE39" s="46" t="e">
        <v>#REF!</v>
      </c>
      <c r="BF39" s="46"/>
      <c r="BG39" s="65"/>
      <c r="BH39" s="66"/>
      <c r="BI39" s="63" t="s">
        <v>2284</v>
      </c>
    </row>
    <row r="40" spans="1:61" ht="25.5" x14ac:dyDescent="0.2">
      <c r="A40" s="34" t="s">
        <v>2285</v>
      </c>
      <c r="B40" s="35"/>
      <c r="C40" s="35" t="s">
        <v>68</v>
      </c>
      <c r="D40" s="35" t="s">
        <v>68</v>
      </c>
      <c r="E40" s="35" t="s">
        <v>68</v>
      </c>
      <c r="F40" s="35" t="s">
        <v>68</v>
      </c>
      <c r="G40" s="35" t="s">
        <v>68</v>
      </c>
      <c r="H40" s="35" t="s">
        <v>68</v>
      </c>
      <c r="I40" s="35" t="s">
        <v>68</v>
      </c>
      <c r="J40" s="35" t="s">
        <v>68</v>
      </c>
      <c r="K40" s="36" t="s">
        <v>68</v>
      </c>
      <c r="L40" s="36" t="s">
        <v>68</v>
      </c>
      <c r="M40" s="36" t="s">
        <v>68</v>
      </c>
      <c r="N40" s="35"/>
      <c r="O40" s="35" t="s">
        <v>68</v>
      </c>
      <c r="P40" s="37"/>
      <c r="Q40" s="38" t="s">
        <v>2129</v>
      </c>
      <c r="R40" s="38" t="s">
        <v>2286</v>
      </c>
      <c r="S40" s="36" t="s">
        <v>68</v>
      </c>
      <c r="T40" s="36" t="s">
        <v>68</v>
      </c>
      <c r="U40" s="39" t="s">
        <v>68</v>
      </c>
      <c r="V40" s="39" t="s">
        <v>68</v>
      </c>
      <c r="W40" s="40" t="s">
        <v>68</v>
      </c>
      <c r="X40" s="36" t="s">
        <v>68</v>
      </c>
      <c r="Y40" s="36" t="s">
        <v>68</v>
      </c>
      <c r="Z40" s="36" t="s">
        <v>68</v>
      </c>
      <c r="AA40" s="36" t="s">
        <v>68</v>
      </c>
      <c r="AB40" s="39" t="s">
        <v>68</v>
      </c>
      <c r="AC40" s="36" t="s">
        <v>68</v>
      </c>
      <c r="AD40" s="39" t="s">
        <v>68</v>
      </c>
      <c r="AE40" s="41"/>
      <c r="AF40" s="42" t="s">
        <v>68</v>
      </c>
      <c r="AG40" s="36" t="s">
        <v>68</v>
      </c>
      <c r="AH40" s="36" t="s">
        <v>68</v>
      </c>
      <c r="AI40" s="36" t="s">
        <v>68</v>
      </c>
      <c r="AJ40" s="36" t="s">
        <v>68</v>
      </c>
      <c r="AK40" s="36" t="s">
        <v>68</v>
      </c>
      <c r="AL40" s="36" t="s">
        <v>68</v>
      </c>
      <c r="AM40" s="36" t="s">
        <v>68</v>
      </c>
      <c r="AN40" s="36" t="s">
        <v>68</v>
      </c>
      <c r="AO40" s="43" t="s">
        <v>68</v>
      </c>
      <c r="AP40" s="36" t="s">
        <v>68</v>
      </c>
      <c r="AQ40" s="39" t="s">
        <v>68</v>
      </c>
      <c r="AR40" s="36" t="s">
        <v>68</v>
      </c>
      <c r="AS40" s="36" t="s">
        <v>68</v>
      </c>
      <c r="AT40" s="36" t="s">
        <v>68</v>
      </c>
      <c r="AU40" s="36" t="s">
        <v>68</v>
      </c>
      <c r="AV40" s="36" t="s">
        <v>68</v>
      </c>
      <c r="AW40" s="35"/>
      <c r="AX40" s="37"/>
      <c r="AY40" s="37" t="s">
        <v>68</v>
      </c>
      <c r="AZ40" s="87"/>
      <c r="BA40" s="37"/>
      <c r="BB40" s="37"/>
      <c r="BC40" s="37"/>
      <c r="BD40" s="35"/>
      <c r="BE40" s="35" t="e">
        <v>#REF!</v>
      </c>
      <c r="BF40" s="35"/>
      <c r="BG40" s="44"/>
      <c r="BH40" s="38" t="s">
        <v>2287</v>
      </c>
      <c r="BI40" s="35" t="s">
        <v>68</v>
      </c>
    </row>
    <row r="41" spans="1:61" ht="25.5" x14ac:dyDescent="0.2">
      <c r="A41" s="45" t="s">
        <v>2288</v>
      </c>
      <c r="B41" s="46"/>
      <c r="C41" s="46" t="s">
        <v>2289</v>
      </c>
      <c r="D41" s="46" t="s">
        <v>2290</v>
      </c>
      <c r="E41" s="46" t="s">
        <v>68</v>
      </c>
      <c r="F41" s="46" t="s">
        <v>68</v>
      </c>
      <c r="G41" s="46" t="s">
        <v>68</v>
      </c>
      <c r="H41" s="46" t="s">
        <v>68</v>
      </c>
      <c r="I41" s="46" t="s">
        <v>68</v>
      </c>
      <c r="J41" s="46" t="s">
        <v>71</v>
      </c>
      <c r="K41" s="47">
        <v>300</v>
      </c>
      <c r="L41" s="47">
        <v>900</v>
      </c>
      <c r="M41" s="47">
        <v>1200</v>
      </c>
      <c r="N41" s="46"/>
      <c r="O41" s="71" t="s">
        <v>68</v>
      </c>
      <c r="P41" s="64"/>
      <c r="Q41" s="46" t="s">
        <v>2129</v>
      </c>
      <c r="R41" s="46" t="s">
        <v>2286</v>
      </c>
      <c r="S41" s="49">
        <v>300</v>
      </c>
      <c r="T41" s="49">
        <v>1500</v>
      </c>
      <c r="U41" s="50">
        <v>0.08</v>
      </c>
      <c r="V41" s="50">
        <v>0.1</v>
      </c>
      <c r="W41" s="77">
        <v>3</v>
      </c>
      <c r="X41" s="52">
        <v>150</v>
      </c>
      <c r="Y41" s="52">
        <v>30</v>
      </c>
      <c r="Z41" s="52">
        <v>1200</v>
      </c>
      <c r="AA41" s="52">
        <v>1380</v>
      </c>
      <c r="AB41" s="53">
        <v>0.92</v>
      </c>
      <c r="AC41" s="54">
        <v>120</v>
      </c>
      <c r="AD41" s="55">
        <v>0.08</v>
      </c>
      <c r="AE41" s="73">
        <v>3</v>
      </c>
      <c r="AF41" s="57" t="s">
        <v>95</v>
      </c>
      <c r="AG41" s="58">
        <v>300</v>
      </c>
      <c r="AH41" s="58">
        <v>900</v>
      </c>
      <c r="AI41" s="58">
        <v>1200</v>
      </c>
      <c r="AJ41" s="49">
        <v>300</v>
      </c>
      <c r="AK41" s="49">
        <v>1500</v>
      </c>
      <c r="AL41" s="52">
        <v>150</v>
      </c>
      <c r="AM41" s="52">
        <v>1200</v>
      </c>
      <c r="AN41" s="52">
        <v>1350</v>
      </c>
      <c r="AO41" s="59">
        <v>0.9</v>
      </c>
      <c r="AP41" s="60">
        <v>150</v>
      </c>
      <c r="AQ41" s="61">
        <v>0.1</v>
      </c>
      <c r="AR41" s="60" t="s">
        <v>73</v>
      </c>
      <c r="AS41" s="62">
        <v>480</v>
      </c>
      <c r="AT41" s="62">
        <v>1440</v>
      </c>
      <c r="AU41" s="62">
        <v>1920</v>
      </c>
      <c r="AV41" s="62">
        <v>2400</v>
      </c>
      <c r="AW41" s="47" t="s">
        <v>74</v>
      </c>
      <c r="AX41" s="64">
        <v>45156</v>
      </c>
      <c r="AY41" s="64" t="s">
        <v>2291</v>
      </c>
      <c r="AZ41" s="87"/>
      <c r="BA41" s="64"/>
      <c r="BB41" s="64"/>
      <c r="BC41" s="64"/>
      <c r="BD41" s="46"/>
      <c r="BE41" s="46" t="e">
        <v>#REF!</v>
      </c>
      <c r="BF41" s="46" t="s">
        <v>75</v>
      </c>
      <c r="BG41" s="65">
        <v>1</v>
      </c>
      <c r="BH41" s="66" t="s">
        <v>2292</v>
      </c>
      <c r="BI41" s="63" t="s">
        <v>2293</v>
      </c>
    </row>
    <row r="42" spans="1:61" ht="25.5" x14ac:dyDescent="0.2">
      <c r="A42" s="45" t="s">
        <v>2294</v>
      </c>
      <c r="B42" s="46"/>
      <c r="C42" s="46" t="s">
        <v>2295</v>
      </c>
      <c r="D42" s="46" t="s">
        <v>2290</v>
      </c>
      <c r="E42" s="46" t="s">
        <v>68</v>
      </c>
      <c r="F42" s="46" t="s">
        <v>68</v>
      </c>
      <c r="G42" s="46" t="s">
        <v>68</v>
      </c>
      <c r="H42" s="46" t="s">
        <v>68</v>
      </c>
      <c r="I42" s="46" t="s">
        <v>68</v>
      </c>
      <c r="J42" s="46" t="s">
        <v>71</v>
      </c>
      <c r="K42" s="47">
        <v>200</v>
      </c>
      <c r="L42" s="47">
        <v>100</v>
      </c>
      <c r="M42" s="47">
        <v>300</v>
      </c>
      <c r="N42" s="46"/>
      <c r="O42" s="71" t="s">
        <v>68</v>
      </c>
      <c r="P42" s="64"/>
      <c r="Q42" s="46" t="s">
        <v>2129</v>
      </c>
      <c r="R42" s="46" t="s">
        <v>2286</v>
      </c>
      <c r="S42" s="49">
        <v>75</v>
      </c>
      <c r="T42" s="49">
        <v>375</v>
      </c>
      <c r="U42" s="67">
        <v>0.35333333333333333</v>
      </c>
      <c r="V42" s="67">
        <v>0.3</v>
      </c>
      <c r="W42" s="51">
        <v>0.5</v>
      </c>
      <c r="X42" s="52">
        <v>37.5</v>
      </c>
      <c r="Y42" s="52">
        <v>30</v>
      </c>
      <c r="Z42" s="52">
        <v>175</v>
      </c>
      <c r="AA42" s="52">
        <v>242.5</v>
      </c>
      <c r="AB42" s="53">
        <v>0.64666666666666661</v>
      </c>
      <c r="AC42" s="72">
        <v>132.5</v>
      </c>
      <c r="AD42" s="55">
        <v>0.35333333333333333</v>
      </c>
      <c r="AE42" s="56">
        <v>2</v>
      </c>
      <c r="AF42" s="57" t="s">
        <v>72</v>
      </c>
      <c r="AG42" s="58">
        <v>100</v>
      </c>
      <c r="AH42" s="58">
        <v>100</v>
      </c>
      <c r="AI42" s="58">
        <v>200</v>
      </c>
      <c r="AJ42" s="49">
        <v>50</v>
      </c>
      <c r="AK42" s="49">
        <v>250</v>
      </c>
      <c r="AL42" s="52">
        <v>25</v>
      </c>
      <c r="AM42" s="52">
        <v>150</v>
      </c>
      <c r="AN42" s="52">
        <v>175</v>
      </c>
      <c r="AO42" s="59">
        <v>0.7</v>
      </c>
      <c r="AP42" s="60">
        <v>75</v>
      </c>
      <c r="AQ42" s="61">
        <v>0.3</v>
      </c>
      <c r="AR42" s="60" t="s">
        <v>78</v>
      </c>
      <c r="AS42" s="62">
        <v>300</v>
      </c>
      <c r="AT42" s="62">
        <v>150</v>
      </c>
      <c r="AU42" s="62">
        <v>450</v>
      </c>
      <c r="AV42" s="62">
        <v>562.5</v>
      </c>
      <c r="AW42" s="47" t="s">
        <v>74</v>
      </c>
      <c r="AX42" s="64">
        <v>45156</v>
      </c>
      <c r="AY42" s="64" t="s">
        <v>2296</v>
      </c>
      <c r="AZ42" s="87"/>
      <c r="BA42" s="64"/>
      <c r="BB42" s="64"/>
      <c r="BC42" s="64"/>
      <c r="BD42" s="46"/>
      <c r="BE42" s="46" t="e">
        <v>#REF!</v>
      </c>
      <c r="BF42" s="46" t="s">
        <v>79</v>
      </c>
      <c r="BG42" s="65">
        <v>0.75</v>
      </c>
      <c r="BH42" s="66"/>
      <c r="BI42" s="63" t="s">
        <v>2297</v>
      </c>
    </row>
    <row r="43" spans="1:61" ht="25.5" x14ac:dyDescent="0.2">
      <c r="A43" s="45" t="s">
        <v>2298</v>
      </c>
      <c r="B43" s="46"/>
      <c r="C43" s="46" t="s">
        <v>2299</v>
      </c>
      <c r="D43" s="46" t="s">
        <v>2290</v>
      </c>
      <c r="E43" s="46" t="s">
        <v>2300</v>
      </c>
      <c r="F43" s="46" t="s">
        <v>68</v>
      </c>
      <c r="G43" s="46" t="s">
        <v>68</v>
      </c>
      <c r="H43" s="46" t="s">
        <v>68</v>
      </c>
      <c r="I43" s="46" t="s">
        <v>68</v>
      </c>
      <c r="J43" s="46" t="s">
        <v>71</v>
      </c>
      <c r="K43" s="47">
        <v>200</v>
      </c>
      <c r="L43" s="47">
        <v>80</v>
      </c>
      <c r="M43" s="47">
        <v>280</v>
      </c>
      <c r="N43" s="46"/>
      <c r="O43" s="71" t="s">
        <v>68</v>
      </c>
      <c r="P43" s="64"/>
      <c r="Q43" s="46" t="s">
        <v>2129</v>
      </c>
      <c r="R43" s="46" t="s">
        <v>2286</v>
      </c>
      <c r="S43" s="49">
        <v>70</v>
      </c>
      <c r="T43" s="49">
        <v>350</v>
      </c>
      <c r="U43" s="67">
        <v>0.38571428571428573</v>
      </c>
      <c r="V43" s="67">
        <v>0.34444444444444444</v>
      </c>
      <c r="W43" s="51">
        <v>0.4</v>
      </c>
      <c r="X43" s="52">
        <v>35</v>
      </c>
      <c r="Y43" s="52">
        <v>30</v>
      </c>
      <c r="Z43" s="52">
        <v>150</v>
      </c>
      <c r="AA43" s="52">
        <v>215</v>
      </c>
      <c r="AB43" s="53">
        <v>0.61428571428571432</v>
      </c>
      <c r="AC43" s="72">
        <v>135</v>
      </c>
      <c r="AD43" s="55">
        <v>0.38571428571428573</v>
      </c>
      <c r="AE43" s="56">
        <v>2</v>
      </c>
      <c r="AF43" s="57" t="s">
        <v>72</v>
      </c>
      <c r="AG43" s="58">
        <v>100</v>
      </c>
      <c r="AH43" s="58">
        <v>80</v>
      </c>
      <c r="AI43" s="58">
        <v>180</v>
      </c>
      <c r="AJ43" s="49">
        <v>45</v>
      </c>
      <c r="AK43" s="49">
        <v>225</v>
      </c>
      <c r="AL43" s="52">
        <v>22.5</v>
      </c>
      <c r="AM43" s="52">
        <v>125</v>
      </c>
      <c r="AN43" s="52">
        <v>147.5</v>
      </c>
      <c r="AO43" s="59">
        <v>0.65555555555555556</v>
      </c>
      <c r="AP43" s="60">
        <v>77.5</v>
      </c>
      <c r="AQ43" s="61">
        <v>0.34444444444444444</v>
      </c>
      <c r="AR43" s="60" t="s">
        <v>78</v>
      </c>
      <c r="AS43" s="62">
        <v>300</v>
      </c>
      <c r="AT43" s="62">
        <v>120</v>
      </c>
      <c r="AU43" s="62">
        <v>420</v>
      </c>
      <c r="AV43" s="62">
        <v>525</v>
      </c>
      <c r="AW43" s="47" t="s">
        <v>74</v>
      </c>
      <c r="AX43" s="64">
        <v>45156</v>
      </c>
      <c r="AY43" s="64" t="s">
        <v>2301</v>
      </c>
      <c r="AZ43" s="87"/>
      <c r="BA43" s="64"/>
      <c r="BB43" s="64"/>
      <c r="BC43" s="64"/>
      <c r="BD43" s="46"/>
      <c r="BE43" s="46" t="e">
        <v>#REF!</v>
      </c>
      <c r="BF43" s="46" t="s">
        <v>79</v>
      </c>
      <c r="BG43" s="65">
        <v>0.5</v>
      </c>
      <c r="BH43" s="66"/>
      <c r="BI43" s="63" t="s">
        <v>2302</v>
      </c>
    </row>
    <row r="44" spans="1:61" ht="51" x14ac:dyDescent="0.2">
      <c r="A44" s="45" t="s">
        <v>2303</v>
      </c>
      <c r="B44" s="46"/>
      <c r="C44" s="46" t="s">
        <v>2304</v>
      </c>
      <c r="D44" s="46" t="s">
        <v>2290</v>
      </c>
      <c r="E44" s="46" t="s">
        <v>2213</v>
      </c>
      <c r="F44" s="46" t="s">
        <v>2305</v>
      </c>
      <c r="G44" s="46" t="s">
        <v>2157</v>
      </c>
      <c r="H44" s="46" t="s">
        <v>68</v>
      </c>
      <c r="I44" s="46" t="s">
        <v>68</v>
      </c>
      <c r="J44" s="46" t="s">
        <v>71</v>
      </c>
      <c r="K44" s="47">
        <v>250</v>
      </c>
      <c r="L44" s="47">
        <v>500</v>
      </c>
      <c r="M44" s="47">
        <v>750</v>
      </c>
      <c r="N44" s="46"/>
      <c r="O44" s="71" t="s">
        <v>68</v>
      </c>
      <c r="P44" s="64"/>
      <c r="Q44" s="46" t="s">
        <v>2129</v>
      </c>
      <c r="R44" s="46" t="s">
        <v>2286</v>
      </c>
      <c r="S44" s="49">
        <v>187.5</v>
      </c>
      <c r="T44" s="49">
        <v>937.5</v>
      </c>
      <c r="U44" s="50">
        <v>0.13466666666666666</v>
      </c>
      <c r="V44" s="50">
        <v>0.16666666666666666</v>
      </c>
      <c r="W44" s="77">
        <v>2</v>
      </c>
      <c r="X44" s="52">
        <v>93.75</v>
      </c>
      <c r="Y44" s="52">
        <v>30</v>
      </c>
      <c r="Z44" s="52">
        <v>687.5</v>
      </c>
      <c r="AA44" s="52">
        <v>811.25</v>
      </c>
      <c r="AB44" s="53">
        <v>0.86533333333333329</v>
      </c>
      <c r="AC44" s="72">
        <v>126.25</v>
      </c>
      <c r="AD44" s="55">
        <v>0.13466666666666666</v>
      </c>
      <c r="AE44" s="73">
        <v>3</v>
      </c>
      <c r="AF44" s="57" t="s">
        <v>95</v>
      </c>
      <c r="AG44" s="58">
        <v>250</v>
      </c>
      <c r="AH44" s="58">
        <v>500</v>
      </c>
      <c r="AI44" s="58">
        <v>750</v>
      </c>
      <c r="AJ44" s="49">
        <v>187.5</v>
      </c>
      <c r="AK44" s="49">
        <v>937.5</v>
      </c>
      <c r="AL44" s="52">
        <v>93.75</v>
      </c>
      <c r="AM44" s="52">
        <v>687.5</v>
      </c>
      <c r="AN44" s="52">
        <v>781.25</v>
      </c>
      <c r="AO44" s="59">
        <v>0.83333333333333337</v>
      </c>
      <c r="AP44" s="60">
        <v>156.25</v>
      </c>
      <c r="AQ44" s="61">
        <v>0.16666666666666666</v>
      </c>
      <c r="AR44" s="60" t="s">
        <v>73</v>
      </c>
      <c r="AS44" s="62">
        <v>400</v>
      </c>
      <c r="AT44" s="62">
        <v>800</v>
      </c>
      <c r="AU44" s="62">
        <v>1200</v>
      </c>
      <c r="AV44" s="62">
        <v>1500</v>
      </c>
      <c r="AW44" s="47" t="s">
        <v>74</v>
      </c>
      <c r="AX44" s="64">
        <v>45156</v>
      </c>
      <c r="AY44" s="64" t="s">
        <v>2306</v>
      </c>
      <c r="AZ44" s="87"/>
      <c r="BA44" s="64"/>
      <c r="BB44" s="64"/>
      <c r="BC44" s="64"/>
      <c r="BD44" s="46"/>
      <c r="BE44" s="46" t="e">
        <v>#REF!</v>
      </c>
      <c r="BF44" s="46" t="s">
        <v>75</v>
      </c>
      <c r="BG44" s="65">
        <v>1</v>
      </c>
      <c r="BH44" s="66"/>
      <c r="BI44" s="63" t="s">
        <v>2307</v>
      </c>
    </row>
    <row r="45" spans="1:61" ht="51" x14ac:dyDescent="0.2">
      <c r="A45" s="45" t="s">
        <v>2308</v>
      </c>
      <c r="B45" s="46"/>
      <c r="C45" s="46" t="s">
        <v>2304</v>
      </c>
      <c r="D45" s="46" t="s">
        <v>2290</v>
      </c>
      <c r="E45" s="46" t="s">
        <v>2217</v>
      </c>
      <c r="F45" s="46" t="s">
        <v>2305</v>
      </c>
      <c r="G45" s="46" t="s">
        <v>2157</v>
      </c>
      <c r="H45" s="46" t="s">
        <v>68</v>
      </c>
      <c r="I45" s="46" t="s">
        <v>68</v>
      </c>
      <c r="J45" s="46" t="s">
        <v>71</v>
      </c>
      <c r="K45" s="47">
        <v>300</v>
      </c>
      <c r="L45" s="47">
        <v>700</v>
      </c>
      <c r="M45" s="47">
        <v>1000</v>
      </c>
      <c r="N45" s="46"/>
      <c r="O45" s="71" t="s">
        <v>68</v>
      </c>
      <c r="P45" s="64"/>
      <c r="Q45" s="46" t="s">
        <v>2129</v>
      </c>
      <c r="R45" s="46" t="s">
        <v>2286</v>
      </c>
      <c r="S45" s="49">
        <v>250</v>
      </c>
      <c r="T45" s="49">
        <v>1250</v>
      </c>
      <c r="U45" s="50">
        <v>0.11600000000000001</v>
      </c>
      <c r="V45" s="50">
        <v>0.14000000000000001</v>
      </c>
      <c r="W45" s="77">
        <v>2.3333333333333335</v>
      </c>
      <c r="X45" s="52">
        <v>125</v>
      </c>
      <c r="Y45" s="52">
        <v>30</v>
      </c>
      <c r="Z45" s="52">
        <v>950</v>
      </c>
      <c r="AA45" s="52">
        <v>1105</v>
      </c>
      <c r="AB45" s="53">
        <v>0.88400000000000001</v>
      </c>
      <c r="AC45" s="72">
        <v>145</v>
      </c>
      <c r="AD45" s="55">
        <v>0.11600000000000001</v>
      </c>
      <c r="AE45" s="73">
        <v>3</v>
      </c>
      <c r="AF45" s="57" t="s">
        <v>95</v>
      </c>
      <c r="AG45" s="58">
        <v>300</v>
      </c>
      <c r="AH45" s="58">
        <v>700</v>
      </c>
      <c r="AI45" s="58">
        <v>1000</v>
      </c>
      <c r="AJ45" s="49">
        <v>250</v>
      </c>
      <c r="AK45" s="49">
        <v>1250</v>
      </c>
      <c r="AL45" s="52">
        <v>125</v>
      </c>
      <c r="AM45" s="52">
        <v>950</v>
      </c>
      <c r="AN45" s="52">
        <v>1075</v>
      </c>
      <c r="AO45" s="59">
        <v>0.86</v>
      </c>
      <c r="AP45" s="60">
        <v>175</v>
      </c>
      <c r="AQ45" s="61">
        <v>0.14000000000000001</v>
      </c>
      <c r="AR45" s="60" t="s">
        <v>73</v>
      </c>
      <c r="AS45" s="62">
        <v>480</v>
      </c>
      <c r="AT45" s="62">
        <v>1120</v>
      </c>
      <c r="AU45" s="62">
        <v>1600</v>
      </c>
      <c r="AV45" s="62">
        <v>2000</v>
      </c>
      <c r="AW45" s="47" t="s">
        <v>74</v>
      </c>
      <c r="AX45" s="64">
        <v>45156</v>
      </c>
      <c r="AY45" s="64" t="s">
        <v>2309</v>
      </c>
      <c r="AZ45" s="87"/>
      <c r="BA45" s="64"/>
      <c r="BB45" s="64"/>
      <c r="BC45" s="64"/>
      <c r="BD45" s="46"/>
      <c r="BE45" s="46" t="e">
        <v>#REF!</v>
      </c>
      <c r="BF45" s="46" t="s">
        <v>75</v>
      </c>
      <c r="BG45" s="65">
        <v>1</v>
      </c>
      <c r="BH45" s="66"/>
      <c r="BI45" s="63" t="s">
        <v>2310</v>
      </c>
    </row>
    <row r="46" spans="1:61" ht="63.75" x14ac:dyDescent="0.2">
      <c r="A46" s="45" t="s">
        <v>2311</v>
      </c>
      <c r="B46" s="46"/>
      <c r="C46" s="46" t="s">
        <v>2312</v>
      </c>
      <c r="D46" s="46" t="s">
        <v>2313</v>
      </c>
      <c r="E46" s="46" t="s">
        <v>2314</v>
      </c>
      <c r="F46" s="46" t="s">
        <v>2157</v>
      </c>
      <c r="G46" s="46" t="s">
        <v>68</v>
      </c>
      <c r="H46" s="46" t="s">
        <v>68</v>
      </c>
      <c r="I46" s="46" t="s">
        <v>68</v>
      </c>
      <c r="J46" s="46" t="s">
        <v>71</v>
      </c>
      <c r="K46" s="47">
        <v>250</v>
      </c>
      <c r="L46" s="47">
        <v>80</v>
      </c>
      <c r="M46" s="47">
        <v>330</v>
      </c>
      <c r="N46" s="46"/>
      <c r="O46" s="71" t="s">
        <v>68</v>
      </c>
      <c r="P46" s="64"/>
      <c r="Q46" s="46" t="s">
        <v>2129</v>
      </c>
      <c r="R46" s="46" t="s">
        <v>2286</v>
      </c>
      <c r="S46" s="49">
        <v>82.5</v>
      </c>
      <c r="T46" s="49">
        <v>412.5</v>
      </c>
      <c r="U46" s="67">
        <v>0.43333333333333335</v>
      </c>
      <c r="V46" s="67">
        <v>0.5060606060606061</v>
      </c>
      <c r="W46" s="51">
        <v>0.32</v>
      </c>
      <c r="X46" s="52">
        <v>41.25</v>
      </c>
      <c r="Y46" s="52">
        <v>30</v>
      </c>
      <c r="Z46" s="52">
        <v>162.5</v>
      </c>
      <c r="AA46" s="52">
        <v>233.75</v>
      </c>
      <c r="AB46" s="53">
        <v>0.56666666666666665</v>
      </c>
      <c r="AC46" s="72">
        <v>178.75</v>
      </c>
      <c r="AD46" s="55">
        <v>0.43333333333333335</v>
      </c>
      <c r="AE46" s="73">
        <v>3</v>
      </c>
      <c r="AF46" s="57" t="s">
        <v>95</v>
      </c>
      <c r="AG46" s="58">
        <v>250</v>
      </c>
      <c r="AH46" s="58">
        <v>80</v>
      </c>
      <c r="AI46" s="58">
        <v>330</v>
      </c>
      <c r="AJ46" s="49">
        <v>82.5</v>
      </c>
      <c r="AK46" s="49">
        <v>412.5</v>
      </c>
      <c r="AL46" s="52">
        <v>41.25</v>
      </c>
      <c r="AM46" s="52">
        <v>162.5</v>
      </c>
      <c r="AN46" s="52">
        <v>203.75</v>
      </c>
      <c r="AO46" s="59">
        <v>0.49393939393939396</v>
      </c>
      <c r="AP46" s="60">
        <v>208.75</v>
      </c>
      <c r="AQ46" s="61">
        <v>0.5060606060606061</v>
      </c>
      <c r="AR46" s="60" t="s">
        <v>78</v>
      </c>
      <c r="AS46" s="62">
        <v>400</v>
      </c>
      <c r="AT46" s="62">
        <v>128</v>
      </c>
      <c r="AU46" s="62">
        <v>528</v>
      </c>
      <c r="AV46" s="62">
        <v>660</v>
      </c>
      <c r="AW46" s="47" t="s">
        <v>74</v>
      </c>
      <c r="AX46" s="64">
        <v>45156</v>
      </c>
      <c r="AY46" s="64" t="s">
        <v>2315</v>
      </c>
      <c r="AZ46" s="87"/>
      <c r="BA46" s="64"/>
      <c r="BB46" s="64"/>
      <c r="BC46" s="64"/>
      <c r="BD46" s="46"/>
      <c r="BE46" s="46" t="e">
        <v>#REF!</v>
      </c>
      <c r="BF46" s="46" t="s">
        <v>79</v>
      </c>
      <c r="BG46" s="65">
        <v>0.75</v>
      </c>
      <c r="BH46" s="66"/>
      <c r="BI46" s="63" t="s">
        <v>2316</v>
      </c>
    </row>
    <row r="47" spans="1:61" ht="63.75" x14ac:dyDescent="0.2">
      <c r="A47" s="45" t="s">
        <v>2317</v>
      </c>
      <c r="B47" s="46"/>
      <c r="C47" s="46" t="s">
        <v>2318</v>
      </c>
      <c r="D47" s="46" t="s">
        <v>2313</v>
      </c>
      <c r="E47" s="46" t="s">
        <v>2314</v>
      </c>
      <c r="F47" s="46" t="s">
        <v>2157</v>
      </c>
      <c r="G47" s="46" t="s">
        <v>68</v>
      </c>
      <c r="H47" s="46" t="s">
        <v>68</v>
      </c>
      <c r="I47" s="46" t="s">
        <v>68</v>
      </c>
      <c r="J47" s="46" t="s">
        <v>71</v>
      </c>
      <c r="K47" s="47">
        <v>180</v>
      </c>
      <c r="L47" s="47">
        <v>70</v>
      </c>
      <c r="M47" s="47">
        <v>250</v>
      </c>
      <c r="N47" s="46"/>
      <c r="O47" s="71" t="s">
        <v>68</v>
      </c>
      <c r="P47" s="64"/>
      <c r="Q47" s="46" t="s">
        <v>2129</v>
      </c>
      <c r="R47" s="46" t="s">
        <v>2286</v>
      </c>
      <c r="S47" s="49">
        <v>62.5</v>
      </c>
      <c r="T47" s="49">
        <v>312.5</v>
      </c>
      <c r="U47" s="67">
        <v>0.38</v>
      </c>
      <c r="V47" s="50">
        <v>0.17169811320754716</v>
      </c>
      <c r="W47" s="51">
        <v>0.3888888888888889</v>
      </c>
      <c r="X47" s="52">
        <v>31.25</v>
      </c>
      <c r="Y47" s="52">
        <v>30</v>
      </c>
      <c r="Z47" s="52">
        <v>132.5</v>
      </c>
      <c r="AA47" s="52">
        <v>193.75</v>
      </c>
      <c r="AB47" s="53">
        <v>0.62</v>
      </c>
      <c r="AC47" s="54">
        <v>118.75</v>
      </c>
      <c r="AD47" s="55">
        <v>0.38</v>
      </c>
      <c r="AE47" s="69">
        <v>1</v>
      </c>
      <c r="AF47" s="57" t="s">
        <v>77</v>
      </c>
      <c r="AG47" s="58">
        <v>36</v>
      </c>
      <c r="AH47" s="58">
        <v>70</v>
      </c>
      <c r="AI47" s="58">
        <v>106</v>
      </c>
      <c r="AJ47" s="49">
        <v>26.5</v>
      </c>
      <c r="AK47" s="49">
        <v>132.5</v>
      </c>
      <c r="AL47" s="52">
        <v>13.25</v>
      </c>
      <c r="AM47" s="52">
        <v>96.5</v>
      </c>
      <c r="AN47" s="52">
        <v>109.75</v>
      </c>
      <c r="AO47" s="59">
        <v>0.82830188679245287</v>
      </c>
      <c r="AP47" s="60">
        <v>22.75</v>
      </c>
      <c r="AQ47" s="61">
        <v>0.17169811320754716</v>
      </c>
      <c r="AR47" s="60" t="s">
        <v>73</v>
      </c>
      <c r="AS47" s="62">
        <v>234</v>
      </c>
      <c r="AT47" s="62">
        <v>91</v>
      </c>
      <c r="AU47" s="62">
        <v>325</v>
      </c>
      <c r="AV47" s="62">
        <v>406.25</v>
      </c>
      <c r="AW47" s="47" t="s">
        <v>74</v>
      </c>
      <c r="AX47" s="64">
        <v>45156</v>
      </c>
      <c r="AY47" s="64" t="s">
        <v>2319</v>
      </c>
      <c r="AZ47" s="87"/>
      <c r="BA47" s="64"/>
      <c r="BB47" s="64"/>
      <c r="BC47" s="64"/>
      <c r="BD47" s="46"/>
      <c r="BE47" s="46" t="e">
        <v>#REF!</v>
      </c>
      <c r="BF47" s="46" t="s">
        <v>79</v>
      </c>
      <c r="BG47" s="65">
        <v>0.5</v>
      </c>
      <c r="BH47" s="66"/>
      <c r="BI47" s="63" t="s">
        <v>2320</v>
      </c>
    </row>
    <row r="48" spans="1:61" ht="63.75" x14ac:dyDescent="0.2">
      <c r="A48" s="45" t="s">
        <v>2321</v>
      </c>
      <c r="B48" s="46"/>
      <c r="C48" s="46" t="s">
        <v>2322</v>
      </c>
      <c r="D48" s="46" t="s">
        <v>2313</v>
      </c>
      <c r="E48" s="46" t="s">
        <v>2314</v>
      </c>
      <c r="F48" s="46" t="s">
        <v>2157</v>
      </c>
      <c r="G48" s="46" t="s">
        <v>68</v>
      </c>
      <c r="H48" s="46" t="s">
        <v>68</v>
      </c>
      <c r="I48" s="46" t="s">
        <v>68</v>
      </c>
      <c r="J48" s="46" t="s">
        <v>71</v>
      </c>
      <c r="K48" s="47">
        <v>250</v>
      </c>
      <c r="L48" s="47">
        <v>90</v>
      </c>
      <c r="M48" s="47">
        <v>340</v>
      </c>
      <c r="N48" s="46"/>
      <c r="O48" s="71" t="s">
        <v>68</v>
      </c>
      <c r="P48" s="64"/>
      <c r="Q48" s="46" t="s">
        <v>2129</v>
      </c>
      <c r="R48" s="46" t="s">
        <v>2286</v>
      </c>
      <c r="S48" s="49">
        <v>85</v>
      </c>
      <c r="T48" s="49">
        <v>425</v>
      </c>
      <c r="U48" s="67">
        <v>0.41764705882352943</v>
      </c>
      <c r="V48" s="67">
        <v>0.36511627906976746</v>
      </c>
      <c r="W48" s="51">
        <v>0.36</v>
      </c>
      <c r="X48" s="52">
        <v>42.5</v>
      </c>
      <c r="Y48" s="52">
        <v>30</v>
      </c>
      <c r="Z48" s="52">
        <v>175</v>
      </c>
      <c r="AA48" s="52">
        <v>247.5</v>
      </c>
      <c r="AB48" s="53">
        <v>0.58235294117647063</v>
      </c>
      <c r="AC48" s="72">
        <v>177.5</v>
      </c>
      <c r="AD48" s="55">
        <v>0.41764705882352943</v>
      </c>
      <c r="AE48" s="56">
        <v>2</v>
      </c>
      <c r="AF48" s="57" t="s">
        <v>72</v>
      </c>
      <c r="AG48" s="58">
        <v>125</v>
      </c>
      <c r="AH48" s="58">
        <v>90</v>
      </c>
      <c r="AI48" s="58">
        <v>215</v>
      </c>
      <c r="AJ48" s="49">
        <v>53.75</v>
      </c>
      <c r="AK48" s="49">
        <v>268.75</v>
      </c>
      <c r="AL48" s="52">
        <v>26.875</v>
      </c>
      <c r="AM48" s="52">
        <v>143.75</v>
      </c>
      <c r="AN48" s="52">
        <v>170.625</v>
      </c>
      <c r="AO48" s="59">
        <v>0.6348837209302326</v>
      </c>
      <c r="AP48" s="60">
        <v>98.125</v>
      </c>
      <c r="AQ48" s="61">
        <v>0.36511627906976746</v>
      </c>
      <c r="AR48" s="60" t="s">
        <v>78</v>
      </c>
      <c r="AS48" s="62">
        <v>375</v>
      </c>
      <c r="AT48" s="62">
        <v>135</v>
      </c>
      <c r="AU48" s="62">
        <v>510</v>
      </c>
      <c r="AV48" s="62">
        <v>637.5</v>
      </c>
      <c r="AW48" s="47" t="s">
        <v>74</v>
      </c>
      <c r="AX48" s="64">
        <v>45156</v>
      </c>
      <c r="AY48" s="64" t="s">
        <v>2323</v>
      </c>
      <c r="AZ48" s="87"/>
      <c r="BA48" s="64"/>
      <c r="BB48" s="64"/>
      <c r="BC48" s="64"/>
      <c r="BD48" s="46"/>
      <c r="BE48" s="46" t="e">
        <v>#REF!</v>
      </c>
      <c r="BF48" s="46" t="s">
        <v>79</v>
      </c>
      <c r="BG48" s="65">
        <v>0.5</v>
      </c>
      <c r="BH48" s="66"/>
      <c r="BI48" s="63" t="s">
        <v>2324</v>
      </c>
    </row>
    <row r="49" spans="1:61" ht="63.75" x14ac:dyDescent="0.2">
      <c r="A49" s="45" t="s">
        <v>2325</v>
      </c>
      <c r="B49" s="46"/>
      <c r="C49" s="46" t="s">
        <v>2326</v>
      </c>
      <c r="D49" s="46" t="s">
        <v>2313</v>
      </c>
      <c r="E49" s="46" t="s">
        <v>2314</v>
      </c>
      <c r="F49" s="46" t="s">
        <v>2327</v>
      </c>
      <c r="G49" s="46" t="s">
        <v>68</v>
      </c>
      <c r="H49" s="46" t="s">
        <v>68</v>
      </c>
      <c r="I49" s="46" t="s">
        <v>68</v>
      </c>
      <c r="J49" s="46" t="s">
        <v>71</v>
      </c>
      <c r="K49" s="47">
        <v>200</v>
      </c>
      <c r="L49" s="47">
        <v>80</v>
      </c>
      <c r="M49" s="47">
        <v>280</v>
      </c>
      <c r="N49" s="46"/>
      <c r="O49" s="71" t="s">
        <v>68</v>
      </c>
      <c r="P49" s="64"/>
      <c r="Q49" s="46" t="s">
        <v>2129</v>
      </c>
      <c r="R49" s="46" t="s">
        <v>2286</v>
      </c>
      <c r="S49" s="49">
        <v>70</v>
      </c>
      <c r="T49" s="49">
        <v>350</v>
      </c>
      <c r="U49" s="67">
        <v>0.38571428571428573</v>
      </c>
      <c r="V49" s="67">
        <v>0.34444444444444444</v>
      </c>
      <c r="W49" s="51">
        <v>0.4</v>
      </c>
      <c r="X49" s="52">
        <v>35</v>
      </c>
      <c r="Y49" s="52">
        <v>30</v>
      </c>
      <c r="Z49" s="52">
        <v>150</v>
      </c>
      <c r="AA49" s="52">
        <v>215</v>
      </c>
      <c r="AB49" s="53">
        <v>0.61428571428571432</v>
      </c>
      <c r="AC49" s="72">
        <v>135</v>
      </c>
      <c r="AD49" s="55">
        <v>0.38571428571428573</v>
      </c>
      <c r="AE49" s="56">
        <v>2</v>
      </c>
      <c r="AF49" s="57" t="s">
        <v>72</v>
      </c>
      <c r="AG49" s="58">
        <v>100</v>
      </c>
      <c r="AH49" s="58">
        <v>80</v>
      </c>
      <c r="AI49" s="58">
        <v>180</v>
      </c>
      <c r="AJ49" s="49">
        <v>45</v>
      </c>
      <c r="AK49" s="49">
        <v>225</v>
      </c>
      <c r="AL49" s="52">
        <v>22.5</v>
      </c>
      <c r="AM49" s="52">
        <v>125</v>
      </c>
      <c r="AN49" s="52">
        <v>147.5</v>
      </c>
      <c r="AO49" s="59">
        <v>0.65555555555555556</v>
      </c>
      <c r="AP49" s="60">
        <v>77.5</v>
      </c>
      <c r="AQ49" s="61">
        <v>0.34444444444444444</v>
      </c>
      <c r="AR49" s="60" t="s">
        <v>78</v>
      </c>
      <c r="AS49" s="62">
        <v>300</v>
      </c>
      <c r="AT49" s="62">
        <v>120</v>
      </c>
      <c r="AU49" s="62">
        <v>420</v>
      </c>
      <c r="AV49" s="62">
        <v>525</v>
      </c>
      <c r="AW49" s="47" t="s">
        <v>74</v>
      </c>
      <c r="AX49" s="64">
        <v>45156</v>
      </c>
      <c r="AY49" s="64" t="s">
        <v>2328</v>
      </c>
      <c r="AZ49" s="87"/>
      <c r="BA49" s="64"/>
      <c r="BB49" s="64"/>
      <c r="BC49" s="64"/>
      <c r="BD49" s="46"/>
      <c r="BE49" s="46" t="e">
        <v>#REF!</v>
      </c>
      <c r="BF49" s="46" t="s">
        <v>79</v>
      </c>
      <c r="BG49" s="65">
        <v>1</v>
      </c>
      <c r="BH49" s="66"/>
      <c r="BI49" s="63" t="s">
        <v>2329</v>
      </c>
    </row>
    <row r="50" spans="1:61" ht="63.75" x14ac:dyDescent="0.2">
      <c r="A50" s="45" t="s">
        <v>2330</v>
      </c>
      <c r="B50" s="46"/>
      <c r="C50" s="46" t="s">
        <v>2326</v>
      </c>
      <c r="D50" s="46" t="s">
        <v>2313</v>
      </c>
      <c r="E50" s="46" t="s">
        <v>2314</v>
      </c>
      <c r="F50" s="46" t="s">
        <v>2331</v>
      </c>
      <c r="G50" s="46" t="s">
        <v>68</v>
      </c>
      <c r="H50" s="46" t="s">
        <v>68</v>
      </c>
      <c r="I50" s="46" t="s">
        <v>68</v>
      </c>
      <c r="J50" s="46" t="s">
        <v>71</v>
      </c>
      <c r="K50" s="47">
        <v>230</v>
      </c>
      <c r="L50" s="47">
        <v>150</v>
      </c>
      <c r="M50" s="47">
        <v>380</v>
      </c>
      <c r="N50" s="46"/>
      <c r="O50" s="71" t="s">
        <v>68</v>
      </c>
      <c r="P50" s="64"/>
      <c r="Q50" s="46" t="s">
        <v>2129</v>
      </c>
      <c r="R50" s="46" t="s">
        <v>2286</v>
      </c>
      <c r="S50" s="49">
        <v>95</v>
      </c>
      <c r="T50" s="49">
        <v>475</v>
      </c>
      <c r="U50" s="67">
        <v>0.32105263157894737</v>
      </c>
      <c r="V50" s="28">
        <v>0.24716981132075472</v>
      </c>
      <c r="W50" s="51">
        <v>0.65217391304347827</v>
      </c>
      <c r="X50" s="52">
        <v>47.5</v>
      </c>
      <c r="Y50" s="52">
        <v>30</v>
      </c>
      <c r="Z50" s="52">
        <v>245</v>
      </c>
      <c r="AA50" s="52">
        <v>322.5</v>
      </c>
      <c r="AB50" s="53">
        <v>0.67894736842105263</v>
      </c>
      <c r="AC50" s="72">
        <v>152.5</v>
      </c>
      <c r="AD50" s="55">
        <v>0.32105263157894737</v>
      </c>
      <c r="AE50" s="56">
        <v>2</v>
      </c>
      <c r="AF50" s="57" t="s">
        <v>72</v>
      </c>
      <c r="AG50" s="58">
        <v>115</v>
      </c>
      <c r="AH50" s="58">
        <v>150</v>
      </c>
      <c r="AI50" s="58">
        <v>265</v>
      </c>
      <c r="AJ50" s="49">
        <v>66.25</v>
      </c>
      <c r="AK50" s="49">
        <v>331.25</v>
      </c>
      <c r="AL50" s="52">
        <v>33.125</v>
      </c>
      <c r="AM50" s="52">
        <v>216.25</v>
      </c>
      <c r="AN50" s="52">
        <v>249.375</v>
      </c>
      <c r="AO50" s="59">
        <v>0.75283018867924534</v>
      </c>
      <c r="AP50" s="60">
        <v>81.875</v>
      </c>
      <c r="AQ50" s="61">
        <v>0.24716981132075472</v>
      </c>
      <c r="AR50" s="60" t="s">
        <v>78</v>
      </c>
      <c r="AS50" s="62">
        <v>345</v>
      </c>
      <c r="AT50" s="62">
        <v>225</v>
      </c>
      <c r="AU50" s="62">
        <v>570</v>
      </c>
      <c r="AV50" s="62">
        <v>712.5</v>
      </c>
      <c r="AW50" s="47" t="s">
        <v>74</v>
      </c>
      <c r="AX50" s="64">
        <v>45156</v>
      </c>
      <c r="AY50" s="64" t="s">
        <v>2332</v>
      </c>
      <c r="AZ50" s="87"/>
      <c r="BA50" s="64"/>
      <c r="BB50" s="64"/>
      <c r="BC50" s="64"/>
      <c r="BD50" s="46"/>
      <c r="BE50" s="46" t="e">
        <v>#REF!</v>
      </c>
      <c r="BF50" s="46" t="s">
        <v>79</v>
      </c>
      <c r="BG50" s="65">
        <v>2</v>
      </c>
      <c r="BH50" s="66"/>
      <c r="BI50" s="63" t="s">
        <v>2333</v>
      </c>
    </row>
    <row r="51" spans="1:61" ht="76.5" x14ac:dyDescent="0.2">
      <c r="A51" s="45" t="s">
        <v>2334</v>
      </c>
      <c r="B51" s="46"/>
      <c r="C51" s="46" t="s">
        <v>2335</v>
      </c>
      <c r="D51" s="46" t="s">
        <v>2313</v>
      </c>
      <c r="E51" s="46" t="s">
        <v>2336</v>
      </c>
      <c r="F51" s="46" t="s">
        <v>2157</v>
      </c>
      <c r="G51" s="46" t="s">
        <v>68</v>
      </c>
      <c r="H51" s="46" t="s">
        <v>68</v>
      </c>
      <c r="I51" s="46" t="s">
        <v>68</v>
      </c>
      <c r="J51" s="46" t="s">
        <v>71</v>
      </c>
      <c r="K51" s="47">
        <v>230</v>
      </c>
      <c r="L51" s="47">
        <v>80</v>
      </c>
      <c r="M51" s="47">
        <v>310</v>
      </c>
      <c r="N51" s="46"/>
      <c r="O51" s="71" t="s">
        <v>68</v>
      </c>
      <c r="P51" s="64"/>
      <c r="Q51" s="46" t="s">
        <v>2129</v>
      </c>
      <c r="R51" s="46" t="s">
        <v>2286</v>
      </c>
      <c r="S51" s="49">
        <v>77.5</v>
      </c>
      <c r="T51" s="49">
        <v>387.5</v>
      </c>
      <c r="U51" s="67">
        <v>0.41612903225806452</v>
      </c>
      <c r="V51" s="67">
        <v>0.49354838709677418</v>
      </c>
      <c r="W51" s="51">
        <v>0.34782608695652173</v>
      </c>
      <c r="X51" s="52">
        <v>38.75</v>
      </c>
      <c r="Y51" s="52">
        <v>30</v>
      </c>
      <c r="Z51" s="52">
        <v>157.5</v>
      </c>
      <c r="AA51" s="52">
        <v>226.25</v>
      </c>
      <c r="AB51" s="53">
        <v>0.58387096774193548</v>
      </c>
      <c r="AC51" s="72">
        <v>161.25</v>
      </c>
      <c r="AD51" s="55">
        <v>0.41612903225806452</v>
      </c>
      <c r="AE51" s="73">
        <v>3</v>
      </c>
      <c r="AF51" s="57" t="s">
        <v>95</v>
      </c>
      <c r="AG51" s="58">
        <v>230</v>
      </c>
      <c r="AH51" s="58">
        <v>80</v>
      </c>
      <c r="AI51" s="58">
        <v>310</v>
      </c>
      <c r="AJ51" s="49">
        <v>77.5</v>
      </c>
      <c r="AK51" s="49">
        <v>387.5</v>
      </c>
      <c r="AL51" s="52">
        <v>38.75</v>
      </c>
      <c r="AM51" s="52">
        <v>157.5</v>
      </c>
      <c r="AN51" s="52">
        <v>196.25</v>
      </c>
      <c r="AO51" s="59">
        <v>0.50645161290322582</v>
      </c>
      <c r="AP51" s="60">
        <v>191.25</v>
      </c>
      <c r="AQ51" s="61">
        <v>0.49354838709677418</v>
      </c>
      <c r="AR51" s="60" t="s">
        <v>78</v>
      </c>
      <c r="AS51" s="62">
        <v>368</v>
      </c>
      <c r="AT51" s="62">
        <v>128</v>
      </c>
      <c r="AU51" s="62">
        <v>496</v>
      </c>
      <c r="AV51" s="62">
        <v>620</v>
      </c>
      <c r="AW51" s="47" t="s">
        <v>74</v>
      </c>
      <c r="AX51" s="64">
        <v>45156</v>
      </c>
      <c r="AY51" s="64" t="s">
        <v>2337</v>
      </c>
      <c r="AZ51" s="87"/>
      <c r="BA51" s="64"/>
      <c r="BB51" s="64"/>
      <c r="BC51" s="64"/>
      <c r="BD51" s="46"/>
      <c r="BE51" s="46" t="e">
        <v>#REF!</v>
      </c>
      <c r="BF51" s="46" t="s">
        <v>79</v>
      </c>
      <c r="BG51" s="65">
        <v>0.75</v>
      </c>
      <c r="BH51" s="66"/>
      <c r="BI51" s="63" t="s">
        <v>2338</v>
      </c>
    </row>
    <row r="52" spans="1:61" ht="63.75" x14ac:dyDescent="0.2">
      <c r="A52" s="45" t="s">
        <v>2339</v>
      </c>
      <c r="B52" s="46"/>
      <c r="C52" s="46" t="s">
        <v>2340</v>
      </c>
      <c r="D52" s="46" t="s">
        <v>2313</v>
      </c>
      <c r="E52" s="46" t="s">
        <v>2314</v>
      </c>
      <c r="F52" s="46" t="s">
        <v>68</v>
      </c>
      <c r="G52" s="46" t="s">
        <v>68</v>
      </c>
      <c r="H52" s="46" t="s">
        <v>68</v>
      </c>
      <c r="I52" s="46" t="s">
        <v>68</v>
      </c>
      <c r="J52" s="46" t="s">
        <v>71</v>
      </c>
      <c r="K52" s="47">
        <v>280</v>
      </c>
      <c r="L52" s="47">
        <v>80</v>
      </c>
      <c r="M52" s="47">
        <v>360</v>
      </c>
      <c r="N52" s="46"/>
      <c r="O52" s="71" t="s">
        <v>68</v>
      </c>
      <c r="P52" s="64"/>
      <c r="Q52" s="46" t="s">
        <v>2129</v>
      </c>
      <c r="R52" s="46" t="s">
        <v>2286</v>
      </c>
      <c r="S52" s="49">
        <v>90</v>
      </c>
      <c r="T52" s="49">
        <v>450</v>
      </c>
      <c r="U52" s="67">
        <v>0.45555555555555555</v>
      </c>
      <c r="V52" s="67">
        <v>0.40909090909090912</v>
      </c>
      <c r="W52" s="51">
        <v>0.2857142857142857</v>
      </c>
      <c r="X52" s="52">
        <v>45</v>
      </c>
      <c r="Y52" s="52">
        <v>30</v>
      </c>
      <c r="Z52" s="52">
        <v>170</v>
      </c>
      <c r="AA52" s="52">
        <v>245</v>
      </c>
      <c r="AB52" s="53">
        <v>0.5444444444444444</v>
      </c>
      <c r="AC52" s="72">
        <v>205</v>
      </c>
      <c r="AD52" s="55">
        <v>0.45555555555555555</v>
      </c>
      <c r="AE52" s="56">
        <v>2</v>
      </c>
      <c r="AF52" s="57" t="s">
        <v>72</v>
      </c>
      <c r="AG52" s="58">
        <v>140</v>
      </c>
      <c r="AH52" s="58">
        <v>80</v>
      </c>
      <c r="AI52" s="58">
        <v>220</v>
      </c>
      <c r="AJ52" s="49">
        <v>55</v>
      </c>
      <c r="AK52" s="49">
        <v>275</v>
      </c>
      <c r="AL52" s="52">
        <v>27.5</v>
      </c>
      <c r="AM52" s="52">
        <v>135</v>
      </c>
      <c r="AN52" s="52">
        <v>162.5</v>
      </c>
      <c r="AO52" s="59">
        <v>0.59090909090909094</v>
      </c>
      <c r="AP52" s="60">
        <v>112.5</v>
      </c>
      <c r="AQ52" s="61">
        <v>0.40909090909090912</v>
      </c>
      <c r="AR52" s="60" t="s">
        <v>78</v>
      </c>
      <c r="AS52" s="62">
        <v>420</v>
      </c>
      <c r="AT52" s="62">
        <v>120</v>
      </c>
      <c r="AU52" s="62">
        <v>540</v>
      </c>
      <c r="AV52" s="62">
        <v>675</v>
      </c>
      <c r="AW52" s="47" t="s">
        <v>74</v>
      </c>
      <c r="AX52" s="64">
        <v>45156</v>
      </c>
      <c r="AY52" s="64" t="s">
        <v>2341</v>
      </c>
      <c r="AZ52" s="87"/>
      <c r="BA52" s="64"/>
      <c r="BB52" s="64"/>
      <c r="BC52" s="64"/>
      <c r="BD52" s="46"/>
      <c r="BE52" s="46" t="e">
        <v>#REF!</v>
      </c>
      <c r="BF52" s="46" t="s">
        <v>79</v>
      </c>
      <c r="BG52" s="65">
        <v>0.5</v>
      </c>
      <c r="BH52" s="66"/>
      <c r="BI52" s="63" t="s">
        <v>2342</v>
      </c>
    </row>
    <row r="53" spans="1:61" ht="63.75" x14ac:dyDescent="0.2">
      <c r="A53" s="45" t="s">
        <v>2343</v>
      </c>
      <c r="B53" s="46"/>
      <c r="C53" s="46" t="s">
        <v>2344</v>
      </c>
      <c r="D53" s="46" t="s">
        <v>2313</v>
      </c>
      <c r="E53" s="46" t="s">
        <v>2314</v>
      </c>
      <c r="F53" s="46" t="s">
        <v>2345</v>
      </c>
      <c r="G53" s="46" t="s">
        <v>68</v>
      </c>
      <c r="H53" s="46" t="s">
        <v>68</v>
      </c>
      <c r="I53" s="46" t="s">
        <v>68</v>
      </c>
      <c r="J53" s="46" t="s">
        <v>71</v>
      </c>
      <c r="K53" s="47">
        <v>250</v>
      </c>
      <c r="L53" s="47">
        <v>0</v>
      </c>
      <c r="M53" s="47">
        <v>250</v>
      </c>
      <c r="N53" s="46"/>
      <c r="O53" s="71" t="s">
        <v>68</v>
      </c>
      <c r="P53" s="64"/>
      <c r="Q53" s="46" t="s">
        <v>2129</v>
      </c>
      <c r="R53" s="46" t="s">
        <v>2286</v>
      </c>
      <c r="S53" s="49">
        <v>62.5</v>
      </c>
      <c r="T53" s="49">
        <v>312.5</v>
      </c>
      <c r="U53" s="67">
        <v>0.60399999999999998</v>
      </c>
      <c r="V53" s="67">
        <v>0.7</v>
      </c>
      <c r="W53" s="51">
        <v>0</v>
      </c>
      <c r="X53" s="52">
        <v>31.25</v>
      </c>
      <c r="Y53" s="52">
        <v>30</v>
      </c>
      <c r="Z53" s="52">
        <v>62.5</v>
      </c>
      <c r="AA53" s="52">
        <v>123.75</v>
      </c>
      <c r="AB53" s="53">
        <v>0.39600000000000002</v>
      </c>
      <c r="AC53" s="72">
        <v>188.75</v>
      </c>
      <c r="AD53" s="55">
        <v>0.60399999999999998</v>
      </c>
      <c r="AE53" s="73">
        <v>3</v>
      </c>
      <c r="AF53" s="57" t="s">
        <v>95</v>
      </c>
      <c r="AG53" s="58">
        <v>250</v>
      </c>
      <c r="AH53" s="58">
        <v>0</v>
      </c>
      <c r="AI53" s="58">
        <v>250</v>
      </c>
      <c r="AJ53" s="49">
        <v>62.5</v>
      </c>
      <c r="AK53" s="49">
        <v>312.5</v>
      </c>
      <c r="AL53" s="52">
        <v>31.25</v>
      </c>
      <c r="AM53" s="52">
        <v>62.5</v>
      </c>
      <c r="AN53" s="52">
        <v>93.75</v>
      </c>
      <c r="AO53" s="59">
        <v>0.3</v>
      </c>
      <c r="AP53" s="60">
        <v>218.75</v>
      </c>
      <c r="AQ53" s="61">
        <v>0.7</v>
      </c>
      <c r="AR53" s="60" t="s">
        <v>78</v>
      </c>
      <c r="AS53" s="62">
        <v>400</v>
      </c>
      <c r="AT53" s="62">
        <v>0</v>
      </c>
      <c r="AU53" s="62">
        <v>400</v>
      </c>
      <c r="AV53" s="62">
        <v>500</v>
      </c>
      <c r="AW53" s="47" t="s">
        <v>74</v>
      </c>
      <c r="AX53" s="64">
        <v>45156</v>
      </c>
      <c r="AY53" s="64" t="s">
        <v>2346</v>
      </c>
      <c r="AZ53" s="87"/>
      <c r="BA53" s="64"/>
      <c r="BB53" s="64"/>
      <c r="BC53" s="64"/>
      <c r="BD53" s="46"/>
      <c r="BE53" s="46" t="e">
        <v>#REF!</v>
      </c>
      <c r="BF53" s="46" t="s">
        <v>79</v>
      </c>
      <c r="BG53" s="65">
        <v>0.5</v>
      </c>
      <c r="BH53" s="66"/>
      <c r="BI53" s="63" t="s">
        <v>2347</v>
      </c>
    </row>
    <row r="54" spans="1:61" ht="89.25" x14ac:dyDescent="0.2">
      <c r="A54" s="45" t="s">
        <v>2348</v>
      </c>
      <c r="B54" s="46"/>
      <c r="C54" s="46" t="s">
        <v>2349</v>
      </c>
      <c r="D54" s="46" t="s">
        <v>2313</v>
      </c>
      <c r="E54" s="46" t="s">
        <v>2350</v>
      </c>
      <c r="F54" s="46" t="s">
        <v>2157</v>
      </c>
      <c r="G54" s="46" t="s">
        <v>68</v>
      </c>
      <c r="H54" s="46" t="s">
        <v>68</v>
      </c>
      <c r="I54" s="46" t="s">
        <v>68</v>
      </c>
      <c r="J54" s="46" t="s">
        <v>71</v>
      </c>
      <c r="K54" s="47">
        <v>250</v>
      </c>
      <c r="L54" s="47">
        <v>500</v>
      </c>
      <c r="M54" s="47">
        <v>750</v>
      </c>
      <c r="N54" s="46"/>
      <c r="O54" s="71" t="s">
        <v>68</v>
      </c>
      <c r="P54" s="64"/>
      <c r="Q54" s="46" t="s">
        <v>2129</v>
      </c>
      <c r="R54" s="46" t="s">
        <v>2286</v>
      </c>
      <c r="S54" s="49">
        <v>187.5</v>
      </c>
      <c r="T54" s="49">
        <v>937.5</v>
      </c>
      <c r="U54" s="50">
        <v>0.13466666666666666</v>
      </c>
      <c r="V54" s="50">
        <v>0.16666666666666666</v>
      </c>
      <c r="W54" s="77">
        <v>2</v>
      </c>
      <c r="X54" s="52">
        <v>93.75</v>
      </c>
      <c r="Y54" s="52">
        <v>30</v>
      </c>
      <c r="Z54" s="52">
        <v>687.5</v>
      </c>
      <c r="AA54" s="52">
        <v>811.25</v>
      </c>
      <c r="AB54" s="53">
        <v>0.86533333333333329</v>
      </c>
      <c r="AC54" s="72">
        <v>126.25</v>
      </c>
      <c r="AD54" s="55">
        <v>0.13466666666666666</v>
      </c>
      <c r="AE54" s="73">
        <v>3</v>
      </c>
      <c r="AF54" s="57" t="s">
        <v>95</v>
      </c>
      <c r="AG54" s="58">
        <v>250</v>
      </c>
      <c r="AH54" s="58">
        <v>500</v>
      </c>
      <c r="AI54" s="58">
        <v>750</v>
      </c>
      <c r="AJ54" s="49">
        <v>187.5</v>
      </c>
      <c r="AK54" s="49">
        <v>937.5</v>
      </c>
      <c r="AL54" s="52">
        <v>93.75</v>
      </c>
      <c r="AM54" s="52">
        <v>687.5</v>
      </c>
      <c r="AN54" s="52">
        <v>781.25</v>
      </c>
      <c r="AO54" s="59">
        <v>0.83333333333333337</v>
      </c>
      <c r="AP54" s="60">
        <v>156.25</v>
      </c>
      <c r="AQ54" s="61">
        <v>0.16666666666666666</v>
      </c>
      <c r="AR54" s="60" t="s">
        <v>73</v>
      </c>
      <c r="AS54" s="62">
        <v>400</v>
      </c>
      <c r="AT54" s="62">
        <v>800</v>
      </c>
      <c r="AU54" s="62">
        <v>1200</v>
      </c>
      <c r="AV54" s="62">
        <v>1500</v>
      </c>
      <c r="AW54" s="47" t="s">
        <v>74</v>
      </c>
      <c r="AX54" s="64">
        <v>45156</v>
      </c>
      <c r="AY54" s="64" t="s">
        <v>2351</v>
      </c>
      <c r="AZ54" s="87"/>
      <c r="BA54" s="64"/>
      <c r="BB54" s="64"/>
      <c r="BC54" s="64"/>
      <c r="BD54" s="46"/>
      <c r="BE54" s="46" t="e">
        <v>#REF!</v>
      </c>
      <c r="BF54" s="46" t="s">
        <v>75</v>
      </c>
      <c r="BG54" s="65">
        <v>2</v>
      </c>
      <c r="BH54" s="66"/>
      <c r="BI54" s="63" t="s">
        <v>2352</v>
      </c>
    </row>
    <row r="55" spans="1:61" ht="63.75" x14ac:dyDescent="0.2">
      <c r="A55" s="45" t="s">
        <v>2353</v>
      </c>
      <c r="B55" s="46"/>
      <c r="C55" s="46" t="s">
        <v>2312</v>
      </c>
      <c r="D55" s="46" t="s">
        <v>444</v>
      </c>
      <c r="E55" s="46" t="s">
        <v>2314</v>
      </c>
      <c r="F55" s="46" t="s">
        <v>2157</v>
      </c>
      <c r="G55" s="46" t="s">
        <v>68</v>
      </c>
      <c r="H55" s="46" t="s">
        <v>68</v>
      </c>
      <c r="I55" s="46" t="s">
        <v>68</v>
      </c>
      <c r="J55" s="46" t="s">
        <v>71</v>
      </c>
      <c r="K55" s="47">
        <v>250</v>
      </c>
      <c r="L55" s="47">
        <v>80</v>
      </c>
      <c r="M55" s="47">
        <v>330</v>
      </c>
      <c r="N55" s="46"/>
      <c r="O55" s="71" t="s">
        <v>68</v>
      </c>
      <c r="P55" s="64"/>
      <c r="Q55" s="46" t="s">
        <v>2129</v>
      </c>
      <c r="R55" s="46" t="s">
        <v>2286</v>
      </c>
      <c r="S55" s="49">
        <v>82.5</v>
      </c>
      <c r="T55" s="49">
        <v>412.5</v>
      </c>
      <c r="U55" s="67">
        <v>0.43333333333333335</v>
      </c>
      <c r="V55" s="67">
        <v>0.5060606060606061</v>
      </c>
      <c r="W55" s="51">
        <v>0.32</v>
      </c>
      <c r="X55" s="52">
        <v>41.25</v>
      </c>
      <c r="Y55" s="52">
        <v>30</v>
      </c>
      <c r="Z55" s="52">
        <v>162.5</v>
      </c>
      <c r="AA55" s="52">
        <v>233.75</v>
      </c>
      <c r="AB55" s="53">
        <v>0.56666666666666665</v>
      </c>
      <c r="AC55" s="72">
        <v>178.75</v>
      </c>
      <c r="AD55" s="55">
        <v>0.43333333333333335</v>
      </c>
      <c r="AE55" s="73">
        <v>3</v>
      </c>
      <c r="AF55" s="57" t="s">
        <v>95</v>
      </c>
      <c r="AG55" s="58">
        <v>250</v>
      </c>
      <c r="AH55" s="58">
        <v>80</v>
      </c>
      <c r="AI55" s="58">
        <v>330</v>
      </c>
      <c r="AJ55" s="49">
        <v>82.5</v>
      </c>
      <c r="AK55" s="49">
        <v>412.5</v>
      </c>
      <c r="AL55" s="52">
        <v>41.25</v>
      </c>
      <c r="AM55" s="52">
        <v>162.5</v>
      </c>
      <c r="AN55" s="52">
        <v>203.75</v>
      </c>
      <c r="AO55" s="59">
        <v>0.49393939393939396</v>
      </c>
      <c r="AP55" s="60">
        <v>208.75</v>
      </c>
      <c r="AQ55" s="61">
        <v>0.5060606060606061</v>
      </c>
      <c r="AR55" s="60" t="s">
        <v>78</v>
      </c>
      <c r="AS55" s="62">
        <v>400</v>
      </c>
      <c r="AT55" s="62">
        <v>128</v>
      </c>
      <c r="AU55" s="62">
        <v>528</v>
      </c>
      <c r="AV55" s="62">
        <v>660</v>
      </c>
      <c r="AW55" s="47" t="s">
        <v>74</v>
      </c>
      <c r="AX55" s="64">
        <v>45156</v>
      </c>
      <c r="AY55" s="64" t="s">
        <v>2354</v>
      </c>
      <c r="AZ55" s="87"/>
      <c r="BA55" s="64"/>
      <c r="BB55" s="64"/>
      <c r="BC55" s="64"/>
      <c r="BD55" s="46"/>
      <c r="BE55" s="46" t="e">
        <v>#REF!</v>
      </c>
      <c r="BF55" s="46" t="s">
        <v>79</v>
      </c>
      <c r="BG55" s="65">
        <v>0.75</v>
      </c>
      <c r="BH55" s="66"/>
      <c r="BI55" s="63" t="s">
        <v>2355</v>
      </c>
    </row>
    <row r="56" spans="1:61" ht="63.75" x14ac:dyDescent="0.2">
      <c r="A56" s="45" t="s">
        <v>2356</v>
      </c>
      <c r="B56" s="46"/>
      <c r="C56" s="46" t="s">
        <v>2318</v>
      </c>
      <c r="D56" s="46" t="s">
        <v>444</v>
      </c>
      <c r="E56" s="46" t="s">
        <v>2314</v>
      </c>
      <c r="F56" s="46" t="s">
        <v>2157</v>
      </c>
      <c r="G56" s="46" t="s">
        <v>68</v>
      </c>
      <c r="H56" s="46" t="s">
        <v>68</v>
      </c>
      <c r="I56" s="46" t="s">
        <v>68</v>
      </c>
      <c r="J56" s="46" t="s">
        <v>71</v>
      </c>
      <c r="K56" s="47">
        <v>180</v>
      </c>
      <c r="L56" s="47">
        <v>70</v>
      </c>
      <c r="M56" s="47">
        <v>250</v>
      </c>
      <c r="N56" s="46"/>
      <c r="O56" s="71" t="s">
        <v>68</v>
      </c>
      <c r="P56" s="64"/>
      <c r="Q56" s="46" t="s">
        <v>2129</v>
      </c>
      <c r="R56" s="46" t="s">
        <v>2286</v>
      </c>
      <c r="S56" s="49">
        <v>62.5</v>
      </c>
      <c r="T56" s="49">
        <v>312.5</v>
      </c>
      <c r="U56" s="67">
        <v>0.38</v>
      </c>
      <c r="V56" s="50">
        <v>0.17169811320754716</v>
      </c>
      <c r="W56" s="51">
        <v>0.3888888888888889</v>
      </c>
      <c r="X56" s="52">
        <v>31.25</v>
      </c>
      <c r="Y56" s="52">
        <v>30</v>
      </c>
      <c r="Z56" s="52">
        <v>132.5</v>
      </c>
      <c r="AA56" s="52">
        <v>193.75</v>
      </c>
      <c r="AB56" s="53">
        <v>0.62</v>
      </c>
      <c r="AC56" s="54">
        <v>118.75</v>
      </c>
      <c r="AD56" s="55">
        <v>0.38</v>
      </c>
      <c r="AE56" s="69">
        <v>1</v>
      </c>
      <c r="AF56" s="57" t="s">
        <v>77</v>
      </c>
      <c r="AG56" s="58">
        <v>36</v>
      </c>
      <c r="AH56" s="58">
        <v>70</v>
      </c>
      <c r="AI56" s="58">
        <v>106</v>
      </c>
      <c r="AJ56" s="49">
        <v>26.5</v>
      </c>
      <c r="AK56" s="49">
        <v>132.5</v>
      </c>
      <c r="AL56" s="52">
        <v>13.25</v>
      </c>
      <c r="AM56" s="52">
        <v>96.5</v>
      </c>
      <c r="AN56" s="52">
        <v>109.75</v>
      </c>
      <c r="AO56" s="59">
        <v>0.82830188679245287</v>
      </c>
      <c r="AP56" s="60">
        <v>22.75</v>
      </c>
      <c r="AQ56" s="61">
        <v>0.17169811320754716</v>
      </c>
      <c r="AR56" s="60" t="s">
        <v>73</v>
      </c>
      <c r="AS56" s="62">
        <v>234</v>
      </c>
      <c r="AT56" s="62">
        <v>91</v>
      </c>
      <c r="AU56" s="62">
        <v>325</v>
      </c>
      <c r="AV56" s="62">
        <v>406.25</v>
      </c>
      <c r="AW56" s="47" t="s">
        <v>74</v>
      </c>
      <c r="AX56" s="64">
        <v>45156</v>
      </c>
      <c r="AY56" s="64" t="s">
        <v>2357</v>
      </c>
      <c r="AZ56" s="87"/>
      <c r="BA56" s="64"/>
      <c r="BB56" s="64"/>
      <c r="BC56" s="64"/>
      <c r="BD56" s="46"/>
      <c r="BE56" s="46" t="e">
        <v>#REF!</v>
      </c>
      <c r="BF56" s="46" t="s">
        <v>79</v>
      </c>
      <c r="BG56" s="65">
        <v>0.5</v>
      </c>
      <c r="BH56" s="66"/>
      <c r="BI56" s="63" t="s">
        <v>2358</v>
      </c>
    </row>
    <row r="57" spans="1:61" ht="63.75" x14ac:dyDescent="0.2">
      <c r="A57" s="45" t="s">
        <v>2359</v>
      </c>
      <c r="B57" s="46"/>
      <c r="C57" s="46" t="s">
        <v>2322</v>
      </c>
      <c r="D57" s="46" t="s">
        <v>444</v>
      </c>
      <c r="E57" s="46" t="s">
        <v>2314</v>
      </c>
      <c r="F57" s="46" t="s">
        <v>2157</v>
      </c>
      <c r="G57" s="46" t="s">
        <v>68</v>
      </c>
      <c r="H57" s="46" t="s">
        <v>68</v>
      </c>
      <c r="I57" s="46" t="s">
        <v>68</v>
      </c>
      <c r="J57" s="46" t="s">
        <v>71</v>
      </c>
      <c r="K57" s="47">
        <v>250</v>
      </c>
      <c r="L57" s="47">
        <v>90</v>
      </c>
      <c r="M57" s="47">
        <v>340</v>
      </c>
      <c r="N57" s="46"/>
      <c r="O57" s="71" t="s">
        <v>68</v>
      </c>
      <c r="P57" s="64"/>
      <c r="Q57" s="46" t="s">
        <v>2129</v>
      </c>
      <c r="R57" s="46" t="s">
        <v>2286</v>
      </c>
      <c r="S57" s="49">
        <v>85</v>
      </c>
      <c r="T57" s="49">
        <v>425</v>
      </c>
      <c r="U57" s="67">
        <v>0.41764705882352943</v>
      </c>
      <c r="V57" s="67">
        <v>0.36511627906976746</v>
      </c>
      <c r="W57" s="51">
        <v>0.36</v>
      </c>
      <c r="X57" s="52">
        <v>42.5</v>
      </c>
      <c r="Y57" s="52">
        <v>30</v>
      </c>
      <c r="Z57" s="52">
        <v>175</v>
      </c>
      <c r="AA57" s="52">
        <v>247.5</v>
      </c>
      <c r="AB57" s="53">
        <v>0.58235294117647063</v>
      </c>
      <c r="AC57" s="72">
        <v>177.5</v>
      </c>
      <c r="AD57" s="55">
        <v>0.41764705882352943</v>
      </c>
      <c r="AE57" s="56">
        <v>2</v>
      </c>
      <c r="AF57" s="57" t="s">
        <v>72</v>
      </c>
      <c r="AG57" s="58">
        <v>125</v>
      </c>
      <c r="AH57" s="58">
        <v>90</v>
      </c>
      <c r="AI57" s="58">
        <v>215</v>
      </c>
      <c r="AJ57" s="49">
        <v>53.75</v>
      </c>
      <c r="AK57" s="49">
        <v>268.75</v>
      </c>
      <c r="AL57" s="52">
        <v>26.875</v>
      </c>
      <c r="AM57" s="52">
        <v>143.75</v>
      </c>
      <c r="AN57" s="52">
        <v>170.625</v>
      </c>
      <c r="AO57" s="59">
        <v>0.6348837209302326</v>
      </c>
      <c r="AP57" s="60">
        <v>98.125</v>
      </c>
      <c r="AQ57" s="61">
        <v>0.36511627906976746</v>
      </c>
      <c r="AR57" s="60" t="s">
        <v>78</v>
      </c>
      <c r="AS57" s="62">
        <v>375</v>
      </c>
      <c r="AT57" s="62">
        <v>135</v>
      </c>
      <c r="AU57" s="62">
        <v>510</v>
      </c>
      <c r="AV57" s="62">
        <v>637.5</v>
      </c>
      <c r="AW57" s="47" t="s">
        <v>74</v>
      </c>
      <c r="AX57" s="64">
        <v>45156</v>
      </c>
      <c r="AY57" s="64" t="s">
        <v>2360</v>
      </c>
      <c r="AZ57" s="87"/>
      <c r="BA57" s="64"/>
      <c r="BB57" s="64"/>
      <c r="BC57" s="64"/>
      <c r="BD57" s="46"/>
      <c r="BE57" s="46" t="e">
        <v>#REF!</v>
      </c>
      <c r="BF57" s="46" t="s">
        <v>79</v>
      </c>
      <c r="BG57" s="65">
        <v>0.5</v>
      </c>
      <c r="BH57" s="66"/>
      <c r="BI57" s="63" t="s">
        <v>2361</v>
      </c>
    </row>
    <row r="58" spans="1:61" ht="63.75" x14ac:dyDescent="0.2">
      <c r="A58" s="45" t="s">
        <v>2362</v>
      </c>
      <c r="B58" s="46"/>
      <c r="C58" s="46" t="s">
        <v>2326</v>
      </c>
      <c r="D58" s="46" t="s">
        <v>444</v>
      </c>
      <c r="E58" s="46" t="s">
        <v>2314</v>
      </c>
      <c r="F58" s="46" t="s">
        <v>2327</v>
      </c>
      <c r="G58" s="46" t="s">
        <v>68</v>
      </c>
      <c r="H58" s="46" t="s">
        <v>68</v>
      </c>
      <c r="I58" s="46" t="s">
        <v>68</v>
      </c>
      <c r="J58" s="46" t="s">
        <v>71</v>
      </c>
      <c r="K58" s="47">
        <v>200</v>
      </c>
      <c r="L58" s="47">
        <v>80</v>
      </c>
      <c r="M58" s="47">
        <v>280</v>
      </c>
      <c r="N58" s="46"/>
      <c r="O58" s="71" t="s">
        <v>68</v>
      </c>
      <c r="P58" s="64"/>
      <c r="Q58" s="46" t="s">
        <v>2129</v>
      </c>
      <c r="R58" s="46" t="s">
        <v>2286</v>
      </c>
      <c r="S58" s="49">
        <v>70</v>
      </c>
      <c r="T58" s="49">
        <v>350</v>
      </c>
      <c r="U58" s="67">
        <v>0.38571428571428573</v>
      </c>
      <c r="V58" s="67">
        <v>0.34444444444444444</v>
      </c>
      <c r="W58" s="51">
        <v>0.4</v>
      </c>
      <c r="X58" s="52">
        <v>35</v>
      </c>
      <c r="Y58" s="52">
        <v>30</v>
      </c>
      <c r="Z58" s="52">
        <v>150</v>
      </c>
      <c r="AA58" s="52">
        <v>215</v>
      </c>
      <c r="AB58" s="53">
        <v>0.61428571428571432</v>
      </c>
      <c r="AC58" s="72">
        <v>135</v>
      </c>
      <c r="AD58" s="55">
        <v>0.38571428571428573</v>
      </c>
      <c r="AE58" s="56">
        <v>2</v>
      </c>
      <c r="AF58" s="57" t="s">
        <v>72</v>
      </c>
      <c r="AG58" s="58">
        <v>100</v>
      </c>
      <c r="AH58" s="58">
        <v>80</v>
      </c>
      <c r="AI58" s="58">
        <v>180</v>
      </c>
      <c r="AJ58" s="49">
        <v>45</v>
      </c>
      <c r="AK58" s="49">
        <v>225</v>
      </c>
      <c r="AL58" s="52">
        <v>22.5</v>
      </c>
      <c r="AM58" s="52">
        <v>125</v>
      </c>
      <c r="AN58" s="52">
        <v>147.5</v>
      </c>
      <c r="AO58" s="59">
        <v>0.65555555555555556</v>
      </c>
      <c r="AP58" s="60">
        <v>77.5</v>
      </c>
      <c r="AQ58" s="61">
        <v>0.34444444444444444</v>
      </c>
      <c r="AR58" s="60" t="s">
        <v>78</v>
      </c>
      <c r="AS58" s="62">
        <v>300</v>
      </c>
      <c r="AT58" s="62">
        <v>120</v>
      </c>
      <c r="AU58" s="62">
        <v>420</v>
      </c>
      <c r="AV58" s="62">
        <v>525</v>
      </c>
      <c r="AW58" s="47" t="s">
        <v>74</v>
      </c>
      <c r="AX58" s="64">
        <v>45156</v>
      </c>
      <c r="AY58" s="64" t="s">
        <v>2363</v>
      </c>
      <c r="AZ58" s="87"/>
      <c r="BA58" s="64"/>
      <c r="BB58" s="64"/>
      <c r="BC58" s="64"/>
      <c r="BD58" s="46"/>
      <c r="BE58" s="46" t="e">
        <v>#REF!</v>
      </c>
      <c r="BF58" s="46" t="s">
        <v>79</v>
      </c>
      <c r="BG58" s="65">
        <v>1</v>
      </c>
      <c r="BH58" s="66"/>
      <c r="BI58" s="63" t="s">
        <v>2364</v>
      </c>
    </row>
    <row r="59" spans="1:61" ht="63.75" x14ac:dyDescent="0.2">
      <c r="A59" s="45" t="s">
        <v>2365</v>
      </c>
      <c r="B59" s="46"/>
      <c r="C59" s="46" t="s">
        <v>2326</v>
      </c>
      <c r="D59" s="46" t="s">
        <v>444</v>
      </c>
      <c r="E59" s="46" t="s">
        <v>2314</v>
      </c>
      <c r="F59" s="46" t="s">
        <v>2331</v>
      </c>
      <c r="G59" s="46" t="s">
        <v>68</v>
      </c>
      <c r="H59" s="46" t="s">
        <v>68</v>
      </c>
      <c r="I59" s="46" t="s">
        <v>68</v>
      </c>
      <c r="J59" s="46" t="s">
        <v>71</v>
      </c>
      <c r="K59" s="47">
        <v>230</v>
      </c>
      <c r="L59" s="47">
        <v>150</v>
      </c>
      <c r="M59" s="47">
        <v>380</v>
      </c>
      <c r="N59" s="46"/>
      <c r="O59" s="71" t="s">
        <v>68</v>
      </c>
      <c r="P59" s="64"/>
      <c r="Q59" s="46" t="s">
        <v>2129</v>
      </c>
      <c r="R59" s="46" t="s">
        <v>2286</v>
      </c>
      <c r="S59" s="49">
        <v>95</v>
      </c>
      <c r="T59" s="49">
        <v>475</v>
      </c>
      <c r="U59" s="67">
        <v>0.32105263157894737</v>
      </c>
      <c r="V59" s="28">
        <v>0.24716981132075472</v>
      </c>
      <c r="W59" s="51">
        <v>0.65217391304347827</v>
      </c>
      <c r="X59" s="52">
        <v>47.5</v>
      </c>
      <c r="Y59" s="52">
        <v>30</v>
      </c>
      <c r="Z59" s="52">
        <v>245</v>
      </c>
      <c r="AA59" s="52">
        <v>322.5</v>
      </c>
      <c r="AB59" s="53">
        <v>0.67894736842105263</v>
      </c>
      <c r="AC59" s="72">
        <v>152.5</v>
      </c>
      <c r="AD59" s="55">
        <v>0.32105263157894737</v>
      </c>
      <c r="AE59" s="56">
        <v>2</v>
      </c>
      <c r="AF59" s="57" t="s">
        <v>72</v>
      </c>
      <c r="AG59" s="58">
        <v>115</v>
      </c>
      <c r="AH59" s="58">
        <v>150</v>
      </c>
      <c r="AI59" s="58">
        <v>265</v>
      </c>
      <c r="AJ59" s="49">
        <v>66.25</v>
      </c>
      <c r="AK59" s="49">
        <v>331.25</v>
      </c>
      <c r="AL59" s="52">
        <v>33.125</v>
      </c>
      <c r="AM59" s="52">
        <v>216.25</v>
      </c>
      <c r="AN59" s="52">
        <v>249.375</v>
      </c>
      <c r="AO59" s="59">
        <v>0.75283018867924534</v>
      </c>
      <c r="AP59" s="60">
        <v>81.875</v>
      </c>
      <c r="AQ59" s="61">
        <v>0.24716981132075472</v>
      </c>
      <c r="AR59" s="60" t="s">
        <v>78</v>
      </c>
      <c r="AS59" s="62">
        <v>345</v>
      </c>
      <c r="AT59" s="62">
        <v>225</v>
      </c>
      <c r="AU59" s="62">
        <v>570</v>
      </c>
      <c r="AV59" s="62">
        <v>712.5</v>
      </c>
      <c r="AW59" s="47" t="s">
        <v>74</v>
      </c>
      <c r="AX59" s="64">
        <v>45156</v>
      </c>
      <c r="AY59" s="64" t="s">
        <v>2366</v>
      </c>
      <c r="AZ59" s="87"/>
      <c r="BA59" s="64"/>
      <c r="BB59" s="64"/>
      <c r="BC59" s="64"/>
      <c r="BD59" s="46"/>
      <c r="BE59" s="46" t="e">
        <v>#REF!</v>
      </c>
      <c r="BF59" s="46" t="s">
        <v>79</v>
      </c>
      <c r="BG59" s="65">
        <v>2</v>
      </c>
      <c r="BH59" s="66"/>
      <c r="BI59" s="63" t="s">
        <v>2367</v>
      </c>
    </row>
    <row r="60" spans="1:61" ht="76.5" x14ac:dyDescent="0.2">
      <c r="A60" s="45" t="s">
        <v>2368</v>
      </c>
      <c r="B60" s="46"/>
      <c r="C60" s="46" t="s">
        <v>2335</v>
      </c>
      <c r="D60" s="46" t="s">
        <v>444</v>
      </c>
      <c r="E60" s="46" t="s">
        <v>2336</v>
      </c>
      <c r="F60" s="46" t="s">
        <v>2157</v>
      </c>
      <c r="G60" s="46" t="s">
        <v>68</v>
      </c>
      <c r="H60" s="46" t="s">
        <v>68</v>
      </c>
      <c r="I60" s="46" t="s">
        <v>68</v>
      </c>
      <c r="J60" s="46" t="s">
        <v>71</v>
      </c>
      <c r="K60" s="47">
        <v>230</v>
      </c>
      <c r="L60" s="47">
        <v>80</v>
      </c>
      <c r="M60" s="47">
        <v>310</v>
      </c>
      <c r="N60" s="46"/>
      <c r="O60" s="71" t="s">
        <v>68</v>
      </c>
      <c r="P60" s="64"/>
      <c r="Q60" s="46" t="s">
        <v>2129</v>
      </c>
      <c r="R60" s="46" t="s">
        <v>2286</v>
      </c>
      <c r="S60" s="49">
        <v>77.5</v>
      </c>
      <c r="T60" s="49">
        <v>387.5</v>
      </c>
      <c r="U60" s="67">
        <v>0.41612903225806452</v>
      </c>
      <c r="V60" s="67">
        <v>0.49354838709677418</v>
      </c>
      <c r="W60" s="51">
        <v>0.34782608695652173</v>
      </c>
      <c r="X60" s="52">
        <v>38.75</v>
      </c>
      <c r="Y60" s="52">
        <v>30</v>
      </c>
      <c r="Z60" s="52">
        <v>157.5</v>
      </c>
      <c r="AA60" s="52">
        <v>226.25</v>
      </c>
      <c r="AB60" s="53">
        <v>0.58387096774193548</v>
      </c>
      <c r="AC60" s="72">
        <v>161.25</v>
      </c>
      <c r="AD60" s="55">
        <v>0.41612903225806452</v>
      </c>
      <c r="AE60" s="73">
        <v>3</v>
      </c>
      <c r="AF60" s="57" t="s">
        <v>95</v>
      </c>
      <c r="AG60" s="58">
        <v>230</v>
      </c>
      <c r="AH60" s="58">
        <v>80</v>
      </c>
      <c r="AI60" s="58">
        <v>310</v>
      </c>
      <c r="AJ60" s="49">
        <v>77.5</v>
      </c>
      <c r="AK60" s="49">
        <v>387.5</v>
      </c>
      <c r="AL60" s="52">
        <v>38.75</v>
      </c>
      <c r="AM60" s="52">
        <v>157.5</v>
      </c>
      <c r="AN60" s="52">
        <v>196.25</v>
      </c>
      <c r="AO60" s="59">
        <v>0.50645161290322582</v>
      </c>
      <c r="AP60" s="60">
        <v>191.25</v>
      </c>
      <c r="AQ60" s="61">
        <v>0.49354838709677418</v>
      </c>
      <c r="AR60" s="60" t="s">
        <v>78</v>
      </c>
      <c r="AS60" s="62">
        <v>368</v>
      </c>
      <c r="AT60" s="62">
        <v>128</v>
      </c>
      <c r="AU60" s="62">
        <v>496</v>
      </c>
      <c r="AV60" s="62">
        <v>620</v>
      </c>
      <c r="AW60" s="47" t="s">
        <v>74</v>
      </c>
      <c r="AX60" s="64">
        <v>45156</v>
      </c>
      <c r="AY60" s="64" t="s">
        <v>2369</v>
      </c>
      <c r="AZ60" s="87"/>
      <c r="BA60" s="64"/>
      <c r="BB60" s="64"/>
      <c r="BC60" s="64"/>
      <c r="BD60" s="46"/>
      <c r="BE60" s="46" t="e">
        <v>#REF!</v>
      </c>
      <c r="BF60" s="46" t="s">
        <v>79</v>
      </c>
      <c r="BG60" s="65">
        <v>0.75</v>
      </c>
      <c r="BH60" s="66"/>
      <c r="BI60" s="63" t="s">
        <v>2370</v>
      </c>
    </row>
    <row r="61" spans="1:61" ht="63.75" x14ac:dyDescent="0.2">
      <c r="A61" s="45" t="s">
        <v>2371</v>
      </c>
      <c r="B61" s="46"/>
      <c r="C61" s="46" t="s">
        <v>2340</v>
      </c>
      <c r="D61" s="46" t="s">
        <v>444</v>
      </c>
      <c r="E61" s="46" t="s">
        <v>2314</v>
      </c>
      <c r="F61" s="46" t="s">
        <v>68</v>
      </c>
      <c r="G61" s="46" t="s">
        <v>68</v>
      </c>
      <c r="H61" s="46" t="s">
        <v>68</v>
      </c>
      <c r="I61" s="46" t="s">
        <v>68</v>
      </c>
      <c r="J61" s="46" t="s">
        <v>71</v>
      </c>
      <c r="K61" s="47">
        <v>280</v>
      </c>
      <c r="L61" s="47">
        <v>80</v>
      </c>
      <c r="M61" s="47">
        <v>360</v>
      </c>
      <c r="N61" s="46"/>
      <c r="O61" s="71" t="s">
        <v>68</v>
      </c>
      <c r="P61" s="64"/>
      <c r="Q61" s="46" t="s">
        <v>2129</v>
      </c>
      <c r="R61" s="46" t="s">
        <v>2286</v>
      </c>
      <c r="S61" s="49">
        <v>90</v>
      </c>
      <c r="T61" s="49">
        <v>450</v>
      </c>
      <c r="U61" s="67">
        <v>0.45555555555555555</v>
      </c>
      <c r="V61" s="67">
        <v>0.40909090909090912</v>
      </c>
      <c r="W61" s="51">
        <v>0.2857142857142857</v>
      </c>
      <c r="X61" s="52">
        <v>45</v>
      </c>
      <c r="Y61" s="52">
        <v>30</v>
      </c>
      <c r="Z61" s="52">
        <v>170</v>
      </c>
      <c r="AA61" s="52">
        <v>245</v>
      </c>
      <c r="AB61" s="53">
        <v>0.5444444444444444</v>
      </c>
      <c r="AC61" s="72">
        <v>205</v>
      </c>
      <c r="AD61" s="55">
        <v>0.45555555555555555</v>
      </c>
      <c r="AE61" s="56">
        <v>2</v>
      </c>
      <c r="AF61" s="57" t="s">
        <v>72</v>
      </c>
      <c r="AG61" s="58">
        <v>140</v>
      </c>
      <c r="AH61" s="58">
        <v>80</v>
      </c>
      <c r="AI61" s="58">
        <v>220</v>
      </c>
      <c r="AJ61" s="49">
        <v>55</v>
      </c>
      <c r="AK61" s="49">
        <v>275</v>
      </c>
      <c r="AL61" s="52">
        <v>27.5</v>
      </c>
      <c r="AM61" s="52">
        <v>135</v>
      </c>
      <c r="AN61" s="52">
        <v>162.5</v>
      </c>
      <c r="AO61" s="59">
        <v>0.59090909090909094</v>
      </c>
      <c r="AP61" s="60">
        <v>112.5</v>
      </c>
      <c r="AQ61" s="61">
        <v>0.40909090909090912</v>
      </c>
      <c r="AR61" s="60" t="s">
        <v>78</v>
      </c>
      <c r="AS61" s="62">
        <v>420</v>
      </c>
      <c r="AT61" s="62">
        <v>120</v>
      </c>
      <c r="AU61" s="62">
        <v>540</v>
      </c>
      <c r="AV61" s="62">
        <v>675</v>
      </c>
      <c r="AW61" s="47" t="s">
        <v>74</v>
      </c>
      <c r="AX61" s="64">
        <v>45156</v>
      </c>
      <c r="AY61" s="64" t="s">
        <v>2372</v>
      </c>
      <c r="AZ61" s="87"/>
      <c r="BA61" s="64"/>
      <c r="BB61" s="64"/>
      <c r="BC61" s="64"/>
      <c r="BD61" s="46"/>
      <c r="BE61" s="46" t="e">
        <v>#REF!</v>
      </c>
      <c r="BF61" s="46" t="s">
        <v>79</v>
      </c>
      <c r="BG61" s="65">
        <v>0.5</v>
      </c>
      <c r="BH61" s="66"/>
      <c r="BI61" s="63" t="s">
        <v>2373</v>
      </c>
    </row>
    <row r="62" spans="1:61" ht="63.75" x14ac:dyDescent="0.2">
      <c r="A62" s="45" t="s">
        <v>2374</v>
      </c>
      <c r="B62" s="46"/>
      <c r="C62" s="46" t="s">
        <v>2344</v>
      </c>
      <c r="D62" s="46" t="s">
        <v>444</v>
      </c>
      <c r="E62" s="46" t="s">
        <v>2314</v>
      </c>
      <c r="F62" s="46" t="s">
        <v>2345</v>
      </c>
      <c r="G62" s="46" t="s">
        <v>68</v>
      </c>
      <c r="H62" s="46" t="s">
        <v>68</v>
      </c>
      <c r="I62" s="46" t="s">
        <v>68</v>
      </c>
      <c r="J62" s="46" t="s">
        <v>71</v>
      </c>
      <c r="K62" s="47">
        <v>250</v>
      </c>
      <c r="L62" s="47">
        <v>0</v>
      </c>
      <c r="M62" s="47">
        <v>250</v>
      </c>
      <c r="N62" s="46"/>
      <c r="O62" s="71" t="s">
        <v>68</v>
      </c>
      <c r="P62" s="64"/>
      <c r="Q62" s="46" t="s">
        <v>2129</v>
      </c>
      <c r="R62" s="46" t="s">
        <v>2286</v>
      </c>
      <c r="S62" s="49">
        <v>62.5</v>
      </c>
      <c r="T62" s="49">
        <v>312.5</v>
      </c>
      <c r="U62" s="67">
        <v>0.60399999999999998</v>
      </c>
      <c r="V62" s="67">
        <v>0.7</v>
      </c>
      <c r="W62" s="51">
        <v>0</v>
      </c>
      <c r="X62" s="52">
        <v>31.25</v>
      </c>
      <c r="Y62" s="52">
        <v>30</v>
      </c>
      <c r="Z62" s="52">
        <v>62.5</v>
      </c>
      <c r="AA62" s="52">
        <v>123.75</v>
      </c>
      <c r="AB62" s="53">
        <v>0.39600000000000002</v>
      </c>
      <c r="AC62" s="72">
        <v>188.75</v>
      </c>
      <c r="AD62" s="55">
        <v>0.60399999999999998</v>
      </c>
      <c r="AE62" s="73">
        <v>3</v>
      </c>
      <c r="AF62" s="57" t="s">
        <v>95</v>
      </c>
      <c r="AG62" s="58">
        <v>250</v>
      </c>
      <c r="AH62" s="58">
        <v>0</v>
      </c>
      <c r="AI62" s="58">
        <v>250</v>
      </c>
      <c r="AJ62" s="49">
        <v>62.5</v>
      </c>
      <c r="AK62" s="49">
        <v>312.5</v>
      </c>
      <c r="AL62" s="52">
        <v>31.25</v>
      </c>
      <c r="AM62" s="52">
        <v>62.5</v>
      </c>
      <c r="AN62" s="52">
        <v>93.75</v>
      </c>
      <c r="AO62" s="59">
        <v>0.3</v>
      </c>
      <c r="AP62" s="60">
        <v>218.75</v>
      </c>
      <c r="AQ62" s="61">
        <v>0.7</v>
      </c>
      <c r="AR62" s="60" t="s">
        <v>78</v>
      </c>
      <c r="AS62" s="62">
        <v>400</v>
      </c>
      <c r="AT62" s="62">
        <v>0</v>
      </c>
      <c r="AU62" s="62">
        <v>400</v>
      </c>
      <c r="AV62" s="62">
        <v>500</v>
      </c>
      <c r="AW62" s="47" t="s">
        <v>74</v>
      </c>
      <c r="AX62" s="64">
        <v>45156</v>
      </c>
      <c r="AY62" s="64" t="s">
        <v>2375</v>
      </c>
      <c r="AZ62" s="87"/>
      <c r="BA62" s="64"/>
      <c r="BB62" s="64"/>
      <c r="BC62" s="64"/>
      <c r="BD62" s="46"/>
      <c r="BE62" s="46" t="e">
        <v>#REF!</v>
      </c>
      <c r="BF62" s="46" t="s">
        <v>79</v>
      </c>
      <c r="BG62" s="65">
        <v>0.5</v>
      </c>
      <c r="BH62" s="66"/>
      <c r="BI62" s="63" t="s">
        <v>2376</v>
      </c>
    </row>
    <row r="63" spans="1:61" ht="89.25" x14ac:dyDescent="0.2">
      <c r="A63" s="45" t="s">
        <v>2377</v>
      </c>
      <c r="B63" s="46"/>
      <c r="C63" s="46" t="s">
        <v>2349</v>
      </c>
      <c r="D63" s="46" t="s">
        <v>444</v>
      </c>
      <c r="E63" s="46" t="s">
        <v>2350</v>
      </c>
      <c r="F63" s="46" t="s">
        <v>2157</v>
      </c>
      <c r="G63" s="46" t="s">
        <v>68</v>
      </c>
      <c r="H63" s="46" t="s">
        <v>68</v>
      </c>
      <c r="I63" s="46" t="s">
        <v>68</v>
      </c>
      <c r="J63" s="46" t="s">
        <v>71</v>
      </c>
      <c r="K63" s="47">
        <v>250</v>
      </c>
      <c r="L63" s="47">
        <v>500</v>
      </c>
      <c r="M63" s="47">
        <v>750</v>
      </c>
      <c r="N63" s="46"/>
      <c r="O63" s="71" t="s">
        <v>68</v>
      </c>
      <c r="P63" s="64"/>
      <c r="Q63" s="46" t="s">
        <v>2129</v>
      </c>
      <c r="R63" s="46" t="s">
        <v>2286</v>
      </c>
      <c r="S63" s="49">
        <v>187.5</v>
      </c>
      <c r="T63" s="49">
        <v>937.5</v>
      </c>
      <c r="U63" s="50">
        <v>0.13466666666666666</v>
      </c>
      <c r="V63" s="50">
        <v>0.16666666666666666</v>
      </c>
      <c r="W63" s="77">
        <v>2</v>
      </c>
      <c r="X63" s="52">
        <v>93.75</v>
      </c>
      <c r="Y63" s="52">
        <v>30</v>
      </c>
      <c r="Z63" s="52">
        <v>687.5</v>
      </c>
      <c r="AA63" s="52">
        <v>811.25</v>
      </c>
      <c r="AB63" s="53">
        <v>0.86533333333333329</v>
      </c>
      <c r="AC63" s="72">
        <v>126.25</v>
      </c>
      <c r="AD63" s="55">
        <v>0.13466666666666666</v>
      </c>
      <c r="AE63" s="73">
        <v>3</v>
      </c>
      <c r="AF63" s="57" t="s">
        <v>95</v>
      </c>
      <c r="AG63" s="58">
        <v>250</v>
      </c>
      <c r="AH63" s="58">
        <v>500</v>
      </c>
      <c r="AI63" s="58">
        <v>750</v>
      </c>
      <c r="AJ63" s="49">
        <v>187.5</v>
      </c>
      <c r="AK63" s="49">
        <v>937.5</v>
      </c>
      <c r="AL63" s="52">
        <v>93.75</v>
      </c>
      <c r="AM63" s="52">
        <v>687.5</v>
      </c>
      <c r="AN63" s="52">
        <v>781.25</v>
      </c>
      <c r="AO63" s="59">
        <v>0.83333333333333337</v>
      </c>
      <c r="AP63" s="60">
        <v>156.25</v>
      </c>
      <c r="AQ63" s="61">
        <v>0.16666666666666666</v>
      </c>
      <c r="AR63" s="60" t="s">
        <v>73</v>
      </c>
      <c r="AS63" s="62">
        <v>400</v>
      </c>
      <c r="AT63" s="62">
        <v>800</v>
      </c>
      <c r="AU63" s="62">
        <v>1200</v>
      </c>
      <c r="AV63" s="62">
        <v>1500</v>
      </c>
      <c r="AW63" s="47" t="s">
        <v>74</v>
      </c>
      <c r="AX63" s="64">
        <v>45156</v>
      </c>
      <c r="AY63" s="64" t="s">
        <v>2378</v>
      </c>
      <c r="AZ63" s="87"/>
      <c r="BA63" s="64"/>
      <c r="BB63" s="64"/>
      <c r="BC63" s="64"/>
      <c r="BD63" s="46"/>
      <c r="BE63" s="46" t="e">
        <v>#REF!</v>
      </c>
      <c r="BF63" s="46" t="s">
        <v>75</v>
      </c>
      <c r="BG63" s="65">
        <v>2</v>
      </c>
      <c r="BH63" s="66"/>
      <c r="BI63" s="63" t="s">
        <v>2379</v>
      </c>
    </row>
    <row r="64" spans="1:61" ht="25.5" x14ac:dyDescent="0.2">
      <c r="A64" s="45" t="s">
        <v>2380</v>
      </c>
      <c r="B64" s="46"/>
      <c r="C64" s="46" t="s">
        <v>2299</v>
      </c>
      <c r="D64" s="46" t="s">
        <v>2290</v>
      </c>
      <c r="E64" s="46" t="s">
        <v>2381</v>
      </c>
      <c r="F64" s="46" t="s">
        <v>68</v>
      </c>
      <c r="G64" s="46" t="s">
        <v>68</v>
      </c>
      <c r="H64" s="46" t="s">
        <v>68</v>
      </c>
      <c r="I64" s="46" t="s">
        <v>68</v>
      </c>
      <c r="J64" s="46" t="s">
        <v>71</v>
      </c>
      <c r="K64" s="47">
        <v>200</v>
      </c>
      <c r="L64" s="47">
        <v>180</v>
      </c>
      <c r="M64" s="47">
        <v>380</v>
      </c>
      <c r="N64" s="46"/>
      <c r="O64" s="71" t="s">
        <v>68</v>
      </c>
      <c r="P64" s="64"/>
      <c r="Q64" s="46" t="s">
        <v>2129</v>
      </c>
      <c r="R64" s="46" t="s">
        <v>2286</v>
      </c>
      <c r="S64" s="49">
        <v>95</v>
      </c>
      <c r="T64" s="49">
        <v>475</v>
      </c>
      <c r="U64" s="28">
        <v>0.25789473684210529</v>
      </c>
      <c r="V64" s="50">
        <v>0.18571428571428572</v>
      </c>
      <c r="W64" s="51">
        <v>0.9</v>
      </c>
      <c r="X64" s="52">
        <v>47.5</v>
      </c>
      <c r="Y64" s="52">
        <v>30</v>
      </c>
      <c r="Z64" s="52">
        <v>275</v>
      </c>
      <c r="AA64" s="52">
        <v>352.5</v>
      </c>
      <c r="AB64" s="53">
        <v>0.74210526315789471</v>
      </c>
      <c r="AC64" s="72">
        <v>122.5</v>
      </c>
      <c r="AD64" s="55">
        <v>0.25789473684210529</v>
      </c>
      <c r="AE64" s="56">
        <v>2</v>
      </c>
      <c r="AF64" s="57" t="s">
        <v>72</v>
      </c>
      <c r="AG64" s="58">
        <v>100</v>
      </c>
      <c r="AH64" s="58">
        <v>180</v>
      </c>
      <c r="AI64" s="58">
        <v>280</v>
      </c>
      <c r="AJ64" s="49">
        <v>70</v>
      </c>
      <c r="AK64" s="49">
        <v>350</v>
      </c>
      <c r="AL64" s="52">
        <v>35</v>
      </c>
      <c r="AM64" s="52">
        <v>250</v>
      </c>
      <c r="AN64" s="52">
        <v>285</v>
      </c>
      <c r="AO64" s="59">
        <v>0.81428571428571428</v>
      </c>
      <c r="AP64" s="60">
        <v>65</v>
      </c>
      <c r="AQ64" s="61">
        <v>0.18571428571428572</v>
      </c>
      <c r="AR64" s="60" t="s">
        <v>73</v>
      </c>
      <c r="AS64" s="62">
        <v>300</v>
      </c>
      <c r="AT64" s="62">
        <v>270</v>
      </c>
      <c r="AU64" s="62">
        <v>570</v>
      </c>
      <c r="AV64" s="62">
        <v>712.5</v>
      </c>
      <c r="AW64" s="63" t="s">
        <v>74</v>
      </c>
      <c r="AX64" s="64">
        <v>45393</v>
      </c>
      <c r="AY64" s="64" t="s">
        <v>2382</v>
      </c>
      <c r="AZ64" s="87"/>
      <c r="BA64" s="64"/>
      <c r="BB64" s="64"/>
      <c r="BC64" s="64"/>
      <c r="BD64" s="46"/>
      <c r="BE64" s="46" t="e">
        <v>#REF!</v>
      </c>
      <c r="BF64" s="46" t="s">
        <v>79</v>
      </c>
      <c r="BG64" s="65">
        <v>0.5</v>
      </c>
      <c r="BH64" s="66"/>
      <c r="BI64" s="63" t="s">
        <v>2383</v>
      </c>
    </row>
    <row r="65" spans="1:61" ht="25.5" x14ac:dyDescent="0.2">
      <c r="A65" s="34" t="s">
        <v>2384</v>
      </c>
      <c r="B65" s="35"/>
      <c r="C65" s="35" t="s">
        <v>68</v>
      </c>
      <c r="D65" s="35" t="s">
        <v>68</v>
      </c>
      <c r="E65" s="35" t="s">
        <v>68</v>
      </c>
      <c r="F65" s="35" t="s">
        <v>68</v>
      </c>
      <c r="G65" s="35" t="s">
        <v>68</v>
      </c>
      <c r="H65" s="35" t="s">
        <v>68</v>
      </c>
      <c r="I65" s="35" t="s">
        <v>68</v>
      </c>
      <c r="J65" s="35" t="s">
        <v>68</v>
      </c>
      <c r="K65" s="36" t="s">
        <v>68</v>
      </c>
      <c r="L65" s="36" t="s">
        <v>68</v>
      </c>
      <c r="M65" s="36" t="s">
        <v>68</v>
      </c>
      <c r="N65" s="35"/>
      <c r="O65" s="35" t="s">
        <v>68</v>
      </c>
      <c r="P65" s="37"/>
      <c r="Q65" s="38" t="s">
        <v>2129</v>
      </c>
      <c r="R65" s="38" t="s">
        <v>2385</v>
      </c>
      <c r="S65" s="36" t="s">
        <v>68</v>
      </c>
      <c r="T65" s="36" t="s">
        <v>68</v>
      </c>
      <c r="U65" s="39" t="s">
        <v>68</v>
      </c>
      <c r="V65" s="39" t="s">
        <v>68</v>
      </c>
      <c r="W65" s="40" t="s">
        <v>68</v>
      </c>
      <c r="X65" s="36" t="s">
        <v>68</v>
      </c>
      <c r="Y65" s="36" t="s">
        <v>68</v>
      </c>
      <c r="Z65" s="36" t="s">
        <v>68</v>
      </c>
      <c r="AA65" s="36" t="s">
        <v>68</v>
      </c>
      <c r="AB65" s="39" t="s">
        <v>68</v>
      </c>
      <c r="AC65" s="36" t="s">
        <v>68</v>
      </c>
      <c r="AD65" s="39" t="s">
        <v>68</v>
      </c>
      <c r="AE65" s="41"/>
      <c r="AF65" s="42" t="s">
        <v>68</v>
      </c>
      <c r="AG65" s="36" t="s">
        <v>68</v>
      </c>
      <c r="AH65" s="36" t="s">
        <v>68</v>
      </c>
      <c r="AI65" s="36" t="s">
        <v>68</v>
      </c>
      <c r="AJ65" s="36" t="s">
        <v>68</v>
      </c>
      <c r="AK65" s="36" t="s">
        <v>68</v>
      </c>
      <c r="AL65" s="36" t="s">
        <v>68</v>
      </c>
      <c r="AM65" s="36" t="s">
        <v>68</v>
      </c>
      <c r="AN65" s="36" t="s">
        <v>68</v>
      </c>
      <c r="AO65" s="43" t="s">
        <v>68</v>
      </c>
      <c r="AP65" s="36" t="s">
        <v>68</v>
      </c>
      <c r="AQ65" s="39" t="s">
        <v>68</v>
      </c>
      <c r="AR65" s="36" t="s">
        <v>68</v>
      </c>
      <c r="AS65" s="36" t="s">
        <v>68</v>
      </c>
      <c r="AT65" s="36" t="s">
        <v>68</v>
      </c>
      <c r="AU65" s="36" t="s">
        <v>68</v>
      </c>
      <c r="AV65" s="36" t="s">
        <v>68</v>
      </c>
      <c r="AW65" s="35"/>
      <c r="AX65" s="37"/>
      <c r="AY65" s="37" t="s">
        <v>68</v>
      </c>
      <c r="AZ65" s="87"/>
      <c r="BA65" s="37"/>
      <c r="BB65" s="37"/>
      <c r="BC65" s="37"/>
      <c r="BD65" s="35"/>
      <c r="BE65" s="35" t="e">
        <v>#REF!</v>
      </c>
      <c r="BF65" s="35"/>
      <c r="BG65" s="44"/>
      <c r="BH65" s="38" t="s">
        <v>2386</v>
      </c>
      <c r="BI65" s="35" t="s">
        <v>68</v>
      </c>
    </row>
    <row r="66" spans="1:61" ht="25.5" x14ac:dyDescent="0.2">
      <c r="A66" s="45" t="s">
        <v>2387</v>
      </c>
      <c r="B66" s="46"/>
      <c r="C66" s="46" t="s">
        <v>2388</v>
      </c>
      <c r="D66" s="46" t="s">
        <v>68</v>
      </c>
      <c r="E66" s="46" t="s">
        <v>68</v>
      </c>
      <c r="F66" s="46" t="s">
        <v>68</v>
      </c>
      <c r="G66" s="46" t="s">
        <v>68</v>
      </c>
      <c r="H66" s="46" t="s">
        <v>68</v>
      </c>
      <c r="I66" s="46" t="s">
        <v>68</v>
      </c>
      <c r="J66" s="46" t="s">
        <v>71</v>
      </c>
      <c r="K66" s="47">
        <v>150</v>
      </c>
      <c r="L66" s="47">
        <v>30</v>
      </c>
      <c r="M66" s="47">
        <v>180</v>
      </c>
      <c r="N66" s="46"/>
      <c r="O66" s="71" t="s">
        <v>68</v>
      </c>
      <c r="P66" s="64"/>
      <c r="Q66" s="46" t="s">
        <v>2129</v>
      </c>
      <c r="R66" s="46" t="s">
        <v>2385</v>
      </c>
      <c r="S66" s="49">
        <v>45</v>
      </c>
      <c r="T66" s="49">
        <v>225</v>
      </c>
      <c r="U66" s="67">
        <v>0.43333333333333335</v>
      </c>
      <c r="V66" s="67">
        <v>0.47142857142857142</v>
      </c>
      <c r="W66" s="51">
        <v>0.2</v>
      </c>
      <c r="X66" s="52">
        <v>22.5</v>
      </c>
      <c r="Y66" s="52">
        <v>30</v>
      </c>
      <c r="Z66" s="52">
        <v>75</v>
      </c>
      <c r="AA66" s="52">
        <v>127.5</v>
      </c>
      <c r="AB66" s="53">
        <v>0.56666666666666665</v>
      </c>
      <c r="AC66" s="54">
        <v>97.5</v>
      </c>
      <c r="AD66" s="55">
        <v>0.43333333333333335</v>
      </c>
      <c r="AE66" s="56">
        <v>2</v>
      </c>
      <c r="AF66" s="57" t="s">
        <v>72</v>
      </c>
      <c r="AG66" s="58">
        <v>75</v>
      </c>
      <c r="AH66" s="58">
        <v>30</v>
      </c>
      <c r="AI66" s="58">
        <v>105</v>
      </c>
      <c r="AJ66" s="49">
        <v>26.25</v>
      </c>
      <c r="AK66" s="49">
        <v>131.25</v>
      </c>
      <c r="AL66" s="52">
        <v>13.125</v>
      </c>
      <c r="AM66" s="52">
        <v>56.25</v>
      </c>
      <c r="AN66" s="52">
        <v>69.375</v>
      </c>
      <c r="AO66" s="59">
        <v>0.52857142857142858</v>
      </c>
      <c r="AP66" s="60">
        <v>61.875</v>
      </c>
      <c r="AQ66" s="61">
        <v>0.47142857142857142</v>
      </c>
      <c r="AR66" s="60" t="s">
        <v>78</v>
      </c>
      <c r="AS66" s="62">
        <v>225</v>
      </c>
      <c r="AT66" s="62">
        <v>45</v>
      </c>
      <c r="AU66" s="62">
        <v>270</v>
      </c>
      <c r="AV66" s="62">
        <v>337.5</v>
      </c>
      <c r="AW66" s="47" t="s">
        <v>74</v>
      </c>
      <c r="AX66" s="64">
        <v>45156</v>
      </c>
      <c r="AY66" s="64" t="s">
        <v>2389</v>
      </c>
      <c r="AZ66" s="87"/>
      <c r="BA66" s="64"/>
      <c r="BB66" s="64"/>
      <c r="BC66" s="64"/>
      <c r="BD66" s="46"/>
      <c r="BE66" s="46" t="e">
        <v>#REF!</v>
      </c>
      <c r="BF66" s="46" t="s">
        <v>79</v>
      </c>
      <c r="BG66" s="65">
        <v>0.75</v>
      </c>
      <c r="BH66" s="66"/>
      <c r="BI66" s="63" t="s">
        <v>2388</v>
      </c>
    </row>
    <row r="67" spans="1:61" ht="25.5" x14ac:dyDescent="0.2">
      <c r="A67" s="45" t="s">
        <v>2390</v>
      </c>
      <c r="B67" s="46"/>
      <c r="C67" s="46" t="s">
        <v>2391</v>
      </c>
      <c r="D67" s="46" t="s">
        <v>68</v>
      </c>
      <c r="E67" s="46" t="s">
        <v>68</v>
      </c>
      <c r="F67" s="46" t="s">
        <v>68</v>
      </c>
      <c r="G67" s="46" t="s">
        <v>68</v>
      </c>
      <c r="H67" s="46" t="s">
        <v>68</v>
      </c>
      <c r="I67" s="46" t="s">
        <v>68</v>
      </c>
      <c r="J67" s="46" t="s">
        <v>71</v>
      </c>
      <c r="K67" s="47">
        <v>130</v>
      </c>
      <c r="L67" s="47">
        <v>30</v>
      </c>
      <c r="M67" s="47">
        <v>160</v>
      </c>
      <c r="N67" s="46"/>
      <c r="O67" s="71" t="s">
        <v>68</v>
      </c>
      <c r="P67" s="64"/>
      <c r="Q67" s="46" t="s">
        <v>2129</v>
      </c>
      <c r="R67" s="46" t="s">
        <v>2385</v>
      </c>
      <c r="S67" s="49">
        <v>40</v>
      </c>
      <c r="T67" s="49">
        <v>200</v>
      </c>
      <c r="U67" s="67">
        <v>0.4</v>
      </c>
      <c r="V67" s="67">
        <v>0.44736842105263158</v>
      </c>
      <c r="W67" s="51">
        <v>0.23076923076923078</v>
      </c>
      <c r="X67" s="52">
        <v>20</v>
      </c>
      <c r="Y67" s="52">
        <v>30</v>
      </c>
      <c r="Z67" s="52">
        <v>70</v>
      </c>
      <c r="AA67" s="52">
        <v>120</v>
      </c>
      <c r="AB67" s="53">
        <v>0.6</v>
      </c>
      <c r="AC67" s="68">
        <v>80</v>
      </c>
      <c r="AD67" s="55">
        <v>0.4</v>
      </c>
      <c r="AE67" s="56">
        <v>2</v>
      </c>
      <c r="AF67" s="57" t="s">
        <v>72</v>
      </c>
      <c r="AG67" s="58">
        <v>65</v>
      </c>
      <c r="AH67" s="58">
        <v>30</v>
      </c>
      <c r="AI67" s="58">
        <v>95</v>
      </c>
      <c r="AJ67" s="49">
        <v>23.75</v>
      </c>
      <c r="AK67" s="49">
        <v>118.75</v>
      </c>
      <c r="AL67" s="52">
        <v>11.875</v>
      </c>
      <c r="AM67" s="52">
        <v>53.75</v>
      </c>
      <c r="AN67" s="52">
        <v>65.625</v>
      </c>
      <c r="AO67" s="59">
        <v>0.55263157894736847</v>
      </c>
      <c r="AP67" s="60">
        <v>53.125</v>
      </c>
      <c r="AQ67" s="61">
        <v>0.44736842105263158</v>
      </c>
      <c r="AR67" s="60" t="s">
        <v>78</v>
      </c>
      <c r="AS67" s="62">
        <v>195</v>
      </c>
      <c r="AT67" s="62">
        <v>45</v>
      </c>
      <c r="AU67" s="62">
        <v>240</v>
      </c>
      <c r="AV67" s="62">
        <v>300</v>
      </c>
      <c r="AW67" s="47" t="s">
        <v>74</v>
      </c>
      <c r="AX67" s="64">
        <v>45156</v>
      </c>
      <c r="AY67" s="64" t="s">
        <v>2392</v>
      </c>
      <c r="AZ67" s="87"/>
      <c r="BA67" s="64"/>
      <c r="BB67" s="64"/>
      <c r="BC67" s="64"/>
      <c r="BD67" s="46"/>
      <c r="BE67" s="46" t="e">
        <v>#REF!</v>
      </c>
      <c r="BF67" s="46" t="s">
        <v>79</v>
      </c>
      <c r="BG67" s="65">
        <v>0.75</v>
      </c>
      <c r="BH67" s="66"/>
      <c r="BI67" s="63" t="s">
        <v>2391</v>
      </c>
    </row>
    <row r="68" spans="1:61" ht="51" x14ac:dyDescent="0.2">
      <c r="A68" s="45" t="s">
        <v>2393</v>
      </c>
      <c r="B68" s="46"/>
      <c r="C68" s="46" t="s">
        <v>2394</v>
      </c>
      <c r="D68" s="46" t="s">
        <v>2204</v>
      </c>
      <c r="E68" s="46" t="s">
        <v>2305</v>
      </c>
      <c r="F68" s="46" t="s">
        <v>68</v>
      </c>
      <c r="G68" s="46" t="s">
        <v>68</v>
      </c>
      <c r="H68" s="46" t="s">
        <v>68</v>
      </c>
      <c r="I68" s="46" t="s">
        <v>68</v>
      </c>
      <c r="J68" s="46" t="s">
        <v>71</v>
      </c>
      <c r="K68" s="47">
        <v>150</v>
      </c>
      <c r="L68" s="47">
        <v>110</v>
      </c>
      <c r="M68" s="47">
        <v>260</v>
      </c>
      <c r="N68" s="46"/>
      <c r="O68" s="71" t="s">
        <v>68</v>
      </c>
      <c r="P68" s="64"/>
      <c r="Q68" s="46" t="s">
        <v>2129</v>
      </c>
      <c r="R68" s="46" t="s">
        <v>2385</v>
      </c>
      <c r="S68" s="49">
        <v>65</v>
      </c>
      <c r="T68" s="49">
        <v>325</v>
      </c>
      <c r="U68" s="28">
        <v>0.26923076923076922</v>
      </c>
      <c r="V68" s="67">
        <v>0.36153846153846153</v>
      </c>
      <c r="W68" s="51">
        <v>0.73333333333333328</v>
      </c>
      <c r="X68" s="52">
        <v>32.5</v>
      </c>
      <c r="Y68" s="52">
        <v>30</v>
      </c>
      <c r="Z68" s="52">
        <v>175</v>
      </c>
      <c r="AA68" s="52">
        <v>237.5</v>
      </c>
      <c r="AB68" s="53">
        <v>0.73076923076923073</v>
      </c>
      <c r="AC68" s="68">
        <v>87.5</v>
      </c>
      <c r="AD68" s="55">
        <v>0.26923076923076922</v>
      </c>
      <c r="AE68" s="73">
        <v>3</v>
      </c>
      <c r="AF68" s="57" t="s">
        <v>95</v>
      </c>
      <c r="AG68" s="58">
        <v>150</v>
      </c>
      <c r="AH68" s="58">
        <v>110</v>
      </c>
      <c r="AI68" s="58">
        <v>260</v>
      </c>
      <c r="AJ68" s="49">
        <v>65</v>
      </c>
      <c r="AK68" s="49">
        <v>325</v>
      </c>
      <c r="AL68" s="52">
        <v>32.5</v>
      </c>
      <c r="AM68" s="52">
        <v>175</v>
      </c>
      <c r="AN68" s="52">
        <v>207.5</v>
      </c>
      <c r="AO68" s="59">
        <v>0.63846153846153841</v>
      </c>
      <c r="AP68" s="60">
        <v>117.5</v>
      </c>
      <c r="AQ68" s="61">
        <v>0.36153846153846153</v>
      </c>
      <c r="AR68" s="60" t="s">
        <v>78</v>
      </c>
      <c r="AS68" s="62">
        <v>240</v>
      </c>
      <c r="AT68" s="62">
        <v>176</v>
      </c>
      <c r="AU68" s="62">
        <v>416</v>
      </c>
      <c r="AV68" s="62">
        <v>520</v>
      </c>
      <c r="AW68" s="47" t="s">
        <v>74</v>
      </c>
      <c r="AX68" s="64">
        <v>45156</v>
      </c>
      <c r="AY68" s="64" t="s">
        <v>2395</v>
      </c>
      <c r="AZ68" s="87"/>
      <c r="BA68" s="64"/>
      <c r="BB68" s="64"/>
      <c r="BC68" s="64"/>
      <c r="BD68" s="46"/>
      <c r="BE68" s="46" t="e">
        <v>#REF!</v>
      </c>
      <c r="BF68" s="46" t="s">
        <v>75</v>
      </c>
      <c r="BG68" s="65">
        <v>1</v>
      </c>
      <c r="BH68" s="66"/>
      <c r="BI68" s="63" t="s">
        <v>2396</v>
      </c>
    </row>
    <row r="69" spans="1:61" ht="51" x14ac:dyDescent="0.2">
      <c r="A69" s="45" t="s">
        <v>2397</v>
      </c>
      <c r="B69" s="46"/>
      <c r="C69" s="46" t="s">
        <v>2394</v>
      </c>
      <c r="D69" s="46" t="s">
        <v>2209</v>
      </c>
      <c r="E69" s="46" t="s">
        <v>2305</v>
      </c>
      <c r="F69" s="46" t="s">
        <v>68</v>
      </c>
      <c r="G69" s="46" t="s">
        <v>68</v>
      </c>
      <c r="H69" s="46" t="s">
        <v>68</v>
      </c>
      <c r="I69" s="46" t="s">
        <v>68</v>
      </c>
      <c r="J69" s="46" t="s">
        <v>71</v>
      </c>
      <c r="K69" s="47">
        <v>170</v>
      </c>
      <c r="L69" s="47">
        <v>210</v>
      </c>
      <c r="M69" s="47">
        <v>380</v>
      </c>
      <c r="N69" s="46"/>
      <c r="O69" s="71" t="s">
        <v>68</v>
      </c>
      <c r="P69" s="64"/>
      <c r="Q69" s="46" t="s">
        <v>2129</v>
      </c>
      <c r="R69" s="46" t="s">
        <v>2385</v>
      </c>
      <c r="S69" s="49">
        <v>95</v>
      </c>
      <c r="T69" s="49">
        <v>475</v>
      </c>
      <c r="U69" s="50">
        <v>0.19473684210526315</v>
      </c>
      <c r="V69" s="28">
        <v>0.25789473684210529</v>
      </c>
      <c r="W69" s="74">
        <v>1.2352941176470589</v>
      </c>
      <c r="X69" s="52">
        <v>47.5</v>
      </c>
      <c r="Y69" s="52">
        <v>30</v>
      </c>
      <c r="Z69" s="52">
        <v>305</v>
      </c>
      <c r="AA69" s="52">
        <v>382.5</v>
      </c>
      <c r="AB69" s="53">
        <v>0.80526315789473679</v>
      </c>
      <c r="AC69" s="54">
        <v>92.5</v>
      </c>
      <c r="AD69" s="55">
        <v>0.19473684210526315</v>
      </c>
      <c r="AE69" s="73">
        <v>3</v>
      </c>
      <c r="AF69" s="57" t="s">
        <v>95</v>
      </c>
      <c r="AG69" s="58">
        <v>170</v>
      </c>
      <c r="AH69" s="58">
        <v>210</v>
      </c>
      <c r="AI69" s="58">
        <v>380</v>
      </c>
      <c r="AJ69" s="49">
        <v>95</v>
      </c>
      <c r="AK69" s="49">
        <v>475</v>
      </c>
      <c r="AL69" s="52">
        <v>47.5</v>
      </c>
      <c r="AM69" s="52">
        <v>305</v>
      </c>
      <c r="AN69" s="52">
        <v>352.5</v>
      </c>
      <c r="AO69" s="59">
        <v>0.74210526315789471</v>
      </c>
      <c r="AP69" s="60">
        <v>122.5</v>
      </c>
      <c r="AQ69" s="61">
        <v>0.25789473684210529</v>
      </c>
      <c r="AR69" s="60" t="s">
        <v>78</v>
      </c>
      <c r="AS69" s="62">
        <v>272</v>
      </c>
      <c r="AT69" s="62">
        <v>336</v>
      </c>
      <c r="AU69" s="62">
        <v>608</v>
      </c>
      <c r="AV69" s="62">
        <v>760</v>
      </c>
      <c r="AW69" s="47" t="s">
        <v>74</v>
      </c>
      <c r="AX69" s="64">
        <v>45156</v>
      </c>
      <c r="AY69" s="64" t="s">
        <v>2398</v>
      </c>
      <c r="AZ69" s="87"/>
      <c r="BA69" s="64"/>
      <c r="BB69" s="64"/>
      <c r="BC69" s="64"/>
      <c r="BD69" s="46"/>
      <c r="BE69" s="46" t="e">
        <v>#REF!</v>
      </c>
      <c r="BF69" s="46" t="s">
        <v>75</v>
      </c>
      <c r="BG69" s="65">
        <v>1</v>
      </c>
      <c r="BH69" s="66"/>
      <c r="BI69" s="63" t="s">
        <v>2399</v>
      </c>
    </row>
    <row r="70" spans="1:61" ht="38.25" x14ac:dyDescent="0.2">
      <c r="A70" s="45" t="s">
        <v>2400</v>
      </c>
      <c r="B70" s="46"/>
      <c r="C70" s="46" t="s">
        <v>2401</v>
      </c>
      <c r="D70" s="46" t="s">
        <v>68</v>
      </c>
      <c r="E70" s="46" t="s">
        <v>68</v>
      </c>
      <c r="F70" s="46" t="s">
        <v>68</v>
      </c>
      <c r="G70" s="46" t="s">
        <v>68</v>
      </c>
      <c r="H70" s="46" t="s">
        <v>68</v>
      </c>
      <c r="I70" s="46" t="s">
        <v>68</v>
      </c>
      <c r="J70" s="46" t="s">
        <v>71</v>
      </c>
      <c r="K70" s="47">
        <v>140</v>
      </c>
      <c r="L70" s="47">
        <v>50</v>
      </c>
      <c r="M70" s="47">
        <v>190</v>
      </c>
      <c r="N70" s="46"/>
      <c r="O70" s="71" t="s">
        <v>68</v>
      </c>
      <c r="P70" s="64"/>
      <c r="Q70" s="46" t="s">
        <v>2129</v>
      </c>
      <c r="R70" s="46" t="s">
        <v>2385</v>
      </c>
      <c r="S70" s="49">
        <v>47.5</v>
      </c>
      <c r="T70" s="49">
        <v>237.5</v>
      </c>
      <c r="U70" s="67">
        <v>0.36315789473684212</v>
      </c>
      <c r="V70" s="50">
        <v>0.18717948717948718</v>
      </c>
      <c r="W70" s="51">
        <v>0.35714285714285715</v>
      </c>
      <c r="X70" s="52">
        <v>23.75</v>
      </c>
      <c r="Y70" s="52">
        <v>30</v>
      </c>
      <c r="Z70" s="52">
        <v>97.5</v>
      </c>
      <c r="AA70" s="52">
        <v>151.25</v>
      </c>
      <c r="AB70" s="53">
        <v>0.63684210526315788</v>
      </c>
      <c r="AC70" s="68">
        <v>86.25</v>
      </c>
      <c r="AD70" s="55">
        <v>0.36315789473684212</v>
      </c>
      <c r="AE70" s="69">
        <v>1</v>
      </c>
      <c r="AF70" s="57" t="s">
        <v>77</v>
      </c>
      <c r="AG70" s="58">
        <v>28</v>
      </c>
      <c r="AH70" s="58">
        <v>50</v>
      </c>
      <c r="AI70" s="58">
        <v>78</v>
      </c>
      <c r="AJ70" s="49">
        <v>19.5</v>
      </c>
      <c r="AK70" s="49">
        <v>97.5</v>
      </c>
      <c r="AL70" s="52">
        <v>9.75</v>
      </c>
      <c r="AM70" s="52">
        <v>69.5</v>
      </c>
      <c r="AN70" s="52">
        <v>79.25</v>
      </c>
      <c r="AO70" s="59">
        <v>0.81282051282051282</v>
      </c>
      <c r="AP70" s="60">
        <v>18.25</v>
      </c>
      <c r="AQ70" s="61">
        <v>0.18717948717948718</v>
      </c>
      <c r="AR70" s="60" t="s">
        <v>73</v>
      </c>
      <c r="AS70" s="62">
        <v>182</v>
      </c>
      <c r="AT70" s="62">
        <v>65</v>
      </c>
      <c r="AU70" s="62">
        <v>247</v>
      </c>
      <c r="AV70" s="62">
        <v>308.75</v>
      </c>
      <c r="AW70" s="47" t="s">
        <v>74</v>
      </c>
      <c r="AX70" s="64">
        <v>45156</v>
      </c>
      <c r="AY70" s="64" t="s">
        <v>2402</v>
      </c>
      <c r="AZ70" s="87"/>
      <c r="BA70" s="64"/>
      <c r="BB70" s="64"/>
      <c r="BC70" s="64"/>
      <c r="BD70" s="46"/>
      <c r="BE70" s="46" t="e">
        <v>#REF!</v>
      </c>
      <c r="BF70" s="46" t="s">
        <v>79</v>
      </c>
      <c r="BG70" s="65">
        <v>0.5</v>
      </c>
      <c r="BH70" s="66"/>
      <c r="BI70" s="63" t="s">
        <v>2401</v>
      </c>
    </row>
    <row r="71" spans="1:61" ht="63.75" x14ac:dyDescent="0.2">
      <c r="A71" s="45" t="s">
        <v>2403</v>
      </c>
      <c r="B71" s="46"/>
      <c r="C71" s="46" t="s">
        <v>2404</v>
      </c>
      <c r="D71" s="46" t="s">
        <v>2313</v>
      </c>
      <c r="E71" s="46" t="s">
        <v>2314</v>
      </c>
      <c r="F71" s="46" t="s">
        <v>2157</v>
      </c>
      <c r="G71" s="46" t="s">
        <v>68</v>
      </c>
      <c r="H71" s="46" t="s">
        <v>68</v>
      </c>
      <c r="I71" s="46" t="s">
        <v>68</v>
      </c>
      <c r="J71" s="46" t="s">
        <v>71</v>
      </c>
      <c r="K71" s="47">
        <v>160</v>
      </c>
      <c r="L71" s="47">
        <v>70</v>
      </c>
      <c r="M71" s="47">
        <v>230</v>
      </c>
      <c r="N71" s="46"/>
      <c r="O71" s="71" t="s">
        <v>68</v>
      </c>
      <c r="P71" s="64"/>
      <c r="Q71" s="46" t="s">
        <v>2129</v>
      </c>
      <c r="R71" s="46" t="s">
        <v>2385</v>
      </c>
      <c r="S71" s="49">
        <v>57.5</v>
      </c>
      <c r="T71" s="49">
        <v>287.5</v>
      </c>
      <c r="U71" s="67">
        <v>0.35217391304347828</v>
      </c>
      <c r="V71" s="67">
        <v>0.45652173913043476</v>
      </c>
      <c r="W71" s="51">
        <v>0.4375</v>
      </c>
      <c r="X71" s="52">
        <v>28.75</v>
      </c>
      <c r="Y71" s="52">
        <v>30</v>
      </c>
      <c r="Z71" s="52">
        <v>127.5</v>
      </c>
      <c r="AA71" s="52">
        <v>186.25</v>
      </c>
      <c r="AB71" s="53">
        <v>0.64782608695652177</v>
      </c>
      <c r="AC71" s="54">
        <v>101.25</v>
      </c>
      <c r="AD71" s="55">
        <v>0.35217391304347828</v>
      </c>
      <c r="AE71" s="73">
        <v>3</v>
      </c>
      <c r="AF71" s="57" t="s">
        <v>95</v>
      </c>
      <c r="AG71" s="58">
        <v>160</v>
      </c>
      <c r="AH71" s="58">
        <v>70</v>
      </c>
      <c r="AI71" s="58">
        <v>230</v>
      </c>
      <c r="AJ71" s="49">
        <v>57.5</v>
      </c>
      <c r="AK71" s="49">
        <v>287.5</v>
      </c>
      <c r="AL71" s="52">
        <v>28.75</v>
      </c>
      <c r="AM71" s="52">
        <v>127.5</v>
      </c>
      <c r="AN71" s="52">
        <v>156.25</v>
      </c>
      <c r="AO71" s="59">
        <v>0.54347826086956519</v>
      </c>
      <c r="AP71" s="60">
        <v>131.25</v>
      </c>
      <c r="AQ71" s="61">
        <v>0.45652173913043476</v>
      </c>
      <c r="AR71" s="60" t="s">
        <v>78</v>
      </c>
      <c r="AS71" s="62">
        <v>256</v>
      </c>
      <c r="AT71" s="62">
        <v>112</v>
      </c>
      <c r="AU71" s="62">
        <v>368</v>
      </c>
      <c r="AV71" s="62">
        <v>460</v>
      </c>
      <c r="AW71" s="47" t="s">
        <v>74</v>
      </c>
      <c r="AX71" s="64">
        <v>45156</v>
      </c>
      <c r="AY71" s="64" t="s">
        <v>2405</v>
      </c>
      <c r="AZ71" s="87"/>
      <c r="BA71" s="64"/>
      <c r="BB71" s="64"/>
      <c r="BC71" s="64"/>
      <c r="BD71" s="46"/>
      <c r="BE71" s="46" t="e">
        <v>#REF!</v>
      </c>
      <c r="BF71" s="46" t="s">
        <v>79</v>
      </c>
      <c r="BG71" s="65">
        <v>0.75</v>
      </c>
      <c r="BH71" s="66"/>
      <c r="BI71" s="63" t="s">
        <v>2406</v>
      </c>
    </row>
    <row r="72" spans="1:61" ht="63.75" x14ac:dyDescent="0.2">
      <c r="A72" s="45" t="s">
        <v>2407</v>
      </c>
      <c r="B72" s="46"/>
      <c r="C72" s="46" t="s">
        <v>2408</v>
      </c>
      <c r="D72" s="46" t="s">
        <v>2313</v>
      </c>
      <c r="E72" s="46" t="s">
        <v>2314</v>
      </c>
      <c r="F72" s="46" t="s">
        <v>2157</v>
      </c>
      <c r="G72" s="46" t="s">
        <v>68</v>
      </c>
      <c r="H72" s="46" t="s">
        <v>68</v>
      </c>
      <c r="I72" s="46" t="s">
        <v>68</v>
      </c>
      <c r="J72" s="46" t="s">
        <v>71</v>
      </c>
      <c r="K72" s="47">
        <v>140</v>
      </c>
      <c r="L72" s="47">
        <v>40</v>
      </c>
      <c r="M72" s="47">
        <v>180</v>
      </c>
      <c r="N72" s="46"/>
      <c r="O72" s="71" t="s">
        <v>68</v>
      </c>
      <c r="P72" s="64"/>
      <c r="Q72" s="46" t="s">
        <v>2129</v>
      </c>
      <c r="R72" s="46" t="s">
        <v>2385</v>
      </c>
      <c r="S72" s="49">
        <v>45</v>
      </c>
      <c r="T72" s="49">
        <v>225</v>
      </c>
      <c r="U72" s="67">
        <v>0.3888888888888889</v>
      </c>
      <c r="V72" s="67">
        <v>0.40909090909090912</v>
      </c>
      <c r="W72" s="51">
        <v>0.2857142857142857</v>
      </c>
      <c r="X72" s="52">
        <v>22.5</v>
      </c>
      <c r="Y72" s="52">
        <v>30</v>
      </c>
      <c r="Z72" s="52">
        <v>85</v>
      </c>
      <c r="AA72" s="52">
        <v>137.5</v>
      </c>
      <c r="AB72" s="53">
        <v>0.61111111111111116</v>
      </c>
      <c r="AC72" s="68">
        <v>87.5</v>
      </c>
      <c r="AD72" s="55">
        <v>0.3888888888888889</v>
      </c>
      <c r="AE72" s="56">
        <v>2</v>
      </c>
      <c r="AF72" s="57" t="s">
        <v>72</v>
      </c>
      <c r="AG72" s="58">
        <v>70</v>
      </c>
      <c r="AH72" s="58">
        <v>40</v>
      </c>
      <c r="AI72" s="58">
        <v>110</v>
      </c>
      <c r="AJ72" s="49">
        <v>27.5</v>
      </c>
      <c r="AK72" s="49">
        <v>137.5</v>
      </c>
      <c r="AL72" s="52">
        <v>13.75</v>
      </c>
      <c r="AM72" s="52">
        <v>67.5</v>
      </c>
      <c r="AN72" s="52">
        <v>81.25</v>
      </c>
      <c r="AO72" s="59">
        <v>0.59090909090909094</v>
      </c>
      <c r="AP72" s="60">
        <v>56.25</v>
      </c>
      <c r="AQ72" s="61">
        <v>0.40909090909090912</v>
      </c>
      <c r="AR72" s="60" t="s">
        <v>78</v>
      </c>
      <c r="AS72" s="62">
        <v>210</v>
      </c>
      <c r="AT72" s="62">
        <v>60</v>
      </c>
      <c r="AU72" s="62">
        <v>270</v>
      </c>
      <c r="AV72" s="62">
        <v>337.5</v>
      </c>
      <c r="AW72" s="47" t="s">
        <v>74</v>
      </c>
      <c r="AX72" s="64">
        <v>45156</v>
      </c>
      <c r="AY72" s="64" t="s">
        <v>2409</v>
      </c>
      <c r="AZ72" s="87"/>
      <c r="BA72" s="64"/>
      <c r="BB72" s="64"/>
      <c r="BC72" s="64"/>
      <c r="BD72" s="46"/>
      <c r="BE72" s="46" t="e">
        <v>#REF!</v>
      </c>
      <c r="BF72" s="46" t="s">
        <v>79</v>
      </c>
      <c r="BG72" s="65">
        <v>0.5</v>
      </c>
      <c r="BH72" s="66"/>
      <c r="BI72" s="63" t="s">
        <v>2410</v>
      </c>
    </row>
    <row r="73" spans="1:61" ht="63.75" x14ac:dyDescent="0.2">
      <c r="A73" s="45" t="s">
        <v>2411</v>
      </c>
      <c r="B73" s="46"/>
      <c r="C73" s="46" t="s">
        <v>2412</v>
      </c>
      <c r="D73" s="46" t="s">
        <v>2313</v>
      </c>
      <c r="E73" s="46" t="s">
        <v>2314</v>
      </c>
      <c r="F73" s="46" t="s">
        <v>2157</v>
      </c>
      <c r="G73" s="46" t="s">
        <v>68</v>
      </c>
      <c r="H73" s="46" t="s">
        <v>68</v>
      </c>
      <c r="I73" s="46" t="s">
        <v>68</v>
      </c>
      <c r="J73" s="46" t="s">
        <v>71</v>
      </c>
      <c r="K73" s="47">
        <v>140</v>
      </c>
      <c r="L73" s="47">
        <v>30</v>
      </c>
      <c r="M73" s="47">
        <v>170</v>
      </c>
      <c r="N73" s="46"/>
      <c r="O73" s="71" t="s">
        <v>68</v>
      </c>
      <c r="P73" s="64"/>
      <c r="Q73" s="46" t="s">
        <v>2129</v>
      </c>
      <c r="R73" s="46" t="s">
        <v>2385</v>
      </c>
      <c r="S73" s="49">
        <v>42.5</v>
      </c>
      <c r="T73" s="49">
        <v>212.5</v>
      </c>
      <c r="U73" s="67">
        <v>0.41764705882352943</v>
      </c>
      <c r="V73" s="67">
        <v>0.46</v>
      </c>
      <c r="W73" s="51">
        <v>0.21428571428571427</v>
      </c>
      <c r="X73" s="52">
        <v>21.25</v>
      </c>
      <c r="Y73" s="52">
        <v>30</v>
      </c>
      <c r="Z73" s="52">
        <v>72.5</v>
      </c>
      <c r="AA73" s="52">
        <v>123.75</v>
      </c>
      <c r="AB73" s="53">
        <v>0.58235294117647063</v>
      </c>
      <c r="AC73" s="68">
        <v>88.75</v>
      </c>
      <c r="AD73" s="55">
        <v>0.41764705882352943</v>
      </c>
      <c r="AE73" s="56">
        <v>2</v>
      </c>
      <c r="AF73" s="57" t="s">
        <v>72</v>
      </c>
      <c r="AG73" s="58">
        <v>70</v>
      </c>
      <c r="AH73" s="58">
        <v>30</v>
      </c>
      <c r="AI73" s="58">
        <v>100</v>
      </c>
      <c r="AJ73" s="49">
        <v>25</v>
      </c>
      <c r="AK73" s="49">
        <v>125</v>
      </c>
      <c r="AL73" s="52">
        <v>12.5</v>
      </c>
      <c r="AM73" s="52">
        <v>55</v>
      </c>
      <c r="AN73" s="52">
        <v>67.5</v>
      </c>
      <c r="AO73" s="59">
        <v>0.54</v>
      </c>
      <c r="AP73" s="60">
        <v>57.5</v>
      </c>
      <c r="AQ73" s="61">
        <v>0.46</v>
      </c>
      <c r="AR73" s="60" t="s">
        <v>78</v>
      </c>
      <c r="AS73" s="62">
        <v>210</v>
      </c>
      <c r="AT73" s="62">
        <v>45</v>
      </c>
      <c r="AU73" s="62">
        <v>255</v>
      </c>
      <c r="AV73" s="62">
        <v>318.75</v>
      </c>
      <c r="AW73" s="47" t="s">
        <v>74</v>
      </c>
      <c r="AX73" s="64">
        <v>45156</v>
      </c>
      <c r="AY73" s="64" t="s">
        <v>2413</v>
      </c>
      <c r="AZ73" s="87"/>
      <c r="BA73" s="64"/>
      <c r="BB73" s="64"/>
      <c r="BC73" s="64"/>
      <c r="BD73" s="46"/>
      <c r="BE73" s="46" t="e">
        <v>#REF!</v>
      </c>
      <c r="BF73" s="46" t="s">
        <v>79</v>
      </c>
      <c r="BG73" s="65">
        <v>0.5</v>
      </c>
      <c r="BH73" s="66"/>
      <c r="BI73" s="63" t="s">
        <v>2414</v>
      </c>
    </row>
    <row r="74" spans="1:61" ht="63.75" x14ac:dyDescent="0.2">
      <c r="A74" s="45" t="s">
        <v>2415</v>
      </c>
      <c r="B74" s="46"/>
      <c r="C74" s="46" t="s">
        <v>2416</v>
      </c>
      <c r="D74" s="46" t="s">
        <v>2313</v>
      </c>
      <c r="E74" s="46" t="s">
        <v>2314</v>
      </c>
      <c r="F74" s="46" t="s">
        <v>2327</v>
      </c>
      <c r="G74" s="46" t="s">
        <v>68</v>
      </c>
      <c r="H74" s="46" t="s">
        <v>68</v>
      </c>
      <c r="I74" s="46" t="s">
        <v>68</v>
      </c>
      <c r="J74" s="46" t="s">
        <v>71</v>
      </c>
      <c r="K74" s="47">
        <v>180</v>
      </c>
      <c r="L74" s="47">
        <v>40</v>
      </c>
      <c r="M74" s="47">
        <v>220</v>
      </c>
      <c r="N74" s="46"/>
      <c r="O74" s="71" t="s">
        <v>68</v>
      </c>
      <c r="P74" s="64"/>
      <c r="Q74" s="46" t="s">
        <v>2129</v>
      </c>
      <c r="R74" s="46" t="s">
        <v>2385</v>
      </c>
      <c r="S74" s="49">
        <v>55</v>
      </c>
      <c r="T74" s="49">
        <v>275</v>
      </c>
      <c r="U74" s="67">
        <v>0.44545454545454544</v>
      </c>
      <c r="V74" s="67">
        <v>0.45384615384615384</v>
      </c>
      <c r="W74" s="51">
        <v>0.22222222222222221</v>
      </c>
      <c r="X74" s="52">
        <v>27.5</v>
      </c>
      <c r="Y74" s="52">
        <v>30</v>
      </c>
      <c r="Z74" s="52">
        <v>95</v>
      </c>
      <c r="AA74" s="52">
        <v>152.5</v>
      </c>
      <c r="AB74" s="53">
        <v>0.55454545454545456</v>
      </c>
      <c r="AC74" s="72">
        <v>122.5</v>
      </c>
      <c r="AD74" s="55">
        <v>0.44545454545454544</v>
      </c>
      <c r="AE74" s="56">
        <v>2</v>
      </c>
      <c r="AF74" s="57" t="s">
        <v>72</v>
      </c>
      <c r="AG74" s="58">
        <v>90</v>
      </c>
      <c r="AH74" s="58">
        <v>40</v>
      </c>
      <c r="AI74" s="58">
        <v>130</v>
      </c>
      <c r="AJ74" s="49">
        <v>32.5</v>
      </c>
      <c r="AK74" s="49">
        <v>162.5</v>
      </c>
      <c r="AL74" s="52">
        <v>16.25</v>
      </c>
      <c r="AM74" s="52">
        <v>72.5</v>
      </c>
      <c r="AN74" s="52">
        <v>88.75</v>
      </c>
      <c r="AO74" s="59">
        <v>0.5461538461538461</v>
      </c>
      <c r="AP74" s="60">
        <v>73.75</v>
      </c>
      <c r="AQ74" s="61">
        <v>0.45384615384615384</v>
      </c>
      <c r="AR74" s="60" t="s">
        <v>78</v>
      </c>
      <c r="AS74" s="62">
        <v>270</v>
      </c>
      <c r="AT74" s="62">
        <v>60</v>
      </c>
      <c r="AU74" s="62">
        <v>330</v>
      </c>
      <c r="AV74" s="62">
        <v>412.5</v>
      </c>
      <c r="AW74" s="47" t="s">
        <v>74</v>
      </c>
      <c r="AX74" s="64">
        <v>45156</v>
      </c>
      <c r="AY74" s="64" t="s">
        <v>2417</v>
      </c>
      <c r="AZ74" s="87"/>
      <c r="BA74" s="64"/>
      <c r="BB74" s="64"/>
      <c r="BC74" s="64"/>
      <c r="BD74" s="46"/>
      <c r="BE74" s="46" t="e">
        <v>#REF!</v>
      </c>
      <c r="BF74" s="46" t="s">
        <v>79</v>
      </c>
      <c r="BG74" s="65">
        <v>1</v>
      </c>
      <c r="BH74" s="66"/>
      <c r="BI74" s="63" t="s">
        <v>2418</v>
      </c>
    </row>
    <row r="75" spans="1:61" ht="63.75" x14ac:dyDescent="0.2">
      <c r="A75" s="45" t="s">
        <v>2419</v>
      </c>
      <c r="B75" s="46"/>
      <c r="C75" s="46" t="s">
        <v>2416</v>
      </c>
      <c r="D75" s="46" t="s">
        <v>2313</v>
      </c>
      <c r="E75" s="46" t="s">
        <v>2314</v>
      </c>
      <c r="F75" s="46" t="s">
        <v>2331</v>
      </c>
      <c r="G75" s="46" t="s">
        <v>68</v>
      </c>
      <c r="H75" s="46" t="s">
        <v>68</v>
      </c>
      <c r="I75" s="46" t="s">
        <v>68</v>
      </c>
      <c r="J75" s="46" t="s">
        <v>71</v>
      </c>
      <c r="K75" s="47">
        <v>200</v>
      </c>
      <c r="L75" s="47">
        <v>80</v>
      </c>
      <c r="M75" s="47">
        <v>280</v>
      </c>
      <c r="N75" s="46"/>
      <c r="O75" s="71" t="s">
        <v>68</v>
      </c>
      <c r="P75" s="64"/>
      <c r="Q75" s="46" t="s">
        <v>2129</v>
      </c>
      <c r="R75" s="46" t="s">
        <v>2385</v>
      </c>
      <c r="S75" s="49">
        <v>70</v>
      </c>
      <c r="T75" s="49">
        <v>350</v>
      </c>
      <c r="U75" s="67">
        <v>0.38571428571428573</v>
      </c>
      <c r="V75" s="67">
        <v>0.34444444444444444</v>
      </c>
      <c r="W75" s="51">
        <v>0.4</v>
      </c>
      <c r="X75" s="52">
        <v>35</v>
      </c>
      <c r="Y75" s="52">
        <v>30</v>
      </c>
      <c r="Z75" s="52">
        <v>150</v>
      </c>
      <c r="AA75" s="52">
        <v>215</v>
      </c>
      <c r="AB75" s="53">
        <v>0.61428571428571432</v>
      </c>
      <c r="AC75" s="72">
        <v>135</v>
      </c>
      <c r="AD75" s="55">
        <v>0.38571428571428573</v>
      </c>
      <c r="AE75" s="56">
        <v>2</v>
      </c>
      <c r="AF75" s="57" t="s">
        <v>72</v>
      </c>
      <c r="AG75" s="58">
        <v>100</v>
      </c>
      <c r="AH75" s="58">
        <v>80</v>
      </c>
      <c r="AI75" s="58">
        <v>180</v>
      </c>
      <c r="AJ75" s="49">
        <v>45</v>
      </c>
      <c r="AK75" s="49">
        <v>225</v>
      </c>
      <c r="AL75" s="52">
        <v>22.5</v>
      </c>
      <c r="AM75" s="52">
        <v>125</v>
      </c>
      <c r="AN75" s="52">
        <v>147.5</v>
      </c>
      <c r="AO75" s="59">
        <v>0.65555555555555556</v>
      </c>
      <c r="AP75" s="60">
        <v>77.5</v>
      </c>
      <c r="AQ75" s="61">
        <v>0.34444444444444444</v>
      </c>
      <c r="AR75" s="60" t="s">
        <v>78</v>
      </c>
      <c r="AS75" s="62">
        <v>300</v>
      </c>
      <c r="AT75" s="62">
        <v>120</v>
      </c>
      <c r="AU75" s="62">
        <v>420</v>
      </c>
      <c r="AV75" s="62">
        <v>525</v>
      </c>
      <c r="AW75" s="47" t="s">
        <v>74</v>
      </c>
      <c r="AX75" s="64">
        <v>45156</v>
      </c>
      <c r="AY75" s="64" t="s">
        <v>2420</v>
      </c>
      <c r="AZ75" s="87"/>
      <c r="BA75" s="64"/>
      <c r="BB75" s="64"/>
      <c r="BC75" s="64"/>
      <c r="BD75" s="46"/>
      <c r="BE75" s="46" t="e">
        <v>#REF!</v>
      </c>
      <c r="BF75" s="46" t="s">
        <v>79</v>
      </c>
      <c r="BG75" s="65">
        <v>2</v>
      </c>
      <c r="BH75" s="66"/>
      <c r="BI75" s="63" t="s">
        <v>2421</v>
      </c>
    </row>
    <row r="76" spans="1:61" ht="76.5" x14ac:dyDescent="0.2">
      <c r="A76" s="45" t="s">
        <v>2422</v>
      </c>
      <c r="B76" s="46"/>
      <c r="C76" s="46" t="s">
        <v>2423</v>
      </c>
      <c r="D76" s="46" t="s">
        <v>2313</v>
      </c>
      <c r="E76" s="46" t="s">
        <v>2336</v>
      </c>
      <c r="F76" s="46" t="s">
        <v>2157</v>
      </c>
      <c r="G76" s="46" t="s">
        <v>68</v>
      </c>
      <c r="H76" s="46" t="s">
        <v>68</v>
      </c>
      <c r="I76" s="46" t="s">
        <v>68</v>
      </c>
      <c r="J76" s="46" t="s">
        <v>71</v>
      </c>
      <c r="K76" s="47">
        <v>160</v>
      </c>
      <c r="L76" s="47">
        <v>50</v>
      </c>
      <c r="M76" s="47">
        <v>210</v>
      </c>
      <c r="N76" s="46"/>
      <c r="O76" s="71" t="s">
        <v>68</v>
      </c>
      <c r="P76" s="64"/>
      <c r="Q76" s="46" t="s">
        <v>2129</v>
      </c>
      <c r="R76" s="46" t="s">
        <v>2385</v>
      </c>
      <c r="S76" s="49">
        <v>52.5</v>
      </c>
      <c r="T76" s="49">
        <v>262.5</v>
      </c>
      <c r="U76" s="67">
        <v>0.39523809523809522</v>
      </c>
      <c r="V76" s="67">
        <v>0.3923076923076923</v>
      </c>
      <c r="W76" s="51">
        <v>0.3125</v>
      </c>
      <c r="X76" s="52">
        <v>26.25</v>
      </c>
      <c r="Y76" s="52">
        <v>30</v>
      </c>
      <c r="Z76" s="52">
        <v>102.5</v>
      </c>
      <c r="AA76" s="52">
        <v>158.75</v>
      </c>
      <c r="AB76" s="53">
        <v>0.60476190476190472</v>
      </c>
      <c r="AC76" s="54">
        <v>103.75</v>
      </c>
      <c r="AD76" s="55">
        <v>0.39523809523809522</v>
      </c>
      <c r="AE76" s="56">
        <v>2</v>
      </c>
      <c r="AF76" s="57" t="s">
        <v>72</v>
      </c>
      <c r="AG76" s="58">
        <v>80</v>
      </c>
      <c r="AH76" s="58">
        <v>50</v>
      </c>
      <c r="AI76" s="58">
        <v>130</v>
      </c>
      <c r="AJ76" s="49">
        <v>32.5</v>
      </c>
      <c r="AK76" s="49">
        <v>162.5</v>
      </c>
      <c r="AL76" s="52">
        <v>16.25</v>
      </c>
      <c r="AM76" s="52">
        <v>82.5</v>
      </c>
      <c r="AN76" s="52">
        <v>98.75</v>
      </c>
      <c r="AO76" s="59">
        <v>0.60769230769230764</v>
      </c>
      <c r="AP76" s="60">
        <v>63.75</v>
      </c>
      <c r="AQ76" s="61">
        <v>0.3923076923076923</v>
      </c>
      <c r="AR76" s="60" t="s">
        <v>78</v>
      </c>
      <c r="AS76" s="62">
        <v>240</v>
      </c>
      <c r="AT76" s="62">
        <v>75</v>
      </c>
      <c r="AU76" s="62">
        <v>315</v>
      </c>
      <c r="AV76" s="62">
        <v>393.75</v>
      </c>
      <c r="AW76" s="47" t="s">
        <v>74</v>
      </c>
      <c r="AX76" s="64">
        <v>45156</v>
      </c>
      <c r="AY76" s="64" t="s">
        <v>2424</v>
      </c>
      <c r="AZ76" s="87"/>
      <c r="BA76" s="64"/>
      <c r="BB76" s="64"/>
      <c r="BC76" s="64"/>
      <c r="BD76" s="46"/>
      <c r="BE76" s="46" t="e">
        <v>#REF!</v>
      </c>
      <c r="BF76" s="46" t="s">
        <v>79</v>
      </c>
      <c r="BG76" s="65">
        <v>0.75</v>
      </c>
      <c r="BH76" s="66"/>
      <c r="BI76" s="63" t="s">
        <v>2425</v>
      </c>
    </row>
    <row r="77" spans="1:61" ht="63.75" x14ac:dyDescent="0.2">
      <c r="A77" s="45" t="s">
        <v>2426</v>
      </c>
      <c r="B77" s="46"/>
      <c r="C77" s="46" t="s">
        <v>2427</v>
      </c>
      <c r="D77" s="46" t="s">
        <v>2313</v>
      </c>
      <c r="E77" s="46" t="s">
        <v>2314</v>
      </c>
      <c r="F77" s="46" t="s">
        <v>68</v>
      </c>
      <c r="G77" s="46" t="s">
        <v>68</v>
      </c>
      <c r="H77" s="46" t="s">
        <v>68</v>
      </c>
      <c r="I77" s="46" t="s">
        <v>68</v>
      </c>
      <c r="J77" s="46" t="s">
        <v>71</v>
      </c>
      <c r="K77" s="47">
        <v>150</v>
      </c>
      <c r="L77" s="47">
        <v>40</v>
      </c>
      <c r="M77" s="47">
        <v>190</v>
      </c>
      <c r="N77" s="46"/>
      <c r="O77" s="71" t="s">
        <v>68</v>
      </c>
      <c r="P77" s="64"/>
      <c r="Q77" s="46" t="s">
        <v>2129</v>
      </c>
      <c r="R77" s="46" t="s">
        <v>2385</v>
      </c>
      <c r="S77" s="49">
        <v>47.5</v>
      </c>
      <c r="T77" s="49">
        <v>237.5</v>
      </c>
      <c r="U77" s="67">
        <v>0.40526315789473683</v>
      </c>
      <c r="V77" s="67">
        <v>0.42173913043478262</v>
      </c>
      <c r="W77" s="51">
        <v>0.26666666666666666</v>
      </c>
      <c r="X77" s="52">
        <v>23.75</v>
      </c>
      <c r="Y77" s="52">
        <v>30</v>
      </c>
      <c r="Z77" s="52">
        <v>87.5</v>
      </c>
      <c r="AA77" s="52">
        <v>141.25</v>
      </c>
      <c r="AB77" s="53">
        <v>0.59473684210526312</v>
      </c>
      <c r="AC77" s="54">
        <v>96.25</v>
      </c>
      <c r="AD77" s="55">
        <v>0.40526315789473683</v>
      </c>
      <c r="AE77" s="56">
        <v>2</v>
      </c>
      <c r="AF77" s="57" t="s">
        <v>72</v>
      </c>
      <c r="AG77" s="58">
        <v>75</v>
      </c>
      <c r="AH77" s="58">
        <v>40</v>
      </c>
      <c r="AI77" s="58">
        <v>115</v>
      </c>
      <c r="AJ77" s="49">
        <v>28.75</v>
      </c>
      <c r="AK77" s="49">
        <v>143.75</v>
      </c>
      <c r="AL77" s="52">
        <v>14.375</v>
      </c>
      <c r="AM77" s="52">
        <v>68.75</v>
      </c>
      <c r="AN77" s="52">
        <v>83.125</v>
      </c>
      <c r="AO77" s="59">
        <v>0.57826086956521738</v>
      </c>
      <c r="AP77" s="60">
        <v>60.625</v>
      </c>
      <c r="AQ77" s="61">
        <v>0.42173913043478262</v>
      </c>
      <c r="AR77" s="60" t="s">
        <v>78</v>
      </c>
      <c r="AS77" s="62">
        <v>225</v>
      </c>
      <c r="AT77" s="62">
        <v>60</v>
      </c>
      <c r="AU77" s="62">
        <v>285</v>
      </c>
      <c r="AV77" s="62">
        <v>356.25</v>
      </c>
      <c r="AW77" s="47" t="s">
        <v>74</v>
      </c>
      <c r="AX77" s="64">
        <v>45156</v>
      </c>
      <c r="AY77" s="64" t="s">
        <v>2428</v>
      </c>
      <c r="AZ77" s="87"/>
      <c r="BA77" s="64"/>
      <c r="BB77" s="64"/>
      <c r="BC77" s="64"/>
      <c r="BD77" s="46"/>
      <c r="BE77" s="46" t="e">
        <v>#REF!</v>
      </c>
      <c r="BF77" s="46" t="s">
        <v>79</v>
      </c>
      <c r="BG77" s="65">
        <v>0.5</v>
      </c>
      <c r="BH77" s="66"/>
      <c r="BI77" s="63" t="s">
        <v>2429</v>
      </c>
    </row>
    <row r="78" spans="1:61" ht="63.75" x14ac:dyDescent="0.2">
      <c r="A78" s="45" t="s">
        <v>2430</v>
      </c>
      <c r="B78" s="46"/>
      <c r="C78" s="46" t="s">
        <v>2431</v>
      </c>
      <c r="D78" s="46" t="s">
        <v>2313</v>
      </c>
      <c r="E78" s="46" t="s">
        <v>2314</v>
      </c>
      <c r="F78" s="46" t="s">
        <v>2345</v>
      </c>
      <c r="G78" s="46" t="s">
        <v>68</v>
      </c>
      <c r="H78" s="46" t="s">
        <v>68</v>
      </c>
      <c r="I78" s="46" t="s">
        <v>68</v>
      </c>
      <c r="J78" s="46" t="s">
        <v>71</v>
      </c>
      <c r="K78" s="47">
        <v>180</v>
      </c>
      <c r="L78" s="47">
        <v>0</v>
      </c>
      <c r="M78" s="47">
        <v>180</v>
      </c>
      <c r="N78" s="46"/>
      <c r="O78" s="71" t="s">
        <v>68</v>
      </c>
      <c r="P78" s="64"/>
      <c r="Q78" s="46" t="s">
        <v>2129</v>
      </c>
      <c r="R78" s="46" t="s">
        <v>2385</v>
      </c>
      <c r="S78" s="49">
        <v>45</v>
      </c>
      <c r="T78" s="49">
        <v>225</v>
      </c>
      <c r="U78" s="67">
        <v>0.56666666666666665</v>
      </c>
      <c r="V78" s="67">
        <v>0.7</v>
      </c>
      <c r="W78" s="51">
        <v>0</v>
      </c>
      <c r="X78" s="52">
        <v>22.5</v>
      </c>
      <c r="Y78" s="52">
        <v>30</v>
      </c>
      <c r="Z78" s="52">
        <v>45</v>
      </c>
      <c r="AA78" s="52">
        <v>97.5</v>
      </c>
      <c r="AB78" s="53">
        <v>0.43333333333333335</v>
      </c>
      <c r="AC78" s="72">
        <v>127.5</v>
      </c>
      <c r="AD78" s="55">
        <v>0.56666666666666665</v>
      </c>
      <c r="AE78" s="73">
        <v>3</v>
      </c>
      <c r="AF78" s="57" t="s">
        <v>95</v>
      </c>
      <c r="AG78" s="58">
        <v>180</v>
      </c>
      <c r="AH78" s="58">
        <v>0</v>
      </c>
      <c r="AI78" s="58">
        <v>180</v>
      </c>
      <c r="AJ78" s="49">
        <v>45</v>
      </c>
      <c r="AK78" s="49">
        <v>225</v>
      </c>
      <c r="AL78" s="52">
        <v>22.5</v>
      </c>
      <c r="AM78" s="52">
        <v>45</v>
      </c>
      <c r="AN78" s="52">
        <v>67.5</v>
      </c>
      <c r="AO78" s="59">
        <v>0.3</v>
      </c>
      <c r="AP78" s="60">
        <v>157.5</v>
      </c>
      <c r="AQ78" s="61">
        <v>0.7</v>
      </c>
      <c r="AR78" s="60" t="s">
        <v>78</v>
      </c>
      <c r="AS78" s="62">
        <v>288</v>
      </c>
      <c r="AT78" s="62">
        <v>0</v>
      </c>
      <c r="AU78" s="62">
        <v>288</v>
      </c>
      <c r="AV78" s="62">
        <v>360</v>
      </c>
      <c r="AW78" s="47" t="s">
        <v>74</v>
      </c>
      <c r="AX78" s="64">
        <v>45156</v>
      </c>
      <c r="AY78" s="64" t="s">
        <v>2432</v>
      </c>
      <c r="AZ78" s="87"/>
      <c r="BA78" s="64"/>
      <c r="BB78" s="64"/>
      <c r="BC78" s="64"/>
      <c r="BD78" s="46"/>
      <c r="BE78" s="46" t="e">
        <v>#REF!</v>
      </c>
      <c r="BF78" s="46" t="s">
        <v>79</v>
      </c>
      <c r="BG78" s="65">
        <v>0.5</v>
      </c>
      <c r="BH78" s="66"/>
      <c r="BI78" s="63" t="s">
        <v>2433</v>
      </c>
    </row>
    <row r="79" spans="1:61" ht="89.25" x14ac:dyDescent="0.2">
      <c r="A79" s="45" t="s">
        <v>2434</v>
      </c>
      <c r="B79" s="46"/>
      <c r="C79" s="46" t="s">
        <v>2435</v>
      </c>
      <c r="D79" s="46" t="s">
        <v>2313</v>
      </c>
      <c r="E79" s="46" t="s">
        <v>2350</v>
      </c>
      <c r="F79" s="46" t="s">
        <v>2157</v>
      </c>
      <c r="G79" s="46" t="s">
        <v>68</v>
      </c>
      <c r="H79" s="46" t="s">
        <v>68</v>
      </c>
      <c r="I79" s="46" t="s">
        <v>68</v>
      </c>
      <c r="J79" s="46" t="s">
        <v>71</v>
      </c>
      <c r="K79" s="47">
        <v>200</v>
      </c>
      <c r="L79" s="47">
        <v>160</v>
      </c>
      <c r="M79" s="47">
        <v>360</v>
      </c>
      <c r="N79" s="46"/>
      <c r="O79" s="71" t="s">
        <v>68</v>
      </c>
      <c r="P79" s="64"/>
      <c r="Q79" s="46" t="s">
        <v>2129</v>
      </c>
      <c r="R79" s="46" t="s">
        <v>2385</v>
      </c>
      <c r="S79" s="49">
        <v>90</v>
      </c>
      <c r="T79" s="49">
        <v>450</v>
      </c>
      <c r="U79" s="28">
        <v>0.27777777777777779</v>
      </c>
      <c r="V79" s="67">
        <v>0.34444444444444444</v>
      </c>
      <c r="W79" s="51">
        <v>0.8</v>
      </c>
      <c r="X79" s="52">
        <v>45</v>
      </c>
      <c r="Y79" s="52">
        <v>30</v>
      </c>
      <c r="Z79" s="52">
        <v>250</v>
      </c>
      <c r="AA79" s="52">
        <v>325</v>
      </c>
      <c r="AB79" s="53">
        <v>0.72222222222222221</v>
      </c>
      <c r="AC79" s="72">
        <v>125</v>
      </c>
      <c r="AD79" s="55">
        <v>0.27777777777777779</v>
      </c>
      <c r="AE79" s="73">
        <v>3</v>
      </c>
      <c r="AF79" s="57" t="s">
        <v>95</v>
      </c>
      <c r="AG79" s="58">
        <v>200</v>
      </c>
      <c r="AH79" s="58">
        <v>160</v>
      </c>
      <c r="AI79" s="58">
        <v>360</v>
      </c>
      <c r="AJ79" s="49">
        <v>90</v>
      </c>
      <c r="AK79" s="49">
        <v>450</v>
      </c>
      <c r="AL79" s="52">
        <v>45</v>
      </c>
      <c r="AM79" s="52">
        <v>250</v>
      </c>
      <c r="AN79" s="52">
        <v>295</v>
      </c>
      <c r="AO79" s="59">
        <v>0.65555555555555556</v>
      </c>
      <c r="AP79" s="60">
        <v>155</v>
      </c>
      <c r="AQ79" s="61">
        <v>0.34444444444444444</v>
      </c>
      <c r="AR79" s="60" t="s">
        <v>78</v>
      </c>
      <c r="AS79" s="62">
        <v>320</v>
      </c>
      <c r="AT79" s="62">
        <v>256</v>
      </c>
      <c r="AU79" s="62">
        <v>576</v>
      </c>
      <c r="AV79" s="62">
        <v>720</v>
      </c>
      <c r="AW79" s="47" t="s">
        <v>74</v>
      </c>
      <c r="AX79" s="64">
        <v>45156</v>
      </c>
      <c r="AY79" s="64" t="s">
        <v>2436</v>
      </c>
      <c r="AZ79" s="87"/>
      <c r="BA79" s="64"/>
      <c r="BB79" s="64"/>
      <c r="BC79" s="64"/>
      <c r="BD79" s="46"/>
      <c r="BE79" s="46" t="e">
        <v>#REF!</v>
      </c>
      <c r="BF79" s="46" t="s">
        <v>75</v>
      </c>
      <c r="BG79" s="65">
        <v>2</v>
      </c>
      <c r="BH79" s="66"/>
      <c r="BI79" s="63" t="s">
        <v>2437</v>
      </c>
    </row>
    <row r="80" spans="1:61" ht="63.75" x14ac:dyDescent="0.2">
      <c r="A80" s="45" t="s">
        <v>2438</v>
      </c>
      <c r="B80" s="46"/>
      <c r="C80" s="46" t="s">
        <v>2404</v>
      </c>
      <c r="D80" s="46" t="s">
        <v>444</v>
      </c>
      <c r="E80" s="46" t="s">
        <v>2314</v>
      </c>
      <c r="F80" s="46" t="s">
        <v>2157</v>
      </c>
      <c r="G80" s="46" t="s">
        <v>68</v>
      </c>
      <c r="H80" s="46" t="s">
        <v>68</v>
      </c>
      <c r="I80" s="46" t="s">
        <v>68</v>
      </c>
      <c r="J80" s="46" t="s">
        <v>71</v>
      </c>
      <c r="K80" s="47">
        <v>160</v>
      </c>
      <c r="L80" s="47">
        <v>40</v>
      </c>
      <c r="M80" s="47">
        <v>200</v>
      </c>
      <c r="N80" s="46"/>
      <c r="O80" s="71" t="s">
        <v>68</v>
      </c>
      <c r="P80" s="64"/>
      <c r="Q80" s="46" t="s">
        <v>2129</v>
      </c>
      <c r="R80" s="46" t="s">
        <v>2385</v>
      </c>
      <c r="S80" s="49">
        <v>50</v>
      </c>
      <c r="T80" s="49">
        <v>250</v>
      </c>
      <c r="U80" s="67">
        <v>0.42</v>
      </c>
      <c r="V80" s="67">
        <v>0.43333333333333335</v>
      </c>
      <c r="W80" s="51">
        <v>0.25</v>
      </c>
      <c r="X80" s="52">
        <v>25</v>
      </c>
      <c r="Y80" s="52">
        <v>30</v>
      </c>
      <c r="Z80" s="52">
        <v>90</v>
      </c>
      <c r="AA80" s="52">
        <v>145</v>
      </c>
      <c r="AB80" s="53">
        <v>0.57999999999999996</v>
      </c>
      <c r="AC80" s="54">
        <v>105</v>
      </c>
      <c r="AD80" s="55">
        <v>0.42</v>
      </c>
      <c r="AE80" s="56">
        <v>2</v>
      </c>
      <c r="AF80" s="57" t="s">
        <v>72</v>
      </c>
      <c r="AG80" s="58">
        <v>80</v>
      </c>
      <c r="AH80" s="58">
        <v>40</v>
      </c>
      <c r="AI80" s="58">
        <v>120</v>
      </c>
      <c r="AJ80" s="49">
        <v>30</v>
      </c>
      <c r="AK80" s="49">
        <v>150</v>
      </c>
      <c r="AL80" s="52">
        <v>15</v>
      </c>
      <c r="AM80" s="52">
        <v>70</v>
      </c>
      <c r="AN80" s="52">
        <v>85</v>
      </c>
      <c r="AO80" s="59">
        <v>0.56666666666666665</v>
      </c>
      <c r="AP80" s="60">
        <v>65</v>
      </c>
      <c r="AQ80" s="61">
        <v>0.43333333333333335</v>
      </c>
      <c r="AR80" s="60" t="s">
        <v>78</v>
      </c>
      <c r="AS80" s="62">
        <v>240</v>
      </c>
      <c r="AT80" s="62">
        <v>60</v>
      </c>
      <c r="AU80" s="62">
        <v>300</v>
      </c>
      <c r="AV80" s="62">
        <v>375</v>
      </c>
      <c r="AW80" s="47" t="s">
        <v>74</v>
      </c>
      <c r="AX80" s="64">
        <v>45156</v>
      </c>
      <c r="AY80" s="64" t="s">
        <v>2439</v>
      </c>
      <c r="AZ80" s="87"/>
      <c r="BA80" s="64"/>
      <c r="BB80" s="64"/>
      <c r="BC80" s="64"/>
      <c r="BD80" s="46"/>
      <c r="BE80" s="46" t="e">
        <v>#REF!</v>
      </c>
      <c r="BF80" s="46" t="s">
        <v>79</v>
      </c>
      <c r="BG80" s="65">
        <v>0.75</v>
      </c>
      <c r="BH80" s="66"/>
      <c r="BI80" s="63" t="s">
        <v>2440</v>
      </c>
    </row>
    <row r="81" spans="1:61" ht="63.75" x14ac:dyDescent="0.2">
      <c r="A81" s="45" t="s">
        <v>2441</v>
      </c>
      <c r="B81" s="46"/>
      <c r="C81" s="46" t="s">
        <v>2408</v>
      </c>
      <c r="D81" s="46" t="s">
        <v>444</v>
      </c>
      <c r="E81" s="46" t="s">
        <v>2314</v>
      </c>
      <c r="F81" s="46" t="s">
        <v>2157</v>
      </c>
      <c r="G81" s="46" t="s">
        <v>68</v>
      </c>
      <c r="H81" s="46" t="s">
        <v>68</v>
      </c>
      <c r="I81" s="46" t="s">
        <v>68</v>
      </c>
      <c r="J81" s="46" t="s">
        <v>71</v>
      </c>
      <c r="K81" s="47">
        <v>130</v>
      </c>
      <c r="L81" s="47">
        <v>30</v>
      </c>
      <c r="M81" s="47">
        <v>160</v>
      </c>
      <c r="N81" s="46"/>
      <c r="O81" s="71" t="s">
        <v>68</v>
      </c>
      <c r="P81" s="64"/>
      <c r="Q81" s="46" t="s">
        <v>2129</v>
      </c>
      <c r="R81" s="46" t="s">
        <v>2385</v>
      </c>
      <c r="S81" s="49">
        <v>40</v>
      </c>
      <c r="T81" s="49">
        <v>200</v>
      </c>
      <c r="U81" s="67">
        <v>0.4</v>
      </c>
      <c r="V81" s="67">
        <v>0.44736842105263158</v>
      </c>
      <c r="W81" s="51">
        <v>0.23076923076923078</v>
      </c>
      <c r="X81" s="52">
        <v>20</v>
      </c>
      <c r="Y81" s="52">
        <v>30</v>
      </c>
      <c r="Z81" s="52">
        <v>70</v>
      </c>
      <c r="AA81" s="52">
        <v>120</v>
      </c>
      <c r="AB81" s="53">
        <v>0.6</v>
      </c>
      <c r="AC81" s="68">
        <v>80</v>
      </c>
      <c r="AD81" s="55">
        <v>0.4</v>
      </c>
      <c r="AE81" s="56">
        <v>2</v>
      </c>
      <c r="AF81" s="57" t="s">
        <v>72</v>
      </c>
      <c r="AG81" s="58">
        <v>65</v>
      </c>
      <c r="AH81" s="58">
        <v>30</v>
      </c>
      <c r="AI81" s="58">
        <v>95</v>
      </c>
      <c r="AJ81" s="49">
        <v>23.75</v>
      </c>
      <c r="AK81" s="49">
        <v>118.75</v>
      </c>
      <c r="AL81" s="52">
        <v>11.875</v>
      </c>
      <c r="AM81" s="52">
        <v>53.75</v>
      </c>
      <c r="AN81" s="52">
        <v>65.625</v>
      </c>
      <c r="AO81" s="59">
        <v>0.55263157894736847</v>
      </c>
      <c r="AP81" s="60">
        <v>53.125</v>
      </c>
      <c r="AQ81" s="61">
        <v>0.44736842105263158</v>
      </c>
      <c r="AR81" s="60" t="s">
        <v>78</v>
      </c>
      <c r="AS81" s="62">
        <v>195</v>
      </c>
      <c r="AT81" s="62">
        <v>45</v>
      </c>
      <c r="AU81" s="62">
        <v>240</v>
      </c>
      <c r="AV81" s="62">
        <v>300</v>
      </c>
      <c r="AW81" s="47" t="s">
        <v>74</v>
      </c>
      <c r="AX81" s="64">
        <v>45156</v>
      </c>
      <c r="AY81" s="64" t="s">
        <v>2442</v>
      </c>
      <c r="AZ81" s="87"/>
      <c r="BA81" s="64"/>
      <c r="BB81" s="64"/>
      <c r="BC81" s="64"/>
      <c r="BD81" s="46"/>
      <c r="BE81" s="46" t="e">
        <v>#REF!</v>
      </c>
      <c r="BF81" s="46" t="s">
        <v>79</v>
      </c>
      <c r="BG81" s="65">
        <v>0.5</v>
      </c>
      <c r="BH81" s="66"/>
      <c r="BI81" s="63" t="s">
        <v>2443</v>
      </c>
    </row>
    <row r="82" spans="1:61" ht="63.75" x14ac:dyDescent="0.2">
      <c r="A82" s="45" t="s">
        <v>2444</v>
      </c>
      <c r="B82" s="46"/>
      <c r="C82" s="46" t="s">
        <v>2412</v>
      </c>
      <c r="D82" s="46" t="s">
        <v>444</v>
      </c>
      <c r="E82" s="46" t="s">
        <v>2314</v>
      </c>
      <c r="F82" s="46" t="s">
        <v>2157</v>
      </c>
      <c r="G82" s="46" t="s">
        <v>68</v>
      </c>
      <c r="H82" s="46" t="s">
        <v>68</v>
      </c>
      <c r="I82" s="46" t="s">
        <v>68</v>
      </c>
      <c r="J82" s="46" t="s">
        <v>71</v>
      </c>
      <c r="K82" s="47">
        <v>140</v>
      </c>
      <c r="L82" s="47">
        <v>40</v>
      </c>
      <c r="M82" s="47">
        <v>180</v>
      </c>
      <c r="N82" s="46"/>
      <c r="O82" s="71" t="s">
        <v>68</v>
      </c>
      <c r="P82" s="64"/>
      <c r="Q82" s="46" t="s">
        <v>2129</v>
      </c>
      <c r="R82" s="46" t="s">
        <v>2385</v>
      </c>
      <c r="S82" s="49">
        <v>45</v>
      </c>
      <c r="T82" s="49">
        <v>225</v>
      </c>
      <c r="U82" s="67">
        <v>0.3888888888888889</v>
      </c>
      <c r="V82" s="67">
        <v>0.40909090909090912</v>
      </c>
      <c r="W82" s="51">
        <v>0.2857142857142857</v>
      </c>
      <c r="X82" s="52">
        <v>22.5</v>
      </c>
      <c r="Y82" s="52">
        <v>30</v>
      </c>
      <c r="Z82" s="52">
        <v>85</v>
      </c>
      <c r="AA82" s="52">
        <v>137.5</v>
      </c>
      <c r="AB82" s="53">
        <v>0.61111111111111116</v>
      </c>
      <c r="AC82" s="68">
        <v>87.5</v>
      </c>
      <c r="AD82" s="55">
        <v>0.3888888888888889</v>
      </c>
      <c r="AE82" s="56">
        <v>2</v>
      </c>
      <c r="AF82" s="57" t="s">
        <v>72</v>
      </c>
      <c r="AG82" s="58">
        <v>70</v>
      </c>
      <c r="AH82" s="58">
        <v>40</v>
      </c>
      <c r="AI82" s="58">
        <v>110</v>
      </c>
      <c r="AJ82" s="49">
        <v>27.5</v>
      </c>
      <c r="AK82" s="49">
        <v>137.5</v>
      </c>
      <c r="AL82" s="52">
        <v>13.75</v>
      </c>
      <c r="AM82" s="52">
        <v>67.5</v>
      </c>
      <c r="AN82" s="52">
        <v>81.25</v>
      </c>
      <c r="AO82" s="59">
        <v>0.59090909090909094</v>
      </c>
      <c r="AP82" s="60">
        <v>56.25</v>
      </c>
      <c r="AQ82" s="61">
        <v>0.40909090909090912</v>
      </c>
      <c r="AR82" s="60" t="s">
        <v>78</v>
      </c>
      <c r="AS82" s="62">
        <v>210</v>
      </c>
      <c r="AT82" s="62">
        <v>60</v>
      </c>
      <c r="AU82" s="62">
        <v>270</v>
      </c>
      <c r="AV82" s="62">
        <v>337.5</v>
      </c>
      <c r="AW82" s="47" t="s">
        <v>74</v>
      </c>
      <c r="AX82" s="64">
        <v>45156</v>
      </c>
      <c r="AY82" s="64" t="s">
        <v>2445</v>
      </c>
      <c r="AZ82" s="87"/>
      <c r="BA82" s="64"/>
      <c r="BB82" s="64"/>
      <c r="BC82" s="64"/>
      <c r="BD82" s="46"/>
      <c r="BE82" s="46" t="e">
        <v>#REF!</v>
      </c>
      <c r="BF82" s="46" t="s">
        <v>79</v>
      </c>
      <c r="BG82" s="65">
        <v>0.5</v>
      </c>
      <c r="BH82" s="66"/>
      <c r="BI82" s="63" t="s">
        <v>2446</v>
      </c>
    </row>
    <row r="83" spans="1:61" ht="63.75" x14ac:dyDescent="0.2">
      <c r="A83" s="45" t="s">
        <v>2447</v>
      </c>
      <c r="B83" s="46"/>
      <c r="C83" s="46" t="s">
        <v>2416</v>
      </c>
      <c r="D83" s="46" t="s">
        <v>444</v>
      </c>
      <c r="E83" s="46" t="s">
        <v>2314</v>
      </c>
      <c r="F83" s="46" t="s">
        <v>2327</v>
      </c>
      <c r="G83" s="46" t="s">
        <v>68</v>
      </c>
      <c r="H83" s="46" t="s">
        <v>68</v>
      </c>
      <c r="I83" s="46" t="s">
        <v>68</v>
      </c>
      <c r="J83" s="46" t="s">
        <v>71</v>
      </c>
      <c r="K83" s="47">
        <v>150</v>
      </c>
      <c r="L83" s="47">
        <v>40</v>
      </c>
      <c r="M83" s="47">
        <v>190</v>
      </c>
      <c r="N83" s="46"/>
      <c r="O83" s="71" t="s">
        <v>68</v>
      </c>
      <c r="P83" s="64"/>
      <c r="Q83" s="46" t="s">
        <v>2129</v>
      </c>
      <c r="R83" s="46" t="s">
        <v>2385</v>
      </c>
      <c r="S83" s="49">
        <v>47.5</v>
      </c>
      <c r="T83" s="49">
        <v>237.5</v>
      </c>
      <c r="U83" s="67">
        <v>0.40526315789473683</v>
      </c>
      <c r="V83" s="67">
        <v>0.42173913043478262</v>
      </c>
      <c r="W83" s="51">
        <v>0.26666666666666666</v>
      </c>
      <c r="X83" s="52">
        <v>23.75</v>
      </c>
      <c r="Y83" s="52">
        <v>30</v>
      </c>
      <c r="Z83" s="52">
        <v>87.5</v>
      </c>
      <c r="AA83" s="52">
        <v>141.25</v>
      </c>
      <c r="AB83" s="53">
        <v>0.59473684210526312</v>
      </c>
      <c r="AC83" s="54">
        <v>96.25</v>
      </c>
      <c r="AD83" s="55">
        <v>0.40526315789473683</v>
      </c>
      <c r="AE83" s="56">
        <v>2</v>
      </c>
      <c r="AF83" s="57" t="s">
        <v>72</v>
      </c>
      <c r="AG83" s="58">
        <v>75</v>
      </c>
      <c r="AH83" s="58">
        <v>40</v>
      </c>
      <c r="AI83" s="58">
        <v>115</v>
      </c>
      <c r="AJ83" s="49">
        <v>28.75</v>
      </c>
      <c r="AK83" s="49">
        <v>143.75</v>
      </c>
      <c r="AL83" s="52">
        <v>14.375</v>
      </c>
      <c r="AM83" s="52">
        <v>68.75</v>
      </c>
      <c r="AN83" s="52">
        <v>83.125</v>
      </c>
      <c r="AO83" s="59">
        <v>0.57826086956521738</v>
      </c>
      <c r="AP83" s="60">
        <v>60.625</v>
      </c>
      <c r="AQ83" s="61">
        <v>0.42173913043478262</v>
      </c>
      <c r="AR83" s="60" t="s">
        <v>78</v>
      </c>
      <c r="AS83" s="62">
        <v>225</v>
      </c>
      <c r="AT83" s="62">
        <v>60</v>
      </c>
      <c r="AU83" s="62">
        <v>285</v>
      </c>
      <c r="AV83" s="62">
        <v>356.25</v>
      </c>
      <c r="AW83" s="47" t="s">
        <v>74</v>
      </c>
      <c r="AX83" s="64">
        <v>45156</v>
      </c>
      <c r="AY83" s="64" t="s">
        <v>2448</v>
      </c>
      <c r="AZ83" s="87"/>
      <c r="BA83" s="64"/>
      <c r="BB83" s="64"/>
      <c r="BC83" s="64"/>
      <c r="BD83" s="46"/>
      <c r="BE83" s="46" t="e">
        <v>#REF!</v>
      </c>
      <c r="BF83" s="46" t="s">
        <v>79</v>
      </c>
      <c r="BG83" s="65">
        <v>1</v>
      </c>
      <c r="BH83" s="66"/>
      <c r="BI83" s="63" t="s">
        <v>2449</v>
      </c>
    </row>
    <row r="84" spans="1:61" ht="63.75" x14ac:dyDescent="0.2">
      <c r="A84" s="45" t="s">
        <v>2450</v>
      </c>
      <c r="B84" s="46"/>
      <c r="C84" s="46" t="s">
        <v>2416</v>
      </c>
      <c r="D84" s="46" t="s">
        <v>444</v>
      </c>
      <c r="E84" s="46" t="s">
        <v>2314</v>
      </c>
      <c r="F84" s="46" t="s">
        <v>2331</v>
      </c>
      <c r="G84" s="46" t="s">
        <v>68</v>
      </c>
      <c r="H84" s="46" t="s">
        <v>68</v>
      </c>
      <c r="I84" s="46" t="s">
        <v>68</v>
      </c>
      <c r="J84" s="46" t="s">
        <v>71</v>
      </c>
      <c r="K84" s="47">
        <v>200</v>
      </c>
      <c r="L84" s="47">
        <v>60</v>
      </c>
      <c r="M84" s="47">
        <v>260</v>
      </c>
      <c r="N84" s="46"/>
      <c r="O84" s="71" t="s">
        <v>68</v>
      </c>
      <c r="P84" s="64"/>
      <c r="Q84" s="46" t="s">
        <v>2129</v>
      </c>
      <c r="R84" s="46" t="s">
        <v>2385</v>
      </c>
      <c r="S84" s="49">
        <v>65</v>
      </c>
      <c r="T84" s="49">
        <v>325</v>
      </c>
      <c r="U84" s="67">
        <v>0.42307692307692307</v>
      </c>
      <c r="V84" s="67">
        <v>0.4</v>
      </c>
      <c r="W84" s="51">
        <v>0.3</v>
      </c>
      <c r="X84" s="52">
        <v>32.5</v>
      </c>
      <c r="Y84" s="52">
        <v>30</v>
      </c>
      <c r="Z84" s="52">
        <v>125</v>
      </c>
      <c r="AA84" s="52">
        <v>187.5</v>
      </c>
      <c r="AB84" s="53">
        <v>0.57692307692307687</v>
      </c>
      <c r="AC84" s="72">
        <v>137.5</v>
      </c>
      <c r="AD84" s="55">
        <v>0.42307692307692307</v>
      </c>
      <c r="AE84" s="56">
        <v>2</v>
      </c>
      <c r="AF84" s="57" t="s">
        <v>72</v>
      </c>
      <c r="AG84" s="58">
        <v>100</v>
      </c>
      <c r="AH84" s="58">
        <v>60</v>
      </c>
      <c r="AI84" s="58">
        <v>160</v>
      </c>
      <c r="AJ84" s="49">
        <v>40</v>
      </c>
      <c r="AK84" s="49">
        <v>200</v>
      </c>
      <c r="AL84" s="52">
        <v>20</v>
      </c>
      <c r="AM84" s="52">
        <v>100</v>
      </c>
      <c r="AN84" s="52">
        <v>120</v>
      </c>
      <c r="AO84" s="59">
        <v>0.6</v>
      </c>
      <c r="AP84" s="60">
        <v>80</v>
      </c>
      <c r="AQ84" s="61">
        <v>0.4</v>
      </c>
      <c r="AR84" s="60" t="s">
        <v>78</v>
      </c>
      <c r="AS84" s="62">
        <v>300</v>
      </c>
      <c r="AT84" s="62">
        <v>90</v>
      </c>
      <c r="AU84" s="62">
        <v>390</v>
      </c>
      <c r="AV84" s="62">
        <v>487.5</v>
      </c>
      <c r="AW84" s="47" t="s">
        <v>74</v>
      </c>
      <c r="AX84" s="64">
        <v>45156</v>
      </c>
      <c r="AY84" s="64" t="s">
        <v>2451</v>
      </c>
      <c r="AZ84" s="87"/>
      <c r="BA84" s="64"/>
      <c r="BB84" s="64"/>
      <c r="BC84" s="64"/>
      <c r="BD84" s="46"/>
      <c r="BE84" s="46" t="e">
        <v>#REF!</v>
      </c>
      <c r="BF84" s="46" t="s">
        <v>79</v>
      </c>
      <c r="BG84" s="65">
        <v>2</v>
      </c>
      <c r="BH84" s="66"/>
      <c r="BI84" s="63" t="s">
        <v>2452</v>
      </c>
    </row>
    <row r="85" spans="1:61" ht="76.5" x14ac:dyDescent="0.2">
      <c r="A85" s="45" t="s">
        <v>2453</v>
      </c>
      <c r="B85" s="46"/>
      <c r="C85" s="46" t="s">
        <v>2423</v>
      </c>
      <c r="D85" s="46" t="s">
        <v>444</v>
      </c>
      <c r="E85" s="46" t="s">
        <v>2336</v>
      </c>
      <c r="F85" s="46" t="s">
        <v>2157</v>
      </c>
      <c r="G85" s="46" t="s">
        <v>68</v>
      </c>
      <c r="H85" s="46" t="s">
        <v>68</v>
      </c>
      <c r="I85" s="46" t="s">
        <v>68</v>
      </c>
      <c r="J85" s="46" t="s">
        <v>71</v>
      </c>
      <c r="K85" s="47">
        <v>170</v>
      </c>
      <c r="L85" s="47">
        <v>40</v>
      </c>
      <c r="M85" s="47">
        <v>210</v>
      </c>
      <c r="N85" s="46"/>
      <c r="O85" s="71" t="s">
        <v>68</v>
      </c>
      <c r="P85" s="64"/>
      <c r="Q85" s="46" t="s">
        <v>2129</v>
      </c>
      <c r="R85" s="46" t="s">
        <v>2385</v>
      </c>
      <c r="S85" s="49">
        <v>52.5</v>
      </c>
      <c r="T85" s="49">
        <v>262.5</v>
      </c>
      <c r="U85" s="67">
        <v>0.43333333333333335</v>
      </c>
      <c r="V85" s="67">
        <v>0.44400000000000001</v>
      </c>
      <c r="W85" s="51">
        <v>0.23529411764705882</v>
      </c>
      <c r="X85" s="52">
        <v>26.25</v>
      </c>
      <c r="Y85" s="52">
        <v>30</v>
      </c>
      <c r="Z85" s="52">
        <v>92.5</v>
      </c>
      <c r="AA85" s="52">
        <v>148.75</v>
      </c>
      <c r="AB85" s="53">
        <v>0.56666666666666665</v>
      </c>
      <c r="AC85" s="54">
        <v>113.75</v>
      </c>
      <c r="AD85" s="55">
        <v>0.43333333333333335</v>
      </c>
      <c r="AE85" s="56">
        <v>2</v>
      </c>
      <c r="AF85" s="57" t="s">
        <v>72</v>
      </c>
      <c r="AG85" s="58">
        <v>85</v>
      </c>
      <c r="AH85" s="58">
        <v>40</v>
      </c>
      <c r="AI85" s="58">
        <v>125</v>
      </c>
      <c r="AJ85" s="49">
        <v>31.25</v>
      </c>
      <c r="AK85" s="49">
        <v>156.25</v>
      </c>
      <c r="AL85" s="52">
        <v>15.625</v>
      </c>
      <c r="AM85" s="52">
        <v>71.25</v>
      </c>
      <c r="AN85" s="52">
        <v>86.875</v>
      </c>
      <c r="AO85" s="59">
        <v>0.55600000000000005</v>
      </c>
      <c r="AP85" s="60">
        <v>69.375</v>
      </c>
      <c r="AQ85" s="61">
        <v>0.44400000000000001</v>
      </c>
      <c r="AR85" s="60" t="s">
        <v>78</v>
      </c>
      <c r="AS85" s="62">
        <v>255</v>
      </c>
      <c r="AT85" s="62">
        <v>60</v>
      </c>
      <c r="AU85" s="62">
        <v>315</v>
      </c>
      <c r="AV85" s="62">
        <v>393.75</v>
      </c>
      <c r="AW85" s="47" t="s">
        <v>74</v>
      </c>
      <c r="AX85" s="64">
        <v>45156</v>
      </c>
      <c r="AY85" s="64" t="s">
        <v>2454</v>
      </c>
      <c r="AZ85" s="87"/>
      <c r="BA85" s="64"/>
      <c r="BB85" s="64"/>
      <c r="BC85" s="64"/>
      <c r="BD85" s="46"/>
      <c r="BE85" s="46" t="e">
        <v>#REF!</v>
      </c>
      <c r="BF85" s="46" t="s">
        <v>79</v>
      </c>
      <c r="BG85" s="65">
        <v>0.75</v>
      </c>
      <c r="BH85" s="66"/>
      <c r="BI85" s="63" t="s">
        <v>2455</v>
      </c>
    </row>
    <row r="86" spans="1:61" ht="63.75" x14ac:dyDescent="0.2">
      <c r="A86" s="45" t="s">
        <v>2456</v>
      </c>
      <c r="B86" s="46"/>
      <c r="C86" s="46" t="s">
        <v>2427</v>
      </c>
      <c r="D86" s="46" t="s">
        <v>444</v>
      </c>
      <c r="E86" s="46" t="s">
        <v>2314</v>
      </c>
      <c r="F86" s="46" t="s">
        <v>68</v>
      </c>
      <c r="G86" s="46" t="s">
        <v>68</v>
      </c>
      <c r="H86" s="46" t="s">
        <v>68</v>
      </c>
      <c r="I86" s="46" t="s">
        <v>68</v>
      </c>
      <c r="J86" s="46" t="s">
        <v>71</v>
      </c>
      <c r="K86" s="47">
        <v>150</v>
      </c>
      <c r="L86" s="47">
        <v>40</v>
      </c>
      <c r="M86" s="47">
        <v>190</v>
      </c>
      <c r="N86" s="46"/>
      <c r="O86" s="71" t="s">
        <v>68</v>
      </c>
      <c r="P86" s="64"/>
      <c r="Q86" s="46" t="s">
        <v>2129</v>
      </c>
      <c r="R86" s="46" t="s">
        <v>2385</v>
      </c>
      <c r="S86" s="49">
        <v>47.5</v>
      </c>
      <c r="T86" s="49">
        <v>237.5</v>
      </c>
      <c r="U86" s="67">
        <v>0.40526315789473683</v>
      </c>
      <c r="V86" s="67">
        <v>0.42173913043478262</v>
      </c>
      <c r="W86" s="51">
        <v>0.26666666666666666</v>
      </c>
      <c r="X86" s="52">
        <v>23.75</v>
      </c>
      <c r="Y86" s="52">
        <v>30</v>
      </c>
      <c r="Z86" s="52">
        <v>87.5</v>
      </c>
      <c r="AA86" s="52">
        <v>141.25</v>
      </c>
      <c r="AB86" s="53">
        <v>0.59473684210526312</v>
      </c>
      <c r="AC86" s="54">
        <v>96.25</v>
      </c>
      <c r="AD86" s="55">
        <v>0.40526315789473683</v>
      </c>
      <c r="AE86" s="56">
        <v>2</v>
      </c>
      <c r="AF86" s="57" t="s">
        <v>72</v>
      </c>
      <c r="AG86" s="58">
        <v>75</v>
      </c>
      <c r="AH86" s="58">
        <v>40</v>
      </c>
      <c r="AI86" s="58">
        <v>115</v>
      </c>
      <c r="AJ86" s="49">
        <v>28.75</v>
      </c>
      <c r="AK86" s="49">
        <v>143.75</v>
      </c>
      <c r="AL86" s="52">
        <v>14.375</v>
      </c>
      <c r="AM86" s="52">
        <v>68.75</v>
      </c>
      <c r="AN86" s="52">
        <v>83.125</v>
      </c>
      <c r="AO86" s="59">
        <v>0.57826086956521738</v>
      </c>
      <c r="AP86" s="60">
        <v>60.625</v>
      </c>
      <c r="AQ86" s="61">
        <v>0.42173913043478262</v>
      </c>
      <c r="AR86" s="60" t="s">
        <v>78</v>
      </c>
      <c r="AS86" s="62">
        <v>225</v>
      </c>
      <c r="AT86" s="62">
        <v>60</v>
      </c>
      <c r="AU86" s="62">
        <v>285</v>
      </c>
      <c r="AV86" s="62">
        <v>356.25</v>
      </c>
      <c r="AW86" s="47" t="s">
        <v>74</v>
      </c>
      <c r="AX86" s="64">
        <v>45156</v>
      </c>
      <c r="AY86" s="64" t="s">
        <v>2457</v>
      </c>
      <c r="AZ86" s="87"/>
      <c r="BA86" s="64"/>
      <c r="BB86" s="64"/>
      <c r="BC86" s="64"/>
      <c r="BD86" s="46"/>
      <c r="BE86" s="46" t="e">
        <v>#REF!</v>
      </c>
      <c r="BF86" s="46" t="s">
        <v>79</v>
      </c>
      <c r="BG86" s="65">
        <v>0.5</v>
      </c>
      <c r="BH86" s="66"/>
      <c r="BI86" s="63" t="s">
        <v>2458</v>
      </c>
    </row>
    <row r="87" spans="1:61" ht="63.75" x14ac:dyDescent="0.2">
      <c r="A87" s="45" t="s">
        <v>2459</v>
      </c>
      <c r="B87" s="46"/>
      <c r="C87" s="46" t="s">
        <v>2431</v>
      </c>
      <c r="D87" s="46" t="s">
        <v>444</v>
      </c>
      <c r="E87" s="46" t="s">
        <v>2314</v>
      </c>
      <c r="F87" s="46" t="s">
        <v>2345</v>
      </c>
      <c r="G87" s="46" t="s">
        <v>68</v>
      </c>
      <c r="H87" s="46" t="s">
        <v>68</v>
      </c>
      <c r="I87" s="46" t="s">
        <v>68</v>
      </c>
      <c r="J87" s="46" t="s">
        <v>71</v>
      </c>
      <c r="K87" s="47">
        <v>160</v>
      </c>
      <c r="L87" s="47">
        <v>0</v>
      </c>
      <c r="M87" s="47">
        <v>160</v>
      </c>
      <c r="N87" s="46"/>
      <c r="O87" s="71" t="s">
        <v>68</v>
      </c>
      <c r="P87" s="64"/>
      <c r="Q87" s="46" t="s">
        <v>2129</v>
      </c>
      <c r="R87" s="46" t="s">
        <v>2385</v>
      </c>
      <c r="S87" s="49">
        <v>40</v>
      </c>
      <c r="T87" s="49">
        <v>200</v>
      </c>
      <c r="U87" s="67">
        <v>0.55000000000000004</v>
      </c>
      <c r="V87" s="67">
        <v>0.7</v>
      </c>
      <c r="W87" s="51">
        <v>0</v>
      </c>
      <c r="X87" s="52">
        <v>20</v>
      </c>
      <c r="Y87" s="52">
        <v>30</v>
      </c>
      <c r="Z87" s="52">
        <v>40</v>
      </c>
      <c r="AA87" s="52">
        <v>90</v>
      </c>
      <c r="AB87" s="53">
        <v>0.45</v>
      </c>
      <c r="AC87" s="54">
        <v>110</v>
      </c>
      <c r="AD87" s="55">
        <v>0.55000000000000004</v>
      </c>
      <c r="AE87" s="56">
        <v>2</v>
      </c>
      <c r="AF87" s="57" t="s">
        <v>72</v>
      </c>
      <c r="AG87" s="58">
        <v>80</v>
      </c>
      <c r="AH87" s="58">
        <v>0</v>
      </c>
      <c r="AI87" s="58">
        <v>80</v>
      </c>
      <c r="AJ87" s="49">
        <v>20</v>
      </c>
      <c r="AK87" s="49">
        <v>100</v>
      </c>
      <c r="AL87" s="52">
        <v>10</v>
      </c>
      <c r="AM87" s="52">
        <v>20</v>
      </c>
      <c r="AN87" s="52">
        <v>30</v>
      </c>
      <c r="AO87" s="59">
        <v>0.3</v>
      </c>
      <c r="AP87" s="60">
        <v>70</v>
      </c>
      <c r="AQ87" s="61">
        <v>0.7</v>
      </c>
      <c r="AR87" s="60" t="s">
        <v>78</v>
      </c>
      <c r="AS87" s="62">
        <v>240</v>
      </c>
      <c r="AT87" s="62">
        <v>0</v>
      </c>
      <c r="AU87" s="62">
        <v>240</v>
      </c>
      <c r="AV87" s="62">
        <v>300</v>
      </c>
      <c r="AW87" s="47" t="s">
        <v>74</v>
      </c>
      <c r="AX87" s="64">
        <v>45156</v>
      </c>
      <c r="AY87" s="64" t="s">
        <v>2460</v>
      </c>
      <c r="AZ87" s="87"/>
      <c r="BA87" s="64"/>
      <c r="BB87" s="64"/>
      <c r="BC87" s="64"/>
      <c r="BD87" s="46"/>
      <c r="BE87" s="46" t="e">
        <v>#REF!</v>
      </c>
      <c r="BF87" s="46" t="s">
        <v>79</v>
      </c>
      <c r="BG87" s="65">
        <v>0.5</v>
      </c>
      <c r="BH87" s="66"/>
      <c r="BI87" s="63" t="s">
        <v>2461</v>
      </c>
    </row>
    <row r="88" spans="1:61" ht="89.25" x14ac:dyDescent="0.2">
      <c r="A88" s="45" t="s">
        <v>2462</v>
      </c>
      <c r="B88" s="46"/>
      <c r="C88" s="46" t="s">
        <v>2435</v>
      </c>
      <c r="D88" s="46" t="s">
        <v>444</v>
      </c>
      <c r="E88" s="46" t="s">
        <v>2350</v>
      </c>
      <c r="F88" s="46" t="s">
        <v>2157</v>
      </c>
      <c r="G88" s="46" t="s">
        <v>68</v>
      </c>
      <c r="H88" s="46" t="s">
        <v>68</v>
      </c>
      <c r="I88" s="46" t="s">
        <v>68</v>
      </c>
      <c r="J88" s="46" t="s">
        <v>71</v>
      </c>
      <c r="K88" s="47">
        <v>200</v>
      </c>
      <c r="L88" s="47">
        <v>270</v>
      </c>
      <c r="M88" s="47">
        <v>470</v>
      </c>
      <c r="N88" s="46"/>
      <c r="O88" s="71" t="s">
        <v>68</v>
      </c>
      <c r="P88" s="64"/>
      <c r="Q88" s="46" t="s">
        <v>2129</v>
      </c>
      <c r="R88" s="46" t="s">
        <v>2385</v>
      </c>
      <c r="S88" s="49">
        <v>117.5</v>
      </c>
      <c r="T88" s="49">
        <v>587.5</v>
      </c>
      <c r="U88" s="50">
        <v>0.18936170212765957</v>
      </c>
      <c r="V88" s="28">
        <v>0.2404255319148936</v>
      </c>
      <c r="W88" s="74">
        <v>1.35</v>
      </c>
      <c r="X88" s="52">
        <v>58.75</v>
      </c>
      <c r="Y88" s="52">
        <v>30</v>
      </c>
      <c r="Z88" s="52">
        <v>387.5</v>
      </c>
      <c r="AA88" s="52">
        <v>476.25</v>
      </c>
      <c r="AB88" s="53">
        <v>0.81063829787234043</v>
      </c>
      <c r="AC88" s="54">
        <v>111.25</v>
      </c>
      <c r="AD88" s="55">
        <v>0.18936170212765957</v>
      </c>
      <c r="AE88" s="73">
        <v>3</v>
      </c>
      <c r="AF88" s="57" t="s">
        <v>95</v>
      </c>
      <c r="AG88" s="58">
        <v>200</v>
      </c>
      <c r="AH88" s="58">
        <v>270</v>
      </c>
      <c r="AI88" s="58">
        <v>470</v>
      </c>
      <c r="AJ88" s="49">
        <v>117.5</v>
      </c>
      <c r="AK88" s="49">
        <v>587.5</v>
      </c>
      <c r="AL88" s="52">
        <v>58.75</v>
      </c>
      <c r="AM88" s="52">
        <v>387.5</v>
      </c>
      <c r="AN88" s="52">
        <v>446.25</v>
      </c>
      <c r="AO88" s="59">
        <v>0.75957446808510642</v>
      </c>
      <c r="AP88" s="60">
        <v>141.25</v>
      </c>
      <c r="AQ88" s="61">
        <v>0.2404255319148936</v>
      </c>
      <c r="AR88" s="60" t="s">
        <v>78</v>
      </c>
      <c r="AS88" s="62">
        <v>320</v>
      </c>
      <c r="AT88" s="62">
        <v>432</v>
      </c>
      <c r="AU88" s="62">
        <v>752</v>
      </c>
      <c r="AV88" s="62">
        <v>940</v>
      </c>
      <c r="AW88" s="47" t="s">
        <v>74</v>
      </c>
      <c r="AX88" s="64">
        <v>45156</v>
      </c>
      <c r="AY88" s="64" t="s">
        <v>2463</v>
      </c>
      <c r="AZ88" s="87"/>
      <c r="BA88" s="64"/>
      <c r="BB88" s="64"/>
      <c r="BC88" s="64"/>
      <c r="BD88" s="46"/>
      <c r="BE88" s="46" t="e">
        <v>#REF!</v>
      </c>
      <c r="BF88" s="46" t="s">
        <v>75</v>
      </c>
      <c r="BG88" s="65">
        <v>2</v>
      </c>
      <c r="BH88" s="66"/>
      <c r="BI88" s="63" t="s">
        <v>2464</v>
      </c>
    </row>
    <row r="89" spans="1:61" ht="25.5" x14ac:dyDescent="0.2">
      <c r="A89" s="34" t="s">
        <v>2465</v>
      </c>
      <c r="B89" s="35"/>
      <c r="C89" s="35" t="s">
        <v>68</v>
      </c>
      <c r="D89" s="35" t="s">
        <v>68</v>
      </c>
      <c r="E89" s="35" t="s">
        <v>68</v>
      </c>
      <c r="F89" s="35" t="s">
        <v>68</v>
      </c>
      <c r="G89" s="35" t="s">
        <v>68</v>
      </c>
      <c r="H89" s="35" t="s">
        <v>68</v>
      </c>
      <c r="I89" s="35" t="s">
        <v>68</v>
      </c>
      <c r="J89" s="35" t="s">
        <v>68</v>
      </c>
      <c r="K89" s="36" t="s">
        <v>68</v>
      </c>
      <c r="L89" s="36" t="s">
        <v>68</v>
      </c>
      <c r="M89" s="36" t="s">
        <v>68</v>
      </c>
      <c r="N89" s="35"/>
      <c r="O89" s="35" t="s">
        <v>68</v>
      </c>
      <c r="P89" s="37"/>
      <c r="Q89" s="38" t="s">
        <v>2129</v>
      </c>
      <c r="R89" s="38" t="s">
        <v>2466</v>
      </c>
      <c r="S89" s="36" t="s">
        <v>68</v>
      </c>
      <c r="T89" s="36" t="s">
        <v>68</v>
      </c>
      <c r="U89" s="39" t="s">
        <v>68</v>
      </c>
      <c r="V89" s="39" t="s">
        <v>68</v>
      </c>
      <c r="W89" s="40" t="s">
        <v>68</v>
      </c>
      <c r="X89" s="36" t="s">
        <v>68</v>
      </c>
      <c r="Y89" s="36" t="s">
        <v>68</v>
      </c>
      <c r="Z89" s="36" t="s">
        <v>68</v>
      </c>
      <c r="AA89" s="36" t="s">
        <v>68</v>
      </c>
      <c r="AB89" s="39" t="s">
        <v>68</v>
      </c>
      <c r="AC89" s="36" t="s">
        <v>68</v>
      </c>
      <c r="AD89" s="39" t="s">
        <v>68</v>
      </c>
      <c r="AE89" s="41"/>
      <c r="AF89" s="42" t="s">
        <v>68</v>
      </c>
      <c r="AG89" s="36" t="s">
        <v>68</v>
      </c>
      <c r="AH89" s="36" t="s">
        <v>68</v>
      </c>
      <c r="AI89" s="36" t="s">
        <v>68</v>
      </c>
      <c r="AJ89" s="36" t="s">
        <v>68</v>
      </c>
      <c r="AK89" s="36" t="s">
        <v>68</v>
      </c>
      <c r="AL89" s="36" t="s">
        <v>68</v>
      </c>
      <c r="AM89" s="36" t="s">
        <v>68</v>
      </c>
      <c r="AN89" s="36" t="s">
        <v>68</v>
      </c>
      <c r="AO89" s="43" t="s">
        <v>68</v>
      </c>
      <c r="AP89" s="36" t="s">
        <v>68</v>
      </c>
      <c r="AQ89" s="39" t="s">
        <v>68</v>
      </c>
      <c r="AR89" s="36" t="s">
        <v>68</v>
      </c>
      <c r="AS89" s="36" t="s">
        <v>68</v>
      </c>
      <c r="AT89" s="36" t="s">
        <v>68</v>
      </c>
      <c r="AU89" s="36" t="s">
        <v>68</v>
      </c>
      <c r="AV89" s="36" t="s">
        <v>68</v>
      </c>
      <c r="AW89" s="35"/>
      <c r="AX89" s="37"/>
      <c r="AY89" s="37" t="s">
        <v>68</v>
      </c>
      <c r="AZ89" s="87"/>
      <c r="BA89" s="37"/>
      <c r="BB89" s="37"/>
      <c r="BC89" s="37"/>
      <c r="BD89" s="35"/>
      <c r="BE89" s="35" t="e">
        <v>#REF!</v>
      </c>
      <c r="BF89" s="35"/>
      <c r="BG89" s="44"/>
      <c r="BH89" s="38" t="s">
        <v>2467</v>
      </c>
      <c r="BI89" s="35" t="s">
        <v>68</v>
      </c>
    </row>
    <row r="90" spans="1:61" ht="63.75" x14ac:dyDescent="0.2">
      <c r="A90" s="45" t="s">
        <v>2468</v>
      </c>
      <c r="B90" s="46"/>
      <c r="C90" s="46" t="s">
        <v>2469</v>
      </c>
      <c r="D90" s="46" t="s">
        <v>2470</v>
      </c>
      <c r="E90" s="46" t="s">
        <v>2314</v>
      </c>
      <c r="F90" s="46" t="s">
        <v>2157</v>
      </c>
      <c r="G90" s="46" t="s">
        <v>68</v>
      </c>
      <c r="H90" s="46" t="s">
        <v>68</v>
      </c>
      <c r="I90" s="46" t="s">
        <v>68</v>
      </c>
      <c r="J90" s="46" t="s">
        <v>71</v>
      </c>
      <c r="K90" s="47">
        <v>250</v>
      </c>
      <c r="L90" s="47">
        <v>150</v>
      </c>
      <c r="M90" s="47">
        <v>400</v>
      </c>
      <c r="N90" s="46"/>
      <c r="O90" s="71" t="s">
        <v>68</v>
      </c>
      <c r="P90" s="64"/>
      <c r="Q90" s="46" t="s">
        <v>2129</v>
      </c>
      <c r="R90" s="46" t="s">
        <v>2466</v>
      </c>
      <c r="S90" s="49">
        <v>100</v>
      </c>
      <c r="T90" s="49">
        <v>500</v>
      </c>
      <c r="U90" s="67">
        <v>0.34</v>
      </c>
      <c r="V90" s="67">
        <v>0.4</v>
      </c>
      <c r="W90" s="51">
        <v>0.6</v>
      </c>
      <c r="X90" s="52">
        <v>50</v>
      </c>
      <c r="Y90" s="52">
        <v>30</v>
      </c>
      <c r="Z90" s="52">
        <v>250</v>
      </c>
      <c r="AA90" s="52">
        <v>330</v>
      </c>
      <c r="AB90" s="53">
        <v>0.66</v>
      </c>
      <c r="AC90" s="72">
        <v>170</v>
      </c>
      <c r="AD90" s="55">
        <v>0.34</v>
      </c>
      <c r="AE90" s="73">
        <v>3</v>
      </c>
      <c r="AF90" s="57" t="s">
        <v>95</v>
      </c>
      <c r="AG90" s="58">
        <v>250</v>
      </c>
      <c r="AH90" s="58">
        <v>150</v>
      </c>
      <c r="AI90" s="58">
        <v>400</v>
      </c>
      <c r="AJ90" s="49">
        <v>100</v>
      </c>
      <c r="AK90" s="49">
        <v>500</v>
      </c>
      <c r="AL90" s="52">
        <v>50</v>
      </c>
      <c r="AM90" s="52">
        <v>250</v>
      </c>
      <c r="AN90" s="52">
        <v>300</v>
      </c>
      <c r="AO90" s="59">
        <v>0.6</v>
      </c>
      <c r="AP90" s="60">
        <v>200</v>
      </c>
      <c r="AQ90" s="61">
        <v>0.4</v>
      </c>
      <c r="AR90" s="60" t="s">
        <v>78</v>
      </c>
      <c r="AS90" s="62">
        <v>400</v>
      </c>
      <c r="AT90" s="62">
        <v>240</v>
      </c>
      <c r="AU90" s="62">
        <v>640</v>
      </c>
      <c r="AV90" s="62">
        <v>800</v>
      </c>
      <c r="AW90" s="47" t="s">
        <v>74</v>
      </c>
      <c r="AX90" s="64">
        <v>45156</v>
      </c>
      <c r="AY90" s="64" t="s">
        <v>2471</v>
      </c>
      <c r="AZ90" s="87"/>
      <c r="BA90" s="64"/>
      <c r="BB90" s="64"/>
      <c r="BC90" s="64"/>
      <c r="BD90" s="46"/>
      <c r="BE90" s="46" t="e">
        <v>#REF!</v>
      </c>
      <c r="BF90" s="46" t="s">
        <v>75</v>
      </c>
      <c r="BG90" s="65">
        <v>1</v>
      </c>
      <c r="BH90" s="66"/>
      <c r="BI90" s="63" t="s">
        <v>2472</v>
      </c>
    </row>
    <row r="91" spans="1:61" ht="63.75" x14ac:dyDescent="0.2">
      <c r="A91" s="45" t="s">
        <v>2473</v>
      </c>
      <c r="B91" s="46"/>
      <c r="C91" s="46" t="s">
        <v>2474</v>
      </c>
      <c r="D91" s="46" t="s">
        <v>2470</v>
      </c>
      <c r="E91" s="46" t="s">
        <v>2314</v>
      </c>
      <c r="F91" s="46" t="s">
        <v>2157</v>
      </c>
      <c r="G91" s="46" t="s">
        <v>68</v>
      </c>
      <c r="H91" s="46" t="s">
        <v>68</v>
      </c>
      <c r="I91" s="46" t="s">
        <v>68</v>
      </c>
      <c r="J91" s="46" t="s">
        <v>71</v>
      </c>
      <c r="K91" s="47">
        <v>160</v>
      </c>
      <c r="L91" s="47">
        <v>50</v>
      </c>
      <c r="M91" s="47">
        <v>210</v>
      </c>
      <c r="N91" s="46"/>
      <c r="O91" s="71" t="s">
        <v>68</v>
      </c>
      <c r="P91" s="64"/>
      <c r="Q91" s="46" t="s">
        <v>2129</v>
      </c>
      <c r="R91" s="46" t="s">
        <v>2466</v>
      </c>
      <c r="S91" s="49">
        <v>52.5</v>
      </c>
      <c r="T91" s="49">
        <v>262.5</v>
      </c>
      <c r="U91" s="67">
        <v>0.39523809523809522</v>
      </c>
      <c r="V91" s="28">
        <v>0.21219512195121951</v>
      </c>
      <c r="W91" s="51">
        <v>0.3125</v>
      </c>
      <c r="X91" s="52">
        <v>26.25</v>
      </c>
      <c r="Y91" s="52">
        <v>30</v>
      </c>
      <c r="Z91" s="52">
        <v>102.5</v>
      </c>
      <c r="AA91" s="52">
        <v>158.75</v>
      </c>
      <c r="AB91" s="53">
        <v>0.60476190476190472</v>
      </c>
      <c r="AC91" s="54">
        <v>103.75</v>
      </c>
      <c r="AD91" s="55">
        <v>0.39523809523809522</v>
      </c>
      <c r="AE91" s="69">
        <v>1</v>
      </c>
      <c r="AF91" s="57" t="s">
        <v>77</v>
      </c>
      <c r="AG91" s="58">
        <v>32</v>
      </c>
      <c r="AH91" s="58">
        <v>50</v>
      </c>
      <c r="AI91" s="58">
        <v>82</v>
      </c>
      <c r="AJ91" s="49">
        <v>20.5</v>
      </c>
      <c r="AK91" s="49">
        <v>102.5</v>
      </c>
      <c r="AL91" s="52">
        <v>10.25</v>
      </c>
      <c r="AM91" s="52">
        <v>70.5</v>
      </c>
      <c r="AN91" s="52">
        <v>80.75</v>
      </c>
      <c r="AO91" s="59">
        <v>0.78780487804878052</v>
      </c>
      <c r="AP91" s="60">
        <v>21.75</v>
      </c>
      <c r="AQ91" s="61">
        <v>0.21219512195121951</v>
      </c>
      <c r="AR91" s="60" t="s">
        <v>78</v>
      </c>
      <c r="AS91" s="62">
        <v>208</v>
      </c>
      <c r="AT91" s="62">
        <v>65</v>
      </c>
      <c r="AU91" s="62">
        <v>273</v>
      </c>
      <c r="AV91" s="62">
        <v>341.25</v>
      </c>
      <c r="AW91" s="47" t="s">
        <v>74</v>
      </c>
      <c r="AX91" s="64">
        <v>45202</v>
      </c>
      <c r="AY91" s="64" t="s">
        <v>2475</v>
      </c>
      <c r="AZ91" s="87"/>
      <c r="BA91" s="64"/>
      <c r="BB91" s="64"/>
      <c r="BC91" s="64"/>
      <c r="BD91" s="46"/>
      <c r="BE91" s="46" t="e">
        <v>#REF!</v>
      </c>
      <c r="BF91" s="46" t="s">
        <v>79</v>
      </c>
      <c r="BG91" s="65">
        <v>0.5</v>
      </c>
      <c r="BH91" s="66"/>
      <c r="BI91" s="63" t="s">
        <v>2476</v>
      </c>
    </row>
    <row r="92" spans="1:61" ht="63.75" x14ac:dyDescent="0.2">
      <c r="A92" s="45" t="s">
        <v>2477</v>
      </c>
      <c r="B92" s="46"/>
      <c r="C92" s="46" t="s">
        <v>2478</v>
      </c>
      <c r="D92" s="46" t="s">
        <v>2470</v>
      </c>
      <c r="E92" s="46" t="s">
        <v>2314</v>
      </c>
      <c r="F92" s="46" t="s">
        <v>2157</v>
      </c>
      <c r="G92" s="46" t="s">
        <v>68</v>
      </c>
      <c r="H92" s="46" t="s">
        <v>68</v>
      </c>
      <c r="I92" s="46" t="s">
        <v>68</v>
      </c>
      <c r="J92" s="46" t="s">
        <v>71</v>
      </c>
      <c r="K92" s="47">
        <v>200</v>
      </c>
      <c r="L92" s="47">
        <v>50</v>
      </c>
      <c r="M92" s="47">
        <v>250</v>
      </c>
      <c r="N92" s="46"/>
      <c r="O92" s="71" t="s">
        <v>68</v>
      </c>
      <c r="P92" s="64"/>
      <c r="Q92" s="46" t="s">
        <v>2129</v>
      </c>
      <c r="R92" s="46" t="s">
        <v>2466</v>
      </c>
      <c r="S92" s="49">
        <v>62.5</v>
      </c>
      <c r="T92" s="49">
        <v>312.5</v>
      </c>
      <c r="U92" s="67">
        <v>0.44400000000000001</v>
      </c>
      <c r="V92" s="67">
        <v>0.43333333333333335</v>
      </c>
      <c r="W92" s="51">
        <v>0.25</v>
      </c>
      <c r="X92" s="52">
        <v>31.25</v>
      </c>
      <c r="Y92" s="52">
        <v>30</v>
      </c>
      <c r="Z92" s="52">
        <v>112.5</v>
      </c>
      <c r="AA92" s="52">
        <v>173.75</v>
      </c>
      <c r="AB92" s="53">
        <v>0.55600000000000005</v>
      </c>
      <c r="AC92" s="72">
        <v>138.75</v>
      </c>
      <c r="AD92" s="55">
        <v>0.44400000000000001</v>
      </c>
      <c r="AE92" s="56">
        <v>2</v>
      </c>
      <c r="AF92" s="57" t="s">
        <v>72</v>
      </c>
      <c r="AG92" s="58">
        <v>100</v>
      </c>
      <c r="AH92" s="58">
        <v>50</v>
      </c>
      <c r="AI92" s="58">
        <v>150</v>
      </c>
      <c r="AJ92" s="49">
        <v>37.5</v>
      </c>
      <c r="AK92" s="49">
        <v>187.5</v>
      </c>
      <c r="AL92" s="52">
        <v>18.75</v>
      </c>
      <c r="AM92" s="52">
        <v>87.5</v>
      </c>
      <c r="AN92" s="52">
        <v>106.25</v>
      </c>
      <c r="AO92" s="59">
        <v>0.56666666666666665</v>
      </c>
      <c r="AP92" s="60">
        <v>81.25</v>
      </c>
      <c r="AQ92" s="61">
        <v>0.43333333333333335</v>
      </c>
      <c r="AR92" s="60" t="s">
        <v>78</v>
      </c>
      <c r="AS92" s="62">
        <v>300</v>
      </c>
      <c r="AT92" s="62">
        <v>75</v>
      </c>
      <c r="AU92" s="62">
        <v>375</v>
      </c>
      <c r="AV92" s="62">
        <v>468.75</v>
      </c>
      <c r="AW92" s="47" t="s">
        <v>74</v>
      </c>
      <c r="AX92" s="64">
        <v>45202</v>
      </c>
      <c r="AY92" s="64" t="s">
        <v>2479</v>
      </c>
      <c r="AZ92" s="87"/>
      <c r="BA92" s="64"/>
      <c r="BB92" s="64"/>
      <c r="BC92" s="64"/>
      <c r="BD92" s="46"/>
      <c r="BE92" s="46" t="e">
        <v>#REF!</v>
      </c>
      <c r="BF92" s="46" t="s">
        <v>79</v>
      </c>
      <c r="BG92" s="65">
        <v>0.5</v>
      </c>
      <c r="BH92" s="66"/>
      <c r="BI92" s="63" t="s">
        <v>2480</v>
      </c>
    </row>
    <row r="93" spans="1:61" ht="63.75" x14ac:dyDescent="0.2">
      <c r="A93" s="45" t="s">
        <v>2481</v>
      </c>
      <c r="B93" s="46"/>
      <c r="C93" s="46" t="s">
        <v>2482</v>
      </c>
      <c r="D93" s="46" t="s">
        <v>2470</v>
      </c>
      <c r="E93" s="46" t="s">
        <v>2314</v>
      </c>
      <c r="F93" s="46" t="s">
        <v>2327</v>
      </c>
      <c r="G93" s="46" t="s">
        <v>68</v>
      </c>
      <c r="H93" s="46" t="s">
        <v>68</v>
      </c>
      <c r="I93" s="46" t="s">
        <v>68</v>
      </c>
      <c r="J93" s="46" t="s">
        <v>71</v>
      </c>
      <c r="K93" s="47">
        <v>250</v>
      </c>
      <c r="L93" s="47">
        <v>50</v>
      </c>
      <c r="M93" s="47">
        <v>300</v>
      </c>
      <c r="N93" s="46"/>
      <c r="O93" s="71" t="s">
        <v>68</v>
      </c>
      <c r="P93" s="64"/>
      <c r="Q93" s="46" t="s">
        <v>2129</v>
      </c>
      <c r="R93" s="46" t="s">
        <v>2466</v>
      </c>
      <c r="S93" s="49">
        <v>75</v>
      </c>
      <c r="T93" s="49">
        <v>375</v>
      </c>
      <c r="U93" s="67">
        <v>0.48666666666666669</v>
      </c>
      <c r="V93" s="67">
        <v>0.47142857142857142</v>
      </c>
      <c r="W93" s="51">
        <v>0.2</v>
      </c>
      <c r="X93" s="52">
        <v>37.5</v>
      </c>
      <c r="Y93" s="52">
        <v>30</v>
      </c>
      <c r="Z93" s="52">
        <v>125</v>
      </c>
      <c r="AA93" s="52">
        <v>192.5</v>
      </c>
      <c r="AB93" s="53">
        <v>0.51333333333333331</v>
      </c>
      <c r="AC93" s="72">
        <v>182.5</v>
      </c>
      <c r="AD93" s="55">
        <v>0.48666666666666669</v>
      </c>
      <c r="AE93" s="56">
        <v>2</v>
      </c>
      <c r="AF93" s="57" t="s">
        <v>72</v>
      </c>
      <c r="AG93" s="58">
        <v>125</v>
      </c>
      <c r="AH93" s="58">
        <v>50</v>
      </c>
      <c r="AI93" s="58">
        <v>175</v>
      </c>
      <c r="AJ93" s="49">
        <v>43.75</v>
      </c>
      <c r="AK93" s="49">
        <v>218.75</v>
      </c>
      <c r="AL93" s="52">
        <v>21.875</v>
      </c>
      <c r="AM93" s="52">
        <v>93.75</v>
      </c>
      <c r="AN93" s="52">
        <v>115.625</v>
      </c>
      <c r="AO93" s="59">
        <v>0.52857142857142858</v>
      </c>
      <c r="AP93" s="60">
        <v>103.125</v>
      </c>
      <c r="AQ93" s="61">
        <v>0.47142857142857142</v>
      </c>
      <c r="AR93" s="60" t="s">
        <v>78</v>
      </c>
      <c r="AS93" s="62">
        <v>375</v>
      </c>
      <c r="AT93" s="62">
        <v>75</v>
      </c>
      <c r="AU93" s="62">
        <v>450</v>
      </c>
      <c r="AV93" s="62">
        <v>562.5</v>
      </c>
      <c r="AW93" s="47" t="s">
        <v>74</v>
      </c>
      <c r="AX93" s="64">
        <v>45202</v>
      </c>
      <c r="AY93" s="64" t="s">
        <v>2483</v>
      </c>
      <c r="AZ93" s="87"/>
      <c r="BA93" s="64"/>
      <c r="BB93" s="64"/>
      <c r="BC93" s="64"/>
      <c r="BD93" s="46"/>
      <c r="BE93" s="46" t="e">
        <v>#REF!</v>
      </c>
      <c r="BF93" s="46" t="s">
        <v>79</v>
      </c>
      <c r="BG93" s="65">
        <v>1</v>
      </c>
      <c r="BH93" s="66"/>
      <c r="BI93" s="63" t="s">
        <v>2484</v>
      </c>
    </row>
    <row r="94" spans="1:61" ht="63.75" x14ac:dyDescent="0.2">
      <c r="A94" s="45" t="s">
        <v>2485</v>
      </c>
      <c r="B94" s="46"/>
      <c r="C94" s="46" t="s">
        <v>2482</v>
      </c>
      <c r="D94" s="46" t="s">
        <v>2470</v>
      </c>
      <c r="E94" s="46" t="s">
        <v>2314</v>
      </c>
      <c r="F94" s="46" t="s">
        <v>2331</v>
      </c>
      <c r="G94" s="46" t="s">
        <v>68</v>
      </c>
      <c r="H94" s="46" t="s">
        <v>68</v>
      </c>
      <c r="I94" s="46" t="s">
        <v>68</v>
      </c>
      <c r="J94" s="46" t="s">
        <v>71</v>
      </c>
      <c r="K94" s="47">
        <v>350</v>
      </c>
      <c r="L94" s="47">
        <v>100</v>
      </c>
      <c r="M94" s="47">
        <v>450</v>
      </c>
      <c r="N94" s="46"/>
      <c r="O94" s="71" t="s">
        <v>68</v>
      </c>
      <c r="P94" s="64"/>
      <c r="Q94" s="46" t="s">
        <v>2129</v>
      </c>
      <c r="R94" s="46" t="s">
        <v>2466</v>
      </c>
      <c r="S94" s="49">
        <v>112.5</v>
      </c>
      <c r="T94" s="49">
        <v>562.5</v>
      </c>
      <c r="U94" s="67">
        <v>0.46888888888888891</v>
      </c>
      <c r="V94" s="67">
        <v>0.40909090909090912</v>
      </c>
      <c r="W94" s="51">
        <v>0.2857142857142857</v>
      </c>
      <c r="X94" s="52">
        <v>56.25</v>
      </c>
      <c r="Y94" s="52">
        <v>30</v>
      </c>
      <c r="Z94" s="52">
        <v>212.5</v>
      </c>
      <c r="AA94" s="52">
        <v>298.75</v>
      </c>
      <c r="AB94" s="53">
        <v>0.53111111111111109</v>
      </c>
      <c r="AC94" s="72">
        <v>263.75</v>
      </c>
      <c r="AD94" s="55">
        <v>0.46888888888888891</v>
      </c>
      <c r="AE94" s="56">
        <v>2</v>
      </c>
      <c r="AF94" s="57" t="s">
        <v>72</v>
      </c>
      <c r="AG94" s="58">
        <v>175</v>
      </c>
      <c r="AH94" s="58">
        <v>100</v>
      </c>
      <c r="AI94" s="58">
        <v>275</v>
      </c>
      <c r="AJ94" s="49">
        <v>68.75</v>
      </c>
      <c r="AK94" s="49">
        <v>343.75</v>
      </c>
      <c r="AL94" s="52">
        <v>34.375</v>
      </c>
      <c r="AM94" s="52">
        <v>168.75</v>
      </c>
      <c r="AN94" s="52">
        <v>203.125</v>
      </c>
      <c r="AO94" s="59">
        <v>0.59090909090909094</v>
      </c>
      <c r="AP94" s="60">
        <v>140.625</v>
      </c>
      <c r="AQ94" s="61">
        <v>0.40909090909090912</v>
      </c>
      <c r="AR94" s="60" t="s">
        <v>78</v>
      </c>
      <c r="AS94" s="62">
        <v>525</v>
      </c>
      <c r="AT94" s="62">
        <v>150</v>
      </c>
      <c r="AU94" s="62">
        <v>675</v>
      </c>
      <c r="AV94" s="62">
        <v>843.75</v>
      </c>
      <c r="AW94" s="47" t="s">
        <v>74</v>
      </c>
      <c r="AX94" s="64">
        <v>45202</v>
      </c>
      <c r="AY94" s="64" t="s">
        <v>2486</v>
      </c>
      <c r="AZ94" s="87"/>
      <c r="BA94" s="64"/>
      <c r="BB94" s="64"/>
      <c r="BC94" s="64"/>
      <c r="BD94" s="46"/>
      <c r="BE94" s="46" t="e">
        <v>#REF!</v>
      </c>
      <c r="BF94" s="46" t="s">
        <v>79</v>
      </c>
      <c r="BG94" s="65">
        <v>2</v>
      </c>
      <c r="BH94" s="66"/>
      <c r="BI94" s="63" t="s">
        <v>2487</v>
      </c>
    </row>
    <row r="95" spans="1:61" ht="76.5" x14ac:dyDescent="0.2">
      <c r="A95" s="45" t="s">
        <v>2488</v>
      </c>
      <c r="B95" s="46"/>
      <c r="C95" s="46" t="s">
        <v>2489</v>
      </c>
      <c r="D95" s="46" t="s">
        <v>2470</v>
      </c>
      <c r="E95" s="46" t="s">
        <v>2336</v>
      </c>
      <c r="F95" s="46" t="s">
        <v>2157</v>
      </c>
      <c r="G95" s="46" t="s">
        <v>68</v>
      </c>
      <c r="H95" s="46" t="s">
        <v>68</v>
      </c>
      <c r="I95" s="46" t="s">
        <v>68</v>
      </c>
      <c r="J95" s="46" t="s">
        <v>71</v>
      </c>
      <c r="K95" s="47">
        <v>250</v>
      </c>
      <c r="L95" s="47">
        <v>100</v>
      </c>
      <c r="M95" s="47">
        <v>350</v>
      </c>
      <c r="N95" s="46"/>
      <c r="O95" s="71" t="s">
        <v>68</v>
      </c>
      <c r="P95" s="64"/>
      <c r="Q95" s="46" t="s">
        <v>2129</v>
      </c>
      <c r="R95" s="46" t="s">
        <v>2466</v>
      </c>
      <c r="S95" s="49">
        <v>87.5</v>
      </c>
      <c r="T95" s="49">
        <v>437.5</v>
      </c>
      <c r="U95" s="67">
        <v>0.40285714285714286</v>
      </c>
      <c r="V95" s="67">
        <v>0.47142857142857142</v>
      </c>
      <c r="W95" s="51">
        <v>0.4</v>
      </c>
      <c r="X95" s="52">
        <v>43.75</v>
      </c>
      <c r="Y95" s="52">
        <v>30</v>
      </c>
      <c r="Z95" s="52">
        <v>187.5</v>
      </c>
      <c r="AA95" s="52">
        <v>261.25</v>
      </c>
      <c r="AB95" s="53">
        <v>0.5971428571428572</v>
      </c>
      <c r="AC95" s="72">
        <v>176.25</v>
      </c>
      <c r="AD95" s="55">
        <v>0.40285714285714286</v>
      </c>
      <c r="AE95" s="73">
        <v>3</v>
      </c>
      <c r="AF95" s="57" t="s">
        <v>95</v>
      </c>
      <c r="AG95" s="58">
        <v>250</v>
      </c>
      <c r="AH95" s="58">
        <v>100</v>
      </c>
      <c r="AI95" s="58">
        <v>350</v>
      </c>
      <c r="AJ95" s="49">
        <v>87.5</v>
      </c>
      <c r="AK95" s="49">
        <v>437.5</v>
      </c>
      <c r="AL95" s="52">
        <v>43.75</v>
      </c>
      <c r="AM95" s="52">
        <v>187.5</v>
      </c>
      <c r="AN95" s="52">
        <v>231.25</v>
      </c>
      <c r="AO95" s="59">
        <v>0.52857142857142858</v>
      </c>
      <c r="AP95" s="60">
        <v>206.25</v>
      </c>
      <c r="AQ95" s="61">
        <v>0.47142857142857142</v>
      </c>
      <c r="AR95" s="60" t="s">
        <v>78</v>
      </c>
      <c r="AS95" s="62">
        <v>400</v>
      </c>
      <c r="AT95" s="62">
        <v>160</v>
      </c>
      <c r="AU95" s="62">
        <v>560</v>
      </c>
      <c r="AV95" s="62">
        <v>700</v>
      </c>
      <c r="AW95" s="47" t="s">
        <v>74</v>
      </c>
      <c r="AX95" s="64">
        <v>45202</v>
      </c>
      <c r="AY95" s="64" t="s">
        <v>2490</v>
      </c>
      <c r="AZ95" s="87"/>
      <c r="BA95" s="64"/>
      <c r="BB95" s="64"/>
      <c r="BC95" s="64"/>
      <c r="BD95" s="46"/>
      <c r="BE95" s="46" t="e">
        <v>#REF!</v>
      </c>
      <c r="BF95" s="46" t="s">
        <v>75</v>
      </c>
      <c r="BG95" s="65">
        <v>0.75</v>
      </c>
      <c r="BH95" s="66"/>
      <c r="BI95" s="63" t="s">
        <v>2491</v>
      </c>
    </row>
    <row r="96" spans="1:61" ht="63.75" x14ac:dyDescent="0.2">
      <c r="A96" s="45" t="s">
        <v>2492</v>
      </c>
      <c r="B96" s="46"/>
      <c r="C96" s="46" t="s">
        <v>2493</v>
      </c>
      <c r="D96" s="46" t="s">
        <v>2470</v>
      </c>
      <c r="E96" s="46" t="s">
        <v>2314</v>
      </c>
      <c r="F96" s="46" t="s">
        <v>68</v>
      </c>
      <c r="G96" s="46" t="s">
        <v>68</v>
      </c>
      <c r="H96" s="46" t="s">
        <v>68</v>
      </c>
      <c r="I96" s="46" t="s">
        <v>68</v>
      </c>
      <c r="J96" s="46" t="s">
        <v>71</v>
      </c>
      <c r="K96" s="47">
        <v>150</v>
      </c>
      <c r="L96" s="47">
        <v>60</v>
      </c>
      <c r="M96" s="47">
        <v>210</v>
      </c>
      <c r="N96" s="46"/>
      <c r="O96" s="71" t="s">
        <v>68</v>
      </c>
      <c r="P96" s="64"/>
      <c r="Q96" s="46" t="s">
        <v>2129</v>
      </c>
      <c r="R96" s="46" t="s">
        <v>2466</v>
      </c>
      <c r="S96" s="49">
        <v>52.5</v>
      </c>
      <c r="T96" s="49">
        <v>262.5</v>
      </c>
      <c r="U96" s="67">
        <v>0.35714285714285715</v>
      </c>
      <c r="V96" s="67">
        <v>0.34444444444444444</v>
      </c>
      <c r="W96" s="51">
        <v>0.4</v>
      </c>
      <c r="X96" s="52">
        <v>26.25</v>
      </c>
      <c r="Y96" s="52">
        <v>30</v>
      </c>
      <c r="Z96" s="52">
        <v>112.5</v>
      </c>
      <c r="AA96" s="52">
        <v>168.75</v>
      </c>
      <c r="AB96" s="53">
        <v>0.6428571428571429</v>
      </c>
      <c r="AC96" s="54">
        <v>93.75</v>
      </c>
      <c r="AD96" s="55">
        <v>0.35714285714285715</v>
      </c>
      <c r="AE96" s="56">
        <v>2</v>
      </c>
      <c r="AF96" s="57" t="s">
        <v>72</v>
      </c>
      <c r="AG96" s="58">
        <v>75</v>
      </c>
      <c r="AH96" s="58">
        <v>60</v>
      </c>
      <c r="AI96" s="58">
        <v>135</v>
      </c>
      <c r="AJ96" s="49">
        <v>33.75</v>
      </c>
      <c r="AK96" s="49">
        <v>168.75</v>
      </c>
      <c r="AL96" s="52">
        <v>16.875</v>
      </c>
      <c r="AM96" s="52">
        <v>93.75</v>
      </c>
      <c r="AN96" s="52">
        <v>110.625</v>
      </c>
      <c r="AO96" s="59">
        <v>0.65555555555555556</v>
      </c>
      <c r="AP96" s="60">
        <v>58.125</v>
      </c>
      <c r="AQ96" s="61">
        <v>0.34444444444444444</v>
      </c>
      <c r="AR96" s="60" t="s">
        <v>78</v>
      </c>
      <c r="AS96" s="62">
        <v>225</v>
      </c>
      <c r="AT96" s="62">
        <v>90</v>
      </c>
      <c r="AU96" s="62">
        <v>315</v>
      </c>
      <c r="AV96" s="62">
        <v>393.75</v>
      </c>
      <c r="AW96" s="47" t="s">
        <v>74</v>
      </c>
      <c r="AX96" s="64">
        <v>45202</v>
      </c>
      <c r="AY96" s="64" t="s">
        <v>2494</v>
      </c>
      <c r="AZ96" s="87"/>
      <c r="BA96" s="64"/>
      <c r="BB96" s="64"/>
      <c r="BC96" s="64"/>
      <c r="BD96" s="46"/>
      <c r="BE96" s="46" t="e">
        <v>#REF!</v>
      </c>
      <c r="BF96" s="46" t="s">
        <v>79</v>
      </c>
      <c r="BG96" s="65">
        <v>0.5</v>
      </c>
      <c r="BH96" s="66"/>
      <c r="BI96" s="63" t="s">
        <v>2495</v>
      </c>
    </row>
    <row r="97" spans="1:61" ht="63.75" x14ac:dyDescent="0.2">
      <c r="A97" s="45" t="s">
        <v>2496</v>
      </c>
      <c r="B97" s="46"/>
      <c r="C97" s="46" t="s">
        <v>2497</v>
      </c>
      <c r="D97" s="46" t="s">
        <v>2470</v>
      </c>
      <c r="E97" s="46" t="s">
        <v>2314</v>
      </c>
      <c r="F97" s="46" t="s">
        <v>2345</v>
      </c>
      <c r="G97" s="46" t="s">
        <v>68</v>
      </c>
      <c r="H97" s="46" t="s">
        <v>68</v>
      </c>
      <c r="I97" s="46" t="s">
        <v>68</v>
      </c>
      <c r="J97" s="46" t="s">
        <v>71</v>
      </c>
      <c r="K97" s="47">
        <v>200</v>
      </c>
      <c r="L97" s="47">
        <v>0</v>
      </c>
      <c r="M97" s="47">
        <v>200</v>
      </c>
      <c r="N97" s="46"/>
      <c r="O97" s="71" t="s">
        <v>68</v>
      </c>
      <c r="P97" s="64"/>
      <c r="Q97" s="46" t="s">
        <v>2129</v>
      </c>
      <c r="R97" s="46" t="s">
        <v>2466</v>
      </c>
      <c r="S97" s="49">
        <v>50</v>
      </c>
      <c r="T97" s="49">
        <v>250</v>
      </c>
      <c r="U97" s="67">
        <v>0.57999999999999996</v>
      </c>
      <c r="V97" s="67">
        <v>0.7</v>
      </c>
      <c r="W97" s="51">
        <v>0</v>
      </c>
      <c r="X97" s="52">
        <v>25</v>
      </c>
      <c r="Y97" s="52">
        <v>30</v>
      </c>
      <c r="Z97" s="52">
        <v>50</v>
      </c>
      <c r="AA97" s="52">
        <v>105</v>
      </c>
      <c r="AB97" s="53">
        <v>0.42</v>
      </c>
      <c r="AC97" s="72">
        <v>145</v>
      </c>
      <c r="AD97" s="55">
        <v>0.57999999999999996</v>
      </c>
      <c r="AE97" s="73">
        <v>3</v>
      </c>
      <c r="AF97" s="57" t="s">
        <v>95</v>
      </c>
      <c r="AG97" s="58">
        <v>200</v>
      </c>
      <c r="AH97" s="58">
        <v>0</v>
      </c>
      <c r="AI97" s="58">
        <v>200</v>
      </c>
      <c r="AJ97" s="49">
        <v>50</v>
      </c>
      <c r="AK97" s="49">
        <v>250</v>
      </c>
      <c r="AL97" s="52">
        <v>25</v>
      </c>
      <c r="AM97" s="52">
        <v>50</v>
      </c>
      <c r="AN97" s="52">
        <v>75</v>
      </c>
      <c r="AO97" s="59">
        <v>0.3</v>
      </c>
      <c r="AP97" s="60">
        <v>175</v>
      </c>
      <c r="AQ97" s="61">
        <v>0.7</v>
      </c>
      <c r="AR97" s="60" t="s">
        <v>78</v>
      </c>
      <c r="AS97" s="62">
        <v>320</v>
      </c>
      <c r="AT97" s="62">
        <v>0</v>
      </c>
      <c r="AU97" s="62">
        <v>320</v>
      </c>
      <c r="AV97" s="62">
        <v>400</v>
      </c>
      <c r="AW97" s="47" t="s">
        <v>74</v>
      </c>
      <c r="AX97" s="64">
        <v>45202</v>
      </c>
      <c r="AY97" s="64" t="s">
        <v>2498</v>
      </c>
      <c r="AZ97" s="87"/>
      <c r="BA97" s="64"/>
      <c r="BB97" s="64"/>
      <c r="BC97" s="64"/>
      <c r="BD97" s="46"/>
      <c r="BE97" s="46" t="e">
        <v>#REF!</v>
      </c>
      <c r="BF97" s="46" t="s">
        <v>75</v>
      </c>
      <c r="BG97" s="65">
        <v>0.5</v>
      </c>
      <c r="BH97" s="66"/>
      <c r="BI97" s="63" t="s">
        <v>2499</v>
      </c>
    </row>
    <row r="98" spans="1:61" ht="89.25" x14ac:dyDescent="0.2">
      <c r="A98" s="45" t="s">
        <v>2500</v>
      </c>
      <c r="B98" s="46"/>
      <c r="C98" s="46" t="s">
        <v>2501</v>
      </c>
      <c r="D98" s="46" t="s">
        <v>2470</v>
      </c>
      <c r="E98" s="46" t="s">
        <v>2350</v>
      </c>
      <c r="F98" s="46" t="s">
        <v>2157</v>
      </c>
      <c r="G98" s="46" t="s">
        <v>68</v>
      </c>
      <c r="H98" s="46" t="s">
        <v>68</v>
      </c>
      <c r="I98" s="46" t="s">
        <v>68</v>
      </c>
      <c r="J98" s="46" t="s">
        <v>71</v>
      </c>
      <c r="K98" s="47">
        <v>400</v>
      </c>
      <c r="L98" s="47">
        <f>300+100</f>
        <v>400</v>
      </c>
      <c r="M98" s="47">
        <v>800</v>
      </c>
      <c r="N98" s="46"/>
      <c r="O98" s="71" t="s">
        <v>68</v>
      </c>
      <c r="P98" s="64"/>
      <c r="Q98" s="46" t="s">
        <v>2129</v>
      </c>
      <c r="R98" s="46" t="s">
        <v>2466</v>
      </c>
      <c r="S98" s="49">
        <v>200</v>
      </c>
      <c r="T98" s="49">
        <v>1000</v>
      </c>
      <c r="U98" s="28">
        <v>0.27</v>
      </c>
      <c r="V98" s="67">
        <v>0.3</v>
      </c>
      <c r="W98" s="51">
        <v>1</v>
      </c>
      <c r="X98" s="52">
        <v>100</v>
      </c>
      <c r="Y98" s="52">
        <v>30</v>
      </c>
      <c r="Z98" s="52">
        <v>600</v>
      </c>
      <c r="AA98" s="52">
        <v>730</v>
      </c>
      <c r="AB98" s="53">
        <v>0.73</v>
      </c>
      <c r="AC98" s="72">
        <v>270</v>
      </c>
      <c r="AD98" s="55">
        <v>0.27</v>
      </c>
      <c r="AE98" s="73">
        <v>3</v>
      </c>
      <c r="AF98" s="57" t="s">
        <v>95</v>
      </c>
      <c r="AG98" s="58">
        <v>400</v>
      </c>
      <c r="AH98" s="58">
        <v>400</v>
      </c>
      <c r="AI98" s="58">
        <v>800</v>
      </c>
      <c r="AJ98" s="49">
        <v>200</v>
      </c>
      <c r="AK98" s="49">
        <v>1000</v>
      </c>
      <c r="AL98" s="52">
        <v>100</v>
      </c>
      <c r="AM98" s="52">
        <v>600</v>
      </c>
      <c r="AN98" s="52">
        <v>700</v>
      </c>
      <c r="AO98" s="59">
        <v>0.7</v>
      </c>
      <c r="AP98" s="60">
        <v>300</v>
      </c>
      <c r="AQ98" s="61">
        <v>0.3</v>
      </c>
      <c r="AR98" s="60" t="s">
        <v>78</v>
      </c>
      <c r="AS98" s="62">
        <v>640</v>
      </c>
      <c r="AT98" s="62">
        <v>640</v>
      </c>
      <c r="AU98" s="62">
        <v>1280</v>
      </c>
      <c r="AV98" s="62">
        <v>1600</v>
      </c>
      <c r="AW98" s="47" t="s">
        <v>74</v>
      </c>
      <c r="AX98" s="64">
        <v>45202</v>
      </c>
      <c r="AY98" s="64" t="s">
        <v>2502</v>
      </c>
      <c r="AZ98" s="87"/>
      <c r="BA98" s="64"/>
      <c r="BB98" s="64"/>
      <c r="BC98" s="64"/>
      <c r="BD98" s="46"/>
      <c r="BE98" s="46" t="e">
        <v>#REF!</v>
      </c>
      <c r="BF98" s="46" t="s">
        <v>75</v>
      </c>
      <c r="BG98" s="65">
        <v>2</v>
      </c>
      <c r="BH98" s="66"/>
      <c r="BI98" s="63" t="s">
        <v>2503</v>
      </c>
    </row>
    <row r="99" spans="1:61" ht="63.75" x14ac:dyDescent="0.2">
      <c r="A99" s="45" t="s">
        <v>2504</v>
      </c>
      <c r="B99" s="46"/>
      <c r="C99" s="46" t="s">
        <v>2469</v>
      </c>
      <c r="D99" s="46" t="s">
        <v>2313</v>
      </c>
      <c r="E99" s="46" t="s">
        <v>2314</v>
      </c>
      <c r="F99" s="46" t="s">
        <v>2157</v>
      </c>
      <c r="G99" s="46" t="s">
        <v>68</v>
      </c>
      <c r="H99" s="46" t="s">
        <v>68</v>
      </c>
      <c r="I99" s="46" t="s">
        <v>68</v>
      </c>
      <c r="J99" s="46" t="s">
        <v>71</v>
      </c>
      <c r="K99" s="47">
        <v>160</v>
      </c>
      <c r="L99" s="47">
        <v>70</v>
      </c>
      <c r="M99" s="47">
        <v>230</v>
      </c>
      <c r="N99" s="46"/>
      <c r="O99" s="71" t="s">
        <v>68</v>
      </c>
      <c r="P99" s="64"/>
      <c r="Q99" s="46" t="s">
        <v>2129</v>
      </c>
      <c r="R99" s="46" t="s">
        <v>2466</v>
      </c>
      <c r="S99" s="49">
        <v>57.5</v>
      </c>
      <c r="T99" s="49">
        <v>287.5</v>
      </c>
      <c r="U99" s="67">
        <v>0.35217391304347828</v>
      </c>
      <c r="V99" s="67">
        <v>0.45652173913043476</v>
      </c>
      <c r="W99" s="51">
        <v>0.4375</v>
      </c>
      <c r="X99" s="52">
        <v>28.75</v>
      </c>
      <c r="Y99" s="52">
        <v>30</v>
      </c>
      <c r="Z99" s="52">
        <v>127.5</v>
      </c>
      <c r="AA99" s="52">
        <v>186.25</v>
      </c>
      <c r="AB99" s="53">
        <v>0.64782608695652177</v>
      </c>
      <c r="AC99" s="54">
        <v>101.25</v>
      </c>
      <c r="AD99" s="55">
        <v>0.35217391304347828</v>
      </c>
      <c r="AE99" s="73">
        <v>3</v>
      </c>
      <c r="AF99" s="57" t="s">
        <v>95</v>
      </c>
      <c r="AG99" s="58">
        <v>160</v>
      </c>
      <c r="AH99" s="58">
        <v>70</v>
      </c>
      <c r="AI99" s="58">
        <v>230</v>
      </c>
      <c r="AJ99" s="49">
        <v>57.5</v>
      </c>
      <c r="AK99" s="49">
        <v>287.5</v>
      </c>
      <c r="AL99" s="52">
        <v>28.75</v>
      </c>
      <c r="AM99" s="52">
        <v>127.5</v>
      </c>
      <c r="AN99" s="52">
        <v>156.25</v>
      </c>
      <c r="AO99" s="59">
        <v>0.54347826086956519</v>
      </c>
      <c r="AP99" s="60">
        <v>131.25</v>
      </c>
      <c r="AQ99" s="61">
        <v>0.45652173913043476</v>
      </c>
      <c r="AR99" s="60" t="s">
        <v>78</v>
      </c>
      <c r="AS99" s="62">
        <v>256</v>
      </c>
      <c r="AT99" s="62">
        <v>112</v>
      </c>
      <c r="AU99" s="62">
        <v>368</v>
      </c>
      <c r="AV99" s="62">
        <v>460</v>
      </c>
      <c r="AW99" s="47" t="s">
        <v>74</v>
      </c>
      <c r="AX99" s="64">
        <v>45202</v>
      </c>
      <c r="AY99" s="64" t="s">
        <v>2505</v>
      </c>
      <c r="AZ99" s="87"/>
      <c r="BA99" s="64"/>
      <c r="BB99" s="64"/>
      <c r="BC99" s="64"/>
      <c r="BD99" s="46"/>
      <c r="BE99" s="46" t="e">
        <v>#REF!</v>
      </c>
      <c r="BF99" s="46" t="s">
        <v>79</v>
      </c>
      <c r="BG99" s="65">
        <v>0.75</v>
      </c>
      <c r="BH99" s="66"/>
      <c r="BI99" s="63" t="s">
        <v>2506</v>
      </c>
    </row>
    <row r="100" spans="1:61" ht="63.75" x14ac:dyDescent="0.2">
      <c r="A100" s="45" t="s">
        <v>2507</v>
      </c>
      <c r="B100" s="46"/>
      <c r="C100" s="46" t="s">
        <v>2474</v>
      </c>
      <c r="D100" s="46" t="s">
        <v>2313</v>
      </c>
      <c r="E100" s="46" t="s">
        <v>2314</v>
      </c>
      <c r="F100" s="46" t="s">
        <v>2157</v>
      </c>
      <c r="G100" s="46" t="s">
        <v>68</v>
      </c>
      <c r="H100" s="46" t="s">
        <v>68</v>
      </c>
      <c r="I100" s="46" t="s">
        <v>68</v>
      </c>
      <c r="J100" s="46" t="s">
        <v>71</v>
      </c>
      <c r="K100" s="47">
        <v>150</v>
      </c>
      <c r="L100" s="47">
        <v>40</v>
      </c>
      <c r="M100" s="47">
        <v>190</v>
      </c>
      <c r="N100" s="46"/>
      <c r="O100" s="71" t="s">
        <v>68</v>
      </c>
      <c r="P100" s="64"/>
      <c r="Q100" s="46" t="s">
        <v>2129</v>
      </c>
      <c r="R100" s="46" t="s">
        <v>2466</v>
      </c>
      <c r="S100" s="49">
        <v>47.5</v>
      </c>
      <c r="T100" s="49">
        <v>237.5</v>
      </c>
      <c r="U100" s="67">
        <v>0.40526315789473683</v>
      </c>
      <c r="V100" s="67">
        <v>0.42173913043478262</v>
      </c>
      <c r="W100" s="51">
        <v>0.26666666666666666</v>
      </c>
      <c r="X100" s="52">
        <v>23.75</v>
      </c>
      <c r="Y100" s="52">
        <v>30</v>
      </c>
      <c r="Z100" s="52">
        <v>87.5</v>
      </c>
      <c r="AA100" s="52">
        <v>141.25</v>
      </c>
      <c r="AB100" s="53">
        <v>0.59473684210526312</v>
      </c>
      <c r="AC100" s="54">
        <v>96.25</v>
      </c>
      <c r="AD100" s="55">
        <v>0.40526315789473683</v>
      </c>
      <c r="AE100" s="56">
        <v>2</v>
      </c>
      <c r="AF100" s="57" t="s">
        <v>72</v>
      </c>
      <c r="AG100" s="58">
        <v>75</v>
      </c>
      <c r="AH100" s="58">
        <v>40</v>
      </c>
      <c r="AI100" s="58">
        <v>115</v>
      </c>
      <c r="AJ100" s="49">
        <v>28.75</v>
      </c>
      <c r="AK100" s="49">
        <v>143.75</v>
      </c>
      <c r="AL100" s="52">
        <v>14.375</v>
      </c>
      <c r="AM100" s="52">
        <v>68.75</v>
      </c>
      <c r="AN100" s="52">
        <v>83.125</v>
      </c>
      <c r="AO100" s="59">
        <v>0.57826086956521738</v>
      </c>
      <c r="AP100" s="60">
        <v>60.625</v>
      </c>
      <c r="AQ100" s="61">
        <v>0.42173913043478262</v>
      </c>
      <c r="AR100" s="60" t="s">
        <v>78</v>
      </c>
      <c r="AS100" s="62">
        <v>225</v>
      </c>
      <c r="AT100" s="62">
        <v>60</v>
      </c>
      <c r="AU100" s="62">
        <v>285</v>
      </c>
      <c r="AV100" s="62">
        <v>356.25</v>
      </c>
      <c r="AW100" s="47" t="s">
        <v>74</v>
      </c>
      <c r="AX100" s="64">
        <v>45202</v>
      </c>
      <c r="AY100" s="64" t="s">
        <v>2508</v>
      </c>
      <c r="AZ100" s="87"/>
      <c r="BA100" s="64"/>
      <c r="BB100" s="64"/>
      <c r="BC100" s="64"/>
      <c r="BD100" s="46"/>
      <c r="BE100" s="46" t="e">
        <v>#REF!</v>
      </c>
      <c r="BF100" s="46" t="s">
        <v>79</v>
      </c>
      <c r="BG100" s="65">
        <v>0.5</v>
      </c>
      <c r="BH100" s="66"/>
      <c r="BI100" s="63" t="s">
        <v>2509</v>
      </c>
    </row>
    <row r="101" spans="1:61" ht="63.75" x14ac:dyDescent="0.2">
      <c r="A101" s="45" t="s">
        <v>2510</v>
      </c>
      <c r="B101" s="46"/>
      <c r="C101" s="46" t="s">
        <v>2478</v>
      </c>
      <c r="D101" s="46" t="s">
        <v>2313</v>
      </c>
      <c r="E101" s="46" t="s">
        <v>2314</v>
      </c>
      <c r="F101" s="46" t="s">
        <v>2157</v>
      </c>
      <c r="G101" s="46" t="s">
        <v>68</v>
      </c>
      <c r="H101" s="46" t="s">
        <v>68</v>
      </c>
      <c r="I101" s="46" t="s">
        <v>68</v>
      </c>
      <c r="J101" s="46" t="s">
        <v>71</v>
      </c>
      <c r="K101" s="47">
        <v>180</v>
      </c>
      <c r="L101" s="47">
        <v>40</v>
      </c>
      <c r="M101" s="47">
        <v>220</v>
      </c>
      <c r="N101" s="46"/>
      <c r="O101" s="71" t="s">
        <v>68</v>
      </c>
      <c r="P101" s="64"/>
      <c r="Q101" s="46" t="s">
        <v>2129</v>
      </c>
      <c r="R101" s="46" t="s">
        <v>2466</v>
      </c>
      <c r="S101" s="49">
        <v>55</v>
      </c>
      <c r="T101" s="49">
        <v>275</v>
      </c>
      <c r="U101" s="67">
        <v>0.44545454545454544</v>
      </c>
      <c r="V101" s="67">
        <v>0.45384615384615384</v>
      </c>
      <c r="W101" s="51">
        <v>0.22222222222222221</v>
      </c>
      <c r="X101" s="52">
        <v>27.5</v>
      </c>
      <c r="Y101" s="52">
        <v>30</v>
      </c>
      <c r="Z101" s="52">
        <v>95</v>
      </c>
      <c r="AA101" s="52">
        <v>152.5</v>
      </c>
      <c r="AB101" s="53">
        <v>0.55454545454545456</v>
      </c>
      <c r="AC101" s="72">
        <v>122.5</v>
      </c>
      <c r="AD101" s="55">
        <v>0.44545454545454544</v>
      </c>
      <c r="AE101" s="56">
        <v>2</v>
      </c>
      <c r="AF101" s="57" t="s">
        <v>72</v>
      </c>
      <c r="AG101" s="58">
        <v>90</v>
      </c>
      <c r="AH101" s="58">
        <v>40</v>
      </c>
      <c r="AI101" s="58">
        <v>130</v>
      </c>
      <c r="AJ101" s="49">
        <v>32.5</v>
      </c>
      <c r="AK101" s="49">
        <v>162.5</v>
      </c>
      <c r="AL101" s="52">
        <v>16.25</v>
      </c>
      <c r="AM101" s="52">
        <v>72.5</v>
      </c>
      <c r="AN101" s="52">
        <v>88.75</v>
      </c>
      <c r="AO101" s="59">
        <v>0.5461538461538461</v>
      </c>
      <c r="AP101" s="60">
        <v>73.75</v>
      </c>
      <c r="AQ101" s="61">
        <v>0.45384615384615384</v>
      </c>
      <c r="AR101" s="60" t="s">
        <v>78</v>
      </c>
      <c r="AS101" s="62">
        <v>270</v>
      </c>
      <c r="AT101" s="62">
        <v>60</v>
      </c>
      <c r="AU101" s="62">
        <v>330</v>
      </c>
      <c r="AV101" s="62">
        <v>412.5</v>
      </c>
      <c r="AW101" s="47" t="s">
        <v>74</v>
      </c>
      <c r="AX101" s="64">
        <v>45202</v>
      </c>
      <c r="AY101" s="64" t="s">
        <v>2511</v>
      </c>
      <c r="AZ101" s="87"/>
      <c r="BA101" s="64"/>
      <c r="BB101" s="64"/>
      <c r="BC101" s="64"/>
      <c r="BD101" s="46"/>
      <c r="BE101" s="46" t="e">
        <v>#REF!</v>
      </c>
      <c r="BF101" s="46" t="s">
        <v>79</v>
      </c>
      <c r="BG101" s="65">
        <v>0.5</v>
      </c>
      <c r="BH101" s="66"/>
      <c r="BI101" s="63" t="s">
        <v>2512</v>
      </c>
    </row>
    <row r="102" spans="1:61" ht="63.75" x14ac:dyDescent="0.2">
      <c r="A102" s="45" t="s">
        <v>2513</v>
      </c>
      <c r="B102" s="46"/>
      <c r="C102" s="46" t="s">
        <v>2482</v>
      </c>
      <c r="D102" s="46" t="s">
        <v>2313</v>
      </c>
      <c r="E102" s="46" t="s">
        <v>2314</v>
      </c>
      <c r="F102" s="46" t="s">
        <v>2327</v>
      </c>
      <c r="G102" s="46" t="s">
        <v>68</v>
      </c>
      <c r="H102" s="46" t="s">
        <v>68</v>
      </c>
      <c r="I102" s="46" t="s">
        <v>68</v>
      </c>
      <c r="J102" s="46" t="s">
        <v>71</v>
      </c>
      <c r="K102" s="47">
        <v>250</v>
      </c>
      <c r="L102" s="47">
        <v>50</v>
      </c>
      <c r="M102" s="47">
        <v>300</v>
      </c>
      <c r="N102" s="46"/>
      <c r="O102" s="71" t="s">
        <v>68</v>
      </c>
      <c r="P102" s="64"/>
      <c r="Q102" s="46" t="s">
        <v>2129</v>
      </c>
      <c r="R102" s="46" t="s">
        <v>2466</v>
      </c>
      <c r="S102" s="49">
        <v>75</v>
      </c>
      <c r="T102" s="49">
        <v>375</v>
      </c>
      <c r="U102" s="67">
        <v>0.48666666666666669</v>
      </c>
      <c r="V102" s="67">
        <v>0.47142857142857142</v>
      </c>
      <c r="W102" s="51">
        <v>0.2</v>
      </c>
      <c r="X102" s="52">
        <v>37.5</v>
      </c>
      <c r="Y102" s="52">
        <v>30</v>
      </c>
      <c r="Z102" s="52">
        <v>125</v>
      </c>
      <c r="AA102" s="52">
        <v>192.5</v>
      </c>
      <c r="AB102" s="53">
        <v>0.51333333333333331</v>
      </c>
      <c r="AC102" s="72">
        <v>182.5</v>
      </c>
      <c r="AD102" s="55">
        <v>0.48666666666666669</v>
      </c>
      <c r="AE102" s="56">
        <v>2</v>
      </c>
      <c r="AF102" s="57" t="s">
        <v>72</v>
      </c>
      <c r="AG102" s="58">
        <v>125</v>
      </c>
      <c r="AH102" s="58">
        <v>50</v>
      </c>
      <c r="AI102" s="58">
        <v>175</v>
      </c>
      <c r="AJ102" s="49">
        <v>43.75</v>
      </c>
      <c r="AK102" s="49">
        <v>218.75</v>
      </c>
      <c r="AL102" s="52">
        <v>21.875</v>
      </c>
      <c r="AM102" s="52">
        <v>93.75</v>
      </c>
      <c r="AN102" s="52">
        <v>115.625</v>
      </c>
      <c r="AO102" s="59">
        <v>0.52857142857142858</v>
      </c>
      <c r="AP102" s="60">
        <v>103.125</v>
      </c>
      <c r="AQ102" s="61">
        <v>0.47142857142857142</v>
      </c>
      <c r="AR102" s="60" t="s">
        <v>78</v>
      </c>
      <c r="AS102" s="62">
        <v>375</v>
      </c>
      <c r="AT102" s="62">
        <v>75</v>
      </c>
      <c r="AU102" s="62">
        <v>450</v>
      </c>
      <c r="AV102" s="62">
        <v>562.5</v>
      </c>
      <c r="AW102" s="47" t="s">
        <v>74</v>
      </c>
      <c r="AX102" s="64">
        <v>45202</v>
      </c>
      <c r="AY102" s="64" t="s">
        <v>2514</v>
      </c>
      <c r="AZ102" s="87"/>
      <c r="BA102" s="64"/>
      <c r="BB102" s="64"/>
      <c r="BC102" s="64"/>
      <c r="BD102" s="46"/>
      <c r="BE102" s="46" t="e">
        <v>#REF!</v>
      </c>
      <c r="BF102" s="46" t="s">
        <v>79</v>
      </c>
      <c r="BG102" s="65">
        <v>1</v>
      </c>
      <c r="BH102" s="66"/>
      <c r="BI102" s="63" t="s">
        <v>2515</v>
      </c>
    </row>
    <row r="103" spans="1:61" ht="63.75" x14ac:dyDescent="0.2">
      <c r="A103" s="45" t="s">
        <v>2516</v>
      </c>
      <c r="B103" s="46"/>
      <c r="C103" s="46" t="s">
        <v>2482</v>
      </c>
      <c r="D103" s="46" t="s">
        <v>2313</v>
      </c>
      <c r="E103" s="46" t="s">
        <v>2314</v>
      </c>
      <c r="F103" s="46" t="s">
        <v>2331</v>
      </c>
      <c r="G103" s="46" t="s">
        <v>68</v>
      </c>
      <c r="H103" s="46" t="s">
        <v>68</v>
      </c>
      <c r="I103" s="46" t="s">
        <v>68</v>
      </c>
      <c r="J103" s="46" t="s">
        <v>71</v>
      </c>
      <c r="K103" s="47">
        <v>350</v>
      </c>
      <c r="L103" s="47">
        <v>100</v>
      </c>
      <c r="M103" s="47">
        <v>450</v>
      </c>
      <c r="N103" s="46"/>
      <c r="O103" s="71" t="s">
        <v>68</v>
      </c>
      <c r="P103" s="64"/>
      <c r="Q103" s="46" t="s">
        <v>2129</v>
      </c>
      <c r="R103" s="46" t="s">
        <v>2466</v>
      </c>
      <c r="S103" s="49">
        <v>112.5</v>
      </c>
      <c r="T103" s="49">
        <v>562.5</v>
      </c>
      <c r="U103" s="67">
        <v>0.46888888888888891</v>
      </c>
      <c r="V103" s="67">
        <v>0.40909090909090912</v>
      </c>
      <c r="W103" s="51">
        <v>0.2857142857142857</v>
      </c>
      <c r="X103" s="52">
        <v>56.25</v>
      </c>
      <c r="Y103" s="52">
        <v>30</v>
      </c>
      <c r="Z103" s="52">
        <v>212.5</v>
      </c>
      <c r="AA103" s="52">
        <v>298.75</v>
      </c>
      <c r="AB103" s="53">
        <v>0.53111111111111109</v>
      </c>
      <c r="AC103" s="72">
        <v>263.75</v>
      </c>
      <c r="AD103" s="55">
        <v>0.46888888888888891</v>
      </c>
      <c r="AE103" s="56">
        <v>2</v>
      </c>
      <c r="AF103" s="57" t="s">
        <v>72</v>
      </c>
      <c r="AG103" s="58">
        <v>175</v>
      </c>
      <c r="AH103" s="58">
        <v>100</v>
      </c>
      <c r="AI103" s="58">
        <v>275</v>
      </c>
      <c r="AJ103" s="49">
        <v>68.75</v>
      </c>
      <c r="AK103" s="49">
        <v>343.75</v>
      </c>
      <c r="AL103" s="52">
        <v>34.375</v>
      </c>
      <c r="AM103" s="52">
        <v>168.75</v>
      </c>
      <c r="AN103" s="52">
        <v>203.125</v>
      </c>
      <c r="AO103" s="59">
        <v>0.59090909090909094</v>
      </c>
      <c r="AP103" s="60">
        <v>140.625</v>
      </c>
      <c r="AQ103" s="61">
        <v>0.40909090909090912</v>
      </c>
      <c r="AR103" s="60" t="s">
        <v>78</v>
      </c>
      <c r="AS103" s="62">
        <v>525</v>
      </c>
      <c r="AT103" s="62">
        <v>150</v>
      </c>
      <c r="AU103" s="62">
        <v>675</v>
      </c>
      <c r="AV103" s="62">
        <v>843.75</v>
      </c>
      <c r="AW103" s="47" t="s">
        <v>74</v>
      </c>
      <c r="AX103" s="64">
        <v>45202</v>
      </c>
      <c r="AY103" s="64" t="s">
        <v>2517</v>
      </c>
      <c r="AZ103" s="87"/>
      <c r="BA103" s="64"/>
      <c r="BB103" s="64"/>
      <c r="BC103" s="64"/>
      <c r="BD103" s="46"/>
      <c r="BE103" s="46" t="e">
        <v>#REF!</v>
      </c>
      <c r="BF103" s="46" t="s">
        <v>79</v>
      </c>
      <c r="BG103" s="65">
        <v>2</v>
      </c>
      <c r="BH103" s="66"/>
      <c r="BI103" s="63" t="s">
        <v>2518</v>
      </c>
    </row>
    <row r="104" spans="1:61" ht="76.5" x14ac:dyDescent="0.2">
      <c r="A104" s="45" t="s">
        <v>2519</v>
      </c>
      <c r="B104" s="46"/>
      <c r="C104" s="46" t="s">
        <v>2489</v>
      </c>
      <c r="D104" s="46" t="s">
        <v>2313</v>
      </c>
      <c r="E104" s="46" t="s">
        <v>2336</v>
      </c>
      <c r="F104" s="46" t="s">
        <v>2157</v>
      </c>
      <c r="G104" s="46" t="s">
        <v>68</v>
      </c>
      <c r="H104" s="46" t="s">
        <v>68</v>
      </c>
      <c r="I104" s="46" t="s">
        <v>68</v>
      </c>
      <c r="J104" s="46" t="s">
        <v>71</v>
      </c>
      <c r="K104" s="47">
        <v>180</v>
      </c>
      <c r="L104" s="47">
        <v>70</v>
      </c>
      <c r="M104" s="47">
        <v>250</v>
      </c>
      <c r="N104" s="46"/>
      <c r="O104" s="71" t="s">
        <v>68</v>
      </c>
      <c r="P104" s="64"/>
      <c r="Q104" s="46" t="s">
        <v>2129</v>
      </c>
      <c r="R104" s="46" t="s">
        <v>2466</v>
      </c>
      <c r="S104" s="49">
        <v>62.5</v>
      </c>
      <c r="T104" s="49">
        <v>312.5</v>
      </c>
      <c r="U104" s="67">
        <v>0.38</v>
      </c>
      <c r="V104" s="67">
        <v>0.35</v>
      </c>
      <c r="W104" s="51">
        <v>0.3888888888888889</v>
      </c>
      <c r="X104" s="52">
        <v>31.25</v>
      </c>
      <c r="Y104" s="52">
        <v>30</v>
      </c>
      <c r="Z104" s="52">
        <v>132.5</v>
      </c>
      <c r="AA104" s="52">
        <v>193.75</v>
      </c>
      <c r="AB104" s="53">
        <v>0.62</v>
      </c>
      <c r="AC104" s="54">
        <v>118.75</v>
      </c>
      <c r="AD104" s="55">
        <v>0.38</v>
      </c>
      <c r="AE104" s="56">
        <v>2</v>
      </c>
      <c r="AF104" s="57" t="s">
        <v>72</v>
      </c>
      <c r="AG104" s="58">
        <v>90</v>
      </c>
      <c r="AH104" s="58">
        <v>70</v>
      </c>
      <c r="AI104" s="58">
        <v>160</v>
      </c>
      <c r="AJ104" s="49">
        <v>40</v>
      </c>
      <c r="AK104" s="49">
        <v>200</v>
      </c>
      <c r="AL104" s="52">
        <v>20</v>
      </c>
      <c r="AM104" s="52">
        <v>110</v>
      </c>
      <c r="AN104" s="52">
        <v>130</v>
      </c>
      <c r="AO104" s="59">
        <v>0.65</v>
      </c>
      <c r="AP104" s="60">
        <v>70</v>
      </c>
      <c r="AQ104" s="61">
        <v>0.35</v>
      </c>
      <c r="AR104" s="60" t="s">
        <v>78</v>
      </c>
      <c r="AS104" s="62">
        <v>270</v>
      </c>
      <c r="AT104" s="62">
        <v>105</v>
      </c>
      <c r="AU104" s="62">
        <v>375</v>
      </c>
      <c r="AV104" s="62">
        <v>468.75</v>
      </c>
      <c r="AW104" s="47" t="s">
        <v>74</v>
      </c>
      <c r="AX104" s="64">
        <v>45202</v>
      </c>
      <c r="AY104" s="64" t="s">
        <v>2520</v>
      </c>
      <c r="AZ104" s="87"/>
      <c r="BA104" s="64"/>
      <c r="BB104" s="64"/>
      <c r="BC104" s="64"/>
      <c r="BD104" s="46"/>
      <c r="BE104" s="46" t="e">
        <v>#REF!</v>
      </c>
      <c r="BF104" s="46" t="s">
        <v>79</v>
      </c>
      <c r="BG104" s="65">
        <v>0.75</v>
      </c>
      <c r="BH104" s="66"/>
      <c r="BI104" s="63" t="s">
        <v>2521</v>
      </c>
    </row>
    <row r="105" spans="1:61" ht="63.75" x14ac:dyDescent="0.2">
      <c r="A105" s="45" t="s">
        <v>2522</v>
      </c>
      <c r="B105" s="46"/>
      <c r="C105" s="46" t="s">
        <v>2523</v>
      </c>
      <c r="D105" s="46" t="s">
        <v>2313</v>
      </c>
      <c r="E105" s="46" t="s">
        <v>2314</v>
      </c>
      <c r="F105" s="46" t="s">
        <v>68</v>
      </c>
      <c r="G105" s="46" t="s">
        <v>68</v>
      </c>
      <c r="H105" s="46" t="s">
        <v>68</v>
      </c>
      <c r="I105" s="46" t="s">
        <v>68</v>
      </c>
      <c r="J105" s="46" t="s">
        <v>71</v>
      </c>
      <c r="K105" s="47">
        <v>150</v>
      </c>
      <c r="L105" s="47">
        <v>50</v>
      </c>
      <c r="M105" s="47">
        <v>200</v>
      </c>
      <c r="N105" s="46"/>
      <c r="O105" s="71" t="s">
        <v>68</v>
      </c>
      <c r="P105" s="64"/>
      <c r="Q105" s="46" t="s">
        <v>2129</v>
      </c>
      <c r="R105" s="46" t="s">
        <v>2466</v>
      </c>
      <c r="S105" s="49">
        <v>50</v>
      </c>
      <c r="T105" s="49">
        <v>250</v>
      </c>
      <c r="U105" s="67">
        <v>0.38</v>
      </c>
      <c r="V105" s="67">
        <v>0.38</v>
      </c>
      <c r="W105" s="51">
        <v>0.33333333333333331</v>
      </c>
      <c r="X105" s="52">
        <v>25</v>
      </c>
      <c r="Y105" s="52">
        <v>30</v>
      </c>
      <c r="Z105" s="52">
        <v>100</v>
      </c>
      <c r="AA105" s="52">
        <v>155</v>
      </c>
      <c r="AB105" s="53">
        <v>0.62</v>
      </c>
      <c r="AC105" s="54">
        <v>95</v>
      </c>
      <c r="AD105" s="55">
        <v>0.38</v>
      </c>
      <c r="AE105" s="56">
        <v>2</v>
      </c>
      <c r="AF105" s="57" t="s">
        <v>72</v>
      </c>
      <c r="AG105" s="58">
        <v>75</v>
      </c>
      <c r="AH105" s="58">
        <v>50</v>
      </c>
      <c r="AI105" s="58">
        <v>125</v>
      </c>
      <c r="AJ105" s="49">
        <v>31.25</v>
      </c>
      <c r="AK105" s="49">
        <v>156.25</v>
      </c>
      <c r="AL105" s="52">
        <v>15.625</v>
      </c>
      <c r="AM105" s="52">
        <v>81.25</v>
      </c>
      <c r="AN105" s="52">
        <v>96.875</v>
      </c>
      <c r="AO105" s="59">
        <v>0.62</v>
      </c>
      <c r="AP105" s="60">
        <v>59.375</v>
      </c>
      <c r="AQ105" s="61">
        <v>0.38</v>
      </c>
      <c r="AR105" s="60" t="s">
        <v>78</v>
      </c>
      <c r="AS105" s="62">
        <v>225</v>
      </c>
      <c r="AT105" s="62">
        <v>75</v>
      </c>
      <c r="AU105" s="62">
        <v>300</v>
      </c>
      <c r="AV105" s="62">
        <v>375</v>
      </c>
      <c r="AW105" s="47" t="s">
        <v>74</v>
      </c>
      <c r="AX105" s="64">
        <v>45202</v>
      </c>
      <c r="AY105" s="64" t="s">
        <v>2524</v>
      </c>
      <c r="AZ105" s="87"/>
      <c r="BA105" s="64"/>
      <c r="BB105" s="64"/>
      <c r="BC105" s="64"/>
      <c r="BD105" s="46"/>
      <c r="BE105" s="46" t="e">
        <v>#REF!</v>
      </c>
      <c r="BF105" s="46" t="s">
        <v>79</v>
      </c>
      <c r="BG105" s="65">
        <v>0.5</v>
      </c>
      <c r="BH105" s="66"/>
      <c r="BI105" s="63" t="s">
        <v>2525</v>
      </c>
    </row>
    <row r="106" spans="1:61" ht="63.75" x14ac:dyDescent="0.2">
      <c r="A106" s="45" t="s">
        <v>2526</v>
      </c>
      <c r="B106" s="46"/>
      <c r="C106" s="46" t="s">
        <v>2497</v>
      </c>
      <c r="D106" s="46" t="s">
        <v>2313</v>
      </c>
      <c r="E106" s="46" t="s">
        <v>2314</v>
      </c>
      <c r="F106" s="46" t="s">
        <v>2345</v>
      </c>
      <c r="G106" s="46" t="s">
        <v>68</v>
      </c>
      <c r="H106" s="46" t="s">
        <v>68</v>
      </c>
      <c r="I106" s="46" t="s">
        <v>68</v>
      </c>
      <c r="J106" s="46" t="s">
        <v>71</v>
      </c>
      <c r="K106" s="47">
        <v>180</v>
      </c>
      <c r="L106" s="47">
        <v>0</v>
      </c>
      <c r="M106" s="47">
        <v>180</v>
      </c>
      <c r="N106" s="46"/>
      <c r="O106" s="71" t="s">
        <v>68</v>
      </c>
      <c r="P106" s="64"/>
      <c r="Q106" s="46" t="s">
        <v>2129</v>
      </c>
      <c r="R106" s="46" t="s">
        <v>2466</v>
      </c>
      <c r="S106" s="49">
        <v>45</v>
      </c>
      <c r="T106" s="49">
        <v>225</v>
      </c>
      <c r="U106" s="67">
        <v>0.56666666666666665</v>
      </c>
      <c r="V106" s="67">
        <v>0.7</v>
      </c>
      <c r="W106" s="51">
        <v>0</v>
      </c>
      <c r="X106" s="52">
        <v>22.5</v>
      </c>
      <c r="Y106" s="52">
        <v>30</v>
      </c>
      <c r="Z106" s="52">
        <v>45</v>
      </c>
      <c r="AA106" s="52">
        <v>97.5</v>
      </c>
      <c r="AB106" s="53">
        <v>0.43333333333333335</v>
      </c>
      <c r="AC106" s="72">
        <v>127.5</v>
      </c>
      <c r="AD106" s="55">
        <v>0.56666666666666665</v>
      </c>
      <c r="AE106" s="73">
        <v>3</v>
      </c>
      <c r="AF106" s="57" t="s">
        <v>95</v>
      </c>
      <c r="AG106" s="58">
        <v>180</v>
      </c>
      <c r="AH106" s="58">
        <v>0</v>
      </c>
      <c r="AI106" s="58">
        <v>180</v>
      </c>
      <c r="AJ106" s="49">
        <v>45</v>
      </c>
      <c r="AK106" s="49">
        <v>225</v>
      </c>
      <c r="AL106" s="52">
        <v>22.5</v>
      </c>
      <c r="AM106" s="52">
        <v>45</v>
      </c>
      <c r="AN106" s="52">
        <v>67.5</v>
      </c>
      <c r="AO106" s="59">
        <v>0.3</v>
      </c>
      <c r="AP106" s="60">
        <v>157.5</v>
      </c>
      <c r="AQ106" s="61">
        <v>0.7</v>
      </c>
      <c r="AR106" s="60" t="s">
        <v>78</v>
      </c>
      <c r="AS106" s="62">
        <v>288</v>
      </c>
      <c r="AT106" s="62">
        <v>0</v>
      </c>
      <c r="AU106" s="62">
        <v>288</v>
      </c>
      <c r="AV106" s="62">
        <v>360</v>
      </c>
      <c r="AW106" s="47" t="s">
        <v>74</v>
      </c>
      <c r="AX106" s="64">
        <v>45202</v>
      </c>
      <c r="AY106" s="64" t="s">
        <v>2527</v>
      </c>
      <c r="AZ106" s="87"/>
      <c r="BA106" s="64"/>
      <c r="BB106" s="64"/>
      <c r="BC106" s="64"/>
      <c r="BD106" s="46"/>
      <c r="BE106" s="46" t="e">
        <v>#REF!</v>
      </c>
      <c r="BF106" s="46" t="s">
        <v>79</v>
      </c>
      <c r="BG106" s="65">
        <v>0.5</v>
      </c>
      <c r="BH106" s="66"/>
      <c r="BI106" s="63" t="s">
        <v>2528</v>
      </c>
    </row>
    <row r="107" spans="1:61" ht="89.25" x14ac:dyDescent="0.2">
      <c r="A107" s="45" t="s">
        <v>2529</v>
      </c>
      <c r="B107" s="46"/>
      <c r="C107" s="46" t="s">
        <v>2501</v>
      </c>
      <c r="D107" s="46" t="s">
        <v>2313</v>
      </c>
      <c r="E107" s="46" t="s">
        <v>2350</v>
      </c>
      <c r="F107" s="46" t="s">
        <v>2157</v>
      </c>
      <c r="G107" s="46" t="s">
        <v>68</v>
      </c>
      <c r="H107" s="46" t="s">
        <v>68</v>
      </c>
      <c r="I107" s="46" t="s">
        <v>68</v>
      </c>
      <c r="J107" s="46" t="s">
        <v>71</v>
      </c>
      <c r="K107" s="47">
        <v>200</v>
      </c>
      <c r="L107" s="47">
        <f>300</f>
        <v>300</v>
      </c>
      <c r="M107" s="47">
        <v>500</v>
      </c>
      <c r="N107" s="46"/>
      <c r="O107" s="71" t="s">
        <v>68</v>
      </c>
      <c r="P107" s="64"/>
      <c r="Q107" s="46" t="s">
        <v>2129</v>
      </c>
      <c r="R107" s="46" t="s">
        <v>2466</v>
      </c>
      <c r="S107" s="49">
        <v>125</v>
      </c>
      <c r="T107" s="49">
        <v>625</v>
      </c>
      <c r="U107" s="50">
        <v>0.17199999999999999</v>
      </c>
      <c r="V107" s="28">
        <v>0.22</v>
      </c>
      <c r="W107" s="74">
        <v>1.5</v>
      </c>
      <c r="X107" s="52">
        <v>62.5</v>
      </c>
      <c r="Y107" s="52">
        <v>30</v>
      </c>
      <c r="Z107" s="52">
        <v>425</v>
      </c>
      <c r="AA107" s="52">
        <v>517.5</v>
      </c>
      <c r="AB107" s="53">
        <v>0.82799999999999996</v>
      </c>
      <c r="AC107" s="54">
        <v>107.5</v>
      </c>
      <c r="AD107" s="55">
        <v>0.17199999999999999</v>
      </c>
      <c r="AE107" s="73">
        <v>3</v>
      </c>
      <c r="AF107" s="57" t="s">
        <v>95</v>
      </c>
      <c r="AG107" s="58">
        <v>200</v>
      </c>
      <c r="AH107" s="58">
        <v>300</v>
      </c>
      <c r="AI107" s="58">
        <v>500</v>
      </c>
      <c r="AJ107" s="49">
        <v>125</v>
      </c>
      <c r="AK107" s="49">
        <v>625</v>
      </c>
      <c r="AL107" s="52">
        <v>62.5</v>
      </c>
      <c r="AM107" s="52">
        <v>425</v>
      </c>
      <c r="AN107" s="52">
        <v>487.5</v>
      </c>
      <c r="AO107" s="59">
        <v>0.78</v>
      </c>
      <c r="AP107" s="60">
        <v>137.5</v>
      </c>
      <c r="AQ107" s="61">
        <v>0.22</v>
      </c>
      <c r="AR107" s="60" t="s">
        <v>78</v>
      </c>
      <c r="AS107" s="62">
        <v>320</v>
      </c>
      <c r="AT107" s="62">
        <v>480</v>
      </c>
      <c r="AU107" s="62">
        <v>800</v>
      </c>
      <c r="AV107" s="62">
        <v>1000</v>
      </c>
      <c r="AW107" s="47" t="s">
        <v>74</v>
      </c>
      <c r="AX107" s="64">
        <v>45202</v>
      </c>
      <c r="AY107" s="64" t="s">
        <v>2530</v>
      </c>
      <c r="AZ107" s="87"/>
      <c r="BA107" s="64"/>
      <c r="BB107" s="64"/>
      <c r="BC107" s="64"/>
      <c r="BD107" s="46"/>
      <c r="BE107" s="46" t="e">
        <v>#REF!</v>
      </c>
      <c r="BF107" s="46" t="s">
        <v>75</v>
      </c>
      <c r="BG107" s="65">
        <v>2</v>
      </c>
      <c r="BH107" s="66"/>
      <c r="BI107" s="63" t="s">
        <v>2531</v>
      </c>
    </row>
    <row r="108" spans="1:61" ht="63.75" x14ac:dyDescent="0.2">
      <c r="A108" s="45" t="s">
        <v>2532</v>
      </c>
      <c r="B108" s="46"/>
      <c r="C108" s="46" t="s">
        <v>2469</v>
      </c>
      <c r="D108" s="46" t="s">
        <v>444</v>
      </c>
      <c r="E108" s="46" t="s">
        <v>2314</v>
      </c>
      <c r="F108" s="46" t="s">
        <v>2157</v>
      </c>
      <c r="G108" s="46" t="s">
        <v>68</v>
      </c>
      <c r="H108" s="46" t="s">
        <v>68</v>
      </c>
      <c r="I108" s="46" t="s">
        <v>68</v>
      </c>
      <c r="J108" s="46" t="s">
        <v>71</v>
      </c>
      <c r="K108" s="47">
        <v>160</v>
      </c>
      <c r="L108" s="47">
        <v>40</v>
      </c>
      <c r="M108" s="47">
        <v>200</v>
      </c>
      <c r="N108" s="46"/>
      <c r="O108" s="71" t="s">
        <v>68</v>
      </c>
      <c r="P108" s="64"/>
      <c r="Q108" s="46" t="s">
        <v>2129</v>
      </c>
      <c r="R108" s="46" t="s">
        <v>2466</v>
      </c>
      <c r="S108" s="49">
        <v>50</v>
      </c>
      <c r="T108" s="49">
        <v>250</v>
      </c>
      <c r="U108" s="67">
        <v>0.42</v>
      </c>
      <c r="V108" s="67">
        <v>0.43333333333333335</v>
      </c>
      <c r="W108" s="51">
        <v>0.25</v>
      </c>
      <c r="X108" s="52">
        <v>25</v>
      </c>
      <c r="Y108" s="52">
        <v>30</v>
      </c>
      <c r="Z108" s="52">
        <v>90</v>
      </c>
      <c r="AA108" s="52">
        <v>145</v>
      </c>
      <c r="AB108" s="53">
        <v>0.57999999999999996</v>
      </c>
      <c r="AC108" s="54">
        <v>105</v>
      </c>
      <c r="AD108" s="55">
        <v>0.42</v>
      </c>
      <c r="AE108" s="56">
        <v>2</v>
      </c>
      <c r="AF108" s="57" t="s">
        <v>72</v>
      </c>
      <c r="AG108" s="58">
        <v>80</v>
      </c>
      <c r="AH108" s="58">
        <v>40</v>
      </c>
      <c r="AI108" s="58">
        <v>120</v>
      </c>
      <c r="AJ108" s="49">
        <v>30</v>
      </c>
      <c r="AK108" s="49">
        <v>150</v>
      </c>
      <c r="AL108" s="52">
        <v>15</v>
      </c>
      <c r="AM108" s="52">
        <v>70</v>
      </c>
      <c r="AN108" s="52">
        <v>85</v>
      </c>
      <c r="AO108" s="59">
        <v>0.56666666666666665</v>
      </c>
      <c r="AP108" s="60">
        <v>65</v>
      </c>
      <c r="AQ108" s="61">
        <v>0.43333333333333335</v>
      </c>
      <c r="AR108" s="60" t="s">
        <v>78</v>
      </c>
      <c r="AS108" s="62">
        <v>240</v>
      </c>
      <c r="AT108" s="62">
        <v>60</v>
      </c>
      <c r="AU108" s="62">
        <v>300</v>
      </c>
      <c r="AV108" s="62">
        <v>375</v>
      </c>
      <c r="AW108" s="47" t="s">
        <v>74</v>
      </c>
      <c r="AX108" s="64">
        <v>45202</v>
      </c>
      <c r="AY108" s="64" t="s">
        <v>2533</v>
      </c>
      <c r="AZ108" s="87"/>
      <c r="BA108" s="64"/>
      <c r="BB108" s="64"/>
      <c r="BC108" s="64"/>
      <c r="BD108" s="46"/>
      <c r="BE108" s="46" t="e">
        <v>#REF!</v>
      </c>
      <c r="BF108" s="46" t="s">
        <v>79</v>
      </c>
      <c r="BG108" s="65">
        <v>0.75</v>
      </c>
      <c r="BH108" s="66"/>
      <c r="BI108" s="63" t="s">
        <v>2534</v>
      </c>
    </row>
    <row r="109" spans="1:61" ht="63.75" x14ac:dyDescent="0.2">
      <c r="A109" s="45" t="s">
        <v>2535</v>
      </c>
      <c r="B109" s="46"/>
      <c r="C109" s="46" t="s">
        <v>2474</v>
      </c>
      <c r="D109" s="46" t="s">
        <v>444</v>
      </c>
      <c r="E109" s="46" t="s">
        <v>2314</v>
      </c>
      <c r="F109" s="46" t="s">
        <v>2157</v>
      </c>
      <c r="G109" s="46" t="s">
        <v>68</v>
      </c>
      <c r="H109" s="46" t="s">
        <v>68</v>
      </c>
      <c r="I109" s="46" t="s">
        <v>68</v>
      </c>
      <c r="J109" s="46" t="s">
        <v>71</v>
      </c>
      <c r="K109" s="47">
        <v>150</v>
      </c>
      <c r="L109" s="47">
        <v>30</v>
      </c>
      <c r="M109" s="47">
        <v>180</v>
      </c>
      <c r="N109" s="46"/>
      <c r="O109" s="71" t="s">
        <v>68</v>
      </c>
      <c r="P109" s="64"/>
      <c r="Q109" s="46" t="s">
        <v>2129</v>
      </c>
      <c r="R109" s="46" t="s">
        <v>2466</v>
      </c>
      <c r="S109" s="49">
        <v>45</v>
      </c>
      <c r="T109" s="49">
        <v>225</v>
      </c>
      <c r="U109" s="67">
        <v>0.43333333333333335</v>
      </c>
      <c r="V109" s="67">
        <v>0.47142857142857142</v>
      </c>
      <c r="W109" s="51">
        <v>0.2</v>
      </c>
      <c r="X109" s="52">
        <v>22.5</v>
      </c>
      <c r="Y109" s="52">
        <v>30</v>
      </c>
      <c r="Z109" s="52">
        <v>75</v>
      </c>
      <c r="AA109" s="52">
        <v>127.5</v>
      </c>
      <c r="AB109" s="53">
        <v>0.56666666666666665</v>
      </c>
      <c r="AC109" s="54">
        <v>97.5</v>
      </c>
      <c r="AD109" s="55">
        <v>0.43333333333333335</v>
      </c>
      <c r="AE109" s="56">
        <v>2</v>
      </c>
      <c r="AF109" s="57" t="s">
        <v>72</v>
      </c>
      <c r="AG109" s="58">
        <v>75</v>
      </c>
      <c r="AH109" s="58">
        <v>30</v>
      </c>
      <c r="AI109" s="58">
        <v>105</v>
      </c>
      <c r="AJ109" s="49">
        <v>26.25</v>
      </c>
      <c r="AK109" s="49">
        <v>131.25</v>
      </c>
      <c r="AL109" s="52">
        <v>13.125</v>
      </c>
      <c r="AM109" s="52">
        <v>56.25</v>
      </c>
      <c r="AN109" s="52">
        <v>69.375</v>
      </c>
      <c r="AO109" s="59">
        <v>0.52857142857142858</v>
      </c>
      <c r="AP109" s="60">
        <v>61.875</v>
      </c>
      <c r="AQ109" s="61">
        <v>0.47142857142857142</v>
      </c>
      <c r="AR109" s="60" t="s">
        <v>78</v>
      </c>
      <c r="AS109" s="62">
        <v>225</v>
      </c>
      <c r="AT109" s="62">
        <v>45</v>
      </c>
      <c r="AU109" s="62">
        <v>270</v>
      </c>
      <c r="AV109" s="62">
        <v>337.5</v>
      </c>
      <c r="AW109" s="47" t="s">
        <v>74</v>
      </c>
      <c r="AX109" s="64">
        <v>45202</v>
      </c>
      <c r="AY109" s="64" t="s">
        <v>2536</v>
      </c>
      <c r="AZ109" s="87"/>
      <c r="BA109" s="64"/>
      <c r="BB109" s="64"/>
      <c r="BC109" s="64"/>
      <c r="BD109" s="46"/>
      <c r="BE109" s="46" t="e">
        <v>#REF!</v>
      </c>
      <c r="BF109" s="46" t="s">
        <v>79</v>
      </c>
      <c r="BG109" s="65">
        <v>0.5</v>
      </c>
      <c r="BH109" s="66"/>
      <c r="BI109" s="63" t="s">
        <v>2537</v>
      </c>
    </row>
    <row r="110" spans="1:61" ht="63.75" x14ac:dyDescent="0.2">
      <c r="A110" s="45" t="s">
        <v>2538</v>
      </c>
      <c r="B110" s="46"/>
      <c r="C110" s="46" t="s">
        <v>2478</v>
      </c>
      <c r="D110" s="46" t="s">
        <v>444</v>
      </c>
      <c r="E110" s="46" t="s">
        <v>2314</v>
      </c>
      <c r="F110" s="46" t="s">
        <v>2157</v>
      </c>
      <c r="G110" s="46" t="s">
        <v>68</v>
      </c>
      <c r="H110" s="46" t="s">
        <v>68</v>
      </c>
      <c r="I110" s="46" t="s">
        <v>68</v>
      </c>
      <c r="J110" s="46" t="s">
        <v>71</v>
      </c>
      <c r="K110" s="47">
        <v>180</v>
      </c>
      <c r="L110" s="47">
        <v>30</v>
      </c>
      <c r="M110" s="47">
        <v>210</v>
      </c>
      <c r="N110" s="46"/>
      <c r="O110" s="71" t="s">
        <v>68</v>
      </c>
      <c r="P110" s="64"/>
      <c r="Q110" s="46" t="s">
        <v>2129</v>
      </c>
      <c r="R110" s="46" t="s">
        <v>2466</v>
      </c>
      <c r="S110" s="49">
        <v>52.5</v>
      </c>
      <c r="T110" s="49">
        <v>262.5</v>
      </c>
      <c r="U110" s="67">
        <v>0.47142857142857142</v>
      </c>
      <c r="V110" s="67">
        <v>0.5</v>
      </c>
      <c r="W110" s="51">
        <v>0.16666666666666666</v>
      </c>
      <c r="X110" s="52">
        <v>26.25</v>
      </c>
      <c r="Y110" s="52">
        <v>30</v>
      </c>
      <c r="Z110" s="52">
        <v>82.5</v>
      </c>
      <c r="AA110" s="52">
        <v>138.75</v>
      </c>
      <c r="AB110" s="53">
        <v>0.52857142857142858</v>
      </c>
      <c r="AC110" s="72">
        <v>123.75</v>
      </c>
      <c r="AD110" s="55">
        <v>0.47142857142857142</v>
      </c>
      <c r="AE110" s="56">
        <v>2</v>
      </c>
      <c r="AF110" s="57" t="s">
        <v>72</v>
      </c>
      <c r="AG110" s="58">
        <v>90</v>
      </c>
      <c r="AH110" s="58">
        <v>30</v>
      </c>
      <c r="AI110" s="58">
        <v>120</v>
      </c>
      <c r="AJ110" s="49">
        <v>30</v>
      </c>
      <c r="AK110" s="49">
        <v>150</v>
      </c>
      <c r="AL110" s="52">
        <v>15</v>
      </c>
      <c r="AM110" s="52">
        <v>60</v>
      </c>
      <c r="AN110" s="52">
        <v>75</v>
      </c>
      <c r="AO110" s="59">
        <v>0.5</v>
      </c>
      <c r="AP110" s="60">
        <v>75</v>
      </c>
      <c r="AQ110" s="61">
        <v>0.5</v>
      </c>
      <c r="AR110" s="60" t="s">
        <v>78</v>
      </c>
      <c r="AS110" s="62">
        <v>270</v>
      </c>
      <c r="AT110" s="62">
        <v>45</v>
      </c>
      <c r="AU110" s="62">
        <v>315</v>
      </c>
      <c r="AV110" s="62">
        <v>393.75</v>
      </c>
      <c r="AW110" s="47" t="s">
        <v>74</v>
      </c>
      <c r="AX110" s="64">
        <v>45202</v>
      </c>
      <c r="AY110" s="64" t="s">
        <v>2539</v>
      </c>
      <c r="AZ110" s="87"/>
      <c r="BA110" s="64"/>
      <c r="BB110" s="64"/>
      <c r="BC110" s="64"/>
      <c r="BD110" s="46"/>
      <c r="BE110" s="46" t="e">
        <v>#REF!</v>
      </c>
      <c r="BF110" s="46" t="s">
        <v>79</v>
      </c>
      <c r="BG110" s="65">
        <v>0.5</v>
      </c>
      <c r="BH110" s="66"/>
      <c r="BI110" s="63" t="s">
        <v>2540</v>
      </c>
    </row>
    <row r="111" spans="1:61" ht="63.75" x14ac:dyDescent="0.2">
      <c r="A111" s="45" t="s">
        <v>2541</v>
      </c>
      <c r="B111" s="46"/>
      <c r="C111" s="46" t="s">
        <v>2482</v>
      </c>
      <c r="D111" s="46" t="s">
        <v>444</v>
      </c>
      <c r="E111" s="46" t="s">
        <v>2314</v>
      </c>
      <c r="F111" s="46" t="s">
        <v>2327</v>
      </c>
      <c r="G111" s="46" t="s">
        <v>68</v>
      </c>
      <c r="H111" s="46" t="s">
        <v>68</v>
      </c>
      <c r="I111" s="46" t="s">
        <v>68</v>
      </c>
      <c r="J111" s="46" t="s">
        <v>71</v>
      </c>
      <c r="K111" s="47">
        <v>150</v>
      </c>
      <c r="L111" s="47">
        <v>40</v>
      </c>
      <c r="M111" s="47">
        <v>190</v>
      </c>
      <c r="N111" s="46"/>
      <c r="O111" s="71" t="s">
        <v>68</v>
      </c>
      <c r="P111" s="64"/>
      <c r="Q111" s="46" t="s">
        <v>2129</v>
      </c>
      <c r="R111" s="46" t="s">
        <v>2466</v>
      </c>
      <c r="S111" s="49">
        <v>47.5</v>
      </c>
      <c r="T111" s="49">
        <v>237.5</v>
      </c>
      <c r="U111" s="67">
        <v>0.40526315789473683</v>
      </c>
      <c r="V111" s="67">
        <v>0.42173913043478262</v>
      </c>
      <c r="W111" s="51">
        <v>0.26666666666666666</v>
      </c>
      <c r="X111" s="52">
        <v>23.75</v>
      </c>
      <c r="Y111" s="52">
        <v>30</v>
      </c>
      <c r="Z111" s="52">
        <v>87.5</v>
      </c>
      <c r="AA111" s="52">
        <v>141.25</v>
      </c>
      <c r="AB111" s="53">
        <v>0.59473684210526312</v>
      </c>
      <c r="AC111" s="54">
        <v>96.25</v>
      </c>
      <c r="AD111" s="55">
        <v>0.40526315789473683</v>
      </c>
      <c r="AE111" s="56">
        <v>2</v>
      </c>
      <c r="AF111" s="57" t="s">
        <v>72</v>
      </c>
      <c r="AG111" s="58">
        <v>75</v>
      </c>
      <c r="AH111" s="58">
        <v>40</v>
      </c>
      <c r="AI111" s="58">
        <v>115</v>
      </c>
      <c r="AJ111" s="49">
        <v>28.75</v>
      </c>
      <c r="AK111" s="49">
        <v>143.75</v>
      </c>
      <c r="AL111" s="52">
        <v>14.375</v>
      </c>
      <c r="AM111" s="52">
        <v>68.75</v>
      </c>
      <c r="AN111" s="52">
        <v>83.125</v>
      </c>
      <c r="AO111" s="59">
        <v>0.57826086956521738</v>
      </c>
      <c r="AP111" s="60">
        <v>60.625</v>
      </c>
      <c r="AQ111" s="61">
        <v>0.42173913043478262</v>
      </c>
      <c r="AR111" s="60" t="s">
        <v>78</v>
      </c>
      <c r="AS111" s="62">
        <v>225</v>
      </c>
      <c r="AT111" s="62">
        <v>60</v>
      </c>
      <c r="AU111" s="62">
        <v>285</v>
      </c>
      <c r="AV111" s="62">
        <v>356.25</v>
      </c>
      <c r="AW111" s="47" t="s">
        <v>74</v>
      </c>
      <c r="AX111" s="64">
        <v>45202</v>
      </c>
      <c r="AY111" s="64" t="s">
        <v>2542</v>
      </c>
      <c r="AZ111" s="87"/>
      <c r="BA111" s="64"/>
      <c r="BB111" s="64"/>
      <c r="BC111" s="64"/>
      <c r="BD111" s="46"/>
      <c r="BE111" s="46" t="e">
        <v>#REF!</v>
      </c>
      <c r="BF111" s="46" t="s">
        <v>79</v>
      </c>
      <c r="BG111" s="65">
        <v>1</v>
      </c>
      <c r="BH111" s="66"/>
      <c r="BI111" s="63" t="s">
        <v>2543</v>
      </c>
    </row>
    <row r="112" spans="1:61" ht="63.75" x14ac:dyDescent="0.2">
      <c r="A112" s="45" t="s">
        <v>2544</v>
      </c>
      <c r="B112" s="46"/>
      <c r="C112" s="46" t="s">
        <v>2482</v>
      </c>
      <c r="D112" s="46" t="s">
        <v>444</v>
      </c>
      <c r="E112" s="46" t="s">
        <v>2314</v>
      </c>
      <c r="F112" s="46" t="s">
        <v>2331</v>
      </c>
      <c r="G112" s="46" t="s">
        <v>68</v>
      </c>
      <c r="H112" s="46" t="s">
        <v>68</v>
      </c>
      <c r="I112" s="46" t="s">
        <v>68</v>
      </c>
      <c r="J112" s="46" t="s">
        <v>71</v>
      </c>
      <c r="K112" s="47">
        <v>200</v>
      </c>
      <c r="L112" s="47">
        <v>60</v>
      </c>
      <c r="M112" s="47">
        <v>260</v>
      </c>
      <c r="N112" s="46"/>
      <c r="O112" s="71" t="s">
        <v>68</v>
      </c>
      <c r="P112" s="64"/>
      <c r="Q112" s="46" t="s">
        <v>2129</v>
      </c>
      <c r="R112" s="46" t="s">
        <v>2466</v>
      </c>
      <c r="S112" s="49">
        <v>65</v>
      </c>
      <c r="T112" s="49">
        <v>325</v>
      </c>
      <c r="U112" s="67">
        <v>0.42307692307692307</v>
      </c>
      <c r="V112" s="67">
        <v>0.4</v>
      </c>
      <c r="W112" s="51">
        <v>0.3</v>
      </c>
      <c r="X112" s="52">
        <v>32.5</v>
      </c>
      <c r="Y112" s="52">
        <v>30</v>
      </c>
      <c r="Z112" s="52">
        <v>125</v>
      </c>
      <c r="AA112" s="52">
        <v>187.5</v>
      </c>
      <c r="AB112" s="53">
        <v>0.57692307692307687</v>
      </c>
      <c r="AC112" s="72">
        <v>137.5</v>
      </c>
      <c r="AD112" s="55">
        <v>0.42307692307692307</v>
      </c>
      <c r="AE112" s="56">
        <v>2</v>
      </c>
      <c r="AF112" s="57" t="s">
        <v>72</v>
      </c>
      <c r="AG112" s="58">
        <v>100</v>
      </c>
      <c r="AH112" s="58">
        <v>60</v>
      </c>
      <c r="AI112" s="58">
        <v>160</v>
      </c>
      <c r="AJ112" s="49">
        <v>40</v>
      </c>
      <c r="AK112" s="49">
        <v>200</v>
      </c>
      <c r="AL112" s="52">
        <v>20</v>
      </c>
      <c r="AM112" s="52">
        <v>100</v>
      </c>
      <c r="AN112" s="52">
        <v>120</v>
      </c>
      <c r="AO112" s="59">
        <v>0.6</v>
      </c>
      <c r="AP112" s="60">
        <v>80</v>
      </c>
      <c r="AQ112" s="61">
        <v>0.4</v>
      </c>
      <c r="AR112" s="60" t="s">
        <v>78</v>
      </c>
      <c r="AS112" s="62">
        <v>300</v>
      </c>
      <c r="AT112" s="62">
        <v>90</v>
      </c>
      <c r="AU112" s="62">
        <v>390</v>
      </c>
      <c r="AV112" s="62">
        <v>487.5</v>
      </c>
      <c r="AW112" s="47" t="s">
        <v>74</v>
      </c>
      <c r="AX112" s="64">
        <v>45202</v>
      </c>
      <c r="AY112" s="64" t="s">
        <v>2545</v>
      </c>
      <c r="AZ112" s="87"/>
      <c r="BA112" s="64"/>
      <c r="BB112" s="64"/>
      <c r="BC112" s="64"/>
      <c r="BD112" s="46"/>
      <c r="BE112" s="46" t="e">
        <v>#REF!</v>
      </c>
      <c r="BF112" s="46" t="s">
        <v>79</v>
      </c>
      <c r="BG112" s="65">
        <v>2</v>
      </c>
      <c r="BH112" s="66"/>
      <c r="BI112" s="63" t="s">
        <v>2546</v>
      </c>
    </row>
    <row r="113" spans="1:61" ht="76.5" x14ac:dyDescent="0.2">
      <c r="A113" s="45" t="s">
        <v>2547</v>
      </c>
      <c r="B113" s="46"/>
      <c r="C113" s="46" t="s">
        <v>2489</v>
      </c>
      <c r="D113" s="46" t="s">
        <v>444</v>
      </c>
      <c r="E113" s="46" t="s">
        <v>2336</v>
      </c>
      <c r="F113" s="46" t="s">
        <v>2157</v>
      </c>
      <c r="G113" s="46" t="s">
        <v>68</v>
      </c>
      <c r="H113" s="46" t="s">
        <v>68</v>
      </c>
      <c r="I113" s="46" t="s">
        <v>68</v>
      </c>
      <c r="J113" s="46" t="s">
        <v>71</v>
      </c>
      <c r="K113" s="47">
        <v>180</v>
      </c>
      <c r="L113" s="47">
        <v>40</v>
      </c>
      <c r="M113" s="47">
        <v>220</v>
      </c>
      <c r="N113" s="46"/>
      <c r="O113" s="71" t="s">
        <v>68</v>
      </c>
      <c r="P113" s="64"/>
      <c r="Q113" s="46" t="s">
        <v>2129</v>
      </c>
      <c r="R113" s="46" t="s">
        <v>2466</v>
      </c>
      <c r="S113" s="49">
        <v>55</v>
      </c>
      <c r="T113" s="49">
        <v>275</v>
      </c>
      <c r="U113" s="67">
        <v>0.44545454545454544</v>
      </c>
      <c r="V113" s="67">
        <v>0.45384615384615384</v>
      </c>
      <c r="W113" s="51">
        <v>0.22222222222222221</v>
      </c>
      <c r="X113" s="52">
        <v>27.5</v>
      </c>
      <c r="Y113" s="52">
        <v>30</v>
      </c>
      <c r="Z113" s="52">
        <v>95</v>
      </c>
      <c r="AA113" s="52">
        <v>152.5</v>
      </c>
      <c r="AB113" s="53">
        <v>0.55454545454545456</v>
      </c>
      <c r="AC113" s="72">
        <v>122.5</v>
      </c>
      <c r="AD113" s="55">
        <v>0.44545454545454544</v>
      </c>
      <c r="AE113" s="56">
        <v>2</v>
      </c>
      <c r="AF113" s="57" t="s">
        <v>72</v>
      </c>
      <c r="AG113" s="58">
        <v>90</v>
      </c>
      <c r="AH113" s="58">
        <v>40</v>
      </c>
      <c r="AI113" s="58">
        <v>130</v>
      </c>
      <c r="AJ113" s="49">
        <v>32.5</v>
      </c>
      <c r="AK113" s="49">
        <v>162.5</v>
      </c>
      <c r="AL113" s="52">
        <v>16.25</v>
      </c>
      <c r="AM113" s="52">
        <v>72.5</v>
      </c>
      <c r="AN113" s="52">
        <v>88.75</v>
      </c>
      <c r="AO113" s="59">
        <v>0.5461538461538461</v>
      </c>
      <c r="AP113" s="60">
        <v>73.75</v>
      </c>
      <c r="AQ113" s="61">
        <v>0.45384615384615384</v>
      </c>
      <c r="AR113" s="60" t="s">
        <v>78</v>
      </c>
      <c r="AS113" s="62">
        <v>270</v>
      </c>
      <c r="AT113" s="62">
        <v>60</v>
      </c>
      <c r="AU113" s="62">
        <v>330</v>
      </c>
      <c r="AV113" s="62">
        <v>412.5</v>
      </c>
      <c r="AW113" s="47" t="s">
        <v>74</v>
      </c>
      <c r="AX113" s="64">
        <v>45202</v>
      </c>
      <c r="AY113" s="64" t="s">
        <v>2548</v>
      </c>
      <c r="AZ113" s="87"/>
      <c r="BA113" s="64"/>
      <c r="BB113" s="64"/>
      <c r="BC113" s="64"/>
      <c r="BD113" s="46"/>
      <c r="BE113" s="46" t="e">
        <v>#REF!</v>
      </c>
      <c r="BF113" s="46" t="s">
        <v>79</v>
      </c>
      <c r="BG113" s="65">
        <v>0.75</v>
      </c>
      <c r="BH113" s="66"/>
      <c r="BI113" s="63" t="s">
        <v>2549</v>
      </c>
    </row>
    <row r="114" spans="1:61" ht="63.75" x14ac:dyDescent="0.2">
      <c r="A114" s="45" t="s">
        <v>2550</v>
      </c>
      <c r="B114" s="46"/>
      <c r="C114" s="46" t="s">
        <v>2523</v>
      </c>
      <c r="D114" s="46" t="s">
        <v>444</v>
      </c>
      <c r="E114" s="46" t="s">
        <v>2314</v>
      </c>
      <c r="F114" s="46" t="s">
        <v>68</v>
      </c>
      <c r="G114" s="46" t="s">
        <v>68</v>
      </c>
      <c r="H114" s="46" t="s">
        <v>68</v>
      </c>
      <c r="I114" s="46" t="s">
        <v>68</v>
      </c>
      <c r="J114" s="46" t="s">
        <v>71</v>
      </c>
      <c r="K114" s="47">
        <v>150</v>
      </c>
      <c r="L114" s="47">
        <v>70</v>
      </c>
      <c r="M114" s="47">
        <v>220</v>
      </c>
      <c r="N114" s="46"/>
      <c r="O114" s="71" t="s">
        <v>68</v>
      </c>
      <c r="P114" s="64"/>
      <c r="Q114" s="46" t="s">
        <v>2129</v>
      </c>
      <c r="R114" s="46" t="s">
        <v>2466</v>
      </c>
      <c r="S114" s="49">
        <v>55</v>
      </c>
      <c r="T114" s="49">
        <v>275</v>
      </c>
      <c r="U114" s="67">
        <v>0.33636363636363636</v>
      </c>
      <c r="V114" s="67">
        <v>0.31379310344827588</v>
      </c>
      <c r="W114" s="51">
        <v>0.46666666666666667</v>
      </c>
      <c r="X114" s="52">
        <v>27.5</v>
      </c>
      <c r="Y114" s="52">
        <v>30</v>
      </c>
      <c r="Z114" s="52">
        <v>125</v>
      </c>
      <c r="AA114" s="52">
        <v>182.5</v>
      </c>
      <c r="AB114" s="53">
        <v>0.66363636363636369</v>
      </c>
      <c r="AC114" s="54">
        <v>92.5</v>
      </c>
      <c r="AD114" s="55">
        <v>0.33636363636363636</v>
      </c>
      <c r="AE114" s="56">
        <v>2</v>
      </c>
      <c r="AF114" s="57" t="s">
        <v>72</v>
      </c>
      <c r="AG114" s="58">
        <v>75</v>
      </c>
      <c r="AH114" s="58">
        <v>70</v>
      </c>
      <c r="AI114" s="58">
        <v>145</v>
      </c>
      <c r="AJ114" s="49">
        <v>36.25</v>
      </c>
      <c r="AK114" s="49">
        <v>181.25</v>
      </c>
      <c r="AL114" s="52">
        <v>18.125</v>
      </c>
      <c r="AM114" s="52">
        <v>106.25</v>
      </c>
      <c r="AN114" s="52">
        <v>124.375</v>
      </c>
      <c r="AO114" s="59">
        <v>0.68620689655172418</v>
      </c>
      <c r="AP114" s="60">
        <v>56.875</v>
      </c>
      <c r="AQ114" s="61">
        <v>0.31379310344827588</v>
      </c>
      <c r="AR114" s="60" t="s">
        <v>78</v>
      </c>
      <c r="AS114" s="62">
        <v>225</v>
      </c>
      <c r="AT114" s="62">
        <v>105</v>
      </c>
      <c r="AU114" s="62">
        <v>330</v>
      </c>
      <c r="AV114" s="62">
        <v>412.5</v>
      </c>
      <c r="AW114" s="47" t="s">
        <v>74</v>
      </c>
      <c r="AX114" s="64">
        <v>45202</v>
      </c>
      <c r="AY114" s="64" t="s">
        <v>2551</v>
      </c>
      <c r="AZ114" s="87"/>
      <c r="BA114" s="64"/>
      <c r="BB114" s="64"/>
      <c r="BC114" s="64"/>
      <c r="BD114" s="70" t="s">
        <v>2552</v>
      </c>
      <c r="BE114" s="46" t="e">
        <v>#REF!</v>
      </c>
      <c r="BF114" s="46" t="s">
        <v>79</v>
      </c>
      <c r="BG114" s="65">
        <v>0.5</v>
      </c>
      <c r="BH114" s="66"/>
      <c r="BI114" s="63" t="s">
        <v>2553</v>
      </c>
    </row>
    <row r="115" spans="1:61" ht="63.75" x14ac:dyDescent="0.2">
      <c r="A115" s="45" t="s">
        <v>2554</v>
      </c>
      <c r="B115" s="46"/>
      <c r="C115" s="46" t="s">
        <v>2497</v>
      </c>
      <c r="D115" s="46" t="s">
        <v>444</v>
      </c>
      <c r="E115" s="46" t="s">
        <v>2314</v>
      </c>
      <c r="F115" s="46" t="s">
        <v>2345</v>
      </c>
      <c r="G115" s="46" t="s">
        <v>68</v>
      </c>
      <c r="H115" s="46" t="s">
        <v>68</v>
      </c>
      <c r="I115" s="46" t="s">
        <v>68</v>
      </c>
      <c r="J115" s="46" t="s">
        <v>71</v>
      </c>
      <c r="K115" s="47">
        <v>160</v>
      </c>
      <c r="L115" s="47">
        <v>0</v>
      </c>
      <c r="M115" s="47">
        <v>160</v>
      </c>
      <c r="N115" s="46"/>
      <c r="O115" s="71" t="s">
        <v>68</v>
      </c>
      <c r="P115" s="64"/>
      <c r="Q115" s="46" t="s">
        <v>2129</v>
      </c>
      <c r="R115" s="46" t="s">
        <v>2466</v>
      </c>
      <c r="S115" s="49">
        <v>40</v>
      </c>
      <c r="T115" s="49">
        <v>200</v>
      </c>
      <c r="U115" s="67">
        <v>0.55000000000000004</v>
      </c>
      <c r="V115" s="67">
        <v>0.7</v>
      </c>
      <c r="W115" s="51">
        <v>0</v>
      </c>
      <c r="X115" s="52">
        <v>20</v>
      </c>
      <c r="Y115" s="52">
        <v>30</v>
      </c>
      <c r="Z115" s="52">
        <v>40</v>
      </c>
      <c r="AA115" s="52">
        <v>90</v>
      </c>
      <c r="AB115" s="53">
        <v>0.45</v>
      </c>
      <c r="AC115" s="54">
        <v>110</v>
      </c>
      <c r="AD115" s="55">
        <v>0.55000000000000004</v>
      </c>
      <c r="AE115" s="56">
        <v>2</v>
      </c>
      <c r="AF115" s="57" t="s">
        <v>72</v>
      </c>
      <c r="AG115" s="58">
        <v>80</v>
      </c>
      <c r="AH115" s="58">
        <v>0</v>
      </c>
      <c r="AI115" s="58">
        <v>80</v>
      </c>
      <c r="AJ115" s="49">
        <v>20</v>
      </c>
      <c r="AK115" s="49">
        <v>100</v>
      </c>
      <c r="AL115" s="52">
        <v>10</v>
      </c>
      <c r="AM115" s="52">
        <v>20</v>
      </c>
      <c r="AN115" s="52">
        <v>30</v>
      </c>
      <c r="AO115" s="59">
        <v>0.3</v>
      </c>
      <c r="AP115" s="60">
        <v>70</v>
      </c>
      <c r="AQ115" s="61">
        <v>0.7</v>
      </c>
      <c r="AR115" s="60" t="s">
        <v>78</v>
      </c>
      <c r="AS115" s="62">
        <v>240</v>
      </c>
      <c r="AT115" s="62">
        <v>0</v>
      </c>
      <c r="AU115" s="62">
        <v>240</v>
      </c>
      <c r="AV115" s="62">
        <v>300</v>
      </c>
      <c r="AW115" s="47" t="s">
        <v>74</v>
      </c>
      <c r="AX115" s="64">
        <v>45202</v>
      </c>
      <c r="AY115" s="64" t="s">
        <v>2555</v>
      </c>
      <c r="AZ115" s="87"/>
      <c r="BA115" s="64"/>
      <c r="BB115" s="64"/>
      <c r="BC115" s="64"/>
      <c r="BD115" s="46"/>
      <c r="BE115" s="46" t="e">
        <v>#REF!</v>
      </c>
      <c r="BF115" s="46" t="s">
        <v>79</v>
      </c>
      <c r="BG115" s="65">
        <v>0.5</v>
      </c>
      <c r="BH115" s="66"/>
      <c r="BI115" s="63" t="s">
        <v>2556</v>
      </c>
    </row>
    <row r="116" spans="1:61" ht="89.25" x14ac:dyDescent="0.2">
      <c r="A116" s="45" t="s">
        <v>2557</v>
      </c>
      <c r="B116" s="46"/>
      <c r="C116" s="46" t="s">
        <v>2501</v>
      </c>
      <c r="D116" s="46" t="s">
        <v>444</v>
      </c>
      <c r="E116" s="46" t="s">
        <v>2350</v>
      </c>
      <c r="F116" s="46" t="s">
        <v>2157</v>
      </c>
      <c r="G116" s="46" t="s">
        <v>68</v>
      </c>
      <c r="H116" s="46" t="s">
        <v>68</v>
      </c>
      <c r="I116" s="46" t="s">
        <v>68</v>
      </c>
      <c r="J116" s="46" t="s">
        <v>71</v>
      </c>
      <c r="K116" s="47">
        <v>200</v>
      </c>
      <c r="L116" s="47">
        <v>270</v>
      </c>
      <c r="M116" s="47">
        <v>470</v>
      </c>
      <c r="N116" s="46"/>
      <c r="O116" s="71" t="s">
        <v>68</v>
      </c>
      <c r="P116" s="64"/>
      <c r="Q116" s="46" t="s">
        <v>2129</v>
      </c>
      <c r="R116" s="46" t="s">
        <v>2466</v>
      </c>
      <c r="S116" s="49">
        <v>117.5</v>
      </c>
      <c r="T116" s="49">
        <v>587.5</v>
      </c>
      <c r="U116" s="50">
        <v>0.18936170212765957</v>
      </c>
      <c r="V116" s="28">
        <v>0.2404255319148936</v>
      </c>
      <c r="W116" s="74">
        <v>1.35</v>
      </c>
      <c r="X116" s="52">
        <v>58.75</v>
      </c>
      <c r="Y116" s="52">
        <v>30</v>
      </c>
      <c r="Z116" s="52">
        <v>387.5</v>
      </c>
      <c r="AA116" s="52">
        <v>476.25</v>
      </c>
      <c r="AB116" s="53">
        <v>0.81063829787234043</v>
      </c>
      <c r="AC116" s="54">
        <v>111.25</v>
      </c>
      <c r="AD116" s="55">
        <v>0.18936170212765957</v>
      </c>
      <c r="AE116" s="73">
        <v>3</v>
      </c>
      <c r="AF116" s="57" t="s">
        <v>95</v>
      </c>
      <c r="AG116" s="58">
        <v>200</v>
      </c>
      <c r="AH116" s="58">
        <v>270</v>
      </c>
      <c r="AI116" s="58">
        <v>470</v>
      </c>
      <c r="AJ116" s="49">
        <v>117.5</v>
      </c>
      <c r="AK116" s="49">
        <v>587.5</v>
      </c>
      <c r="AL116" s="52">
        <v>58.75</v>
      </c>
      <c r="AM116" s="52">
        <v>387.5</v>
      </c>
      <c r="AN116" s="52">
        <v>446.25</v>
      </c>
      <c r="AO116" s="59">
        <v>0.75957446808510642</v>
      </c>
      <c r="AP116" s="60">
        <v>141.25</v>
      </c>
      <c r="AQ116" s="61">
        <v>0.2404255319148936</v>
      </c>
      <c r="AR116" s="60" t="s">
        <v>78</v>
      </c>
      <c r="AS116" s="62">
        <v>320</v>
      </c>
      <c r="AT116" s="62">
        <v>432</v>
      </c>
      <c r="AU116" s="62">
        <v>752</v>
      </c>
      <c r="AV116" s="62">
        <v>940</v>
      </c>
      <c r="AW116" s="47" t="s">
        <v>74</v>
      </c>
      <c r="AX116" s="64">
        <v>45202</v>
      </c>
      <c r="AY116" s="64" t="s">
        <v>2558</v>
      </c>
      <c r="AZ116" s="87"/>
      <c r="BA116" s="64"/>
      <c r="BB116" s="64"/>
      <c r="BC116" s="64"/>
      <c r="BD116" s="46"/>
      <c r="BE116" s="46" t="e">
        <v>#REF!</v>
      </c>
      <c r="BF116" s="46" t="s">
        <v>75</v>
      </c>
      <c r="BG116" s="65">
        <v>2</v>
      </c>
      <c r="BH116" s="66"/>
      <c r="BI116" s="63" t="s">
        <v>2559</v>
      </c>
    </row>
    <row r="117" spans="1:61" ht="12.75" hidden="1" x14ac:dyDescent="0.2">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row>
    <row r="118" spans="1:61" ht="12.75" hidden="1" x14ac:dyDescent="0.2">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row>
    <row r="119" spans="1:61" ht="12.75" hidden="1" x14ac:dyDescent="0.2">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row>
    <row r="120" spans="1:61" ht="12.75" hidden="1" x14ac:dyDescent="0.2">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row>
    <row r="121" spans="1:61" ht="12.75" hidden="1" x14ac:dyDescent="0.2">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row>
    <row r="122" spans="1:61" ht="12.75" hidden="1" x14ac:dyDescent="0.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row>
    <row r="123" spans="1:61" ht="12.75" hidden="1" x14ac:dyDescent="0.2">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row>
    <row r="124" spans="1:61" ht="12.75" hidden="1" x14ac:dyDescent="0.2">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row>
    <row r="125" spans="1:61" ht="12.75" hidden="1" x14ac:dyDescent="0.2">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row>
    <row r="126" spans="1:61" ht="12.75" hidden="1" x14ac:dyDescent="0.2">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row>
    <row r="127" spans="1:61" ht="12.75" hidden="1" x14ac:dyDescent="0.2">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row>
    <row r="128" spans="1:61" ht="12.75" hidden="1" x14ac:dyDescent="0.2">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row>
    <row r="129" spans="1:61" ht="12.75" hidden="1" x14ac:dyDescent="0.2">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row>
    <row r="130" spans="1:61" ht="12.75" hidden="1" x14ac:dyDescent="0.2">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row>
    <row r="131" spans="1:61" ht="12.75" hidden="1" x14ac:dyDescent="0.2">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row>
    <row r="132" spans="1:61" ht="12.75" hidden="1" x14ac:dyDescent="0.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row>
    <row r="133" spans="1:61" ht="12.75" hidden="1" x14ac:dyDescent="0.2">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row>
    <row r="134" spans="1:61" ht="12.75" hidden="1" x14ac:dyDescent="0.2">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row>
    <row r="135" spans="1:61" ht="12.75" hidden="1" x14ac:dyDescent="0.2">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row>
    <row r="136" spans="1:61" ht="12.75" hidden="1" x14ac:dyDescent="0.2">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row>
    <row r="137" spans="1:61" ht="12.75" hidden="1" x14ac:dyDescent="0.2">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row>
    <row r="138" spans="1:61" ht="12.75" hidden="1" x14ac:dyDescent="0.2">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row>
    <row r="139" spans="1:61" ht="12.75" hidden="1" x14ac:dyDescent="0.2">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row>
    <row r="140" spans="1:61" ht="12.75" hidden="1" x14ac:dyDescent="0.2">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row>
    <row r="141" spans="1:61" ht="12.75" hidden="1" x14ac:dyDescent="0.2">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row>
    <row r="142" spans="1:61" ht="12.75" hidden="1" x14ac:dyDescent="0.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row>
    <row r="143" spans="1:61" ht="12.75" hidden="1" x14ac:dyDescent="0.2">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row>
    <row r="144" spans="1:61" ht="12.75" hidden="1" x14ac:dyDescent="0.2">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row>
    <row r="145" spans="1:61" ht="12.75" hidden="1" x14ac:dyDescent="0.2">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row>
    <row r="146" spans="1:61" ht="12.75" hidden="1" x14ac:dyDescent="0.2">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row>
    <row r="147" spans="1:61" ht="12.75" hidden="1" x14ac:dyDescent="0.2">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row>
    <row r="148" spans="1:61" ht="12.75" hidden="1" x14ac:dyDescent="0.2">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row>
    <row r="149" spans="1:61" ht="12.75" hidden="1" x14ac:dyDescent="0.2">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row>
    <row r="150" spans="1:61" ht="12.75" hidden="1" x14ac:dyDescent="0.2">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row>
    <row r="151" spans="1:61" ht="12.75" hidden="1" x14ac:dyDescent="0.2">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row>
    <row r="152" spans="1:61" ht="12.75" hidden="1" x14ac:dyDescent="0.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row>
    <row r="153" spans="1:61" ht="12.75" hidden="1" x14ac:dyDescent="0.2">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row>
    <row r="154" spans="1:61" ht="12.75" hidden="1" x14ac:dyDescent="0.2">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row>
    <row r="155" spans="1:61" ht="12.75" hidden="1" x14ac:dyDescent="0.2">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row>
    <row r="156" spans="1:61" ht="12.75" hidden="1" x14ac:dyDescent="0.2">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row>
    <row r="157" spans="1:61" ht="12.75" hidden="1" x14ac:dyDescent="0.2">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row>
    <row r="158" spans="1:61" ht="12.75" hidden="1" x14ac:dyDescent="0.2">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row>
    <row r="159" spans="1:61" ht="12.75" hidden="1" x14ac:dyDescent="0.2">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row>
    <row r="160" spans="1:61" ht="12.75" hidden="1" x14ac:dyDescent="0.2">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row>
    <row r="161" spans="1:61" ht="12.75" hidden="1" x14ac:dyDescent="0.2">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row>
    <row r="162" spans="1:61" ht="12.75" hidden="1" x14ac:dyDescent="0.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row>
    <row r="163" spans="1:61" ht="12.75" hidden="1" x14ac:dyDescent="0.2">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row>
    <row r="164" spans="1:61" ht="12.75" hidden="1" x14ac:dyDescent="0.2">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row>
    <row r="165" spans="1:61" ht="12.75" hidden="1" x14ac:dyDescent="0.2">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row>
    <row r="166" spans="1:61" ht="12.75" hidden="1" x14ac:dyDescent="0.2">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row>
    <row r="167" spans="1:61" ht="12.75" hidden="1" x14ac:dyDescent="0.2">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row>
    <row r="168" spans="1:61" ht="12.75" hidden="1" x14ac:dyDescent="0.2">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row>
    <row r="169" spans="1:61" ht="12.75" hidden="1" x14ac:dyDescent="0.2">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row>
    <row r="170" spans="1:61" ht="12.75" hidden="1" x14ac:dyDescent="0.2">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row>
    <row r="171" spans="1:61" ht="12.75" hidden="1" x14ac:dyDescent="0.2">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row>
    <row r="172" spans="1:61" ht="12.75" hidden="1" x14ac:dyDescent="0.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row>
    <row r="173" spans="1:61" ht="12.75" hidden="1" x14ac:dyDescent="0.2">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row>
    <row r="174" spans="1:61" ht="12.75" hidden="1" x14ac:dyDescent="0.2">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row>
    <row r="175" spans="1:61" ht="12.75" hidden="1" x14ac:dyDescent="0.2">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row>
    <row r="176" spans="1:61" ht="12.75" hidden="1" x14ac:dyDescent="0.2">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row>
    <row r="177" spans="1:61" ht="12.75" hidden="1" x14ac:dyDescent="0.2">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row>
    <row r="178" spans="1:61" ht="12.75" hidden="1" x14ac:dyDescent="0.2">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row>
    <row r="179" spans="1:61" ht="12.75" hidden="1" x14ac:dyDescent="0.2">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row>
    <row r="180" spans="1:61" ht="12.75" hidden="1" x14ac:dyDescent="0.2">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row>
    <row r="181" spans="1:61" ht="12.75" hidden="1" x14ac:dyDescent="0.2">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row>
    <row r="182" spans="1:61" ht="12.75" hidden="1" x14ac:dyDescent="0.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row>
    <row r="183" spans="1:61" ht="12.75" hidden="1" x14ac:dyDescent="0.2">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row>
    <row r="184" spans="1:61" ht="12.75" hidden="1" x14ac:dyDescent="0.2">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row>
    <row r="185" spans="1:61" ht="12.75" hidden="1" x14ac:dyDescent="0.2">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row>
    <row r="186" spans="1:61" ht="12.75" hidden="1" x14ac:dyDescent="0.2">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row>
    <row r="187" spans="1:61" ht="12.75" hidden="1" x14ac:dyDescent="0.2">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row>
    <row r="188" spans="1:61" ht="12.75" hidden="1" x14ac:dyDescent="0.2">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row>
    <row r="189" spans="1:61" ht="12.75" hidden="1" x14ac:dyDescent="0.2">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row>
    <row r="190" spans="1:61" ht="12.75" hidden="1" x14ac:dyDescent="0.2">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row>
    <row r="191" spans="1:61" ht="12.75" hidden="1" x14ac:dyDescent="0.2">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row>
    <row r="192" spans="1:61" ht="12.75" hidden="1" x14ac:dyDescent="0.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row>
    <row r="193" spans="1:61" ht="12.75" hidden="1" x14ac:dyDescent="0.2">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row>
    <row r="194" spans="1:61" ht="12.75" hidden="1" x14ac:dyDescent="0.2">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row>
    <row r="195" spans="1:61" ht="12.75" hidden="1" x14ac:dyDescent="0.2">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row>
    <row r="196" spans="1:61" ht="12.75" hidden="1" x14ac:dyDescent="0.2">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row>
    <row r="197" spans="1:61" ht="12.75" hidden="1" x14ac:dyDescent="0.2">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row>
    <row r="198" spans="1:61" ht="12.75" hidden="1" x14ac:dyDescent="0.2">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row>
    <row r="199" spans="1:61" ht="12.75" hidden="1" x14ac:dyDescent="0.2">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row>
    <row r="200" spans="1:61" ht="12.75" hidden="1" x14ac:dyDescent="0.2">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row>
    <row r="201" spans="1:61" ht="12.75" hidden="1" x14ac:dyDescent="0.2">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row>
    <row r="202" spans="1:61" ht="12.75" hidden="1" x14ac:dyDescent="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row>
    <row r="203" spans="1:61" ht="12.75" hidden="1" x14ac:dyDescent="0.2">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row>
    <row r="204" spans="1:61" ht="12.75" hidden="1" x14ac:dyDescent="0.2">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row>
    <row r="205" spans="1:61" ht="12.75" hidden="1" x14ac:dyDescent="0.2">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row>
    <row r="206" spans="1:61" ht="12.75" hidden="1" x14ac:dyDescent="0.2">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row>
    <row r="207" spans="1:61" ht="12.75" hidden="1" x14ac:dyDescent="0.2">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row>
    <row r="208" spans="1:61" ht="12.75" hidden="1" x14ac:dyDescent="0.2">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row>
    <row r="209" spans="1:61" ht="12.75" hidden="1" x14ac:dyDescent="0.2">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row>
    <row r="210" spans="1:61" ht="12.75" hidden="1" x14ac:dyDescent="0.2">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row>
    <row r="211" spans="1:61" ht="12.75" hidden="1" x14ac:dyDescent="0.2">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row>
    <row r="212" spans="1:61" ht="12.75" hidden="1" x14ac:dyDescent="0.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row>
    <row r="213" spans="1:61" ht="12.75" hidden="1" x14ac:dyDescent="0.2">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row>
    <row r="214" spans="1:61" ht="12.75" hidden="1" x14ac:dyDescent="0.2">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row>
    <row r="215" spans="1:61" ht="12.75" hidden="1" x14ac:dyDescent="0.2">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row>
    <row r="216" spans="1:61" ht="12.75" hidden="1" x14ac:dyDescent="0.2">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row>
    <row r="217" spans="1:61" ht="12.75" hidden="1" x14ac:dyDescent="0.2">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row>
    <row r="218" spans="1:61" ht="12.75" hidden="1" x14ac:dyDescent="0.2">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row>
    <row r="219" spans="1:61" ht="12.75" hidden="1" x14ac:dyDescent="0.2">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row>
    <row r="220" spans="1:61" ht="12.75" hidden="1" x14ac:dyDescent="0.2">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row>
    <row r="221" spans="1:61" ht="12.75" hidden="1" x14ac:dyDescent="0.2">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row>
    <row r="222" spans="1:61" ht="12.75" hidden="1" x14ac:dyDescent="0.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row>
    <row r="223" spans="1:61" ht="12.75" hidden="1" x14ac:dyDescent="0.2">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row>
    <row r="224" spans="1:61" ht="12.75" hidden="1" x14ac:dyDescent="0.2">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row>
    <row r="225" spans="1:61" ht="12.75" hidden="1" x14ac:dyDescent="0.2">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row>
    <row r="226" spans="1:61" ht="12.75" hidden="1" x14ac:dyDescent="0.2">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row>
    <row r="227" spans="1:61" ht="12.75" hidden="1" x14ac:dyDescent="0.2">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row>
    <row r="228" spans="1:61" ht="12.75" hidden="1" x14ac:dyDescent="0.2">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row>
    <row r="229" spans="1:61" ht="12.75" hidden="1" x14ac:dyDescent="0.2">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row>
    <row r="230" spans="1:61" ht="12.75" hidden="1" x14ac:dyDescent="0.2">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row>
    <row r="231" spans="1:61" ht="12.75" hidden="1" x14ac:dyDescent="0.2">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row>
    <row r="232" spans="1:61" ht="12.75" hidden="1" x14ac:dyDescent="0.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row>
    <row r="233" spans="1:61" ht="12.75" hidden="1" x14ac:dyDescent="0.2">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row>
    <row r="234" spans="1:61" ht="12.75" hidden="1" x14ac:dyDescent="0.2">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row>
    <row r="235" spans="1:61" ht="12.75" hidden="1" x14ac:dyDescent="0.2">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row>
    <row r="236" spans="1:61" ht="12.75" hidden="1" x14ac:dyDescent="0.2">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row>
    <row r="237" spans="1:61" ht="12.75" hidden="1" x14ac:dyDescent="0.2">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row>
    <row r="238" spans="1:61" ht="12.75" hidden="1" x14ac:dyDescent="0.2">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row>
    <row r="239" spans="1:61" ht="12.75" hidden="1" x14ac:dyDescent="0.2">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row>
    <row r="240" spans="1:61" ht="12.75" hidden="1" x14ac:dyDescent="0.2">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row>
    <row r="241" spans="1:61" ht="12.75" hidden="1" x14ac:dyDescent="0.2">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row>
    <row r="242" spans="1:61" ht="12.75" hidden="1" x14ac:dyDescent="0.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row>
    <row r="243" spans="1:61" ht="12.75" hidden="1" x14ac:dyDescent="0.2">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row>
    <row r="244" spans="1:61" ht="12.75" hidden="1" x14ac:dyDescent="0.2">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row>
    <row r="245" spans="1:61" ht="12.75" hidden="1" x14ac:dyDescent="0.2">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row>
    <row r="246" spans="1:61" ht="12.75" hidden="1" x14ac:dyDescent="0.2">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row>
    <row r="247" spans="1:61" ht="12.75" hidden="1" x14ac:dyDescent="0.2">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row>
    <row r="248" spans="1:61" ht="12.75" hidden="1" x14ac:dyDescent="0.2">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row>
    <row r="249" spans="1:61" ht="12.75" hidden="1" x14ac:dyDescent="0.2">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row>
    <row r="250" spans="1:61" ht="12.75" hidden="1" x14ac:dyDescent="0.2">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row>
    <row r="251" spans="1:61" ht="12.75" hidden="1" x14ac:dyDescent="0.2">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row>
    <row r="252" spans="1:61" ht="12.75" hidden="1" x14ac:dyDescent="0.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row>
    <row r="253" spans="1:61" ht="12.75" hidden="1" x14ac:dyDescent="0.2">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row>
    <row r="254" spans="1:61" ht="12.75" hidden="1" x14ac:dyDescent="0.2">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row>
    <row r="255" spans="1:61" ht="12.75" hidden="1" x14ac:dyDescent="0.2">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row>
    <row r="256" spans="1:61" ht="12.75" hidden="1" x14ac:dyDescent="0.2">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row>
    <row r="257" spans="1:61" ht="12.75" hidden="1" x14ac:dyDescent="0.2">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row>
    <row r="258" spans="1:61" ht="12.75" hidden="1" x14ac:dyDescent="0.2">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row>
    <row r="259" spans="1:61" ht="12.75" hidden="1" x14ac:dyDescent="0.2">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row>
    <row r="260" spans="1:61" ht="12.75" hidden="1" x14ac:dyDescent="0.2">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row>
    <row r="261" spans="1:61" ht="12.75" hidden="1" x14ac:dyDescent="0.2">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row>
    <row r="262" spans="1:61" ht="12.75" hidden="1" x14ac:dyDescent="0.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row>
    <row r="263" spans="1:61" ht="12.75" hidden="1" x14ac:dyDescent="0.2">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row>
    <row r="264" spans="1:61" ht="12.75" hidden="1" x14ac:dyDescent="0.2">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row>
    <row r="265" spans="1:61" ht="12.75" hidden="1" x14ac:dyDescent="0.2">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row>
    <row r="266" spans="1:61" ht="12.75" hidden="1" x14ac:dyDescent="0.2">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row>
    <row r="267" spans="1:61" ht="12.75" hidden="1" x14ac:dyDescent="0.2">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row>
    <row r="268" spans="1:61" ht="12.75" hidden="1" x14ac:dyDescent="0.2">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row>
    <row r="269" spans="1:61" ht="12.75" hidden="1" x14ac:dyDescent="0.2">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row>
    <row r="270" spans="1:61" ht="12.75" hidden="1" x14ac:dyDescent="0.2">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row>
    <row r="271" spans="1:61" ht="12.75" hidden="1" x14ac:dyDescent="0.2">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row>
    <row r="272" spans="1:61" ht="12.75" hidden="1" x14ac:dyDescent="0.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row>
    <row r="273" spans="1:61" ht="12.75" hidden="1" x14ac:dyDescent="0.2">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row>
    <row r="274" spans="1:61" ht="12.75" hidden="1" x14ac:dyDescent="0.2">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row>
    <row r="275" spans="1:61" ht="12.75" hidden="1" x14ac:dyDescent="0.2">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row>
    <row r="276" spans="1:61" ht="12.75" hidden="1" x14ac:dyDescent="0.2">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row>
    <row r="277" spans="1:61" ht="12.75" hidden="1" x14ac:dyDescent="0.2">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row>
    <row r="278" spans="1:61" ht="12.75" hidden="1" x14ac:dyDescent="0.2">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row>
    <row r="279" spans="1:61" ht="12.75" hidden="1" x14ac:dyDescent="0.2">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row>
    <row r="280" spans="1:61" ht="12.75" hidden="1" x14ac:dyDescent="0.2">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row>
    <row r="281" spans="1:61" ht="12.75" hidden="1" x14ac:dyDescent="0.2">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row>
    <row r="282" spans="1:61" ht="12.75" hidden="1" x14ac:dyDescent="0.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row>
    <row r="283" spans="1:61" ht="12.75" hidden="1" x14ac:dyDescent="0.2">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row>
    <row r="284" spans="1:61" ht="12.75" hidden="1" x14ac:dyDescent="0.2">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row>
    <row r="285" spans="1:61" ht="12.75" hidden="1" x14ac:dyDescent="0.2">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row>
    <row r="286" spans="1:61" ht="12.75" hidden="1" x14ac:dyDescent="0.2">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row>
    <row r="287" spans="1:61" ht="12.75" hidden="1" x14ac:dyDescent="0.2">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row>
    <row r="288" spans="1:61" ht="12.75" hidden="1" x14ac:dyDescent="0.2">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row>
    <row r="289" spans="1:61" ht="12.75" hidden="1" x14ac:dyDescent="0.2">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row>
    <row r="290" spans="1:61" ht="12.75" hidden="1" x14ac:dyDescent="0.2">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row>
    <row r="291" spans="1:61" ht="12.75" hidden="1"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spans="1:61" ht="12.75" hidden="1"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spans="1:61" ht="12.75" hidden="1"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spans="1:61" ht="12.75" hidden="1"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spans="1:61" ht="12.75" hidden="1"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spans="1:61" ht="12.75" hidden="1"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spans="1:61" ht="12.75" hidden="1"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spans="1:61" ht="12.75" hidden="1"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spans="1:61" ht="12.75" hidden="1"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spans="1:61" ht="12.75" hidden="1"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spans="1:61" ht="12.75" hidden="1"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spans="1:61" ht="12.75" hidden="1"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spans="1:61" ht="12.75" hidden="1"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spans="1:61" ht="12.75" hidden="1"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spans="1:61" ht="12.75" hidden="1"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spans="1:61" ht="12.75" hidden="1"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spans="1:61" ht="12.75" hidden="1"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spans="1:61" ht="12.75" hidden="1"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spans="1:61" ht="12.75" hidden="1"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spans="1:61" ht="12.75" hidden="1"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spans="1:61" ht="12.75" hidden="1"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spans="1:61" ht="12.75" hidden="1"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spans="1:61" ht="12.75" hidden="1"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spans="1:61" ht="12.75" hidden="1"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spans="1:61" ht="12.75" hidden="1"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spans="1:61" ht="12.75" hidden="1"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spans="1:61" ht="12.75" hidden="1"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spans="1:61" ht="12.75" hidden="1"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spans="1:61" ht="12.75" hidden="1"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spans="1:61" ht="12.75" hidden="1"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spans="1:61" ht="12.75" hidden="1"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spans="1:61" ht="12.75" hidden="1"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spans="1:61" ht="12.75" hidden="1"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spans="1:61" ht="12.75" hidden="1"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spans="1:61" ht="12.75" hidden="1"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spans="1:61" ht="12.75" hidden="1"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spans="1:61" ht="12.75" hidden="1"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spans="1:61" ht="12.75" hidden="1"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spans="1:61" ht="12.75" hidden="1"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spans="1:61" ht="12.75" hidden="1"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spans="1:61" ht="12.75" hidden="1"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spans="1:61" ht="12.75" hidden="1"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spans="1:61" ht="12.75" hidden="1"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spans="1:61" ht="12.75" hidden="1"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spans="1:61" ht="12.75" hidden="1"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spans="1:61" ht="12.75" hidden="1"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spans="1:61" ht="12.75" hidden="1"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spans="1:61" ht="12.75" hidden="1"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spans="1:61" ht="12.75" hidden="1"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spans="1:61" ht="12.75" hidden="1"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spans="1:61" ht="12.75" hidden="1"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spans="1:61" ht="12.75" hidden="1"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spans="1:61" ht="12.75" hidden="1"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spans="1:61" ht="12.75" hidden="1"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spans="1:61" ht="12.75" hidden="1"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spans="1:61" ht="12.75" hidden="1"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spans="1:61" ht="12.75" hidden="1"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spans="1:61" ht="12.75" hidden="1"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spans="1:61" ht="12.75" hidden="1"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spans="1:61" ht="12.75" hidden="1"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spans="1:61" ht="12.75" hidden="1"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spans="1:61" ht="12.75" hidden="1"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spans="1:61" ht="12.75" hidden="1"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spans="1:61" ht="12.75" hidden="1"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spans="1:61" ht="12.75" hidden="1"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spans="1:61" ht="12.75" hidden="1"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spans="1:61" ht="12.75" hidden="1"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spans="1:61" ht="12.75" hidden="1"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spans="1:61" ht="12.75" hidden="1"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spans="1:61" ht="12.75" hidden="1"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spans="1:61" ht="12.75" hidden="1"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spans="1:61" ht="12.75" hidden="1"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spans="1:61" ht="12.75" hidden="1"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spans="1:61" ht="12.75" hidden="1"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spans="1:61" ht="12.75" hidden="1"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spans="1:61" ht="12.75" hidden="1"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spans="1:61" ht="12.75" hidden="1"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spans="1:61" ht="12.75" hidden="1"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spans="1:61" ht="12.75" hidden="1"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spans="1:61" ht="12.75" hidden="1"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spans="1:61" ht="12.75" hidden="1"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spans="1:61" ht="12.75" hidden="1"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spans="1:61" ht="12.75" hidden="1"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spans="1:61" ht="12.75" hidden="1"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spans="1:61" ht="12.75" hidden="1"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spans="1:61" ht="12.75" hidden="1"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spans="1:61" ht="12.75" hidden="1"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spans="1:61" ht="12.75" hidden="1"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spans="1:61" ht="12.75" hidden="1"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spans="1:61" ht="12.75" hidden="1"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spans="1:61" ht="12.75" hidden="1"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spans="1:61" ht="12.75" hidden="1"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spans="1:61" ht="12.75" hidden="1"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spans="1:61" ht="12.75" hidden="1"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spans="1:61" ht="12.75" hidden="1"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spans="1:61" ht="12.75" hidden="1"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spans="1:61" ht="12.75" hidden="1"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spans="1:61" ht="12.75" hidden="1"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spans="1:61" ht="12.75" hidden="1"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spans="1:61" ht="12.75" hidden="1"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spans="1:61" ht="12.75" hidden="1"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spans="1:61" ht="12.75" hidden="1"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spans="1:61" ht="12.75" hidden="1"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spans="1:61" ht="12.75" hidden="1"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spans="1:61" ht="12.75" hidden="1"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spans="1:61" ht="12.75" hidden="1"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spans="1:61" ht="12.75" hidden="1"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spans="1:61" ht="12.75" hidden="1"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spans="1:61" ht="12.75" hidden="1"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spans="1:61" ht="12.75" hidden="1"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spans="1:61" ht="12.75" hidden="1"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spans="1:61" ht="12.75" hidden="1"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spans="1:61" ht="12.75" hidden="1"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spans="1:61" ht="12.75" hidden="1"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spans="1:61" ht="12.75" hidden="1"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spans="1:61" ht="12.75" hidden="1"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spans="1:61" ht="12.75" hidden="1"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spans="1:61" ht="12.75" hidden="1"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spans="1:61" ht="12.75" hidden="1"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spans="1:61" ht="12.75" hidden="1"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spans="1:61" ht="12.75" hidden="1"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spans="1:61" ht="12.75" hidden="1"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spans="1:61" ht="12.75" hidden="1"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spans="1:61" ht="12.75" hidden="1"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spans="1:61" ht="12.75" hidden="1"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spans="1:61" ht="12.75" hidden="1"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spans="1:61" ht="12.75" hidden="1"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spans="1:61" ht="12.75" hidden="1"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spans="1:61" ht="12.75" hidden="1"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spans="1:61" ht="12.75" hidden="1"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spans="1:61" ht="12.75" hidden="1"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spans="1:61" ht="12.75" hidden="1"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spans="1:61" ht="12.75" hidden="1"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spans="1:61" ht="12.75" hidden="1"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spans="1:61" ht="12.75" hidden="1"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spans="1:61" ht="12.75" hidden="1"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spans="1:61" ht="12.75" hidden="1"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spans="1:61" ht="12.75" hidden="1"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spans="1:61" ht="12.75" hidden="1"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spans="1:61" ht="12.75" hidden="1"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spans="1:61" ht="12.75" hidden="1"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spans="1:61" ht="12.75" hidden="1"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spans="1:61" ht="12.75" hidden="1"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spans="1:61" ht="12.75" hidden="1"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spans="1:61" ht="12.75" hidden="1"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spans="1:61" ht="12.75" hidden="1"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spans="1:61" ht="12.75" hidden="1"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spans="1:61" ht="12.75" hidden="1"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spans="1:61" ht="12.75" hidden="1"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spans="1:61" ht="12.75" hidden="1"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spans="1:61" ht="12.75" hidden="1"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spans="1:61" ht="12.75" hidden="1"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spans="1:61" ht="12.75" hidden="1"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spans="1:61" ht="12.75" hidden="1"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spans="1:61" ht="12.75" hidden="1"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spans="1:61" ht="12.75" hidden="1"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spans="1:61" ht="12.75" hidden="1"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spans="1:61" ht="12.75" hidden="1"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spans="1:61" ht="12.75" hidden="1"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spans="1:61" ht="12.75" hidden="1"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spans="1:61" ht="12.75" hidden="1"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spans="1:61" ht="12.75" hidden="1"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spans="1:61" ht="12.75" hidden="1"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spans="1:61" ht="12.75" hidden="1"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spans="1:61" ht="12.75" hidden="1"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spans="1:61" ht="12.75" hidden="1"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spans="1:61" ht="12.75" hidden="1"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spans="1:61" ht="12.75" hidden="1"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spans="1:61" ht="12.75" hidden="1"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spans="1:61" ht="12.75" hidden="1"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spans="1:61" ht="12.75" hidden="1"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spans="1:61" ht="12.75" hidden="1"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spans="1:61" ht="12.75" hidden="1"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spans="1:61" ht="12.75" hidden="1"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spans="1:61" ht="12.75" hidden="1"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spans="1:61" ht="12.75" hidden="1"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spans="1:61" ht="12.75" hidden="1"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spans="1:61" ht="12.75" hidden="1"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spans="1:61" ht="12.75" hidden="1"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spans="1:61" ht="12.75" hidden="1"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spans="1:61" ht="12.75" hidden="1"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spans="1:61" ht="12.75" hidden="1"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spans="1:61" ht="12.75" hidden="1"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spans="1:61" ht="12.75" hidden="1"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spans="1:61" ht="12.75" hidden="1"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spans="1:61" ht="12.75" hidden="1"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spans="1:61" ht="12.75" hidden="1"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spans="1:61" ht="12.75" hidden="1"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spans="1:61" ht="12.75" hidden="1"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spans="1:61" ht="12.75" hidden="1"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spans="1:61" ht="12.75" hidden="1"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spans="1:61" ht="12.75" hidden="1"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spans="1:61" ht="12.75" hidden="1"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spans="1:61" ht="12.75" hidden="1"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spans="1:61" ht="12.75" hidden="1"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spans="1:61" ht="12.75" hidden="1"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spans="1:61" ht="12.75" hidden="1"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spans="1:61" ht="12.75" hidden="1"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spans="1:61" ht="12.75" hidden="1"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spans="1:61" ht="12.75" hidden="1"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spans="1:61" ht="12.75" hidden="1"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spans="1:61" ht="12.75" hidden="1"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spans="1:61" ht="12.75" hidden="1"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spans="1:61" ht="12.75" hidden="1"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spans="1:61" ht="12.75" hidden="1"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spans="1:61" ht="12.75" hidden="1"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spans="1:61" ht="12.75" hidden="1"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spans="1:61" ht="12.75" hidden="1"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spans="1:61" ht="12.75" hidden="1"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spans="1:61" ht="12.75" hidden="1"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spans="1:61" ht="12.75" hidden="1"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spans="1:61" ht="12.75" hidden="1"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spans="1:61" ht="12.75" hidden="1"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spans="1:61" ht="12.75" hidden="1"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spans="1:61" ht="12.75" hidden="1"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spans="1:61" ht="12.75" hidden="1"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spans="1:61" ht="12.75" hidden="1"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spans="1:61" ht="12.75" hidden="1"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spans="1:61" ht="12.75" hidden="1"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spans="1:61" ht="12.75" hidden="1"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spans="1:61" ht="12.75" hidden="1"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spans="1:61" ht="12.75" hidden="1"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spans="1:61" ht="12.75" hidden="1"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spans="1:61" ht="12.75" hidden="1"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spans="1:61" ht="12.75" hidden="1"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spans="1:61" ht="12.75" hidden="1"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spans="1:61" ht="12.75" hidden="1"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spans="1:61" ht="12.75" hidden="1"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spans="1:61" ht="12.75" hidden="1"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spans="1:61" ht="12.75" hidden="1"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spans="1:61" ht="12.75" hidden="1"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spans="1:61" ht="12.75" hidden="1"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spans="1:61" ht="12.75" hidden="1"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spans="1:61" ht="12.75" hidden="1"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spans="1:61" ht="12.75" hidden="1"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spans="1:61" ht="12.75" hidden="1"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spans="1:61" ht="12.75" hidden="1"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spans="1:61" ht="12.75" hidden="1"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spans="1:61" ht="12.75" hidden="1"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spans="1:61" ht="12.75" hidden="1"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spans="1:61" ht="12.75" hidden="1"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spans="1:61" ht="12.75" hidden="1"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spans="1:61" ht="12.75" hidden="1"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spans="1:61" ht="12.75" hidden="1"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spans="1:61" ht="12.75" hidden="1"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spans="1:61" ht="12.75" hidden="1"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spans="1:61" ht="12.75" hidden="1"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spans="1:61" ht="12.75" hidden="1"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spans="1:61" ht="12.75" hidden="1"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spans="1:61" ht="12.75" hidden="1"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spans="1:61" ht="12.75" hidden="1"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spans="1:61" ht="12.75" hidden="1"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spans="1:61" ht="12.75" hidden="1"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spans="1:61" ht="12.75" hidden="1"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spans="1:61" ht="12.75" hidden="1"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spans="1:61" ht="12.75" hidden="1"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spans="1:61" ht="12.75" hidden="1"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spans="1:61" ht="12.75" hidden="1"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spans="1:61" ht="12.75" hidden="1"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spans="1:61" ht="12.75" hidden="1"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spans="1:61" ht="12.75" hidden="1"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spans="1:61" ht="12.75" hidden="1"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spans="1:61" ht="12.75" hidden="1"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spans="1:61" ht="12.75" hidden="1"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spans="1:61" ht="12.75" hidden="1"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spans="1:61" ht="12.75" hidden="1"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spans="1:61" ht="12.75" hidden="1"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spans="1:61" ht="12.75" hidden="1"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spans="1:61" ht="12.75" hidden="1"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spans="1:61" ht="12.75" hidden="1"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spans="1:61" ht="12.75" hidden="1"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spans="1:61" ht="12.75" hidden="1"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spans="1:61" ht="12.75" hidden="1"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spans="1:61" ht="12.75" hidden="1"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spans="1:61" ht="12.75" hidden="1"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spans="1:61" ht="12.75" hidden="1"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spans="1:61" ht="12.75" hidden="1"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spans="1:61" ht="12.75" hidden="1"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spans="1:61" ht="12.75" hidden="1"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spans="1:61" ht="12.75" hidden="1"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spans="1:61" ht="12.75" hidden="1"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spans="1:61" ht="12.75" hidden="1"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spans="1:61" ht="12.75" hidden="1"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spans="1:61" ht="12.75" hidden="1"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spans="1:61" ht="12.75" hidden="1"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spans="1:61" ht="12.75" hidden="1"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spans="1:61" ht="12.75" hidden="1"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spans="1:61" ht="12.75" hidden="1"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spans="1:61" ht="12.75" hidden="1"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spans="1:61" ht="12.75" hidden="1"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spans="1:61" ht="12.75" hidden="1"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spans="1:61" ht="12.75" hidden="1"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spans="1:61" ht="12.75" hidden="1"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spans="1:61" ht="12.75" hidden="1"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spans="1:61" ht="12.75" hidden="1"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spans="1:61" ht="12.75" hidden="1"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spans="1:61" ht="12.75" hidden="1"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spans="1:61" ht="12.75" hidden="1"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spans="1:61" ht="12.75" hidden="1"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spans="1:61" ht="12.75" hidden="1"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spans="1:61" ht="12.75" hidden="1"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spans="1:61" ht="12.75" hidden="1"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spans="1:61" ht="12.75" hidden="1"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spans="1:61" ht="12.75" hidden="1"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spans="1:61" ht="12.75" hidden="1"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spans="1:61" ht="12.75" hidden="1"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spans="1:61" ht="12.75" hidden="1"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spans="1:61" ht="12.75" hidden="1"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spans="1:61" ht="12.75" hidden="1"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spans="1:61" ht="12.75" hidden="1"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spans="1:61" ht="12.75" hidden="1"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spans="1:61" ht="12.75" hidden="1"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spans="1:61" ht="12.75" hidden="1"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spans="1:61" ht="12.75" hidden="1"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spans="1:61" ht="12.75" hidden="1"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spans="1:61" ht="12.75" hidden="1"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spans="1:61" ht="12.75" hidden="1"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spans="1:61" ht="12.75" hidden="1"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spans="1:61" ht="12.75" hidden="1"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spans="1:61" ht="12.75" hidden="1"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spans="1:61" ht="12.75" hidden="1"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spans="1:61" ht="12.75" hidden="1"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spans="1:61" ht="12.75" hidden="1"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spans="1:61" ht="12.75" hidden="1"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spans="1:61" ht="12.75" hidden="1"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spans="1:61" ht="12.75" hidden="1"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spans="1:61" ht="12.75" hidden="1"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spans="1:61" ht="12.75" hidden="1"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spans="1:61" ht="12.75" hidden="1"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spans="1:61" ht="12.75" hidden="1"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spans="1:61" ht="12.75" hidden="1"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spans="1:61" ht="12.75" hidden="1"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spans="1:61" ht="12.75" hidden="1"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spans="1:61" ht="12.75" hidden="1"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spans="1:61" ht="12.75" hidden="1"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spans="1:61" ht="12.75" hidden="1"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spans="1:61" ht="12.75" hidden="1"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spans="1:61" ht="12.75" hidden="1"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spans="1:61" ht="12.75" hidden="1"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spans="1:61" ht="12.75" hidden="1"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spans="1:61" ht="12.75" hidden="1"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spans="1:61" ht="12.75" hidden="1"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spans="1:61" ht="12.75" hidden="1"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spans="1:61" ht="12.75" hidden="1"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spans="1:61" ht="12.75" hidden="1"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spans="1:61" ht="12.75" hidden="1"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spans="1:61" ht="12.75" hidden="1"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spans="1:61" ht="12.75" hidden="1"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spans="1:61" ht="12.75" hidden="1"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spans="1:61" ht="12.75" hidden="1"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spans="1:61" ht="12.75" hidden="1"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spans="1:61" ht="12.75" hidden="1"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spans="1:61" ht="12.75" hidden="1"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spans="1:61" ht="12.75" hidden="1"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spans="1:61" ht="12.75" hidden="1"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spans="1:61" ht="12.75" hidden="1"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spans="1:61" ht="12.75" hidden="1"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spans="1:61" ht="12.75" hidden="1"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spans="1:61" ht="12.75" hidden="1"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spans="1:61" ht="12.75" hidden="1"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spans="1:61" ht="12.75" hidden="1"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spans="1:61" ht="12.75" hidden="1"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spans="1:61" ht="12.75" hidden="1"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spans="1:61" ht="12.75" hidden="1"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spans="1:61" ht="12.75" hidden="1"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spans="1:61" ht="12.75" hidden="1"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spans="1:61" ht="12.75" hidden="1"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spans="1:61" ht="12.75" hidden="1"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spans="1:61" ht="12.75" hidden="1"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spans="1:61" ht="12.75" hidden="1"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spans="1:61" ht="12.75" hidden="1"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spans="1:61" ht="12.75" hidden="1"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spans="1:61" ht="12.75" hidden="1"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spans="1:61" ht="12.75" hidden="1"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spans="1:61" ht="12.75" hidden="1"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spans="1:61" ht="12.75" hidden="1"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spans="1:61" ht="12.75" hidden="1"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spans="1:61" ht="12.75" hidden="1"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spans="1:61" ht="12.75" hidden="1"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spans="1:61" ht="12.75" hidden="1"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spans="1:61" ht="12.75" hidden="1"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spans="1:61" ht="12.75" hidden="1"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spans="1:61" ht="12.75" hidden="1"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spans="1:61" ht="12.75" hidden="1"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spans="1:61" ht="12.75" hidden="1"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spans="1:61" ht="12.75" hidden="1"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spans="1:61" ht="12.75" hidden="1"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spans="1:61" ht="12.75" hidden="1"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spans="1:61" ht="12.75" hidden="1"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spans="1:61" ht="12.75" hidden="1"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spans="1:61" ht="12.75" hidden="1"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spans="1:61" ht="12.75" hidden="1"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spans="1:61" ht="12.75" hidden="1"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spans="1:61" ht="12.75" hidden="1"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spans="1:61" ht="12.75" hidden="1"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spans="1:61" ht="12.75" hidden="1"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spans="1:61" ht="12.75" hidden="1"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spans="1:61" ht="12.75" hidden="1"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spans="1:61" ht="12.75" hidden="1"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spans="1:61" ht="12.75" hidden="1"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spans="1:61" ht="12.75" hidden="1"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spans="1:61" ht="12.75" hidden="1"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spans="1:61" ht="12.75" hidden="1"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spans="1:61" ht="12.75" hidden="1"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spans="1:61" ht="12.75" hidden="1"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spans="1:61" ht="12.75" hidden="1"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spans="1:61" ht="12.75" hidden="1"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spans="1:61" ht="12.75" hidden="1"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spans="1:61" ht="12.75" hidden="1"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spans="1:61" ht="12.75" hidden="1"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spans="1:61" ht="12.75" hidden="1"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spans="1:61" ht="12.75" hidden="1"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spans="1:61" ht="12.75" hidden="1"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spans="1:61" ht="12.75" hidden="1"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spans="1:61" ht="12.75" hidden="1"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spans="1:61" ht="12.75" hidden="1"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spans="1:61" ht="12.75" hidden="1"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spans="1:61" ht="12.75" hidden="1"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spans="1:61" ht="12.75" hidden="1"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spans="1:61" ht="12.75" hidden="1"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spans="1:61" ht="12.75" hidden="1"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spans="1:61" ht="12.75" hidden="1"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spans="1:61" ht="12.75" hidden="1"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spans="1:61" ht="12.75" hidden="1"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spans="1:61" ht="12.75" hidden="1"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spans="1:61" ht="12.75" hidden="1"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spans="1:61" ht="12.75" hidden="1"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spans="1:61" ht="12.75" hidden="1"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spans="1:61" ht="12.75" hidden="1"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spans="1:61" ht="12.75" hidden="1"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spans="1:61" ht="12.75" hidden="1"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spans="1:61" ht="12.75" hidden="1"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spans="1:61" ht="12.75" hidden="1"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spans="1:61" ht="12.75" hidden="1"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spans="1:61" ht="12.75" hidden="1"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spans="1:61" ht="12.75" hidden="1"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spans="1:61" ht="12.75" hidden="1"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spans="1:61" ht="12.75" hidden="1"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spans="1:61" ht="12.75" hidden="1"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spans="1:61" ht="12.75" hidden="1"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spans="1:61" ht="12.75" hidden="1"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spans="1:61" ht="12.75" hidden="1"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spans="1:61" ht="12.75" hidden="1"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spans="1:61" ht="12.75" hidden="1"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spans="1:61" ht="12.75" hidden="1"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spans="1:61" ht="12.75" hidden="1"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spans="1:61" ht="12.75" hidden="1"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spans="1:61" ht="12.75" hidden="1"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spans="1:61" ht="12.75" hidden="1"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spans="1:61" ht="12.75" hidden="1"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spans="1:61" ht="12.75" hidden="1"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spans="1:61" ht="12.75" hidden="1"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spans="1:61" ht="12.75" hidden="1"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spans="1:61" ht="12.75" hidden="1"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spans="1:61" ht="12.75" hidden="1"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spans="1:61" ht="12.75" hidden="1"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spans="1:61" ht="12.75" hidden="1"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spans="1:61" ht="12.75" hidden="1"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spans="1:61" ht="12.75" hidden="1"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spans="1:61" ht="12.75" hidden="1"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spans="1:61" ht="12.75" hidden="1"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spans="1:61" ht="12.75" hidden="1"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spans="1:61" ht="12.75" hidden="1"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spans="1:61" ht="12.75" hidden="1"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spans="1:61" ht="12.75" hidden="1"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spans="1:61" ht="12.75" hidden="1"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spans="1:61" ht="12.75" hidden="1"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spans="1:61" ht="12.75" hidden="1"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spans="1:61" ht="12.75" hidden="1"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spans="1:61" ht="12.75" hidden="1"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spans="1:61" ht="12.75" hidden="1"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spans="1:61" ht="12.75" hidden="1"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spans="1:61" ht="12.75" hidden="1"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spans="1:61" ht="12.75" hidden="1"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spans="1:61" ht="12.75" hidden="1"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spans="1:61" ht="12.75" hidden="1"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spans="1:61" ht="12.75" hidden="1"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spans="1:61" ht="12.75" hidden="1"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spans="1:61" ht="12.75" hidden="1"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spans="1:61" ht="12.75" hidden="1"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spans="1:61" ht="12.75" hidden="1"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spans="1:61" ht="12.75" hidden="1"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spans="1:61" ht="12.75" hidden="1"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spans="1:61" ht="12.75" hidden="1"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spans="1:61" ht="12.75" hidden="1"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spans="1:61" ht="12.75" hidden="1"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spans="1:61" ht="12.75" hidden="1"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spans="1:61" ht="12.75" hidden="1"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spans="1:61" ht="12.75" hidden="1"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spans="1:61" ht="12.75" hidden="1"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spans="1:61" ht="12.75" hidden="1"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spans="1:61" ht="12.75" hidden="1"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spans="1:61" ht="12.75" hidden="1"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spans="1:61" ht="12.75" hidden="1"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spans="1:61" ht="12.75" hidden="1"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spans="1:61" ht="12.75" hidden="1"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spans="1:61" ht="12.75" hidden="1"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spans="1:61" ht="12.75" hidden="1"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spans="1:61" ht="12.75" hidden="1"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spans="1:61" ht="12.75" hidden="1"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spans="1:61" ht="12.75" hidden="1"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spans="1:61" ht="12.75" hidden="1"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spans="1:61" ht="12.75" hidden="1"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spans="1:61" ht="12.75" hidden="1"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spans="1:61" ht="12.75" hidden="1"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spans="1:61" ht="12.75" hidden="1"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spans="1:61" ht="12.75" hidden="1"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spans="1:61" ht="12.75" hidden="1"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spans="1:61" ht="12.75" hidden="1"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spans="1:61" ht="12.75" hidden="1"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spans="1:61" ht="12.75" hidden="1"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spans="1:61" ht="12.75" hidden="1"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spans="1:61" ht="12.75" hidden="1"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spans="1:61" ht="12.75" hidden="1"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spans="1:61" ht="12.75" hidden="1"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spans="1:61" ht="12.75" hidden="1"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spans="1:61" ht="12.75" hidden="1"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spans="1:61" ht="12.75" hidden="1"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spans="1:61" ht="12.75" hidden="1"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spans="1:61" ht="12.75" hidden="1"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spans="1:61" ht="12.75" hidden="1"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spans="1:61" ht="12.75" hidden="1"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spans="1:61" ht="12.75" hidden="1"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spans="1:61" ht="12.75" hidden="1"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spans="1:61" ht="12.75" hidden="1"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spans="1:61" ht="12.75" hidden="1"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spans="1:61" ht="12.75" hidden="1"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spans="1:61" ht="12.75" hidden="1"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spans="1:61" ht="12.75" hidden="1"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spans="1:61" ht="12.75" hidden="1"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spans="1:61" ht="12.75" hidden="1"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spans="1:61" ht="12.75" hidden="1"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spans="1:61" ht="12.75" hidden="1"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spans="1:61" ht="12.75" hidden="1"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spans="1:61" ht="12.75" hidden="1"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spans="1:61" ht="12.75" hidden="1"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spans="1:61" ht="12.75" hidden="1"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spans="1:61" ht="12.75" hidden="1"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spans="1:61" ht="12.75" hidden="1"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spans="1:61" ht="12.75" hidden="1"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spans="1:61" ht="12.75" hidden="1"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spans="1:61" ht="12.75" hidden="1"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spans="1:61" ht="12.75" hidden="1"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spans="1:61" ht="12.75" hidden="1"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spans="1:61" ht="12.75" hidden="1"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spans="1:61" ht="12.75" hidden="1"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spans="1:61" ht="12.75" hidden="1"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spans="1:61" ht="12.75" hidden="1"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spans="1:61" ht="12.75" hidden="1"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spans="1:61" ht="12.75" hidden="1"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spans="1:61" ht="12.75" hidden="1"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spans="1:61" ht="12.75" hidden="1"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spans="1:61" ht="12.75" hidden="1"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spans="1:61" ht="12.75" hidden="1"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spans="1:61" ht="12.75" hidden="1"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spans="1:61" ht="12.75" hidden="1"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spans="1:61" ht="12.75" hidden="1"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spans="1:61" ht="12.75" hidden="1"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spans="1:61" ht="12.75" hidden="1"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spans="1:61" ht="12.75" hidden="1"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spans="1:61" ht="12.75" hidden="1"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spans="1:61" ht="12.75" hidden="1"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spans="1:61" ht="12.75" hidden="1"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spans="1:61" ht="12.75" hidden="1"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spans="1:61" ht="12.75" hidden="1"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spans="1:61" ht="12.75" hidden="1"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spans="1:61" ht="12.75" hidden="1"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spans="1:61" ht="12.75" hidden="1"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spans="1:61" ht="12.75" hidden="1"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spans="1:61" ht="12.75" hidden="1"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spans="1:61" ht="12.75" hidden="1"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spans="1:61" ht="12.75" hidden="1"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spans="1:61" ht="12.75" hidden="1"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spans="1:61" ht="12.75" hidden="1"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spans="1:61" ht="12.75" hidden="1"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spans="1:61" ht="12.75" hidden="1"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spans="1:61" ht="12.75" hidden="1"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spans="1:61" ht="12.75" hidden="1"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spans="1:61" ht="12.75" hidden="1"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spans="1:61" ht="12.75" hidden="1"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spans="1:61" ht="12.75" hidden="1"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spans="1:61" ht="12.75" hidden="1"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spans="1:61" ht="12.75" hidden="1"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spans="1:61" ht="12.75" hidden="1"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spans="1:61" ht="12.75" hidden="1"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spans="1:61" ht="12.75" hidden="1"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spans="1:61" ht="12.75" hidden="1"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spans="1:61" ht="12.75" hidden="1"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spans="1:61" ht="12.75" hidden="1"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spans="1:61" ht="12.75" hidden="1"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spans="1:61" ht="12.75" hidden="1"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spans="1:61" ht="12.75" hidden="1"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spans="1:61" ht="12.75" hidden="1"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spans="1:61" ht="12.75" hidden="1"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spans="1:61" ht="12.75" hidden="1"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spans="1:61" ht="12.75" hidden="1"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spans="1:61" ht="12.75" hidden="1"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spans="1:61" ht="12.75" hidden="1"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spans="1:61" ht="12.75" hidden="1"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spans="1:61" ht="12.75" hidden="1"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spans="1:61" ht="12.75" hidden="1"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spans="1:61" ht="12.75" hidden="1"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spans="1:61" ht="12.75" hidden="1"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spans="1:61" ht="12.75" hidden="1"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spans="1:61" ht="12.75" hidden="1"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spans="1:61" ht="12.75" hidden="1"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spans="1:61" ht="12.75" hidden="1"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spans="1:61" ht="12.75" hidden="1"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spans="1:61" ht="12.75" hidden="1"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spans="1:61" ht="12.75" hidden="1"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spans="1:61" ht="12.75" hidden="1"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spans="1:61" ht="12.75" hidden="1"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spans="1:61" ht="12.75" hidden="1"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spans="1:61" ht="12.75" hidden="1"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spans="1:61" ht="12.75" hidden="1"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spans="1:61" ht="12.75" hidden="1"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spans="1:61" ht="12.75" hidden="1"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spans="1:61" ht="12.75" hidden="1"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spans="1:61" ht="12.75" hidden="1"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spans="1:61" ht="12.75" hidden="1"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spans="1:61" ht="12.75" hidden="1"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spans="1:61" ht="12.75" hidden="1"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spans="1:61" ht="12.75" hidden="1"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spans="1:61" ht="12.75" hidden="1"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spans="1:61" ht="12.75" hidden="1"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spans="1:61" ht="12.75" hidden="1"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spans="1:61" ht="12.75" hidden="1"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spans="1:61" ht="12.75" hidden="1"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spans="1:61" ht="12.75" hidden="1"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spans="1:61" ht="12.75" hidden="1"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spans="1:61" ht="12.75" hidden="1"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spans="1:61" ht="12.75" hidden="1"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spans="1:61" ht="12.75" hidden="1"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spans="1:61" ht="12.75" hidden="1"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spans="1:61" ht="12.75" hidden="1"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spans="1:61" ht="12.75" hidden="1"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spans="1:61" ht="12.75" hidden="1"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spans="1:61" ht="12.75" hidden="1"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spans="1:61" ht="12.75" hidden="1"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spans="1:61" ht="12.75" hidden="1"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spans="1:61" ht="12.75" hidden="1"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spans="1:61" ht="12.75" hidden="1"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spans="1:61" ht="12.75" hidden="1"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spans="1:61" ht="12.75" hidden="1"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spans="1:61" ht="12.75" hidden="1"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spans="1:61" ht="12.75" hidden="1"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spans="1:61" ht="12.75" hidden="1"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spans="1:61" ht="12.75" hidden="1"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spans="1:61" ht="12.75" hidden="1"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spans="1:61" ht="12.75" hidden="1"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spans="1:61" ht="12.75" hidden="1"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spans="1:61" ht="12.75" hidden="1"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spans="1:61" ht="12.75" hidden="1"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spans="1:61" ht="12.75" hidden="1"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spans="1:61" ht="12.75" hidden="1"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spans="1:61" ht="12.75" hidden="1"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spans="1:61" ht="12.75" hidden="1"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spans="1:61" ht="12.75" hidden="1"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spans="1:61" ht="12.75" hidden="1"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spans="1:61" ht="12.75" hidden="1"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spans="1:61" ht="12.75" hidden="1"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spans="1:61" ht="12.75" hidden="1"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spans="1:61" ht="12.75" hidden="1"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spans="1:61" ht="12.75" hidden="1"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spans="1:61" ht="12.75" hidden="1"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spans="1:61" ht="12.75" hidden="1"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spans="1:61" ht="12.75" hidden="1"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spans="1:61" ht="12.75" hidden="1"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spans="1:61" ht="12.75" hidden="1"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spans="1:61" ht="12.75" hidden="1"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spans="1:61" ht="12.75" hidden="1"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spans="1:61" ht="12.75" hidden="1"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spans="1:61" ht="12.75" hidden="1"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spans="1:61" ht="12.75" hidden="1"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spans="1:61" ht="12.75" hidden="1"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spans="1:61" ht="12.75" hidden="1"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spans="1:61" ht="12.75" hidden="1"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spans="1:61" ht="12.75" hidden="1"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spans="1:61" ht="12.75" hidden="1"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spans="1:61" ht="12.75" hidden="1"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spans="1:61" ht="12.75" hidden="1"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spans="1:61" ht="12.75" hidden="1"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spans="1:61" ht="12.75" hidden="1"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spans="1:61" ht="12.75" hidden="1"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spans="1:61" ht="12.75" hidden="1"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spans="1:61" ht="12.75" hidden="1"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spans="1:61" ht="12.75" hidden="1"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spans="1:61" ht="12.75" hidden="1"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spans="1:61" ht="12.75" hidden="1"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spans="1:61" ht="12.75" hidden="1"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spans="1:61" ht="12.75" hidden="1"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spans="1:61" ht="12.75" hidden="1"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spans="1:61" ht="12.75" hidden="1"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spans="1:61" ht="12.75" hidden="1"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spans="1:61" ht="12.75" hidden="1"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spans="1:61" ht="12.75" hidden="1"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spans="1:61" ht="12.75" hidden="1"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spans="1:61" ht="12.75" hidden="1"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spans="1:61" ht="12.75" hidden="1"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spans="1:61" ht="12.75" hidden="1"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spans="1:61" ht="12.75" hidden="1"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spans="1:61" ht="12.75" hidden="1"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spans="1:61" ht="12.75" hidden="1"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spans="1:61" ht="12.75" hidden="1"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spans="1:61" ht="12.75" hidden="1"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spans="1:61" ht="12.75" hidden="1"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spans="1:61" ht="12.75" hidden="1"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spans="1:61" ht="12.75" hidden="1"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spans="1:61" ht="12.75" hidden="1"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spans="1:61" ht="12.75" hidden="1"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row r="1001" spans="1:61" ht="12.75" hidden="1"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row>
    <row r="1002" spans="1:61" ht="12.75" hidden="1"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row>
    <row r="1003" spans="1:61" ht="12.75" hidden="1"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row>
    <row r="1004" spans="1:61" ht="12.75" hidden="1"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row>
    <row r="1005" spans="1:61" ht="12.75" hidden="1"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row>
    <row r="1006" spans="1:61" ht="12.75" hidden="1"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row>
    <row r="1007" spans="1:61" ht="12.75" hidden="1" x14ac:dyDescent="0.2">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row>
    <row r="1008" spans="1:61" ht="12.75" hidden="1" x14ac:dyDescent="0.2">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row>
    <row r="1009" spans="1:61" ht="12.75" hidden="1" x14ac:dyDescent="0.2">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row>
    <row r="1010" spans="1:61" ht="12.75" hidden="1" x14ac:dyDescent="0.2">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row>
    <row r="1011" spans="1:61" ht="12.75" hidden="1" x14ac:dyDescent="0.2">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row>
    <row r="1012" spans="1:61" ht="12.75" hidden="1" x14ac:dyDescent="0.2">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row>
    <row r="1013" spans="1:61" ht="12.75" hidden="1" x14ac:dyDescent="0.2">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row>
    <row r="1014" spans="1:61" ht="12.75" hidden="1" x14ac:dyDescent="0.2">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row>
    <row r="1015" spans="1:61" ht="12.75" hidden="1" x14ac:dyDescent="0.2">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row>
    <row r="1016" spans="1:61" ht="12.75" hidden="1" x14ac:dyDescent="0.2">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row>
    <row r="1017" spans="1:61" ht="12.75" hidden="1" x14ac:dyDescent="0.2">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row>
    <row r="1018" spans="1:61" ht="12.75" hidden="1" x14ac:dyDescent="0.2">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row>
    <row r="1019" spans="1:61" ht="12.75" hidden="1" x14ac:dyDescent="0.2">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row>
    <row r="1020" spans="1:61" ht="12.75" hidden="1" x14ac:dyDescent="0.2">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row>
    <row r="1021" spans="1:61" ht="12.75" hidden="1" x14ac:dyDescent="0.2">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row>
    <row r="1022" spans="1:61" ht="12.75" hidden="1" x14ac:dyDescent="0.2">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row>
    <row r="1023" spans="1:61" ht="12.75" hidden="1" x14ac:dyDescent="0.2">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row>
    <row r="1024" spans="1:61" ht="12.75" hidden="1" x14ac:dyDescent="0.2">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row>
    <row r="1025" spans="1:61" ht="12.75" hidden="1" x14ac:dyDescent="0.2">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row>
    <row r="1026" spans="1:61" ht="12.75" hidden="1" x14ac:dyDescent="0.2">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row>
    <row r="1027" spans="1:61" ht="12.75" hidden="1" x14ac:dyDescent="0.2">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row>
    <row r="1028" spans="1:61" ht="12.75" hidden="1" x14ac:dyDescent="0.2">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row>
    <row r="1029" spans="1:61" ht="12.75" hidden="1" x14ac:dyDescent="0.2">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row>
    <row r="1030" spans="1:61" ht="12.75" hidden="1" x14ac:dyDescent="0.2">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row>
    <row r="1031" spans="1:61" ht="12.75" hidden="1" x14ac:dyDescent="0.2">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row>
    <row r="1032" spans="1:61" ht="12.75" hidden="1" x14ac:dyDescent="0.2">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row>
    <row r="1033" spans="1:61" ht="12.75" hidden="1" x14ac:dyDescent="0.2">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row>
    <row r="1034" spans="1:61" ht="12.75" hidden="1" x14ac:dyDescent="0.2">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row>
    <row r="1035" spans="1:61" ht="12.75" hidden="1" x14ac:dyDescent="0.2">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row>
    <row r="1036" spans="1:61" ht="12.75" hidden="1" x14ac:dyDescent="0.2">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row>
    <row r="1037" spans="1:61" ht="12.75" hidden="1" x14ac:dyDescent="0.2">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row>
    <row r="1038" spans="1:61" ht="12.75" hidden="1" x14ac:dyDescent="0.2">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row>
    <row r="1039" spans="1:61" ht="12.75" hidden="1" x14ac:dyDescent="0.2">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row>
    <row r="1040" spans="1:61" ht="12.75" hidden="1" x14ac:dyDescent="0.2">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row>
    <row r="1041" spans="1:61" ht="12.75" hidden="1" x14ac:dyDescent="0.2">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row>
    <row r="1042" spans="1:61" ht="12.75" hidden="1" x14ac:dyDescent="0.2">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row>
    <row r="1043" spans="1:61" ht="12.75" hidden="1" x14ac:dyDescent="0.2">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row>
    <row r="1044" spans="1:61" ht="12.75" hidden="1" x14ac:dyDescent="0.2">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row>
    <row r="1045" spans="1:61" ht="12.75" hidden="1" x14ac:dyDescent="0.2">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row>
    <row r="1046" spans="1:61" ht="12.75" hidden="1" x14ac:dyDescent="0.2">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row>
    <row r="1047" spans="1:61" ht="12.75" hidden="1" x14ac:dyDescent="0.2">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row>
    <row r="1048" spans="1:61" ht="12.75" hidden="1" x14ac:dyDescent="0.2">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row>
    <row r="1049" spans="1:61" ht="12.75" hidden="1" x14ac:dyDescent="0.2">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row>
    <row r="1050" spans="1:61" ht="12.75" hidden="1" x14ac:dyDescent="0.2">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row>
    <row r="1051" spans="1:61" ht="12.75" hidden="1" x14ac:dyDescent="0.2">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row>
    <row r="1052" spans="1:61" ht="12.75" hidden="1" x14ac:dyDescent="0.2">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row>
    <row r="1053" spans="1:61" ht="12.75" hidden="1" x14ac:dyDescent="0.2">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row>
    <row r="1054" spans="1:61" ht="12.75" hidden="1" x14ac:dyDescent="0.2">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row>
    <row r="1055" spans="1:61" ht="12.75" hidden="1" x14ac:dyDescent="0.2">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row>
    <row r="1056" spans="1:61" ht="12.75" hidden="1" x14ac:dyDescent="0.2">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row>
    <row r="1057" spans="1:61" ht="12.75" hidden="1" x14ac:dyDescent="0.2">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row>
    <row r="1058" spans="1:61" ht="12.75" hidden="1" x14ac:dyDescent="0.2">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row>
    <row r="1059" spans="1:61" ht="12.75" hidden="1" x14ac:dyDescent="0.2">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row>
    <row r="1060" spans="1:61" ht="12.75" hidden="1" x14ac:dyDescent="0.2">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row>
    <row r="1061" spans="1:61" ht="12.75" hidden="1" x14ac:dyDescent="0.2">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row>
    <row r="1062" spans="1:61" ht="12.75" hidden="1" x14ac:dyDescent="0.2">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row>
    <row r="1063" spans="1:61" ht="12.75" hidden="1" x14ac:dyDescent="0.2">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row>
    <row r="1064" spans="1:61" ht="12.75" hidden="1" x14ac:dyDescent="0.2">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row>
    <row r="1065" spans="1:61" ht="12.75" hidden="1" x14ac:dyDescent="0.2">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row>
    <row r="1066" spans="1:61" ht="12.75" hidden="1" x14ac:dyDescent="0.2">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row>
    <row r="1067" spans="1:61" ht="12.75" hidden="1" x14ac:dyDescent="0.2">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row>
    <row r="1068" spans="1:61" ht="12.75" hidden="1" x14ac:dyDescent="0.2">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row>
    <row r="1069" spans="1:61" ht="12.75" hidden="1" x14ac:dyDescent="0.2">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row>
    <row r="1070" spans="1:61" ht="12.75" hidden="1" x14ac:dyDescent="0.2">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row>
    <row r="1071" spans="1:61" ht="12.75" hidden="1" x14ac:dyDescent="0.2">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row>
    <row r="1072" spans="1:61" ht="12.75" hidden="1" x14ac:dyDescent="0.2">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row>
    <row r="1073" spans="1:61" ht="12.75" hidden="1" x14ac:dyDescent="0.2">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row>
    <row r="1074" spans="1:61" ht="12.75" hidden="1" x14ac:dyDescent="0.2">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row>
    <row r="1075" spans="1:61" ht="12.75" hidden="1" x14ac:dyDescent="0.2">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row>
    <row r="1076" spans="1:61" ht="12.75" hidden="1" x14ac:dyDescent="0.2">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row>
    <row r="1077" spans="1:61" ht="12.75" hidden="1" x14ac:dyDescent="0.2">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row>
    <row r="1078" spans="1:61" ht="12.75" hidden="1" x14ac:dyDescent="0.2">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row>
    <row r="1079" spans="1:61" ht="12.75" hidden="1" x14ac:dyDescent="0.2">
      <c r="A1079" s="86"/>
      <c r="B1079" s="86"/>
      <c r="C1079" s="86"/>
      <c r="D1079" s="86"/>
      <c r="E1079" s="86"/>
      <c r="F1079" s="86"/>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6"/>
      <c r="AV1079" s="86"/>
      <c r="AW1079" s="86"/>
      <c r="AX1079" s="86"/>
      <c r="AY1079" s="86"/>
      <c r="AZ1079" s="86"/>
      <c r="BA1079" s="86"/>
      <c r="BB1079" s="86"/>
      <c r="BC1079" s="86"/>
      <c r="BD1079" s="86"/>
      <c r="BE1079" s="86"/>
      <c r="BF1079" s="86"/>
      <c r="BG1079" s="86"/>
      <c r="BH1079" s="86"/>
      <c r="BI1079" s="86"/>
    </row>
    <row r="1080" spans="1:61" ht="12.75" hidden="1" x14ac:dyDescent="0.2">
      <c r="A1080" s="86"/>
      <c r="B1080" s="86"/>
      <c r="C1080" s="86"/>
      <c r="D1080" s="86"/>
      <c r="E1080" s="86"/>
      <c r="F1080" s="86"/>
      <c r="G1080" s="86"/>
      <c r="H1080" s="86"/>
      <c r="I1080" s="86"/>
      <c r="J1080" s="86"/>
      <c r="K1080" s="86"/>
      <c r="L1080" s="86"/>
      <c r="M1080" s="86"/>
      <c r="N1080" s="86"/>
      <c r="O1080" s="86"/>
      <c r="P1080" s="86"/>
      <c r="Q1080" s="86"/>
      <c r="R1080" s="86"/>
      <c r="S1080" s="86"/>
      <c r="T1080" s="86"/>
      <c r="U1080" s="86"/>
      <c r="V1080" s="86"/>
      <c r="W1080" s="86"/>
      <c r="X1080" s="86"/>
      <c r="Y1080" s="86"/>
      <c r="Z1080" s="86"/>
      <c r="AA1080" s="86"/>
      <c r="AB1080" s="86"/>
      <c r="AC1080" s="86"/>
      <c r="AD1080" s="86"/>
      <c r="AE1080" s="86"/>
      <c r="AF1080" s="86"/>
      <c r="AG1080" s="86"/>
      <c r="AH1080" s="86"/>
      <c r="AI1080" s="86"/>
      <c r="AJ1080" s="86"/>
      <c r="AK1080" s="86"/>
      <c r="AL1080" s="86"/>
      <c r="AM1080" s="86"/>
      <c r="AN1080" s="86"/>
      <c r="AO1080" s="86"/>
      <c r="AP1080" s="86"/>
      <c r="AQ1080" s="86"/>
      <c r="AR1080" s="86"/>
      <c r="AS1080" s="86"/>
      <c r="AT1080" s="86"/>
      <c r="AU1080" s="86"/>
      <c r="AV1080" s="86"/>
      <c r="AW1080" s="86"/>
      <c r="AX1080" s="86"/>
      <c r="AY1080" s="86"/>
      <c r="AZ1080" s="86"/>
      <c r="BA1080" s="86"/>
      <c r="BB1080" s="86"/>
      <c r="BC1080" s="86"/>
      <c r="BD1080" s="86"/>
      <c r="BE1080" s="86"/>
      <c r="BF1080" s="86"/>
      <c r="BG1080" s="86"/>
      <c r="BH1080" s="86"/>
      <c r="BI1080" s="86"/>
    </row>
    <row r="1081" spans="1:61" ht="12.75" hidden="1" x14ac:dyDescent="0.2">
      <c r="A1081" s="86"/>
      <c r="B1081" s="86"/>
      <c r="C1081" s="86"/>
      <c r="D1081" s="86"/>
      <c r="E1081" s="86"/>
      <c r="F1081" s="86"/>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6"/>
      <c r="AV1081" s="86"/>
      <c r="AW1081" s="86"/>
      <c r="AX1081" s="86"/>
      <c r="AY1081" s="86"/>
      <c r="AZ1081" s="86"/>
      <c r="BA1081" s="86"/>
      <c r="BB1081" s="86"/>
      <c r="BC1081" s="86"/>
      <c r="BD1081" s="86"/>
      <c r="BE1081" s="86"/>
      <c r="BF1081" s="86"/>
      <c r="BG1081" s="86"/>
      <c r="BH1081" s="86"/>
      <c r="BI1081" s="86"/>
    </row>
    <row r="1082" spans="1:61" ht="12.75" hidden="1" x14ac:dyDescent="0.2">
      <c r="A1082" s="86"/>
      <c r="B1082" s="86"/>
      <c r="C1082" s="86"/>
      <c r="D1082" s="86"/>
      <c r="E1082" s="86"/>
      <c r="F1082" s="86"/>
      <c r="G1082" s="86"/>
      <c r="H1082" s="86"/>
      <c r="I1082" s="86"/>
      <c r="J1082" s="86"/>
      <c r="K1082" s="86"/>
      <c r="L1082" s="86"/>
      <c r="M1082" s="86"/>
      <c r="N1082" s="86"/>
      <c r="O1082" s="86"/>
      <c r="P1082" s="86"/>
      <c r="Q1082" s="86"/>
      <c r="R1082" s="86"/>
      <c r="S1082" s="86"/>
      <c r="T1082" s="86"/>
      <c r="U1082" s="86"/>
      <c r="V1082" s="86"/>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6"/>
      <c r="AV1082" s="86"/>
      <c r="AW1082" s="86"/>
      <c r="AX1082" s="86"/>
      <c r="AY1082" s="86"/>
      <c r="AZ1082" s="86"/>
      <c r="BA1082" s="86"/>
      <c r="BB1082" s="86"/>
      <c r="BC1082" s="86"/>
      <c r="BD1082" s="86"/>
      <c r="BE1082" s="86"/>
      <c r="BF1082" s="86"/>
      <c r="BG1082" s="86"/>
      <c r="BH1082" s="86"/>
      <c r="BI1082" s="86"/>
    </row>
    <row r="1083" spans="1:61" ht="12.75" hidden="1" x14ac:dyDescent="0.2">
      <c r="A1083" s="86"/>
      <c r="B1083" s="86"/>
      <c r="C1083" s="86"/>
      <c r="D1083" s="86"/>
      <c r="E1083" s="86"/>
      <c r="F1083" s="86"/>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c r="AC1083" s="86"/>
      <c r="AD1083" s="86"/>
      <c r="AE1083" s="86"/>
      <c r="AF1083" s="86"/>
      <c r="AG1083" s="86"/>
      <c r="AH1083" s="86"/>
      <c r="AI1083" s="86"/>
      <c r="AJ1083" s="86"/>
      <c r="AK1083" s="86"/>
      <c r="AL1083" s="86"/>
      <c r="AM1083" s="86"/>
      <c r="AN1083" s="86"/>
      <c r="AO1083" s="86"/>
      <c r="AP1083" s="86"/>
      <c r="AQ1083" s="86"/>
      <c r="AR1083" s="86"/>
      <c r="AS1083" s="86"/>
      <c r="AT1083" s="86"/>
      <c r="AU1083" s="86"/>
      <c r="AV1083" s="86"/>
      <c r="AW1083" s="86"/>
      <c r="AX1083" s="86"/>
      <c r="AY1083" s="86"/>
      <c r="AZ1083" s="86"/>
      <c r="BA1083" s="86"/>
      <c r="BB1083" s="86"/>
      <c r="BC1083" s="86"/>
      <c r="BD1083" s="86"/>
      <c r="BE1083" s="86"/>
      <c r="BF1083" s="86"/>
      <c r="BG1083" s="86"/>
      <c r="BH1083" s="86"/>
      <c r="BI1083" s="86"/>
    </row>
    <row r="1084" spans="1:61" ht="12.75" hidden="1" x14ac:dyDescent="0.2">
      <c r="A1084" s="86"/>
      <c r="B1084" s="86"/>
      <c r="C1084" s="86"/>
      <c r="D1084" s="86"/>
      <c r="E1084" s="86"/>
      <c r="F1084" s="86"/>
      <c r="G1084" s="86"/>
      <c r="H1084" s="86"/>
      <c r="I1084" s="86"/>
      <c r="J1084" s="86"/>
      <c r="K1084" s="86"/>
      <c r="L1084" s="86"/>
      <c r="M1084" s="86"/>
      <c r="N1084" s="86"/>
      <c r="O1084" s="86"/>
      <c r="P1084" s="86"/>
      <c r="Q1084" s="86"/>
      <c r="R1084" s="86"/>
      <c r="S1084" s="86"/>
      <c r="T1084" s="86"/>
      <c r="U1084" s="86"/>
      <c r="V1084" s="86"/>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6"/>
      <c r="AV1084" s="86"/>
      <c r="AW1084" s="86"/>
      <c r="AX1084" s="86"/>
      <c r="AY1084" s="86"/>
      <c r="AZ1084" s="86"/>
      <c r="BA1084" s="86"/>
      <c r="BB1084" s="86"/>
      <c r="BC1084" s="86"/>
      <c r="BD1084" s="86"/>
      <c r="BE1084" s="86"/>
      <c r="BF1084" s="86"/>
      <c r="BG1084" s="86"/>
      <c r="BH1084" s="86"/>
      <c r="BI1084" s="86"/>
    </row>
    <row r="1085" spans="1:61" ht="12.75" hidden="1" x14ac:dyDescent="0.2">
      <c r="A1085" s="86"/>
      <c r="B1085" s="86"/>
      <c r="C1085" s="86"/>
      <c r="D1085" s="86"/>
      <c r="E1085" s="86"/>
      <c r="F1085" s="86"/>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6"/>
      <c r="AV1085" s="86"/>
      <c r="AW1085" s="86"/>
      <c r="AX1085" s="86"/>
      <c r="AY1085" s="86"/>
      <c r="AZ1085" s="86"/>
      <c r="BA1085" s="86"/>
      <c r="BB1085" s="86"/>
      <c r="BC1085" s="86"/>
      <c r="BD1085" s="86"/>
      <c r="BE1085" s="86"/>
      <c r="BF1085" s="86"/>
      <c r="BG1085" s="86"/>
      <c r="BH1085" s="86"/>
      <c r="BI1085" s="86"/>
    </row>
    <row r="1086" spans="1:61" ht="12.75" hidden="1" x14ac:dyDescent="0.2">
      <c r="A1086" s="86"/>
      <c r="B1086" s="86"/>
      <c r="C1086" s="86"/>
      <c r="D1086" s="86"/>
      <c r="E1086" s="86"/>
      <c r="F1086" s="86"/>
      <c r="G1086" s="86"/>
      <c r="H1086" s="86"/>
      <c r="I1086" s="86"/>
      <c r="J1086" s="86"/>
      <c r="K1086" s="86"/>
      <c r="L1086" s="86"/>
      <c r="M1086" s="86"/>
      <c r="N1086" s="86"/>
      <c r="O1086" s="86"/>
      <c r="P1086" s="86"/>
      <c r="Q1086" s="86"/>
      <c r="R1086" s="86"/>
      <c r="S1086" s="86"/>
      <c r="T1086" s="86"/>
      <c r="U1086" s="86"/>
      <c r="V1086" s="86"/>
      <c r="W1086" s="86"/>
      <c r="X1086" s="86"/>
      <c r="Y1086" s="86"/>
      <c r="Z1086" s="86"/>
      <c r="AA1086" s="86"/>
      <c r="AB1086" s="86"/>
      <c r="AC1086" s="86"/>
      <c r="AD1086" s="86"/>
      <c r="AE1086" s="86"/>
      <c r="AF1086" s="86"/>
      <c r="AG1086" s="86"/>
      <c r="AH1086" s="86"/>
      <c r="AI1086" s="86"/>
      <c r="AJ1086" s="86"/>
      <c r="AK1086" s="86"/>
      <c r="AL1086" s="86"/>
      <c r="AM1086" s="86"/>
      <c r="AN1086" s="86"/>
      <c r="AO1086" s="86"/>
      <c r="AP1086" s="86"/>
      <c r="AQ1086" s="86"/>
      <c r="AR1086" s="86"/>
      <c r="AS1086" s="86"/>
      <c r="AT1086" s="86"/>
      <c r="AU1086" s="86"/>
      <c r="AV1086" s="86"/>
      <c r="AW1086" s="86"/>
      <c r="AX1086" s="86"/>
      <c r="AY1086" s="86"/>
      <c r="AZ1086" s="86"/>
      <c r="BA1086" s="86"/>
      <c r="BB1086" s="86"/>
      <c r="BC1086" s="86"/>
      <c r="BD1086" s="86"/>
      <c r="BE1086" s="86"/>
      <c r="BF1086" s="86"/>
      <c r="BG1086" s="86"/>
      <c r="BH1086" s="86"/>
      <c r="BI1086" s="86"/>
    </row>
    <row r="1087" spans="1:61" ht="12.75" hidden="1" x14ac:dyDescent="0.2">
      <c r="A1087" s="86"/>
      <c r="B1087" s="86"/>
      <c r="C1087" s="86"/>
      <c r="D1087" s="86"/>
      <c r="E1087" s="86"/>
      <c r="F1087" s="86"/>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c r="AC1087" s="86"/>
      <c r="AD1087" s="86"/>
      <c r="AE1087" s="86"/>
      <c r="AF1087" s="86"/>
      <c r="AG1087" s="86"/>
      <c r="AH1087" s="86"/>
      <c r="AI1087" s="86"/>
      <c r="AJ1087" s="86"/>
      <c r="AK1087" s="86"/>
      <c r="AL1087" s="86"/>
      <c r="AM1087" s="86"/>
      <c r="AN1087" s="86"/>
      <c r="AO1087" s="86"/>
      <c r="AP1087" s="86"/>
      <c r="AQ1087" s="86"/>
      <c r="AR1087" s="86"/>
      <c r="AS1087" s="86"/>
      <c r="AT1087" s="86"/>
      <c r="AU1087" s="86"/>
      <c r="AV1087" s="86"/>
      <c r="AW1087" s="86"/>
      <c r="AX1087" s="86"/>
      <c r="AY1087" s="86"/>
      <c r="AZ1087" s="86"/>
      <c r="BA1087" s="86"/>
      <c r="BB1087" s="86"/>
      <c r="BC1087" s="86"/>
      <c r="BD1087" s="86"/>
      <c r="BE1087" s="86"/>
      <c r="BF1087" s="86"/>
      <c r="BG1087" s="86"/>
      <c r="BH1087" s="86"/>
      <c r="BI1087" s="86"/>
    </row>
    <row r="1088" spans="1:61" ht="12.75" hidden="1" x14ac:dyDescent="0.2">
      <c r="A1088" s="86"/>
      <c r="B1088" s="86"/>
      <c r="C1088" s="86"/>
      <c r="D1088" s="86"/>
      <c r="E1088" s="86"/>
      <c r="F1088" s="86"/>
      <c r="G1088" s="86"/>
      <c r="H1088" s="86"/>
      <c r="I1088" s="86"/>
      <c r="J1088" s="86"/>
      <c r="K1088" s="86"/>
      <c r="L1088" s="86"/>
      <c r="M1088" s="86"/>
      <c r="N1088" s="86"/>
      <c r="O1088" s="86"/>
      <c r="P1088" s="86"/>
      <c r="Q1088" s="86"/>
      <c r="R1088" s="86"/>
      <c r="S1088" s="86"/>
      <c r="T1088" s="86"/>
      <c r="U1088" s="86"/>
      <c r="V1088" s="86"/>
      <c r="W1088" s="86"/>
      <c r="X1088" s="86"/>
      <c r="Y1088" s="86"/>
      <c r="Z1088" s="86"/>
      <c r="AA1088" s="86"/>
      <c r="AB1088" s="86"/>
      <c r="AC1088" s="86"/>
      <c r="AD1088" s="86"/>
      <c r="AE1088" s="86"/>
      <c r="AF1088" s="86"/>
      <c r="AG1088" s="86"/>
      <c r="AH1088" s="86"/>
      <c r="AI1088" s="86"/>
      <c r="AJ1088" s="86"/>
      <c r="AK1088" s="86"/>
      <c r="AL1088" s="86"/>
      <c r="AM1088" s="86"/>
      <c r="AN1088" s="86"/>
      <c r="AO1088" s="86"/>
      <c r="AP1088" s="86"/>
      <c r="AQ1088" s="86"/>
      <c r="AR1088" s="86"/>
      <c r="AS1088" s="86"/>
      <c r="AT1088" s="86"/>
      <c r="AU1088" s="86"/>
      <c r="AV1088" s="86"/>
      <c r="AW1088" s="86"/>
      <c r="AX1088" s="86"/>
      <c r="AY1088" s="86"/>
      <c r="AZ1088" s="86"/>
      <c r="BA1088" s="86"/>
      <c r="BB1088" s="86"/>
      <c r="BC1088" s="86"/>
      <c r="BD1088" s="86"/>
      <c r="BE1088" s="86"/>
      <c r="BF1088" s="86"/>
      <c r="BG1088" s="86"/>
      <c r="BH1088" s="86"/>
      <c r="BI1088" s="86"/>
    </row>
    <row r="1089" spans="1:61" ht="12.75" hidden="1" x14ac:dyDescent="0.2">
      <c r="A1089" s="86"/>
      <c r="B1089" s="86"/>
      <c r="C1089" s="86"/>
      <c r="D1089" s="86"/>
      <c r="E1089" s="86"/>
      <c r="F1089" s="86"/>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c r="AC1089" s="86"/>
      <c r="AD1089" s="86"/>
      <c r="AE1089" s="86"/>
      <c r="AF1089" s="86"/>
      <c r="AG1089" s="86"/>
      <c r="AH1089" s="86"/>
      <c r="AI1089" s="86"/>
      <c r="AJ1089" s="86"/>
      <c r="AK1089" s="86"/>
      <c r="AL1089" s="86"/>
      <c r="AM1089" s="86"/>
      <c r="AN1089" s="86"/>
      <c r="AO1089" s="86"/>
      <c r="AP1089" s="86"/>
      <c r="AQ1089" s="86"/>
      <c r="AR1089" s="86"/>
      <c r="AS1089" s="86"/>
      <c r="AT1089" s="86"/>
      <c r="AU1089" s="86"/>
      <c r="AV1089" s="86"/>
      <c r="AW1089" s="86"/>
      <c r="AX1089" s="86"/>
      <c r="AY1089" s="86"/>
      <c r="AZ1089" s="86"/>
      <c r="BA1089" s="86"/>
      <c r="BB1089" s="86"/>
      <c r="BC1089" s="86"/>
      <c r="BD1089" s="86"/>
      <c r="BE1089" s="86"/>
      <c r="BF1089" s="86"/>
      <c r="BG1089" s="86"/>
      <c r="BH1089" s="86"/>
      <c r="BI1089" s="86"/>
    </row>
    <row r="1090" spans="1:61" ht="12.75" hidden="1" x14ac:dyDescent="0.2">
      <c r="A1090" s="86"/>
      <c r="B1090" s="86"/>
      <c r="C1090" s="86"/>
      <c r="D1090" s="86"/>
      <c r="E1090" s="86"/>
      <c r="F1090" s="86"/>
      <c r="G1090" s="86"/>
      <c r="H1090" s="86"/>
      <c r="I1090" s="86"/>
      <c r="J1090" s="86"/>
      <c r="K1090" s="86"/>
      <c r="L1090" s="86"/>
      <c r="M1090" s="86"/>
      <c r="N1090" s="86"/>
      <c r="O1090" s="86"/>
      <c r="P1090" s="86"/>
      <c r="Q1090" s="86"/>
      <c r="R1090" s="86"/>
      <c r="S1090" s="86"/>
      <c r="T1090" s="86"/>
      <c r="U1090" s="86"/>
      <c r="V1090" s="86"/>
      <c r="W1090" s="86"/>
      <c r="X1090" s="86"/>
      <c r="Y1090" s="86"/>
      <c r="Z1090" s="86"/>
      <c r="AA1090" s="86"/>
      <c r="AB1090" s="86"/>
      <c r="AC1090" s="86"/>
      <c r="AD1090" s="86"/>
      <c r="AE1090" s="86"/>
      <c r="AF1090" s="86"/>
      <c r="AG1090" s="86"/>
      <c r="AH1090" s="86"/>
      <c r="AI1090" s="86"/>
      <c r="AJ1090" s="86"/>
      <c r="AK1090" s="86"/>
      <c r="AL1090" s="86"/>
      <c r="AM1090" s="86"/>
      <c r="AN1090" s="86"/>
      <c r="AO1090" s="86"/>
      <c r="AP1090" s="86"/>
      <c r="AQ1090" s="86"/>
      <c r="AR1090" s="86"/>
      <c r="AS1090" s="86"/>
      <c r="AT1090" s="86"/>
      <c r="AU1090" s="86"/>
      <c r="AV1090" s="86"/>
      <c r="AW1090" s="86"/>
      <c r="AX1090" s="86"/>
      <c r="AY1090" s="86"/>
      <c r="AZ1090" s="86"/>
      <c r="BA1090" s="86"/>
      <c r="BB1090" s="86"/>
      <c r="BC1090" s="86"/>
      <c r="BD1090" s="86"/>
      <c r="BE1090" s="86"/>
      <c r="BF1090" s="86"/>
      <c r="BG1090" s="86"/>
      <c r="BH1090" s="86"/>
      <c r="BI1090" s="86"/>
    </row>
    <row r="1091" spans="1:61" ht="12.75" hidden="1" x14ac:dyDescent="0.2">
      <c r="A1091" s="86"/>
      <c r="B1091" s="86"/>
      <c r="C1091" s="86"/>
      <c r="D1091" s="86"/>
      <c r="E1091" s="86"/>
      <c r="F1091" s="86"/>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c r="AC1091" s="86"/>
      <c r="AD1091" s="86"/>
      <c r="AE1091" s="86"/>
      <c r="AF1091" s="86"/>
      <c r="AG1091" s="86"/>
      <c r="AH1091" s="86"/>
      <c r="AI1091" s="86"/>
      <c r="AJ1091" s="86"/>
      <c r="AK1091" s="86"/>
      <c r="AL1091" s="86"/>
      <c r="AM1091" s="86"/>
      <c r="AN1091" s="86"/>
      <c r="AO1091" s="86"/>
      <c r="AP1091" s="86"/>
      <c r="AQ1091" s="86"/>
      <c r="AR1091" s="86"/>
      <c r="AS1091" s="86"/>
      <c r="AT1091" s="86"/>
      <c r="AU1091" s="86"/>
      <c r="AV1091" s="86"/>
      <c r="AW1091" s="86"/>
      <c r="AX1091" s="86"/>
      <c r="AY1091" s="86"/>
      <c r="AZ1091" s="86"/>
      <c r="BA1091" s="86"/>
      <c r="BB1091" s="86"/>
      <c r="BC1091" s="86"/>
      <c r="BD1091" s="86"/>
      <c r="BE1091" s="86"/>
      <c r="BF1091" s="86"/>
      <c r="BG1091" s="86"/>
      <c r="BH1091" s="86"/>
      <c r="BI1091" s="86"/>
    </row>
    <row r="1092" spans="1:61" ht="12.75" hidden="1" x14ac:dyDescent="0.2">
      <c r="A1092" s="86"/>
      <c r="B1092" s="86"/>
      <c r="C1092" s="86"/>
      <c r="D1092" s="86"/>
      <c r="E1092" s="86"/>
      <c r="F1092" s="86"/>
      <c r="G1092" s="86"/>
      <c r="H1092" s="86"/>
      <c r="I1092" s="86"/>
      <c r="J1092" s="86"/>
      <c r="K1092" s="86"/>
      <c r="L1092" s="86"/>
      <c r="M1092" s="86"/>
      <c r="N1092" s="86"/>
      <c r="O1092" s="86"/>
      <c r="P1092" s="86"/>
      <c r="Q1092" s="86"/>
      <c r="R1092" s="86"/>
      <c r="S1092" s="86"/>
      <c r="T1092" s="86"/>
      <c r="U1092" s="86"/>
      <c r="V1092" s="86"/>
      <c r="W1092" s="86"/>
      <c r="X1092" s="86"/>
      <c r="Y1092" s="86"/>
      <c r="Z1092" s="86"/>
      <c r="AA1092" s="86"/>
      <c r="AB1092" s="86"/>
      <c r="AC1092" s="86"/>
      <c r="AD1092" s="86"/>
      <c r="AE1092" s="86"/>
      <c r="AF1092" s="86"/>
      <c r="AG1092" s="86"/>
      <c r="AH1092" s="86"/>
      <c r="AI1092" s="86"/>
      <c r="AJ1092" s="86"/>
      <c r="AK1092" s="86"/>
      <c r="AL1092" s="86"/>
      <c r="AM1092" s="86"/>
      <c r="AN1092" s="86"/>
      <c r="AO1092" s="86"/>
      <c r="AP1092" s="86"/>
      <c r="AQ1092" s="86"/>
      <c r="AR1092" s="86"/>
      <c r="AS1092" s="86"/>
      <c r="AT1092" s="86"/>
      <c r="AU1092" s="86"/>
      <c r="AV1092" s="86"/>
      <c r="AW1092" s="86"/>
      <c r="AX1092" s="86"/>
      <c r="AY1092" s="86"/>
      <c r="AZ1092" s="86"/>
      <c r="BA1092" s="86"/>
      <c r="BB1092" s="86"/>
      <c r="BC1092" s="86"/>
      <c r="BD1092" s="86"/>
      <c r="BE1092" s="86"/>
      <c r="BF1092" s="86"/>
      <c r="BG1092" s="86"/>
      <c r="BH1092" s="86"/>
      <c r="BI1092" s="86"/>
    </row>
    <row r="1093" spans="1:61" ht="12.75" hidden="1" x14ac:dyDescent="0.2">
      <c r="A1093" s="86"/>
      <c r="B1093" s="86"/>
      <c r="C1093" s="86"/>
      <c r="D1093" s="86"/>
      <c r="E1093" s="86"/>
      <c r="F1093" s="86"/>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c r="AC1093" s="86"/>
      <c r="AD1093" s="86"/>
      <c r="AE1093" s="86"/>
      <c r="AF1093" s="86"/>
      <c r="AG1093" s="86"/>
      <c r="AH1093" s="86"/>
      <c r="AI1093" s="86"/>
      <c r="AJ1093" s="86"/>
      <c r="AK1093" s="86"/>
      <c r="AL1093" s="86"/>
      <c r="AM1093" s="86"/>
      <c r="AN1093" s="86"/>
      <c r="AO1093" s="86"/>
      <c r="AP1093" s="86"/>
      <c r="AQ1093" s="86"/>
      <c r="AR1093" s="86"/>
      <c r="AS1093" s="86"/>
      <c r="AT1093" s="86"/>
      <c r="AU1093" s="86"/>
      <c r="AV1093" s="86"/>
      <c r="AW1093" s="86"/>
      <c r="AX1093" s="86"/>
      <c r="AY1093" s="86"/>
      <c r="AZ1093" s="86"/>
      <c r="BA1093" s="86"/>
      <c r="BB1093" s="86"/>
      <c r="BC1093" s="86"/>
      <c r="BD1093" s="86"/>
      <c r="BE1093" s="86"/>
      <c r="BF1093" s="86"/>
      <c r="BG1093" s="86"/>
      <c r="BH1093" s="86"/>
      <c r="BI1093" s="86"/>
    </row>
    <row r="1094" spans="1:61" ht="12.75" hidden="1" x14ac:dyDescent="0.2">
      <c r="A1094" s="86"/>
      <c r="B1094" s="86"/>
      <c r="C1094" s="86"/>
      <c r="D1094" s="86"/>
      <c r="E1094" s="86"/>
      <c r="F1094" s="86"/>
      <c r="G1094" s="86"/>
      <c r="H1094" s="86"/>
      <c r="I1094" s="86"/>
      <c r="J1094" s="86"/>
      <c r="K1094" s="86"/>
      <c r="L1094" s="86"/>
      <c r="M1094" s="86"/>
      <c r="N1094" s="86"/>
      <c r="O1094" s="86"/>
      <c r="P1094" s="86"/>
      <c r="Q1094" s="86"/>
      <c r="R1094" s="86"/>
      <c r="S1094" s="86"/>
      <c r="T1094" s="86"/>
      <c r="U1094" s="86"/>
      <c r="V1094" s="86"/>
      <c r="W1094" s="86"/>
      <c r="X1094" s="86"/>
      <c r="Y1094" s="86"/>
      <c r="Z1094" s="86"/>
      <c r="AA1094" s="86"/>
      <c r="AB1094" s="86"/>
      <c r="AC1094" s="86"/>
      <c r="AD1094" s="86"/>
      <c r="AE1094" s="86"/>
      <c r="AF1094" s="86"/>
      <c r="AG1094" s="86"/>
      <c r="AH1094" s="86"/>
      <c r="AI1094" s="86"/>
      <c r="AJ1094" s="86"/>
      <c r="AK1094" s="86"/>
      <c r="AL1094" s="86"/>
      <c r="AM1094" s="86"/>
      <c r="AN1094" s="86"/>
      <c r="AO1094" s="86"/>
      <c r="AP1094" s="86"/>
      <c r="AQ1094" s="86"/>
      <c r="AR1094" s="86"/>
      <c r="AS1094" s="86"/>
      <c r="AT1094" s="86"/>
      <c r="AU1094" s="86"/>
      <c r="AV1094" s="86"/>
      <c r="AW1094" s="86"/>
      <c r="AX1094" s="86"/>
      <c r="AY1094" s="86"/>
      <c r="AZ1094" s="86"/>
      <c r="BA1094" s="86"/>
      <c r="BB1094" s="86"/>
      <c r="BC1094" s="86"/>
      <c r="BD1094" s="86"/>
      <c r="BE1094" s="86"/>
      <c r="BF1094" s="86"/>
      <c r="BG1094" s="86"/>
      <c r="BH1094" s="86"/>
      <c r="BI1094" s="86"/>
    </row>
    <row r="1095" spans="1:61" ht="12.75" hidden="1" x14ac:dyDescent="0.2">
      <c r="A1095" s="86"/>
      <c r="B1095" s="86"/>
      <c r="C1095" s="86"/>
      <c r="D1095" s="86"/>
      <c r="E1095" s="86"/>
      <c r="F1095" s="86"/>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c r="AC1095" s="86"/>
      <c r="AD1095" s="86"/>
      <c r="AE1095" s="86"/>
      <c r="AF1095" s="86"/>
      <c r="AG1095" s="86"/>
      <c r="AH1095" s="86"/>
      <c r="AI1095" s="86"/>
      <c r="AJ1095" s="86"/>
      <c r="AK1095" s="86"/>
      <c r="AL1095" s="86"/>
      <c r="AM1095" s="86"/>
      <c r="AN1095" s="86"/>
      <c r="AO1095" s="86"/>
      <c r="AP1095" s="86"/>
      <c r="AQ1095" s="86"/>
      <c r="AR1095" s="86"/>
      <c r="AS1095" s="86"/>
      <c r="AT1095" s="86"/>
      <c r="AU1095" s="86"/>
      <c r="AV1095" s="86"/>
      <c r="AW1095" s="86"/>
      <c r="AX1095" s="86"/>
      <c r="AY1095" s="86"/>
      <c r="AZ1095" s="86"/>
      <c r="BA1095" s="86"/>
      <c r="BB1095" s="86"/>
      <c r="BC1095" s="86"/>
      <c r="BD1095" s="86"/>
      <c r="BE1095" s="86"/>
      <c r="BF1095" s="86"/>
      <c r="BG1095" s="86"/>
      <c r="BH1095" s="86"/>
      <c r="BI1095" s="86"/>
    </row>
    <row r="1096" spans="1:61" ht="12.75" hidden="1" x14ac:dyDescent="0.2">
      <c r="A1096" s="86"/>
      <c r="B1096" s="86"/>
      <c r="C1096" s="86"/>
      <c r="D1096" s="86"/>
      <c r="E1096" s="86"/>
      <c r="F1096" s="86"/>
      <c r="G1096" s="86"/>
      <c r="H1096" s="86"/>
      <c r="I1096" s="86"/>
      <c r="J1096" s="86"/>
      <c r="K1096" s="86"/>
      <c r="L1096" s="86"/>
      <c r="M1096" s="86"/>
      <c r="N1096" s="86"/>
      <c r="O1096" s="86"/>
      <c r="P1096" s="86"/>
      <c r="Q1096" s="86"/>
      <c r="R1096" s="86"/>
      <c r="S1096" s="86"/>
      <c r="T1096" s="86"/>
      <c r="U1096" s="86"/>
      <c r="V1096" s="86"/>
      <c r="W1096" s="86"/>
      <c r="X1096" s="86"/>
      <c r="Y1096" s="86"/>
      <c r="Z1096" s="86"/>
      <c r="AA1096" s="86"/>
      <c r="AB1096" s="86"/>
      <c r="AC1096" s="86"/>
      <c r="AD1096" s="86"/>
      <c r="AE1096" s="86"/>
      <c r="AF1096" s="86"/>
      <c r="AG1096" s="86"/>
      <c r="AH1096" s="86"/>
      <c r="AI1096" s="86"/>
      <c r="AJ1096" s="86"/>
      <c r="AK1096" s="86"/>
      <c r="AL1096" s="86"/>
      <c r="AM1096" s="86"/>
      <c r="AN1096" s="86"/>
      <c r="AO1096" s="86"/>
      <c r="AP1096" s="86"/>
      <c r="AQ1096" s="86"/>
      <c r="AR1096" s="86"/>
      <c r="AS1096" s="86"/>
      <c r="AT1096" s="86"/>
      <c r="AU1096" s="86"/>
      <c r="AV1096" s="86"/>
      <c r="AW1096" s="86"/>
      <c r="AX1096" s="86"/>
      <c r="AY1096" s="86"/>
      <c r="AZ1096" s="86"/>
      <c r="BA1096" s="86"/>
      <c r="BB1096" s="86"/>
      <c r="BC1096" s="86"/>
      <c r="BD1096" s="86"/>
      <c r="BE1096" s="86"/>
      <c r="BF1096" s="86"/>
      <c r="BG1096" s="86"/>
      <c r="BH1096" s="86"/>
      <c r="BI1096" s="86"/>
    </row>
    <row r="1097" spans="1:61" ht="12.75" hidden="1" x14ac:dyDescent="0.2">
      <c r="A1097" s="86"/>
      <c r="B1097" s="86"/>
      <c r="C1097" s="86"/>
      <c r="D1097" s="86"/>
      <c r="E1097" s="86"/>
      <c r="F1097" s="86"/>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c r="AC1097" s="86"/>
      <c r="AD1097" s="86"/>
      <c r="AE1097" s="86"/>
      <c r="AF1097" s="86"/>
      <c r="AG1097" s="86"/>
      <c r="AH1097" s="86"/>
      <c r="AI1097" s="86"/>
      <c r="AJ1097" s="86"/>
      <c r="AK1097" s="86"/>
      <c r="AL1097" s="86"/>
      <c r="AM1097" s="86"/>
      <c r="AN1097" s="86"/>
      <c r="AO1097" s="86"/>
      <c r="AP1097" s="86"/>
      <c r="AQ1097" s="86"/>
      <c r="AR1097" s="86"/>
      <c r="AS1097" s="86"/>
      <c r="AT1097" s="86"/>
      <c r="AU1097" s="86"/>
      <c r="AV1097" s="86"/>
      <c r="AW1097" s="86"/>
      <c r="AX1097" s="86"/>
      <c r="AY1097" s="86"/>
      <c r="AZ1097" s="86"/>
      <c r="BA1097" s="86"/>
      <c r="BB1097" s="86"/>
      <c r="BC1097" s="86"/>
      <c r="BD1097" s="86"/>
      <c r="BE1097" s="86"/>
      <c r="BF1097" s="86"/>
      <c r="BG1097" s="86"/>
      <c r="BH1097" s="86"/>
      <c r="BI1097" s="86"/>
    </row>
    <row r="1098" spans="1:61" ht="12.75" hidden="1" x14ac:dyDescent="0.2">
      <c r="A1098" s="86"/>
      <c r="B1098" s="86"/>
      <c r="C1098" s="86"/>
      <c r="D1098" s="86"/>
      <c r="E1098" s="86"/>
      <c r="F1098" s="86"/>
      <c r="G1098" s="86"/>
      <c r="H1098" s="86"/>
      <c r="I1098" s="86"/>
      <c r="J1098" s="86"/>
      <c r="K1098" s="86"/>
      <c r="L1098" s="86"/>
      <c r="M1098" s="86"/>
      <c r="N1098" s="86"/>
      <c r="O1098" s="86"/>
      <c r="P1098" s="86"/>
      <c r="Q1098" s="86"/>
      <c r="R1098" s="86"/>
      <c r="S1098" s="86"/>
      <c r="T1098" s="86"/>
      <c r="U1098" s="86"/>
      <c r="V1098" s="86"/>
      <c r="W1098" s="86"/>
      <c r="X1098" s="86"/>
      <c r="Y1098" s="86"/>
      <c r="Z1098" s="86"/>
      <c r="AA1098" s="86"/>
      <c r="AB1098" s="86"/>
      <c r="AC1098" s="86"/>
      <c r="AD1098" s="86"/>
      <c r="AE1098" s="86"/>
      <c r="AF1098" s="86"/>
      <c r="AG1098" s="86"/>
      <c r="AH1098" s="86"/>
      <c r="AI1098" s="86"/>
      <c r="AJ1098" s="86"/>
      <c r="AK1098" s="86"/>
      <c r="AL1098" s="86"/>
      <c r="AM1098" s="86"/>
      <c r="AN1098" s="86"/>
      <c r="AO1098" s="86"/>
      <c r="AP1098" s="86"/>
      <c r="AQ1098" s="86"/>
      <c r="AR1098" s="86"/>
      <c r="AS1098" s="86"/>
      <c r="AT1098" s="86"/>
      <c r="AU1098" s="86"/>
      <c r="AV1098" s="86"/>
      <c r="AW1098" s="86"/>
      <c r="AX1098" s="86"/>
      <c r="AY1098" s="86"/>
      <c r="AZ1098" s="86"/>
      <c r="BA1098" s="86"/>
      <c r="BB1098" s="86"/>
      <c r="BC1098" s="86"/>
      <c r="BD1098" s="86"/>
      <c r="BE1098" s="86"/>
      <c r="BF1098" s="86"/>
      <c r="BG1098" s="86"/>
      <c r="BH1098" s="86"/>
      <c r="BI1098" s="86"/>
    </row>
    <row r="1099" spans="1:61" ht="12.75" hidden="1" x14ac:dyDescent="0.2">
      <c r="A1099" s="86"/>
      <c r="B1099" s="86"/>
      <c r="C1099" s="86"/>
      <c r="D1099" s="86"/>
      <c r="E1099" s="86"/>
      <c r="F1099" s="86"/>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c r="AC1099" s="86"/>
      <c r="AD1099" s="86"/>
      <c r="AE1099" s="86"/>
      <c r="AF1099" s="86"/>
      <c r="AG1099" s="86"/>
      <c r="AH1099" s="86"/>
      <c r="AI1099" s="86"/>
      <c r="AJ1099" s="86"/>
      <c r="AK1099" s="86"/>
      <c r="AL1099" s="86"/>
      <c r="AM1099" s="86"/>
      <c r="AN1099" s="86"/>
      <c r="AO1099" s="86"/>
      <c r="AP1099" s="86"/>
      <c r="AQ1099" s="86"/>
      <c r="AR1099" s="86"/>
      <c r="AS1099" s="86"/>
      <c r="AT1099" s="86"/>
      <c r="AU1099" s="86"/>
      <c r="AV1099" s="86"/>
      <c r="AW1099" s="86"/>
      <c r="AX1099" s="86"/>
      <c r="AY1099" s="86"/>
      <c r="AZ1099" s="86"/>
      <c r="BA1099" s="86"/>
      <c r="BB1099" s="86"/>
      <c r="BC1099" s="86"/>
      <c r="BD1099" s="86"/>
      <c r="BE1099" s="86"/>
      <c r="BF1099" s="86"/>
      <c r="BG1099" s="86"/>
      <c r="BH1099" s="86"/>
      <c r="BI1099" s="86"/>
    </row>
    <row r="1100" spans="1:61" ht="12.75" hidden="1" x14ac:dyDescent="0.2">
      <c r="A1100" s="86"/>
      <c r="B1100" s="86"/>
      <c r="C1100" s="86"/>
      <c r="D1100" s="86"/>
      <c r="E1100" s="86"/>
      <c r="F1100" s="86"/>
      <c r="G1100" s="86"/>
      <c r="H1100" s="86"/>
      <c r="I1100" s="86"/>
      <c r="J1100" s="86"/>
      <c r="K1100" s="86"/>
      <c r="L1100" s="86"/>
      <c r="M1100" s="86"/>
      <c r="N1100" s="86"/>
      <c r="O1100" s="86"/>
      <c r="P1100" s="86"/>
      <c r="Q1100" s="86"/>
      <c r="R1100" s="86"/>
      <c r="S1100" s="86"/>
      <c r="T1100" s="86"/>
      <c r="U1100" s="86"/>
      <c r="V1100" s="86"/>
      <c r="W1100" s="86"/>
      <c r="X1100" s="86"/>
      <c r="Y1100" s="86"/>
      <c r="Z1100" s="86"/>
      <c r="AA1100" s="86"/>
      <c r="AB1100" s="86"/>
      <c r="AC1100" s="86"/>
      <c r="AD1100" s="86"/>
      <c r="AE1100" s="86"/>
      <c r="AF1100" s="86"/>
      <c r="AG1100" s="86"/>
      <c r="AH1100" s="86"/>
      <c r="AI1100" s="86"/>
      <c r="AJ1100" s="86"/>
      <c r="AK1100" s="86"/>
      <c r="AL1100" s="86"/>
      <c r="AM1100" s="86"/>
      <c r="AN1100" s="86"/>
      <c r="AO1100" s="86"/>
      <c r="AP1100" s="86"/>
      <c r="AQ1100" s="86"/>
      <c r="AR1100" s="86"/>
      <c r="AS1100" s="86"/>
      <c r="AT1100" s="86"/>
      <c r="AU1100" s="86"/>
      <c r="AV1100" s="86"/>
      <c r="AW1100" s="86"/>
      <c r="AX1100" s="86"/>
      <c r="AY1100" s="86"/>
      <c r="AZ1100" s="86"/>
      <c r="BA1100" s="86"/>
      <c r="BB1100" s="86"/>
      <c r="BC1100" s="86"/>
      <c r="BD1100" s="86"/>
      <c r="BE1100" s="86"/>
      <c r="BF1100" s="86"/>
      <c r="BG1100" s="86"/>
      <c r="BH1100" s="86"/>
      <c r="BI1100" s="86"/>
    </row>
    <row r="1101" spans="1:61" ht="12.75" hidden="1" x14ac:dyDescent="0.2">
      <c r="A1101" s="86"/>
      <c r="B1101" s="86"/>
      <c r="C1101" s="86"/>
      <c r="D1101" s="86"/>
      <c r="E1101" s="86"/>
      <c r="F1101" s="86"/>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c r="AC1101" s="86"/>
      <c r="AD1101" s="86"/>
      <c r="AE1101" s="86"/>
      <c r="AF1101" s="86"/>
      <c r="AG1101" s="86"/>
      <c r="AH1101" s="86"/>
      <c r="AI1101" s="86"/>
      <c r="AJ1101" s="86"/>
      <c r="AK1101" s="86"/>
      <c r="AL1101" s="86"/>
      <c r="AM1101" s="86"/>
      <c r="AN1101" s="86"/>
      <c r="AO1101" s="86"/>
      <c r="AP1101" s="86"/>
      <c r="AQ1101" s="86"/>
      <c r="AR1101" s="86"/>
      <c r="AS1101" s="86"/>
      <c r="AT1101" s="86"/>
      <c r="AU1101" s="86"/>
      <c r="AV1101" s="86"/>
      <c r="AW1101" s="86"/>
      <c r="AX1101" s="86"/>
      <c r="AY1101" s="86"/>
      <c r="AZ1101" s="86"/>
      <c r="BA1101" s="86"/>
      <c r="BB1101" s="86"/>
      <c r="BC1101" s="86"/>
      <c r="BD1101" s="86"/>
      <c r="BE1101" s="86"/>
      <c r="BF1101" s="86"/>
      <c r="BG1101" s="86"/>
      <c r="BH1101" s="86"/>
      <c r="BI1101" s="86"/>
    </row>
    <row r="1102" spans="1:61" ht="12.75" hidden="1" x14ac:dyDescent="0.2">
      <c r="A1102" s="86"/>
      <c r="B1102" s="86"/>
      <c r="C1102" s="86"/>
      <c r="D1102" s="86"/>
      <c r="E1102" s="86"/>
      <c r="F1102" s="86"/>
      <c r="G1102" s="86"/>
      <c r="H1102" s="86"/>
      <c r="I1102" s="86"/>
      <c r="J1102" s="86"/>
      <c r="K1102" s="86"/>
      <c r="L1102" s="86"/>
      <c r="M1102" s="86"/>
      <c r="N1102" s="86"/>
      <c r="O1102" s="86"/>
      <c r="P1102" s="86"/>
      <c r="Q1102" s="86"/>
      <c r="R1102" s="86"/>
      <c r="S1102" s="86"/>
      <c r="T1102" s="86"/>
      <c r="U1102" s="86"/>
      <c r="V1102" s="86"/>
      <c r="W1102" s="86"/>
      <c r="X1102" s="86"/>
      <c r="Y1102" s="86"/>
      <c r="Z1102" s="86"/>
      <c r="AA1102" s="86"/>
      <c r="AB1102" s="86"/>
      <c r="AC1102" s="86"/>
      <c r="AD1102" s="86"/>
      <c r="AE1102" s="86"/>
      <c r="AF1102" s="86"/>
      <c r="AG1102" s="86"/>
      <c r="AH1102" s="86"/>
      <c r="AI1102" s="86"/>
      <c r="AJ1102" s="86"/>
      <c r="AK1102" s="86"/>
      <c r="AL1102" s="86"/>
      <c r="AM1102" s="86"/>
      <c r="AN1102" s="86"/>
      <c r="AO1102" s="86"/>
      <c r="AP1102" s="86"/>
      <c r="AQ1102" s="86"/>
      <c r="AR1102" s="86"/>
      <c r="AS1102" s="86"/>
      <c r="AT1102" s="86"/>
      <c r="AU1102" s="86"/>
      <c r="AV1102" s="86"/>
      <c r="AW1102" s="86"/>
      <c r="AX1102" s="86"/>
      <c r="AY1102" s="86"/>
      <c r="AZ1102" s="86"/>
      <c r="BA1102" s="86"/>
      <c r="BB1102" s="86"/>
      <c r="BC1102" s="86"/>
      <c r="BD1102" s="86"/>
      <c r="BE1102" s="86"/>
      <c r="BF1102" s="86"/>
      <c r="BG1102" s="86"/>
      <c r="BH1102" s="86"/>
      <c r="BI1102" s="86"/>
    </row>
    <row r="1103" spans="1:61" ht="12.75" hidden="1" x14ac:dyDescent="0.2">
      <c r="A1103" s="86"/>
      <c r="B1103" s="86"/>
      <c r="C1103" s="86"/>
      <c r="D1103" s="86"/>
      <c r="E1103" s="86"/>
      <c r="F1103" s="86"/>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c r="AC1103" s="86"/>
      <c r="AD1103" s="86"/>
      <c r="AE1103" s="86"/>
      <c r="AF1103" s="86"/>
      <c r="AG1103" s="86"/>
      <c r="AH1103" s="86"/>
      <c r="AI1103" s="86"/>
      <c r="AJ1103" s="86"/>
      <c r="AK1103" s="86"/>
      <c r="AL1103" s="86"/>
      <c r="AM1103" s="86"/>
      <c r="AN1103" s="86"/>
      <c r="AO1103" s="86"/>
      <c r="AP1103" s="86"/>
      <c r="AQ1103" s="86"/>
      <c r="AR1103" s="86"/>
      <c r="AS1103" s="86"/>
      <c r="AT1103" s="86"/>
      <c r="AU1103" s="86"/>
      <c r="AV1103" s="86"/>
      <c r="AW1103" s="86"/>
      <c r="AX1103" s="86"/>
      <c r="AY1103" s="86"/>
      <c r="AZ1103" s="86"/>
      <c r="BA1103" s="86"/>
      <c r="BB1103" s="86"/>
      <c r="BC1103" s="86"/>
      <c r="BD1103" s="86"/>
      <c r="BE1103" s="86"/>
      <c r="BF1103" s="86"/>
      <c r="BG1103" s="86"/>
      <c r="BH1103" s="86"/>
      <c r="BI1103" s="86"/>
    </row>
    <row r="1104" spans="1:61" ht="12.75" hidden="1" x14ac:dyDescent="0.2">
      <c r="A1104" s="86"/>
      <c r="B1104" s="86"/>
      <c r="C1104" s="86"/>
      <c r="D1104" s="86"/>
      <c r="E1104" s="86"/>
      <c r="F1104" s="86"/>
      <c r="G1104" s="86"/>
      <c r="H1104" s="86"/>
      <c r="I1104" s="86"/>
      <c r="J1104" s="86"/>
      <c r="K1104" s="86"/>
      <c r="L1104" s="86"/>
      <c r="M1104" s="86"/>
      <c r="N1104" s="86"/>
      <c r="O1104" s="86"/>
      <c r="P1104" s="86"/>
      <c r="Q1104" s="86"/>
      <c r="R1104" s="86"/>
      <c r="S1104" s="86"/>
      <c r="T1104" s="86"/>
      <c r="U1104" s="86"/>
      <c r="V1104" s="86"/>
      <c r="W1104" s="86"/>
      <c r="X1104" s="86"/>
      <c r="Y1104" s="86"/>
      <c r="Z1104" s="86"/>
      <c r="AA1104" s="86"/>
      <c r="AB1104" s="86"/>
      <c r="AC1104" s="86"/>
      <c r="AD1104" s="86"/>
      <c r="AE1104" s="86"/>
      <c r="AF1104" s="86"/>
      <c r="AG1104" s="86"/>
      <c r="AH1104" s="86"/>
      <c r="AI1104" s="86"/>
      <c r="AJ1104" s="86"/>
      <c r="AK1104" s="86"/>
      <c r="AL1104" s="86"/>
      <c r="AM1104" s="86"/>
      <c r="AN1104" s="86"/>
      <c r="AO1104" s="86"/>
      <c r="AP1104" s="86"/>
      <c r="AQ1104" s="86"/>
      <c r="AR1104" s="86"/>
      <c r="AS1104" s="86"/>
      <c r="AT1104" s="86"/>
      <c r="AU1104" s="86"/>
      <c r="AV1104" s="86"/>
      <c r="AW1104" s="86"/>
      <c r="AX1104" s="86"/>
      <c r="AY1104" s="86"/>
      <c r="AZ1104" s="86"/>
      <c r="BA1104" s="86"/>
      <c r="BB1104" s="86"/>
      <c r="BC1104" s="86"/>
      <c r="BD1104" s="86"/>
      <c r="BE1104" s="86"/>
      <c r="BF1104" s="86"/>
      <c r="BG1104" s="86"/>
      <c r="BH1104" s="86"/>
      <c r="BI1104" s="86"/>
    </row>
    <row r="1105" spans="1:61" ht="12.75" hidden="1" x14ac:dyDescent="0.2">
      <c r="A1105" s="86"/>
      <c r="B1105" s="86"/>
      <c r="C1105" s="86"/>
      <c r="D1105" s="86"/>
      <c r="E1105" s="86"/>
      <c r="F1105" s="86"/>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c r="AC1105" s="86"/>
      <c r="AD1105" s="86"/>
      <c r="AE1105" s="86"/>
      <c r="AF1105" s="86"/>
      <c r="AG1105" s="86"/>
      <c r="AH1105" s="86"/>
      <c r="AI1105" s="86"/>
      <c r="AJ1105" s="86"/>
      <c r="AK1105" s="86"/>
      <c r="AL1105" s="86"/>
      <c r="AM1105" s="86"/>
      <c r="AN1105" s="86"/>
      <c r="AO1105" s="86"/>
      <c r="AP1105" s="86"/>
      <c r="AQ1105" s="86"/>
      <c r="AR1105" s="86"/>
      <c r="AS1105" s="86"/>
      <c r="AT1105" s="86"/>
      <c r="AU1105" s="86"/>
      <c r="AV1105" s="86"/>
      <c r="AW1105" s="86"/>
      <c r="AX1105" s="86"/>
      <c r="AY1105" s="86"/>
      <c r="AZ1105" s="86"/>
      <c r="BA1105" s="86"/>
      <c r="BB1105" s="86"/>
      <c r="BC1105" s="86"/>
      <c r="BD1105" s="86"/>
      <c r="BE1105" s="86"/>
      <c r="BF1105" s="86"/>
      <c r="BG1105" s="86"/>
      <c r="BH1105" s="86"/>
      <c r="BI1105" s="86"/>
    </row>
    <row r="1106" spans="1:61" ht="12.75" hidden="1" x14ac:dyDescent="0.2">
      <c r="A1106" s="86"/>
      <c r="B1106" s="86"/>
      <c r="C1106" s="86"/>
      <c r="D1106" s="86"/>
      <c r="E1106" s="86"/>
      <c r="F1106" s="86"/>
      <c r="G1106" s="86"/>
      <c r="H1106" s="86"/>
      <c r="I1106" s="86"/>
      <c r="J1106" s="86"/>
      <c r="K1106" s="86"/>
      <c r="L1106" s="86"/>
      <c r="M1106" s="86"/>
      <c r="N1106" s="86"/>
      <c r="O1106" s="86"/>
      <c r="P1106" s="86"/>
      <c r="Q1106" s="86"/>
      <c r="R1106" s="86"/>
      <c r="S1106" s="86"/>
      <c r="T1106" s="86"/>
      <c r="U1106" s="86"/>
      <c r="V1106" s="86"/>
      <c r="W1106" s="86"/>
      <c r="X1106" s="86"/>
      <c r="Y1106" s="86"/>
      <c r="Z1106" s="86"/>
      <c r="AA1106" s="86"/>
      <c r="AB1106" s="86"/>
      <c r="AC1106" s="86"/>
      <c r="AD1106" s="86"/>
      <c r="AE1106" s="86"/>
      <c r="AF1106" s="86"/>
      <c r="AG1106" s="86"/>
      <c r="AH1106" s="86"/>
      <c r="AI1106" s="86"/>
      <c r="AJ1106" s="86"/>
      <c r="AK1106" s="86"/>
      <c r="AL1106" s="86"/>
      <c r="AM1106" s="86"/>
      <c r="AN1106" s="86"/>
      <c r="AO1106" s="86"/>
      <c r="AP1106" s="86"/>
      <c r="AQ1106" s="86"/>
      <c r="AR1106" s="86"/>
      <c r="AS1106" s="86"/>
      <c r="AT1106" s="86"/>
      <c r="AU1106" s="86"/>
      <c r="AV1106" s="86"/>
      <c r="AW1106" s="86"/>
      <c r="AX1106" s="86"/>
      <c r="AY1106" s="86"/>
      <c r="AZ1106" s="86"/>
      <c r="BA1106" s="86"/>
      <c r="BB1106" s="86"/>
      <c r="BC1106" s="86"/>
      <c r="BD1106" s="86"/>
      <c r="BE1106" s="86"/>
      <c r="BF1106" s="86"/>
      <c r="BG1106" s="86"/>
      <c r="BH1106" s="86"/>
      <c r="BI1106" s="86"/>
    </row>
  </sheetData>
  <hyperlinks>
    <hyperlink ref="BD9" r:id="rId1"/>
    <hyperlink ref="BD114" r:id="rId2"/>
  </hyperlinks>
  <pageMargins left="0.511811024" right="0.511811024" top="0.78740157499999996" bottom="0.78740157499999996" header="0.31496062000000002" footer="0.3149606200000000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082"/>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26.4257812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38.42578125" customWidth="1"/>
    <col min="15" max="15" width="41.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0" width="12.5703125" hidden="1"/>
    <col min="51" max="51" width="47.5703125" hidden="1" customWidth="1"/>
    <col min="52"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19.85546875" hidden="1" customWidth="1"/>
    <col min="61" max="61" width="38.57031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2560</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2561</v>
      </c>
      <c r="AZ1" s="21"/>
      <c r="BA1" s="9" t="s">
        <v>60</v>
      </c>
      <c r="BB1" s="9" t="s">
        <v>2562</v>
      </c>
      <c r="BC1" s="9" t="s">
        <v>2563</v>
      </c>
      <c r="BD1" s="9" t="s">
        <v>61</v>
      </c>
      <c r="BE1" s="9" t="s">
        <v>62</v>
      </c>
      <c r="BF1" s="9" t="s">
        <v>63</v>
      </c>
      <c r="BG1" s="22" t="s">
        <v>64</v>
      </c>
      <c r="BH1" s="9" t="s">
        <v>65</v>
      </c>
      <c r="BI1" s="9" t="s">
        <v>66</v>
      </c>
    </row>
    <row r="2" spans="1:61" ht="25.5" hidden="1" x14ac:dyDescent="0.2">
      <c r="A2" s="23" t="s">
        <v>2564</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2565</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2564</v>
      </c>
      <c r="BF2" s="24"/>
      <c r="BG2" s="33"/>
      <c r="BH2" s="27" t="s">
        <v>2566</v>
      </c>
      <c r="BI2" s="24" t="s">
        <v>68</v>
      </c>
    </row>
    <row r="3" spans="1:61" ht="25.5" hidden="1" x14ac:dyDescent="0.2">
      <c r="A3" s="34" t="s">
        <v>2567</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2565</v>
      </c>
      <c r="R3" s="38" t="s">
        <v>2568</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2569</v>
      </c>
      <c r="BI3" s="35" t="s">
        <v>68</v>
      </c>
    </row>
    <row r="4" spans="1:61" ht="63.75" x14ac:dyDescent="0.2">
      <c r="A4" s="45" t="s">
        <v>2570</v>
      </c>
      <c r="B4" s="46"/>
      <c r="C4" s="46" t="s">
        <v>2571</v>
      </c>
      <c r="D4" s="46" t="s">
        <v>2314</v>
      </c>
      <c r="E4" s="46" t="s">
        <v>2157</v>
      </c>
      <c r="F4" s="46" t="s">
        <v>68</v>
      </c>
      <c r="G4" s="46" t="s">
        <v>68</v>
      </c>
      <c r="H4" s="46" t="s">
        <v>68</v>
      </c>
      <c r="I4" s="46" t="s">
        <v>68</v>
      </c>
      <c r="J4" s="46" t="s">
        <v>71</v>
      </c>
      <c r="K4" s="47">
        <v>160</v>
      </c>
      <c r="L4" s="47">
        <v>50</v>
      </c>
      <c r="M4" s="47">
        <v>210</v>
      </c>
      <c r="N4" s="46"/>
      <c r="O4" s="71" t="s">
        <v>68</v>
      </c>
      <c r="P4" s="64"/>
      <c r="Q4" s="46" t="s">
        <v>2565</v>
      </c>
      <c r="R4" s="46" t="s">
        <v>2568</v>
      </c>
      <c r="S4" s="49">
        <v>52.5</v>
      </c>
      <c r="T4" s="49">
        <v>262.5</v>
      </c>
      <c r="U4" s="67">
        <v>0.39523809523809522</v>
      </c>
      <c r="V4" s="28">
        <v>0.21219512195121951</v>
      </c>
      <c r="W4" s="51">
        <v>0.3125</v>
      </c>
      <c r="X4" s="52">
        <v>26.25</v>
      </c>
      <c r="Y4" s="52">
        <v>30</v>
      </c>
      <c r="Z4" s="52">
        <v>102.5</v>
      </c>
      <c r="AA4" s="52">
        <v>158.75</v>
      </c>
      <c r="AB4" s="53">
        <v>0.60476190476190472</v>
      </c>
      <c r="AC4" s="54">
        <v>103.75</v>
      </c>
      <c r="AD4" s="55">
        <v>0.39523809523809522</v>
      </c>
      <c r="AE4" s="69">
        <v>1</v>
      </c>
      <c r="AF4" s="57" t="s">
        <v>77</v>
      </c>
      <c r="AG4" s="58">
        <v>32</v>
      </c>
      <c r="AH4" s="58">
        <v>50</v>
      </c>
      <c r="AI4" s="58">
        <v>82</v>
      </c>
      <c r="AJ4" s="49">
        <v>20.5</v>
      </c>
      <c r="AK4" s="49">
        <v>102.5</v>
      </c>
      <c r="AL4" s="52">
        <v>10.25</v>
      </c>
      <c r="AM4" s="52">
        <v>70.5</v>
      </c>
      <c r="AN4" s="52">
        <v>80.75</v>
      </c>
      <c r="AO4" s="59">
        <v>0.78780487804878052</v>
      </c>
      <c r="AP4" s="60">
        <v>21.75</v>
      </c>
      <c r="AQ4" s="61">
        <v>0.21219512195121951</v>
      </c>
      <c r="AR4" s="60" t="s">
        <v>78</v>
      </c>
      <c r="AS4" s="62">
        <v>208</v>
      </c>
      <c r="AT4" s="62">
        <v>65</v>
      </c>
      <c r="AU4" s="62">
        <v>273</v>
      </c>
      <c r="AV4" s="62">
        <v>341.25</v>
      </c>
      <c r="AW4" s="47" t="s">
        <v>74</v>
      </c>
      <c r="AX4" s="64">
        <v>45202</v>
      </c>
      <c r="AY4" s="64" t="s">
        <v>2572</v>
      </c>
      <c r="BA4" s="64"/>
      <c r="BB4" s="64"/>
      <c r="BC4" s="64"/>
      <c r="BD4" s="46"/>
      <c r="BE4" s="46" t="e">
        <v>#REF!</v>
      </c>
      <c r="BF4" s="46" t="s">
        <v>79</v>
      </c>
      <c r="BG4" s="65">
        <v>0.5</v>
      </c>
      <c r="BH4" s="66"/>
      <c r="BI4" s="63" t="s">
        <v>2573</v>
      </c>
    </row>
    <row r="5" spans="1:61" ht="51" x14ac:dyDescent="0.2">
      <c r="A5" s="45" t="s">
        <v>2574</v>
      </c>
      <c r="B5" s="46"/>
      <c r="C5" s="46" t="s">
        <v>2575</v>
      </c>
      <c r="D5" s="46" t="s">
        <v>2314</v>
      </c>
      <c r="E5" s="46" t="s">
        <v>2157</v>
      </c>
      <c r="F5" s="46" t="s">
        <v>68</v>
      </c>
      <c r="G5" s="46" t="s">
        <v>68</v>
      </c>
      <c r="H5" s="46" t="s">
        <v>68</v>
      </c>
      <c r="I5" s="46" t="s">
        <v>68</v>
      </c>
      <c r="J5" s="46" t="s">
        <v>71</v>
      </c>
      <c r="K5" s="47">
        <v>150</v>
      </c>
      <c r="L5" s="47">
        <v>50</v>
      </c>
      <c r="M5" s="47">
        <v>200</v>
      </c>
      <c r="N5" s="46"/>
      <c r="O5" s="71" t="s">
        <v>68</v>
      </c>
      <c r="P5" s="64"/>
      <c r="Q5" s="46" t="s">
        <v>2565</v>
      </c>
      <c r="R5" s="46" t="s">
        <v>2568</v>
      </c>
      <c r="S5" s="49">
        <v>50</v>
      </c>
      <c r="T5" s="49">
        <v>250</v>
      </c>
      <c r="U5" s="67">
        <v>0.38</v>
      </c>
      <c r="V5" s="67">
        <v>0.38</v>
      </c>
      <c r="W5" s="51">
        <v>0.33333333333333331</v>
      </c>
      <c r="X5" s="52">
        <v>25</v>
      </c>
      <c r="Y5" s="52">
        <v>30</v>
      </c>
      <c r="Z5" s="52">
        <v>100</v>
      </c>
      <c r="AA5" s="52">
        <v>155</v>
      </c>
      <c r="AB5" s="53">
        <v>0.62</v>
      </c>
      <c r="AC5" s="54">
        <v>95</v>
      </c>
      <c r="AD5" s="55">
        <v>0.38</v>
      </c>
      <c r="AE5" s="56">
        <v>2</v>
      </c>
      <c r="AF5" s="57" t="s">
        <v>72</v>
      </c>
      <c r="AG5" s="58">
        <v>75</v>
      </c>
      <c r="AH5" s="58">
        <v>50</v>
      </c>
      <c r="AI5" s="58">
        <v>125</v>
      </c>
      <c r="AJ5" s="49">
        <v>31.25</v>
      </c>
      <c r="AK5" s="49">
        <v>156.25</v>
      </c>
      <c r="AL5" s="52">
        <v>15.625</v>
      </c>
      <c r="AM5" s="52">
        <v>81.25</v>
      </c>
      <c r="AN5" s="52">
        <v>96.875</v>
      </c>
      <c r="AO5" s="59">
        <v>0.62</v>
      </c>
      <c r="AP5" s="60">
        <v>59.375</v>
      </c>
      <c r="AQ5" s="61">
        <v>0.38</v>
      </c>
      <c r="AR5" s="60" t="s">
        <v>78</v>
      </c>
      <c r="AS5" s="62">
        <v>225</v>
      </c>
      <c r="AT5" s="62">
        <v>75</v>
      </c>
      <c r="AU5" s="62">
        <v>300</v>
      </c>
      <c r="AV5" s="62">
        <v>375</v>
      </c>
      <c r="AW5" s="47" t="s">
        <v>74</v>
      </c>
      <c r="AX5" s="64">
        <v>45202</v>
      </c>
      <c r="AY5" s="64" t="s">
        <v>2576</v>
      </c>
      <c r="BA5" s="64"/>
      <c r="BB5" s="64"/>
      <c r="BC5" s="64"/>
      <c r="BD5" s="46"/>
      <c r="BE5" s="46" t="e">
        <v>#REF!</v>
      </c>
      <c r="BF5" s="46" t="s">
        <v>79</v>
      </c>
      <c r="BG5" s="65">
        <v>0.5</v>
      </c>
      <c r="BH5" s="66"/>
      <c r="BI5" s="63" t="s">
        <v>2577</v>
      </c>
    </row>
    <row r="6" spans="1:61" ht="63.75" x14ac:dyDescent="0.2">
      <c r="A6" s="45" t="s">
        <v>2578</v>
      </c>
      <c r="B6" s="46"/>
      <c r="C6" s="46" t="s">
        <v>2579</v>
      </c>
      <c r="D6" s="46" t="s">
        <v>2314</v>
      </c>
      <c r="E6" s="46"/>
      <c r="F6" s="46" t="s">
        <v>68</v>
      </c>
      <c r="G6" s="46" t="s">
        <v>68</v>
      </c>
      <c r="H6" s="46" t="s">
        <v>68</v>
      </c>
      <c r="I6" s="46" t="s">
        <v>68</v>
      </c>
      <c r="J6" s="46" t="s">
        <v>71</v>
      </c>
      <c r="K6" s="47">
        <v>250</v>
      </c>
      <c r="L6" s="47">
        <v>50</v>
      </c>
      <c r="M6" s="47">
        <v>300</v>
      </c>
      <c r="N6" s="46"/>
      <c r="O6" s="71" t="s">
        <v>68</v>
      </c>
      <c r="P6" s="64"/>
      <c r="Q6" s="46" t="s">
        <v>2565</v>
      </c>
      <c r="R6" s="46" t="s">
        <v>2568</v>
      </c>
      <c r="S6" s="49">
        <v>75</v>
      </c>
      <c r="T6" s="49">
        <v>375</v>
      </c>
      <c r="U6" s="67">
        <v>0.48666666666666669</v>
      </c>
      <c r="V6" s="67">
        <v>0.3</v>
      </c>
      <c r="W6" s="51">
        <v>0.2</v>
      </c>
      <c r="X6" s="52">
        <v>37.5</v>
      </c>
      <c r="Y6" s="52">
        <v>30</v>
      </c>
      <c r="Z6" s="52">
        <v>125</v>
      </c>
      <c r="AA6" s="52">
        <v>192.5</v>
      </c>
      <c r="AB6" s="53">
        <v>0.51333333333333331</v>
      </c>
      <c r="AC6" s="72">
        <v>182.5</v>
      </c>
      <c r="AD6" s="55">
        <v>0.48666666666666669</v>
      </c>
      <c r="AE6" s="69">
        <v>1</v>
      </c>
      <c r="AF6" s="57" t="s">
        <v>77</v>
      </c>
      <c r="AG6" s="58">
        <v>50</v>
      </c>
      <c r="AH6" s="58">
        <v>50</v>
      </c>
      <c r="AI6" s="58">
        <v>100</v>
      </c>
      <c r="AJ6" s="49">
        <v>25</v>
      </c>
      <c r="AK6" s="49">
        <v>125</v>
      </c>
      <c r="AL6" s="52">
        <v>12.5</v>
      </c>
      <c r="AM6" s="52">
        <v>75</v>
      </c>
      <c r="AN6" s="52">
        <v>87.5</v>
      </c>
      <c r="AO6" s="59">
        <v>0.7</v>
      </c>
      <c r="AP6" s="60">
        <v>37.5</v>
      </c>
      <c r="AQ6" s="61">
        <v>0.3</v>
      </c>
      <c r="AR6" s="60" t="s">
        <v>78</v>
      </c>
      <c r="AS6" s="62">
        <v>325</v>
      </c>
      <c r="AT6" s="62">
        <v>65</v>
      </c>
      <c r="AU6" s="62">
        <v>390</v>
      </c>
      <c r="AV6" s="62">
        <v>487.5</v>
      </c>
      <c r="AW6" s="47" t="s">
        <v>74</v>
      </c>
      <c r="AX6" s="64">
        <v>45202</v>
      </c>
      <c r="AY6" s="64" t="s">
        <v>2580</v>
      </c>
      <c r="BA6" s="64"/>
      <c r="BB6" s="64"/>
      <c r="BC6" s="64"/>
      <c r="BD6" s="46"/>
      <c r="BE6" s="46" t="e">
        <v>#REF!</v>
      </c>
      <c r="BF6" s="46" t="s">
        <v>79</v>
      </c>
      <c r="BG6" s="65">
        <v>0.5</v>
      </c>
      <c r="BH6" s="66"/>
      <c r="BI6" s="63" t="s">
        <v>2581</v>
      </c>
    </row>
    <row r="7" spans="1:61" ht="38.25" x14ac:dyDescent="0.2">
      <c r="A7" s="45" t="s">
        <v>2582</v>
      </c>
      <c r="B7" s="46"/>
      <c r="C7" s="46" t="s">
        <v>2583</v>
      </c>
      <c r="D7" s="46" t="s">
        <v>2584</v>
      </c>
      <c r="E7" s="46"/>
      <c r="F7" s="46"/>
      <c r="G7" s="46"/>
      <c r="H7" s="46"/>
      <c r="I7" s="46"/>
      <c r="J7" s="46" t="s">
        <v>71</v>
      </c>
      <c r="K7" s="47">
        <v>200</v>
      </c>
      <c r="L7" s="47">
        <v>50</v>
      </c>
      <c r="M7" s="47">
        <v>250</v>
      </c>
      <c r="N7" s="46"/>
      <c r="O7" s="71" t="s">
        <v>68</v>
      </c>
      <c r="P7" s="64"/>
      <c r="Q7" s="46" t="s">
        <v>2565</v>
      </c>
      <c r="R7" s="46" t="s">
        <v>2568</v>
      </c>
      <c r="S7" s="49">
        <v>62.5</v>
      </c>
      <c r="T7" s="49">
        <v>312.5</v>
      </c>
      <c r="U7" s="67">
        <v>0.44400000000000001</v>
      </c>
      <c r="V7" s="67">
        <v>0.43333333333333335</v>
      </c>
      <c r="W7" s="51">
        <v>0.25</v>
      </c>
      <c r="X7" s="52">
        <v>31.25</v>
      </c>
      <c r="Y7" s="52">
        <v>30</v>
      </c>
      <c r="Z7" s="52">
        <v>112.5</v>
      </c>
      <c r="AA7" s="52">
        <v>173.75</v>
      </c>
      <c r="AB7" s="53">
        <v>0.55600000000000005</v>
      </c>
      <c r="AC7" s="72">
        <v>138.75</v>
      </c>
      <c r="AD7" s="55">
        <v>0.44400000000000001</v>
      </c>
      <c r="AE7" s="56">
        <v>2</v>
      </c>
      <c r="AF7" s="57" t="s">
        <v>72</v>
      </c>
      <c r="AG7" s="58">
        <v>100</v>
      </c>
      <c r="AH7" s="58">
        <v>50</v>
      </c>
      <c r="AI7" s="58">
        <v>150</v>
      </c>
      <c r="AJ7" s="49">
        <v>37.5</v>
      </c>
      <c r="AK7" s="49">
        <v>187.5</v>
      </c>
      <c r="AL7" s="52">
        <v>18.75</v>
      </c>
      <c r="AM7" s="52">
        <v>87.5</v>
      </c>
      <c r="AN7" s="52">
        <v>106.25</v>
      </c>
      <c r="AO7" s="59">
        <v>0.56666666666666665</v>
      </c>
      <c r="AP7" s="60">
        <v>81.25</v>
      </c>
      <c r="AQ7" s="61">
        <v>0.43333333333333335</v>
      </c>
      <c r="AR7" s="60" t="s">
        <v>78</v>
      </c>
      <c r="AS7" s="62">
        <v>300</v>
      </c>
      <c r="AT7" s="62">
        <v>75</v>
      </c>
      <c r="AU7" s="62">
        <v>375</v>
      </c>
      <c r="AV7" s="62">
        <v>468.75</v>
      </c>
      <c r="AW7" s="47" t="s">
        <v>74</v>
      </c>
      <c r="AX7" s="64">
        <v>45202</v>
      </c>
      <c r="AY7" s="64" t="s">
        <v>2585</v>
      </c>
      <c r="BA7" s="64"/>
      <c r="BB7" s="64"/>
      <c r="BC7" s="64"/>
      <c r="BD7" s="46"/>
      <c r="BE7" s="46" t="e">
        <v>#REF!</v>
      </c>
      <c r="BF7" s="46" t="s">
        <v>79</v>
      </c>
      <c r="BG7" s="65">
        <v>0.5</v>
      </c>
      <c r="BH7" s="66"/>
      <c r="BI7" s="63" t="s">
        <v>2586</v>
      </c>
    </row>
    <row r="8" spans="1:61" ht="25.5" x14ac:dyDescent="0.2">
      <c r="A8" s="45" t="s">
        <v>2587</v>
      </c>
      <c r="B8" s="46"/>
      <c r="C8" s="46" t="s">
        <v>2588</v>
      </c>
      <c r="D8" s="46" t="s">
        <v>2204</v>
      </c>
      <c r="E8" s="46" t="s">
        <v>2589</v>
      </c>
      <c r="F8" s="46" t="s">
        <v>445</v>
      </c>
      <c r="G8" s="46"/>
      <c r="H8" s="46"/>
      <c r="I8" s="46"/>
      <c r="J8" s="46" t="s">
        <v>71</v>
      </c>
      <c r="K8" s="47">
        <v>200</v>
      </c>
      <c r="L8" s="47">
        <v>300</v>
      </c>
      <c r="M8" s="47">
        <v>500</v>
      </c>
      <c r="N8" s="46"/>
      <c r="O8" s="71" t="s">
        <v>68</v>
      </c>
      <c r="P8" s="64"/>
      <c r="Q8" s="46" t="s">
        <v>2565</v>
      </c>
      <c r="R8" s="46" t="s">
        <v>2568</v>
      </c>
      <c r="S8" s="49">
        <v>125</v>
      </c>
      <c r="T8" s="49">
        <v>625</v>
      </c>
      <c r="U8" s="50">
        <v>0.17199999999999999</v>
      </c>
      <c r="V8" s="28">
        <v>0.22</v>
      </c>
      <c r="W8" s="74">
        <v>1.5</v>
      </c>
      <c r="X8" s="52">
        <v>62.5</v>
      </c>
      <c r="Y8" s="52">
        <v>30</v>
      </c>
      <c r="Z8" s="52">
        <v>425</v>
      </c>
      <c r="AA8" s="52">
        <v>517.5</v>
      </c>
      <c r="AB8" s="53">
        <v>0.82799999999999996</v>
      </c>
      <c r="AC8" s="54">
        <v>107.5</v>
      </c>
      <c r="AD8" s="55">
        <v>0.17199999999999999</v>
      </c>
      <c r="AE8" s="73">
        <v>3</v>
      </c>
      <c r="AF8" s="57" t="s">
        <v>95</v>
      </c>
      <c r="AG8" s="58">
        <v>200</v>
      </c>
      <c r="AH8" s="58">
        <v>300</v>
      </c>
      <c r="AI8" s="58">
        <v>500</v>
      </c>
      <c r="AJ8" s="49">
        <v>125</v>
      </c>
      <c r="AK8" s="49">
        <v>625</v>
      </c>
      <c r="AL8" s="52">
        <v>62.5</v>
      </c>
      <c r="AM8" s="52">
        <v>425</v>
      </c>
      <c r="AN8" s="52">
        <v>487.5</v>
      </c>
      <c r="AO8" s="59">
        <v>0.78</v>
      </c>
      <c r="AP8" s="60">
        <v>137.5</v>
      </c>
      <c r="AQ8" s="61">
        <v>0.22</v>
      </c>
      <c r="AR8" s="60" t="s">
        <v>78</v>
      </c>
      <c r="AS8" s="62">
        <v>320</v>
      </c>
      <c r="AT8" s="62">
        <v>480</v>
      </c>
      <c r="AU8" s="62">
        <v>800</v>
      </c>
      <c r="AV8" s="62">
        <v>1000</v>
      </c>
      <c r="AW8" s="63" t="s">
        <v>74</v>
      </c>
      <c r="AX8" s="64">
        <v>45022</v>
      </c>
      <c r="AY8" s="64" t="s">
        <v>2590</v>
      </c>
      <c r="BA8" s="64"/>
      <c r="BB8" s="64"/>
      <c r="BC8" s="64"/>
      <c r="BD8" s="46"/>
      <c r="BE8" s="46" t="e">
        <v>#REF!</v>
      </c>
      <c r="BF8" s="46" t="s">
        <v>75</v>
      </c>
      <c r="BG8" s="65">
        <v>4</v>
      </c>
      <c r="BH8" s="66" t="s">
        <v>2591</v>
      </c>
      <c r="BI8" s="63" t="s">
        <v>2592</v>
      </c>
    </row>
    <row r="9" spans="1:61" ht="25.5" x14ac:dyDescent="0.2">
      <c r="A9" s="45" t="s">
        <v>2593</v>
      </c>
      <c r="B9" s="46"/>
      <c r="C9" s="46" t="s">
        <v>2588</v>
      </c>
      <c r="D9" s="46" t="s">
        <v>2204</v>
      </c>
      <c r="E9" s="46" t="s">
        <v>2589</v>
      </c>
      <c r="F9" s="46" t="s">
        <v>449</v>
      </c>
      <c r="G9" s="46"/>
      <c r="H9" s="46"/>
      <c r="I9" s="46"/>
      <c r="J9" s="46" t="s">
        <v>71</v>
      </c>
      <c r="K9" s="47">
        <v>250</v>
      </c>
      <c r="L9" s="47">
        <v>500</v>
      </c>
      <c r="M9" s="47">
        <v>750</v>
      </c>
      <c r="N9" s="46"/>
      <c r="O9" s="71" t="s">
        <v>68</v>
      </c>
      <c r="P9" s="64"/>
      <c r="Q9" s="46" t="s">
        <v>2565</v>
      </c>
      <c r="R9" s="46" t="s">
        <v>2568</v>
      </c>
      <c r="S9" s="49">
        <v>187.5</v>
      </c>
      <c r="T9" s="49">
        <v>937.5</v>
      </c>
      <c r="U9" s="50">
        <v>0.13466666666666666</v>
      </c>
      <c r="V9" s="50">
        <v>0.16666666666666666</v>
      </c>
      <c r="W9" s="77">
        <v>2</v>
      </c>
      <c r="X9" s="52">
        <v>93.75</v>
      </c>
      <c r="Y9" s="52">
        <v>30</v>
      </c>
      <c r="Z9" s="52">
        <v>687.5</v>
      </c>
      <c r="AA9" s="52">
        <v>811.25</v>
      </c>
      <c r="AB9" s="53">
        <v>0.86533333333333329</v>
      </c>
      <c r="AC9" s="72">
        <v>126.25</v>
      </c>
      <c r="AD9" s="55">
        <v>0.13466666666666666</v>
      </c>
      <c r="AE9" s="73">
        <v>3</v>
      </c>
      <c r="AF9" s="57" t="s">
        <v>95</v>
      </c>
      <c r="AG9" s="58">
        <v>250</v>
      </c>
      <c r="AH9" s="58">
        <v>500</v>
      </c>
      <c r="AI9" s="58">
        <v>750</v>
      </c>
      <c r="AJ9" s="49">
        <v>187.5</v>
      </c>
      <c r="AK9" s="49">
        <v>937.5</v>
      </c>
      <c r="AL9" s="52">
        <v>93.75</v>
      </c>
      <c r="AM9" s="52">
        <v>687.5</v>
      </c>
      <c r="AN9" s="52">
        <v>781.25</v>
      </c>
      <c r="AO9" s="59">
        <v>0.83333333333333337</v>
      </c>
      <c r="AP9" s="60">
        <v>156.25</v>
      </c>
      <c r="AQ9" s="61">
        <v>0.16666666666666666</v>
      </c>
      <c r="AR9" s="60" t="s">
        <v>73</v>
      </c>
      <c r="AS9" s="62">
        <v>400</v>
      </c>
      <c r="AT9" s="62">
        <v>800</v>
      </c>
      <c r="AU9" s="62">
        <v>1200</v>
      </c>
      <c r="AV9" s="62">
        <v>1500</v>
      </c>
      <c r="AW9" s="63" t="s">
        <v>74</v>
      </c>
      <c r="AX9" s="64">
        <v>45022</v>
      </c>
      <c r="AY9" s="64" t="s">
        <v>2594</v>
      </c>
      <c r="BA9" s="64"/>
      <c r="BB9" s="64"/>
      <c r="BC9" s="64"/>
      <c r="BD9" s="46"/>
      <c r="BE9" s="46" t="e">
        <v>#REF!</v>
      </c>
      <c r="BF9" s="46" t="s">
        <v>75</v>
      </c>
      <c r="BG9" s="65">
        <v>4</v>
      </c>
      <c r="BH9" s="66" t="s">
        <v>2595</v>
      </c>
      <c r="BI9" s="63" t="s">
        <v>2596</v>
      </c>
    </row>
    <row r="10" spans="1:61" ht="25.5" x14ac:dyDescent="0.2">
      <c r="A10" s="45" t="s">
        <v>2597</v>
      </c>
      <c r="B10" s="46"/>
      <c r="C10" s="46" t="s">
        <v>2588</v>
      </c>
      <c r="D10" s="46" t="s">
        <v>2209</v>
      </c>
      <c r="E10" s="46" t="s">
        <v>2589</v>
      </c>
      <c r="F10" s="46" t="s">
        <v>445</v>
      </c>
      <c r="G10" s="46"/>
      <c r="H10" s="46"/>
      <c r="I10" s="46"/>
      <c r="J10" s="46" t="s">
        <v>71</v>
      </c>
      <c r="K10" s="47">
        <v>300</v>
      </c>
      <c r="L10" s="47">
        <v>600</v>
      </c>
      <c r="M10" s="47">
        <v>900</v>
      </c>
      <c r="N10" s="46"/>
      <c r="O10" s="71" t="s">
        <v>68</v>
      </c>
      <c r="P10" s="64"/>
      <c r="Q10" s="46" t="s">
        <v>2565</v>
      </c>
      <c r="R10" s="46" t="s">
        <v>2568</v>
      </c>
      <c r="S10" s="49">
        <v>225</v>
      </c>
      <c r="T10" s="49">
        <v>1125</v>
      </c>
      <c r="U10" s="50">
        <v>0.14000000000000001</v>
      </c>
      <c r="V10" s="50">
        <v>0.16666666666666666</v>
      </c>
      <c r="W10" s="77">
        <v>2</v>
      </c>
      <c r="X10" s="52">
        <v>112.5</v>
      </c>
      <c r="Y10" s="52">
        <v>30</v>
      </c>
      <c r="Z10" s="52">
        <v>825</v>
      </c>
      <c r="AA10" s="52">
        <v>967.5</v>
      </c>
      <c r="AB10" s="53">
        <v>0.86</v>
      </c>
      <c r="AC10" s="72">
        <v>157.5</v>
      </c>
      <c r="AD10" s="55">
        <v>0.14000000000000001</v>
      </c>
      <c r="AE10" s="73">
        <v>3</v>
      </c>
      <c r="AF10" s="57" t="s">
        <v>95</v>
      </c>
      <c r="AG10" s="58">
        <v>300</v>
      </c>
      <c r="AH10" s="58">
        <v>600</v>
      </c>
      <c r="AI10" s="58">
        <v>900</v>
      </c>
      <c r="AJ10" s="49">
        <v>225</v>
      </c>
      <c r="AK10" s="49">
        <v>1125</v>
      </c>
      <c r="AL10" s="52">
        <v>112.5</v>
      </c>
      <c r="AM10" s="52">
        <v>825</v>
      </c>
      <c r="AN10" s="52">
        <v>937.5</v>
      </c>
      <c r="AO10" s="59">
        <v>0.83333333333333337</v>
      </c>
      <c r="AP10" s="60">
        <v>187.5</v>
      </c>
      <c r="AQ10" s="61">
        <v>0.16666666666666666</v>
      </c>
      <c r="AR10" s="60" t="s">
        <v>73</v>
      </c>
      <c r="AS10" s="62">
        <v>480</v>
      </c>
      <c r="AT10" s="62">
        <v>960</v>
      </c>
      <c r="AU10" s="62">
        <v>1440</v>
      </c>
      <c r="AV10" s="62">
        <v>1800</v>
      </c>
      <c r="AW10" s="63" t="s">
        <v>74</v>
      </c>
      <c r="AX10" s="64">
        <v>45022</v>
      </c>
      <c r="AY10" s="64" t="s">
        <v>2598</v>
      </c>
      <c r="BA10" s="64"/>
      <c r="BB10" s="64"/>
      <c r="BC10" s="64"/>
      <c r="BD10" s="46"/>
      <c r="BE10" s="46" t="e">
        <v>#REF!</v>
      </c>
      <c r="BF10" s="46" t="s">
        <v>75</v>
      </c>
      <c r="BG10" s="65">
        <v>4</v>
      </c>
      <c r="BH10" s="66" t="s">
        <v>2599</v>
      </c>
      <c r="BI10" s="63" t="s">
        <v>2600</v>
      </c>
    </row>
    <row r="11" spans="1:61" ht="25.5" x14ac:dyDescent="0.2">
      <c r="A11" s="45" t="s">
        <v>2601</v>
      </c>
      <c r="B11" s="46"/>
      <c r="C11" s="46" t="s">
        <v>2588</v>
      </c>
      <c r="D11" s="46" t="s">
        <v>2209</v>
      </c>
      <c r="E11" s="46" t="s">
        <v>2589</v>
      </c>
      <c r="F11" s="46" t="s">
        <v>449</v>
      </c>
      <c r="G11" s="46"/>
      <c r="H11" s="46" t="s">
        <v>68</v>
      </c>
      <c r="I11" s="46" t="s">
        <v>68</v>
      </c>
      <c r="J11" s="46" t="s">
        <v>71</v>
      </c>
      <c r="K11" s="47">
        <v>350</v>
      </c>
      <c r="L11" s="47">
        <v>1000</v>
      </c>
      <c r="M11" s="47">
        <v>1350</v>
      </c>
      <c r="N11" s="46"/>
      <c r="O11" s="71" t="s">
        <v>68</v>
      </c>
      <c r="P11" s="64"/>
      <c r="Q11" s="46" t="s">
        <v>2565</v>
      </c>
      <c r="R11" s="46" t="s">
        <v>2568</v>
      </c>
      <c r="S11" s="49">
        <v>337.5</v>
      </c>
      <c r="T11" s="49">
        <v>1687.5</v>
      </c>
      <c r="U11" s="50">
        <v>8.9629629629629629E-2</v>
      </c>
      <c r="V11" s="50">
        <v>0.10740740740740741</v>
      </c>
      <c r="W11" s="77">
        <v>2.8571428571428572</v>
      </c>
      <c r="X11" s="52">
        <v>168.75</v>
      </c>
      <c r="Y11" s="52">
        <v>30</v>
      </c>
      <c r="Z11" s="52">
        <v>1337.5</v>
      </c>
      <c r="AA11" s="52">
        <v>1536.25</v>
      </c>
      <c r="AB11" s="53">
        <v>0.91037037037037039</v>
      </c>
      <c r="AC11" s="72">
        <v>151.25</v>
      </c>
      <c r="AD11" s="55">
        <v>8.9629629629629629E-2</v>
      </c>
      <c r="AE11" s="73">
        <v>3</v>
      </c>
      <c r="AF11" s="57" t="s">
        <v>95</v>
      </c>
      <c r="AG11" s="58">
        <v>350</v>
      </c>
      <c r="AH11" s="58">
        <v>1000</v>
      </c>
      <c r="AI11" s="58">
        <v>1350</v>
      </c>
      <c r="AJ11" s="49">
        <v>337.5</v>
      </c>
      <c r="AK11" s="49">
        <v>1687.5</v>
      </c>
      <c r="AL11" s="52">
        <v>168.75</v>
      </c>
      <c r="AM11" s="52">
        <v>1337.5</v>
      </c>
      <c r="AN11" s="52">
        <v>1506.25</v>
      </c>
      <c r="AO11" s="59">
        <v>0.8925925925925926</v>
      </c>
      <c r="AP11" s="60">
        <v>181.25</v>
      </c>
      <c r="AQ11" s="61">
        <v>0.10740740740740741</v>
      </c>
      <c r="AR11" s="60" t="s">
        <v>73</v>
      </c>
      <c r="AS11" s="62">
        <v>560</v>
      </c>
      <c r="AT11" s="62">
        <v>1600</v>
      </c>
      <c r="AU11" s="62">
        <v>2160</v>
      </c>
      <c r="AV11" s="62">
        <v>2700</v>
      </c>
      <c r="AW11" s="63" t="s">
        <v>74</v>
      </c>
      <c r="AX11" s="64">
        <v>45202</v>
      </c>
      <c r="AY11" s="64" t="s">
        <v>2602</v>
      </c>
      <c r="BA11" s="64"/>
      <c r="BB11" s="64"/>
      <c r="BC11" s="64"/>
      <c r="BD11" s="46"/>
      <c r="BE11" s="46" t="e">
        <v>#REF!</v>
      </c>
      <c r="BF11" s="46" t="s">
        <v>75</v>
      </c>
      <c r="BG11" s="65">
        <v>6</v>
      </c>
      <c r="BH11" s="66" t="s">
        <v>2603</v>
      </c>
      <c r="BI11" s="63" t="s">
        <v>2604</v>
      </c>
    </row>
    <row r="12" spans="1:61" ht="25.5" x14ac:dyDescent="0.2">
      <c r="A12" s="45" t="s">
        <v>2605</v>
      </c>
      <c r="B12" s="46"/>
      <c r="C12" s="46" t="s">
        <v>2588</v>
      </c>
      <c r="D12" s="46" t="s">
        <v>2213</v>
      </c>
      <c r="E12" s="46" t="s">
        <v>2589</v>
      </c>
      <c r="F12" s="46" t="s">
        <v>445</v>
      </c>
      <c r="G12" s="46"/>
      <c r="H12" s="46"/>
      <c r="I12" s="46"/>
      <c r="J12" s="46" t="s">
        <v>71</v>
      </c>
      <c r="K12" s="47">
        <v>400</v>
      </c>
      <c r="L12" s="47">
        <v>900</v>
      </c>
      <c r="M12" s="47">
        <v>1300</v>
      </c>
      <c r="N12" s="46"/>
      <c r="O12" s="71" t="s">
        <v>68</v>
      </c>
      <c r="P12" s="64"/>
      <c r="Q12" s="46" t="s">
        <v>2565</v>
      </c>
      <c r="R12" s="46" t="s">
        <v>2568</v>
      </c>
      <c r="S12" s="49">
        <v>325</v>
      </c>
      <c r="T12" s="49">
        <v>1625</v>
      </c>
      <c r="U12" s="50">
        <v>0.12769230769230769</v>
      </c>
      <c r="V12" s="50">
        <v>0.14615384615384616</v>
      </c>
      <c r="W12" s="77">
        <v>2.25</v>
      </c>
      <c r="X12" s="52">
        <v>162.5</v>
      </c>
      <c r="Y12" s="52">
        <v>30</v>
      </c>
      <c r="Z12" s="52">
        <v>1225</v>
      </c>
      <c r="AA12" s="52">
        <v>1417.5</v>
      </c>
      <c r="AB12" s="53">
        <v>0.87230769230769234</v>
      </c>
      <c r="AC12" s="72">
        <v>207.5</v>
      </c>
      <c r="AD12" s="55">
        <v>0.12769230769230769</v>
      </c>
      <c r="AE12" s="73">
        <v>3</v>
      </c>
      <c r="AF12" s="57" t="s">
        <v>95</v>
      </c>
      <c r="AG12" s="58">
        <v>400</v>
      </c>
      <c r="AH12" s="58">
        <v>900</v>
      </c>
      <c r="AI12" s="58">
        <v>1300</v>
      </c>
      <c r="AJ12" s="49">
        <v>325</v>
      </c>
      <c r="AK12" s="49">
        <v>1625</v>
      </c>
      <c r="AL12" s="52">
        <v>162.5</v>
      </c>
      <c r="AM12" s="52">
        <v>1225</v>
      </c>
      <c r="AN12" s="52">
        <v>1387.5</v>
      </c>
      <c r="AO12" s="59">
        <v>0.85384615384615381</v>
      </c>
      <c r="AP12" s="60">
        <v>237.5</v>
      </c>
      <c r="AQ12" s="61">
        <v>0.14615384615384616</v>
      </c>
      <c r="AR12" s="60" t="s">
        <v>73</v>
      </c>
      <c r="AS12" s="62">
        <v>640</v>
      </c>
      <c r="AT12" s="62">
        <v>1440</v>
      </c>
      <c r="AU12" s="62">
        <v>2080</v>
      </c>
      <c r="AV12" s="62">
        <v>2600</v>
      </c>
      <c r="AW12" s="63" t="s">
        <v>74</v>
      </c>
      <c r="AX12" s="64">
        <v>45202</v>
      </c>
      <c r="AY12" s="64" t="s">
        <v>2606</v>
      </c>
      <c r="BA12" s="64"/>
      <c r="BB12" s="64"/>
      <c r="BC12" s="64"/>
      <c r="BD12" s="46"/>
      <c r="BE12" s="46" t="e">
        <v>#REF!</v>
      </c>
      <c r="BF12" s="46" t="s">
        <v>75</v>
      </c>
      <c r="BG12" s="65">
        <v>6</v>
      </c>
      <c r="BH12" s="66" t="s">
        <v>2607</v>
      </c>
      <c r="BI12" s="63" t="s">
        <v>2608</v>
      </c>
    </row>
    <row r="13" spans="1:61" ht="25.5" x14ac:dyDescent="0.2">
      <c r="A13" s="45" t="s">
        <v>2609</v>
      </c>
      <c r="B13" s="46"/>
      <c r="C13" s="46" t="s">
        <v>2588</v>
      </c>
      <c r="D13" s="46" t="s">
        <v>2213</v>
      </c>
      <c r="E13" s="46" t="s">
        <v>2589</v>
      </c>
      <c r="F13" s="46" t="s">
        <v>449</v>
      </c>
      <c r="G13" s="46"/>
      <c r="H13" s="46" t="s">
        <v>68</v>
      </c>
      <c r="I13" s="46" t="s">
        <v>68</v>
      </c>
      <c r="J13" s="46" t="s">
        <v>71</v>
      </c>
      <c r="K13" s="47">
        <v>450</v>
      </c>
      <c r="L13" s="47">
        <v>1500</v>
      </c>
      <c r="M13" s="47">
        <v>1950</v>
      </c>
      <c r="N13" s="46"/>
      <c r="O13" s="71" t="s">
        <v>68</v>
      </c>
      <c r="P13" s="64"/>
      <c r="Q13" s="46" t="s">
        <v>2565</v>
      </c>
      <c r="R13" s="46" t="s">
        <v>2568</v>
      </c>
      <c r="S13" s="49">
        <v>487.5</v>
      </c>
      <c r="T13" s="49">
        <v>2437.5</v>
      </c>
      <c r="U13" s="50">
        <v>7.2307692307692309E-2</v>
      </c>
      <c r="V13" s="50">
        <v>8.461538461538462E-2</v>
      </c>
      <c r="W13" s="77">
        <v>3.3333333333333335</v>
      </c>
      <c r="X13" s="52">
        <v>243.75</v>
      </c>
      <c r="Y13" s="52">
        <v>30</v>
      </c>
      <c r="Z13" s="52">
        <v>1987.5</v>
      </c>
      <c r="AA13" s="52">
        <v>2261.25</v>
      </c>
      <c r="AB13" s="53">
        <v>0.9276923076923077</v>
      </c>
      <c r="AC13" s="72">
        <v>176.25</v>
      </c>
      <c r="AD13" s="55">
        <v>7.2307692307692309E-2</v>
      </c>
      <c r="AE13" s="73">
        <v>3</v>
      </c>
      <c r="AF13" s="57" t="s">
        <v>95</v>
      </c>
      <c r="AG13" s="58">
        <v>450</v>
      </c>
      <c r="AH13" s="58">
        <v>1500</v>
      </c>
      <c r="AI13" s="58">
        <v>1950</v>
      </c>
      <c r="AJ13" s="49">
        <v>487.5</v>
      </c>
      <c r="AK13" s="49">
        <v>2437.5</v>
      </c>
      <c r="AL13" s="52">
        <v>243.75</v>
      </c>
      <c r="AM13" s="52">
        <v>1987.5</v>
      </c>
      <c r="AN13" s="52">
        <v>2231.25</v>
      </c>
      <c r="AO13" s="59">
        <v>0.91538461538461535</v>
      </c>
      <c r="AP13" s="60">
        <v>206.25</v>
      </c>
      <c r="AQ13" s="61">
        <v>8.461538461538462E-2</v>
      </c>
      <c r="AR13" s="60" t="s">
        <v>73</v>
      </c>
      <c r="AS13" s="62">
        <v>720</v>
      </c>
      <c r="AT13" s="62">
        <v>2400</v>
      </c>
      <c r="AU13" s="62">
        <v>3120</v>
      </c>
      <c r="AV13" s="62">
        <v>3900</v>
      </c>
      <c r="AW13" s="63" t="s">
        <v>74</v>
      </c>
      <c r="AX13" s="64">
        <v>45202</v>
      </c>
      <c r="AY13" s="64" t="s">
        <v>2610</v>
      </c>
      <c r="BA13" s="64"/>
      <c r="BB13" s="64"/>
      <c r="BC13" s="64"/>
      <c r="BD13" s="46"/>
      <c r="BE13" s="46" t="e">
        <v>#REF!</v>
      </c>
      <c r="BF13" s="46" t="s">
        <v>75</v>
      </c>
      <c r="BG13" s="65">
        <v>4</v>
      </c>
      <c r="BH13" s="66" t="s">
        <v>2611</v>
      </c>
      <c r="BI13" s="63" t="s">
        <v>2612</v>
      </c>
    </row>
    <row r="14" spans="1:61" ht="25.5" x14ac:dyDescent="0.2">
      <c r="A14" s="45" t="s">
        <v>2613</v>
      </c>
      <c r="B14" s="46"/>
      <c r="C14" s="46" t="s">
        <v>2588</v>
      </c>
      <c r="D14" s="46" t="s">
        <v>2217</v>
      </c>
      <c r="E14" s="46" t="s">
        <v>2589</v>
      </c>
      <c r="F14" s="46" t="s">
        <v>445</v>
      </c>
      <c r="G14" s="46"/>
      <c r="H14" s="46"/>
      <c r="I14" s="46"/>
      <c r="J14" s="46" t="s">
        <v>71</v>
      </c>
      <c r="K14" s="47">
        <v>500</v>
      </c>
      <c r="L14" s="47">
        <v>1200</v>
      </c>
      <c r="M14" s="47">
        <v>1700</v>
      </c>
      <c r="N14" s="46"/>
      <c r="O14" s="71" t="s">
        <v>68</v>
      </c>
      <c r="P14" s="64"/>
      <c r="Q14" s="46" t="s">
        <v>2565</v>
      </c>
      <c r="R14" s="46" t="s">
        <v>2568</v>
      </c>
      <c r="S14" s="49">
        <v>425</v>
      </c>
      <c r="T14" s="49">
        <v>2125</v>
      </c>
      <c r="U14" s="50">
        <v>0.12117647058823529</v>
      </c>
      <c r="V14" s="50">
        <v>0.13529411764705881</v>
      </c>
      <c r="W14" s="77">
        <v>2.4</v>
      </c>
      <c r="X14" s="52">
        <v>212.5</v>
      </c>
      <c r="Y14" s="52">
        <v>30</v>
      </c>
      <c r="Z14" s="52">
        <v>1625</v>
      </c>
      <c r="AA14" s="52">
        <v>1867.5</v>
      </c>
      <c r="AB14" s="53">
        <v>0.87882352941176467</v>
      </c>
      <c r="AC14" s="72">
        <v>257.5</v>
      </c>
      <c r="AD14" s="55">
        <v>0.12117647058823529</v>
      </c>
      <c r="AE14" s="73">
        <v>3</v>
      </c>
      <c r="AF14" s="57" t="s">
        <v>95</v>
      </c>
      <c r="AG14" s="58">
        <v>500</v>
      </c>
      <c r="AH14" s="58">
        <v>1200</v>
      </c>
      <c r="AI14" s="58">
        <v>1700</v>
      </c>
      <c r="AJ14" s="49">
        <v>425</v>
      </c>
      <c r="AK14" s="49">
        <v>2125</v>
      </c>
      <c r="AL14" s="52">
        <v>212.5</v>
      </c>
      <c r="AM14" s="52">
        <v>1625</v>
      </c>
      <c r="AN14" s="52">
        <v>1837.5</v>
      </c>
      <c r="AO14" s="59">
        <v>0.86470588235294121</v>
      </c>
      <c r="AP14" s="60">
        <v>287.5</v>
      </c>
      <c r="AQ14" s="61">
        <v>0.13529411764705881</v>
      </c>
      <c r="AR14" s="60" t="s">
        <v>73</v>
      </c>
      <c r="AS14" s="62">
        <v>800</v>
      </c>
      <c r="AT14" s="62">
        <v>1920</v>
      </c>
      <c r="AU14" s="62">
        <v>2720</v>
      </c>
      <c r="AV14" s="62">
        <v>3400</v>
      </c>
      <c r="AW14" s="63" t="s">
        <v>74</v>
      </c>
      <c r="AX14" s="64">
        <v>45202</v>
      </c>
      <c r="AY14" s="64" t="s">
        <v>2614</v>
      </c>
      <c r="BA14" s="64"/>
      <c r="BB14" s="64"/>
      <c r="BC14" s="64"/>
      <c r="BD14" s="46"/>
      <c r="BE14" s="46" t="e">
        <v>#REF!</v>
      </c>
      <c r="BF14" s="46" t="s">
        <v>75</v>
      </c>
      <c r="BG14" s="65">
        <v>4</v>
      </c>
      <c r="BH14" s="66" t="s">
        <v>2615</v>
      </c>
      <c r="BI14" s="63" t="s">
        <v>2616</v>
      </c>
    </row>
    <row r="15" spans="1:61" ht="25.5" x14ac:dyDescent="0.2">
      <c r="A15" s="45" t="s">
        <v>2617</v>
      </c>
      <c r="B15" s="46"/>
      <c r="C15" s="46" t="s">
        <v>2588</v>
      </c>
      <c r="D15" s="46" t="s">
        <v>2217</v>
      </c>
      <c r="E15" s="46" t="s">
        <v>2589</v>
      </c>
      <c r="F15" s="46" t="s">
        <v>449</v>
      </c>
      <c r="G15" s="46"/>
      <c r="H15" s="46" t="s">
        <v>68</v>
      </c>
      <c r="I15" s="46" t="s">
        <v>68</v>
      </c>
      <c r="J15" s="46" t="s">
        <v>71</v>
      </c>
      <c r="K15" s="47">
        <v>550</v>
      </c>
      <c r="L15" s="47">
        <v>2000</v>
      </c>
      <c r="M15" s="47">
        <v>2550</v>
      </c>
      <c r="N15" s="46"/>
      <c r="O15" s="71" t="s">
        <v>68</v>
      </c>
      <c r="P15" s="64"/>
      <c r="Q15" s="46" t="s">
        <v>2565</v>
      </c>
      <c r="R15" s="46" t="s">
        <v>2568</v>
      </c>
      <c r="S15" s="49">
        <v>637.5</v>
      </c>
      <c r="T15" s="49">
        <v>3187.5</v>
      </c>
      <c r="U15" s="50">
        <v>6.3137254901960788E-2</v>
      </c>
      <c r="V15" s="50">
        <v>7.2549019607843143E-2</v>
      </c>
      <c r="W15" s="77">
        <v>3.6363636363636362</v>
      </c>
      <c r="X15" s="52">
        <v>318.75</v>
      </c>
      <c r="Y15" s="52">
        <v>30</v>
      </c>
      <c r="Z15" s="52">
        <v>2637.5</v>
      </c>
      <c r="AA15" s="52">
        <v>2986.25</v>
      </c>
      <c r="AB15" s="53">
        <v>0.93686274509803924</v>
      </c>
      <c r="AC15" s="72">
        <v>201.25</v>
      </c>
      <c r="AD15" s="55">
        <v>6.3137254901960788E-2</v>
      </c>
      <c r="AE15" s="73">
        <v>3</v>
      </c>
      <c r="AF15" s="57" t="s">
        <v>95</v>
      </c>
      <c r="AG15" s="58">
        <v>550</v>
      </c>
      <c r="AH15" s="58">
        <v>2000</v>
      </c>
      <c r="AI15" s="58">
        <v>2550</v>
      </c>
      <c r="AJ15" s="49">
        <v>637.5</v>
      </c>
      <c r="AK15" s="49">
        <v>3187.5</v>
      </c>
      <c r="AL15" s="52">
        <v>318.75</v>
      </c>
      <c r="AM15" s="52">
        <v>2637.5</v>
      </c>
      <c r="AN15" s="52">
        <v>2956.25</v>
      </c>
      <c r="AO15" s="59">
        <v>0.9274509803921569</v>
      </c>
      <c r="AP15" s="60">
        <v>231.25</v>
      </c>
      <c r="AQ15" s="61">
        <v>7.2549019607843143E-2</v>
      </c>
      <c r="AR15" s="60" t="s">
        <v>73</v>
      </c>
      <c r="AS15" s="62">
        <v>880</v>
      </c>
      <c r="AT15" s="62">
        <v>3200</v>
      </c>
      <c r="AU15" s="62">
        <v>4080</v>
      </c>
      <c r="AV15" s="62">
        <v>5100</v>
      </c>
      <c r="AW15" s="63" t="s">
        <v>74</v>
      </c>
      <c r="AX15" s="64">
        <v>45202</v>
      </c>
      <c r="AY15" s="64" t="s">
        <v>2618</v>
      </c>
      <c r="BA15" s="64"/>
      <c r="BB15" s="64"/>
      <c r="BC15" s="64"/>
      <c r="BD15" s="46"/>
      <c r="BE15" s="46" t="e">
        <v>#REF!</v>
      </c>
      <c r="BF15" s="46" t="s">
        <v>75</v>
      </c>
      <c r="BG15" s="65">
        <v>6</v>
      </c>
      <c r="BH15" s="66" t="s">
        <v>2619</v>
      </c>
      <c r="BI15" s="63" t="s">
        <v>2620</v>
      </c>
    </row>
    <row r="16" spans="1:61" ht="38.25" x14ac:dyDescent="0.2">
      <c r="A16" s="45" t="s">
        <v>2621</v>
      </c>
      <c r="B16" s="46"/>
      <c r="C16" s="46" t="s">
        <v>2588</v>
      </c>
      <c r="D16" s="46" t="s">
        <v>2622</v>
      </c>
      <c r="E16" s="46" t="s">
        <v>2209</v>
      </c>
      <c r="F16" s="46" t="s">
        <v>2589</v>
      </c>
      <c r="G16" s="46"/>
      <c r="H16" s="46" t="s">
        <v>68</v>
      </c>
      <c r="I16" s="46" t="s">
        <v>68</v>
      </c>
      <c r="J16" s="46" t="s">
        <v>71</v>
      </c>
      <c r="K16" s="47">
        <v>450</v>
      </c>
      <c r="L16" s="47">
        <v>1500</v>
      </c>
      <c r="M16" s="47">
        <v>1950</v>
      </c>
      <c r="N16" s="46"/>
      <c r="O16" s="71" t="s">
        <v>68</v>
      </c>
      <c r="P16" s="64"/>
      <c r="Q16" s="46" t="s">
        <v>2565</v>
      </c>
      <c r="R16" s="46" t="s">
        <v>2568</v>
      </c>
      <c r="S16" s="49">
        <v>487.5</v>
      </c>
      <c r="T16" s="49">
        <v>2437.5</v>
      </c>
      <c r="U16" s="50">
        <v>7.2307692307692309E-2</v>
      </c>
      <c r="V16" s="50">
        <v>8.461538461538462E-2</v>
      </c>
      <c r="W16" s="77">
        <v>3.3333333333333335</v>
      </c>
      <c r="X16" s="52">
        <v>243.75</v>
      </c>
      <c r="Y16" s="52">
        <v>30</v>
      </c>
      <c r="Z16" s="52">
        <v>1987.5</v>
      </c>
      <c r="AA16" s="52">
        <v>2261.25</v>
      </c>
      <c r="AB16" s="53">
        <v>0.9276923076923077</v>
      </c>
      <c r="AC16" s="72">
        <v>176.25</v>
      </c>
      <c r="AD16" s="55">
        <v>7.2307692307692309E-2</v>
      </c>
      <c r="AE16" s="73">
        <v>3</v>
      </c>
      <c r="AF16" s="57" t="s">
        <v>95</v>
      </c>
      <c r="AG16" s="58">
        <v>450</v>
      </c>
      <c r="AH16" s="58">
        <v>1500</v>
      </c>
      <c r="AI16" s="58">
        <v>1950</v>
      </c>
      <c r="AJ16" s="49">
        <v>487.5</v>
      </c>
      <c r="AK16" s="49">
        <v>2437.5</v>
      </c>
      <c r="AL16" s="52">
        <v>243.75</v>
      </c>
      <c r="AM16" s="52">
        <v>1987.5</v>
      </c>
      <c r="AN16" s="52">
        <v>2231.25</v>
      </c>
      <c r="AO16" s="59">
        <v>0.91538461538461535</v>
      </c>
      <c r="AP16" s="60">
        <v>206.25</v>
      </c>
      <c r="AQ16" s="61">
        <v>8.461538461538462E-2</v>
      </c>
      <c r="AR16" s="60" t="s">
        <v>73</v>
      </c>
      <c r="AS16" s="62">
        <v>720</v>
      </c>
      <c r="AT16" s="62">
        <v>2400</v>
      </c>
      <c r="AU16" s="62">
        <v>3120</v>
      </c>
      <c r="AV16" s="62">
        <v>3900</v>
      </c>
      <c r="AW16" s="63" t="s">
        <v>74</v>
      </c>
      <c r="AX16" s="64">
        <v>45202</v>
      </c>
      <c r="AY16" s="64" t="s">
        <v>2623</v>
      </c>
      <c r="BA16" s="64"/>
      <c r="BB16" s="64"/>
      <c r="BC16" s="64"/>
      <c r="BD16" s="46"/>
      <c r="BE16" s="46" t="e">
        <v>#REF!</v>
      </c>
      <c r="BF16" s="46" t="s">
        <v>75</v>
      </c>
      <c r="BG16" s="65">
        <v>6</v>
      </c>
      <c r="BH16" s="66" t="s">
        <v>2624</v>
      </c>
      <c r="BI16" s="63" t="s">
        <v>2625</v>
      </c>
    </row>
    <row r="17" spans="1:61" ht="38.25" x14ac:dyDescent="0.2">
      <c r="A17" s="45" t="s">
        <v>2626</v>
      </c>
      <c r="B17" s="46"/>
      <c r="C17" s="46" t="s">
        <v>2588</v>
      </c>
      <c r="D17" s="46" t="s">
        <v>2622</v>
      </c>
      <c r="E17" s="46" t="s">
        <v>2213</v>
      </c>
      <c r="F17" s="46" t="s">
        <v>2589</v>
      </c>
      <c r="G17" s="46"/>
      <c r="H17" s="46" t="s">
        <v>68</v>
      </c>
      <c r="I17" s="46" t="s">
        <v>68</v>
      </c>
      <c r="J17" s="46" t="s">
        <v>71</v>
      </c>
      <c r="K17" s="47">
        <v>550</v>
      </c>
      <c r="L17" s="47">
        <v>2250</v>
      </c>
      <c r="M17" s="47">
        <v>2800</v>
      </c>
      <c r="N17" s="46"/>
      <c r="O17" s="71" t="s">
        <v>68</v>
      </c>
      <c r="P17" s="64"/>
      <c r="Q17" s="46" t="s">
        <v>2565</v>
      </c>
      <c r="R17" s="46" t="s">
        <v>2568</v>
      </c>
      <c r="S17" s="49">
        <v>700</v>
      </c>
      <c r="T17" s="49">
        <v>3500</v>
      </c>
      <c r="U17" s="50">
        <v>4.8571428571428571E-2</v>
      </c>
      <c r="V17" s="50">
        <v>5.7142857142857141E-2</v>
      </c>
      <c r="W17" s="77">
        <v>4.0909090909090908</v>
      </c>
      <c r="X17" s="52">
        <v>350</v>
      </c>
      <c r="Y17" s="52">
        <v>30</v>
      </c>
      <c r="Z17" s="52">
        <v>2950</v>
      </c>
      <c r="AA17" s="52">
        <v>3330</v>
      </c>
      <c r="AB17" s="53">
        <v>0.9514285714285714</v>
      </c>
      <c r="AC17" s="72">
        <v>170</v>
      </c>
      <c r="AD17" s="55">
        <v>4.8571428571428571E-2</v>
      </c>
      <c r="AE17" s="73">
        <v>3</v>
      </c>
      <c r="AF17" s="57" t="s">
        <v>95</v>
      </c>
      <c r="AG17" s="58">
        <v>550</v>
      </c>
      <c r="AH17" s="58">
        <v>2250</v>
      </c>
      <c r="AI17" s="58">
        <v>2800</v>
      </c>
      <c r="AJ17" s="49">
        <v>700</v>
      </c>
      <c r="AK17" s="49">
        <v>3500</v>
      </c>
      <c r="AL17" s="52">
        <v>350</v>
      </c>
      <c r="AM17" s="52">
        <v>2950</v>
      </c>
      <c r="AN17" s="52">
        <v>3300</v>
      </c>
      <c r="AO17" s="59">
        <v>0.94285714285714284</v>
      </c>
      <c r="AP17" s="60">
        <v>200</v>
      </c>
      <c r="AQ17" s="61">
        <v>5.7142857142857141E-2</v>
      </c>
      <c r="AR17" s="60" t="s">
        <v>73</v>
      </c>
      <c r="AS17" s="62">
        <v>880</v>
      </c>
      <c r="AT17" s="62">
        <v>3600</v>
      </c>
      <c r="AU17" s="62">
        <v>4480</v>
      </c>
      <c r="AV17" s="62">
        <v>5600</v>
      </c>
      <c r="AW17" s="63" t="s">
        <v>74</v>
      </c>
      <c r="AX17" s="64">
        <v>45202</v>
      </c>
      <c r="AY17" s="64" t="s">
        <v>2627</v>
      </c>
      <c r="BA17" s="64"/>
      <c r="BB17" s="64"/>
      <c r="BC17" s="64"/>
      <c r="BD17" s="46"/>
      <c r="BE17" s="46" t="e">
        <v>#REF!</v>
      </c>
      <c r="BF17" s="46" t="s">
        <v>75</v>
      </c>
      <c r="BG17" s="65">
        <v>8</v>
      </c>
      <c r="BH17" s="66" t="s">
        <v>2628</v>
      </c>
      <c r="BI17" s="63" t="s">
        <v>2629</v>
      </c>
    </row>
    <row r="18" spans="1:61" ht="38.25" x14ac:dyDescent="0.2">
      <c r="A18" s="45" t="s">
        <v>2630</v>
      </c>
      <c r="B18" s="46"/>
      <c r="C18" s="46" t="s">
        <v>2588</v>
      </c>
      <c r="D18" s="46" t="s">
        <v>2622</v>
      </c>
      <c r="E18" s="46" t="s">
        <v>2217</v>
      </c>
      <c r="F18" s="46" t="s">
        <v>2589</v>
      </c>
      <c r="G18" s="46"/>
      <c r="H18" s="46" t="s">
        <v>68</v>
      </c>
      <c r="I18" s="46" t="s">
        <v>68</v>
      </c>
      <c r="J18" s="46" t="s">
        <v>71</v>
      </c>
      <c r="K18" s="47">
        <v>650</v>
      </c>
      <c r="L18" s="47">
        <v>3000</v>
      </c>
      <c r="M18" s="47">
        <v>3650</v>
      </c>
      <c r="N18" s="46"/>
      <c r="O18" s="71" t="s">
        <v>68</v>
      </c>
      <c r="P18" s="64"/>
      <c r="Q18" s="46" t="s">
        <v>2565</v>
      </c>
      <c r="R18" s="46" t="s">
        <v>2568</v>
      </c>
      <c r="S18" s="49">
        <v>912.5</v>
      </c>
      <c r="T18" s="49">
        <v>4562.5</v>
      </c>
      <c r="U18" s="50">
        <v>3.5890410958904106E-2</v>
      </c>
      <c r="V18" s="50">
        <v>4.2465753424657533E-2</v>
      </c>
      <c r="W18" s="77">
        <v>4.615384615384615</v>
      </c>
      <c r="X18" s="52">
        <v>456.25</v>
      </c>
      <c r="Y18" s="52">
        <v>30</v>
      </c>
      <c r="Z18" s="52">
        <v>3912.5</v>
      </c>
      <c r="AA18" s="52">
        <v>4398.75</v>
      </c>
      <c r="AB18" s="53">
        <v>0.96410958904109589</v>
      </c>
      <c r="AC18" s="72">
        <v>163.75</v>
      </c>
      <c r="AD18" s="55">
        <v>3.5890410958904106E-2</v>
      </c>
      <c r="AE18" s="73">
        <v>3</v>
      </c>
      <c r="AF18" s="57" t="s">
        <v>95</v>
      </c>
      <c r="AG18" s="58">
        <v>650</v>
      </c>
      <c r="AH18" s="58">
        <v>3000</v>
      </c>
      <c r="AI18" s="58">
        <v>3650</v>
      </c>
      <c r="AJ18" s="49">
        <v>912.5</v>
      </c>
      <c r="AK18" s="49">
        <v>4562.5</v>
      </c>
      <c r="AL18" s="52">
        <v>456.25</v>
      </c>
      <c r="AM18" s="52">
        <v>3912.5</v>
      </c>
      <c r="AN18" s="52">
        <v>4368.75</v>
      </c>
      <c r="AO18" s="59">
        <v>0.95753424657534247</v>
      </c>
      <c r="AP18" s="60">
        <v>193.75</v>
      </c>
      <c r="AQ18" s="61">
        <v>4.2465753424657533E-2</v>
      </c>
      <c r="AR18" s="60" t="s">
        <v>73</v>
      </c>
      <c r="AS18" s="62">
        <v>1040</v>
      </c>
      <c r="AT18" s="62">
        <v>4800</v>
      </c>
      <c r="AU18" s="62">
        <v>5840</v>
      </c>
      <c r="AV18" s="62">
        <v>7300</v>
      </c>
      <c r="AW18" s="63" t="s">
        <v>74</v>
      </c>
      <c r="AX18" s="64">
        <v>45202</v>
      </c>
      <c r="AY18" s="64" t="s">
        <v>2631</v>
      </c>
      <c r="BA18" s="64"/>
      <c r="BB18" s="64"/>
      <c r="BC18" s="64"/>
      <c r="BD18" s="46"/>
      <c r="BE18" s="46" t="e">
        <v>#REF!</v>
      </c>
      <c r="BF18" s="46" t="s">
        <v>75</v>
      </c>
      <c r="BG18" s="65">
        <v>8</v>
      </c>
      <c r="BH18" s="66" t="s">
        <v>2632</v>
      </c>
      <c r="BI18" s="63" t="s">
        <v>2633</v>
      </c>
    </row>
    <row r="19" spans="1:61" ht="25.5" x14ac:dyDescent="0.2">
      <c r="A19" s="45" t="s">
        <v>2634</v>
      </c>
      <c r="B19" s="46"/>
      <c r="C19" s="46" t="s">
        <v>2635</v>
      </c>
      <c r="D19" s="46" t="s">
        <v>2636</v>
      </c>
      <c r="E19" s="46" t="s">
        <v>68</v>
      </c>
      <c r="F19" s="46" t="s">
        <v>2637</v>
      </c>
      <c r="G19" s="46" t="s">
        <v>68</v>
      </c>
      <c r="H19" s="46" t="s">
        <v>68</v>
      </c>
      <c r="I19" s="46" t="s">
        <v>68</v>
      </c>
      <c r="J19" s="46" t="s">
        <v>71</v>
      </c>
      <c r="K19" s="47">
        <v>250</v>
      </c>
      <c r="L19" s="47">
        <v>100</v>
      </c>
      <c r="M19" s="47">
        <v>350</v>
      </c>
      <c r="N19" s="46"/>
      <c r="O19" s="71" t="s">
        <v>68</v>
      </c>
      <c r="P19" s="64"/>
      <c r="Q19" s="46" t="s">
        <v>2565</v>
      </c>
      <c r="R19" s="46" t="s">
        <v>2568</v>
      </c>
      <c r="S19" s="49">
        <v>87.5</v>
      </c>
      <c r="T19" s="49">
        <v>437.5</v>
      </c>
      <c r="U19" s="67">
        <v>0.40285714285714286</v>
      </c>
      <c r="V19" s="67">
        <v>0.47142857142857142</v>
      </c>
      <c r="W19" s="51">
        <v>0.4</v>
      </c>
      <c r="X19" s="52">
        <v>43.75</v>
      </c>
      <c r="Y19" s="52">
        <v>30</v>
      </c>
      <c r="Z19" s="52">
        <v>187.5</v>
      </c>
      <c r="AA19" s="52">
        <v>261.25</v>
      </c>
      <c r="AB19" s="53">
        <v>0.5971428571428572</v>
      </c>
      <c r="AC19" s="72">
        <v>176.25</v>
      </c>
      <c r="AD19" s="55">
        <v>0.40285714285714286</v>
      </c>
      <c r="AE19" s="73">
        <v>3</v>
      </c>
      <c r="AF19" s="57" t="s">
        <v>95</v>
      </c>
      <c r="AG19" s="58">
        <v>250</v>
      </c>
      <c r="AH19" s="58">
        <v>100</v>
      </c>
      <c r="AI19" s="58">
        <v>350</v>
      </c>
      <c r="AJ19" s="49">
        <v>87.5</v>
      </c>
      <c r="AK19" s="49">
        <v>437.5</v>
      </c>
      <c r="AL19" s="52">
        <v>43.75</v>
      </c>
      <c r="AM19" s="52">
        <v>187.5</v>
      </c>
      <c r="AN19" s="52">
        <v>231.25</v>
      </c>
      <c r="AO19" s="59">
        <v>0.52857142857142858</v>
      </c>
      <c r="AP19" s="60">
        <v>206.25</v>
      </c>
      <c r="AQ19" s="61">
        <v>0.47142857142857142</v>
      </c>
      <c r="AR19" s="60" t="s">
        <v>78</v>
      </c>
      <c r="AS19" s="62">
        <v>400</v>
      </c>
      <c r="AT19" s="62">
        <v>160</v>
      </c>
      <c r="AU19" s="62">
        <v>560</v>
      </c>
      <c r="AV19" s="62">
        <v>700</v>
      </c>
      <c r="AW19" s="63" t="s">
        <v>74</v>
      </c>
      <c r="AX19" s="64">
        <v>45202</v>
      </c>
      <c r="AY19" s="64" t="s">
        <v>2638</v>
      </c>
      <c r="BA19" s="64"/>
      <c r="BB19" s="64"/>
      <c r="BC19" s="64"/>
      <c r="BD19" s="46"/>
      <c r="BE19" s="46" t="e">
        <v>#REF!</v>
      </c>
      <c r="BF19" s="46" t="s">
        <v>75</v>
      </c>
      <c r="BG19" s="65">
        <v>1</v>
      </c>
      <c r="BH19" s="66" t="s">
        <v>2639</v>
      </c>
      <c r="BI19" s="63" t="s">
        <v>2640</v>
      </c>
    </row>
    <row r="20" spans="1:61" ht="38.25" x14ac:dyDescent="0.2">
      <c r="A20" s="45" t="s">
        <v>2641</v>
      </c>
      <c r="B20" s="46"/>
      <c r="C20" s="46" t="s">
        <v>2642</v>
      </c>
      <c r="D20" s="46" t="s">
        <v>2636</v>
      </c>
      <c r="E20" s="46" t="s">
        <v>68</v>
      </c>
      <c r="F20" s="46" t="s">
        <v>2637</v>
      </c>
      <c r="G20" s="46" t="s">
        <v>68</v>
      </c>
      <c r="H20" s="46" t="s">
        <v>68</v>
      </c>
      <c r="I20" s="46" t="s">
        <v>68</v>
      </c>
      <c r="J20" s="46" t="s">
        <v>71</v>
      </c>
      <c r="K20" s="47">
        <v>250</v>
      </c>
      <c r="L20" s="47">
        <v>200</v>
      </c>
      <c r="M20" s="47">
        <v>450</v>
      </c>
      <c r="N20" s="46"/>
      <c r="O20" s="71" t="s">
        <v>68</v>
      </c>
      <c r="P20" s="64"/>
      <c r="Q20" s="46" t="s">
        <v>2565</v>
      </c>
      <c r="R20" s="46" t="s">
        <v>2568</v>
      </c>
      <c r="S20" s="49">
        <v>112.5</v>
      </c>
      <c r="T20" s="49">
        <v>562.5</v>
      </c>
      <c r="U20" s="28">
        <v>0.2911111111111111</v>
      </c>
      <c r="V20" s="67">
        <v>0.34444444444444444</v>
      </c>
      <c r="W20" s="51">
        <v>0.8</v>
      </c>
      <c r="X20" s="52">
        <v>56.25</v>
      </c>
      <c r="Y20" s="52">
        <v>30</v>
      </c>
      <c r="Z20" s="52">
        <v>312.5</v>
      </c>
      <c r="AA20" s="52">
        <v>398.75</v>
      </c>
      <c r="AB20" s="53">
        <v>0.7088888888888889</v>
      </c>
      <c r="AC20" s="72">
        <v>163.75</v>
      </c>
      <c r="AD20" s="55">
        <v>0.2911111111111111</v>
      </c>
      <c r="AE20" s="73">
        <v>3</v>
      </c>
      <c r="AF20" s="57" t="s">
        <v>95</v>
      </c>
      <c r="AG20" s="58">
        <v>250</v>
      </c>
      <c r="AH20" s="58">
        <v>200</v>
      </c>
      <c r="AI20" s="58">
        <v>450</v>
      </c>
      <c r="AJ20" s="49">
        <v>112.5</v>
      </c>
      <c r="AK20" s="49">
        <v>562.5</v>
      </c>
      <c r="AL20" s="52">
        <v>56.25</v>
      </c>
      <c r="AM20" s="52">
        <v>312.5</v>
      </c>
      <c r="AN20" s="52">
        <v>368.75</v>
      </c>
      <c r="AO20" s="59">
        <v>0.65555555555555556</v>
      </c>
      <c r="AP20" s="60">
        <v>193.75</v>
      </c>
      <c r="AQ20" s="61">
        <v>0.34444444444444444</v>
      </c>
      <c r="AR20" s="60" t="s">
        <v>78</v>
      </c>
      <c r="AS20" s="62">
        <v>400</v>
      </c>
      <c r="AT20" s="62">
        <v>320</v>
      </c>
      <c r="AU20" s="62">
        <v>720</v>
      </c>
      <c r="AV20" s="62">
        <v>900</v>
      </c>
      <c r="AW20" s="63" t="s">
        <v>74</v>
      </c>
      <c r="AX20" s="64">
        <v>45202</v>
      </c>
      <c r="AY20" s="64" t="s">
        <v>2643</v>
      </c>
      <c r="BA20" s="64"/>
      <c r="BB20" s="64"/>
      <c r="BC20" s="64"/>
      <c r="BD20" s="46"/>
      <c r="BE20" s="46" t="e">
        <v>#REF!</v>
      </c>
      <c r="BF20" s="46" t="s">
        <v>79</v>
      </c>
      <c r="BG20" s="65">
        <v>0.75</v>
      </c>
      <c r="BH20" s="66" t="s">
        <v>2644</v>
      </c>
      <c r="BI20" s="63" t="s">
        <v>2645</v>
      </c>
    </row>
    <row r="21" spans="1:61" ht="25.5" x14ac:dyDescent="0.2">
      <c r="A21" s="45" t="s">
        <v>2646</v>
      </c>
      <c r="B21" s="46"/>
      <c r="C21" s="46" t="s">
        <v>2647</v>
      </c>
      <c r="D21" s="46" t="s">
        <v>2636</v>
      </c>
      <c r="E21" s="46" t="s">
        <v>68</v>
      </c>
      <c r="F21" s="46" t="s">
        <v>68</v>
      </c>
      <c r="G21" s="46" t="s">
        <v>68</v>
      </c>
      <c r="H21" s="46" t="s">
        <v>2648</v>
      </c>
      <c r="I21" s="46" t="s">
        <v>68</v>
      </c>
      <c r="J21" s="46" t="s">
        <v>71</v>
      </c>
      <c r="K21" s="47">
        <v>170</v>
      </c>
      <c r="L21" s="47">
        <v>180</v>
      </c>
      <c r="M21" s="47">
        <v>350</v>
      </c>
      <c r="N21" s="46"/>
      <c r="O21" s="71" t="s">
        <v>68</v>
      </c>
      <c r="P21" s="64"/>
      <c r="Q21" s="46" t="s">
        <v>2565</v>
      </c>
      <c r="R21" s="46" t="s">
        <v>2568</v>
      </c>
      <c r="S21" s="49">
        <v>87.5</v>
      </c>
      <c r="T21" s="49">
        <v>437.5</v>
      </c>
      <c r="U21" s="28">
        <v>0.22</v>
      </c>
      <c r="V21" s="50">
        <v>0.15660377358490565</v>
      </c>
      <c r="W21" s="74">
        <v>1.0588235294117647</v>
      </c>
      <c r="X21" s="52">
        <v>43.75</v>
      </c>
      <c r="Y21" s="52">
        <v>30</v>
      </c>
      <c r="Z21" s="52">
        <v>267.5</v>
      </c>
      <c r="AA21" s="52">
        <v>341.25</v>
      </c>
      <c r="AB21" s="53">
        <v>0.78</v>
      </c>
      <c r="AC21" s="54">
        <v>96.25</v>
      </c>
      <c r="AD21" s="55">
        <v>0.22</v>
      </c>
      <c r="AE21" s="56">
        <v>2</v>
      </c>
      <c r="AF21" s="57" t="s">
        <v>72</v>
      </c>
      <c r="AG21" s="58">
        <v>85</v>
      </c>
      <c r="AH21" s="58">
        <v>180</v>
      </c>
      <c r="AI21" s="58">
        <v>265</v>
      </c>
      <c r="AJ21" s="49">
        <v>66.25</v>
      </c>
      <c r="AK21" s="49">
        <v>331.25</v>
      </c>
      <c r="AL21" s="52">
        <v>33.125</v>
      </c>
      <c r="AM21" s="52">
        <v>246.25</v>
      </c>
      <c r="AN21" s="52">
        <v>279.375</v>
      </c>
      <c r="AO21" s="59">
        <v>0.84339622641509437</v>
      </c>
      <c r="AP21" s="60">
        <v>51.875</v>
      </c>
      <c r="AQ21" s="61">
        <v>0.15660377358490565</v>
      </c>
      <c r="AR21" s="60" t="s">
        <v>73</v>
      </c>
      <c r="AS21" s="62">
        <v>255</v>
      </c>
      <c r="AT21" s="62">
        <v>270</v>
      </c>
      <c r="AU21" s="62">
        <v>525</v>
      </c>
      <c r="AV21" s="62">
        <v>656.25</v>
      </c>
      <c r="AW21" s="63" t="s">
        <v>74</v>
      </c>
      <c r="AX21" s="64">
        <v>45202</v>
      </c>
      <c r="AY21" s="64" t="s">
        <v>2649</v>
      </c>
      <c r="BA21" s="64"/>
      <c r="BB21" s="64"/>
      <c r="BC21" s="64"/>
      <c r="BD21" s="46"/>
      <c r="BE21" s="46" t="e">
        <v>#REF!</v>
      </c>
      <c r="BF21" s="46" t="s">
        <v>75</v>
      </c>
      <c r="BG21" s="65">
        <v>2</v>
      </c>
      <c r="BH21" s="66" t="s">
        <v>2650</v>
      </c>
      <c r="BI21" s="63" t="s">
        <v>2651</v>
      </c>
    </row>
    <row r="22" spans="1:61" ht="114.75" x14ac:dyDescent="0.2">
      <c r="A22" s="45" t="s">
        <v>2652</v>
      </c>
      <c r="B22" s="46"/>
      <c r="C22" s="46" t="s">
        <v>2653</v>
      </c>
      <c r="D22" s="46" t="s">
        <v>2654</v>
      </c>
      <c r="E22" s="46" t="s">
        <v>2655</v>
      </c>
      <c r="F22" s="46"/>
      <c r="G22" s="46" t="s">
        <v>2656</v>
      </c>
      <c r="H22" s="46" t="s">
        <v>2657</v>
      </c>
      <c r="I22" s="46"/>
      <c r="J22" s="46" t="s">
        <v>71</v>
      </c>
      <c r="K22" s="47">
        <v>500</v>
      </c>
      <c r="L22" s="47">
        <f>900+200</f>
        <v>1100</v>
      </c>
      <c r="M22" s="47">
        <v>1600</v>
      </c>
      <c r="N22" s="46" t="s">
        <v>2658</v>
      </c>
      <c r="O22" s="71" t="s">
        <v>2659</v>
      </c>
      <c r="P22" s="46" t="s">
        <v>2660</v>
      </c>
      <c r="Q22" s="46" t="s">
        <v>2565</v>
      </c>
      <c r="R22" s="46" t="s">
        <v>2568</v>
      </c>
      <c r="S22" s="49">
        <v>400</v>
      </c>
      <c r="T22" s="49">
        <v>2000</v>
      </c>
      <c r="U22" s="50">
        <v>0.13500000000000001</v>
      </c>
      <c r="V22" s="50">
        <v>0.15</v>
      </c>
      <c r="W22" s="77">
        <v>2.2000000000000002</v>
      </c>
      <c r="X22" s="52">
        <v>200</v>
      </c>
      <c r="Y22" s="52">
        <v>30</v>
      </c>
      <c r="Z22" s="52">
        <v>1500</v>
      </c>
      <c r="AA22" s="52">
        <v>1730</v>
      </c>
      <c r="AB22" s="53">
        <v>0.86499999999999999</v>
      </c>
      <c r="AC22" s="72">
        <v>270</v>
      </c>
      <c r="AD22" s="55">
        <v>0.13500000000000001</v>
      </c>
      <c r="AE22" s="73">
        <v>3</v>
      </c>
      <c r="AF22" s="57" t="s">
        <v>95</v>
      </c>
      <c r="AG22" s="58">
        <v>500</v>
      </c>
      <c r="AH22" s="58">
        <v>1100</v>
      </c>
      <c r="AI22" s="58">
        <v>1600</v>
      </c>
      <c r="AJ22" s="49">
        <v>400</v>
      </c>
      <c r="AK22" s="49">
        <v>2000</v>
      </c>
      <c r="AL22" s="52">
        <v>200</v>
      </c>
      <c r="AM22" s="52">
        <v>1500</v>
      </c>
      <c r="AN22" s="52">
        <v>1700</v>
      </c>
      <c r="AO22" s="59">
        <v>0.85</v>
      </c>
      <c r="AP22" s="60">
        <v>300</v>
      </c>
      <c r="AQ22" s="61">
        <v>0.15</v>
      </c>
      <c r="AR22" s="60" t="s">
        <v>73</v>
      </c>
      <c r="AS22" s="62">
        <v>800</v>
      </c>
      <c r="AT22" s="62">
        <v>1760</v>
      </c>
      <c r="AU22" s="62">
        <v>2560</v>
      </c>
      <c r="AV22" s="62">
        <v>3200</v>
      </c>
      <c r="AW22" s="63" t="s">
        <v>74</v>
      </c>
      <c r="AX22" s="64">
        <v>44931</v>
      </c>
      <c r="AY22" s="64" t="s">
        <v>2661</v>
      </c>
      <c r="BA22" s="46" t="s">
        <v>74</v>
      </c>
      <c r="BB22" s="26"/>
      <c r="BC22" s="26"/>
      <c r="BD22" s="70" t="s">
        <v>2662</v>
      </c>
      <c r="BE22" s="46" t="e">
        <v>#REF!</v>
      </c>
      <c r="BF22" s="46" t="s">
        <v>75</v>
      </c>
      <c r="BG22" s="65">
        <v>6</v>
      </c>
      <c r="BH22" s="66"/>
      <c r="BI22" s="63" t="s">
        <v>2663</v>
      </c>
    </row>
    <row r="23" spans="1:61" ht="114.75" x14ac:dyDescent="0.2">
      <c r="A23" s="45" t="s">
        <v>2664</v>
      </c>
      <c r="B23" s="46"/>
      <c r="C23" s="46" t="s">
        <v>2653</v>
      </c>
      <c r="D23" s="46" t="s">
        <v>2654</v>
      </c>
      <c r="E23" s="46" t="s">
        <v>2665</v>
      </c>
      <c r="F23" s="46"/>
      <c r="G23" s="46" t="s">
        <v>2656</v>
      </c>
      <c r="H23" s="46" t="s">
        <v>2657</v>
      </c>
      <c r="I23" s="46"/>
      <c r="J23" s="46" t="s">
        <v>71</v>
      </c>
      <c r="K23" s="47">
        <v>500</v>
      </c>
      <c r="L23" s="47">
        <f>1000+200</f>
        <v>1200</v>
      </c>
      <c r="M23" s="47">
        <v>1700</v>
      </c>
      <c r="N23" s="46" t="s">
        <v>2658</v>
      </c>
      <c r="O23" s="71" t="s">
        <v>2666</v>
      </c>
      <c r="P23" s="46" t="s">
        <v>2660</v>
      </c>
      <c r="Q23" s="46" t="s">
        <v>2565</v>
      </c>
      <c r="R23" s="46" t="s">
        <v>2568</v>
      </c>
      <c r="S23" s="49">
        <v>425</v>
      </c>
      <c r="T23" s="49">
        <v>2125</v>
      </c>
      <c r="U23" s="50">
        <v>0.12117647058823529</v>
      </c>
      <c r="V23" s="50">
        <v>0.13529411764705881</v>
      </c>
      <c r="W23" s="77">
        <v>2.4</v>
      </c>
      <c r="X23" s="52">
        <v>212.5</v>
      </c>
      <c r="Y23" s="52">
        <v>30</v>
      </c>
      <c r="Z23" s="52">
        <v>1625</v>
      </c>
      <c r="AA23" s="52">
        <v>1867.5</v>
      </c>
      <c r="AB23" s="53">
        <v>0.87882352941176467</v>
      </c>
      <c r="AC23" s="72">
        <v>257.5</v>
      </c>
      <c r="AD23" s="55">
        <v>0.12117647058823529</v>
      </c>
      <c r="AE23" s="73">
        <v>3</v>
      </c>
      <c r="AF23" s="57" t="s">
        <v>95</v>
      </c>
      <c r="AG23" s="58">
        <v>500</v>
      </c>
      <c r="AH23" s="58">
        <v>1200</v>
      </c>
      <c r="AI23" s="58">
        <v>1700</v>
      </c>
      <c r="AJ23" s="49">
        <v>425</v>
      </c>
      <c r="AK23" s="49">
        <v>2125</v>
      </c>
      <c r="AL23" s="52">
        <v>212.5</v>
      </c>
      <c r="AM23" s="52">
        <v>1625</v>
      </c>
      <c r="AN23" s="52">
        <v>1837.5</v>
      </c>
      <c r="AO23" s="59">
        <v>0.86470588235294121</v>
      </c>
      <c r="AP23" s="60">
        <v>287.5</v>
      </c>
      <c r="AQ23" s="61">
        <v>0.13529411764705881</v>
      </c>
      <c r="AR23" s="60" t="s">
        <v>73</v>
      </c>
      <c r="AS23" s="62">
        <v>800</v>
      </c>
      <c r="AT23" s="62">
        <v>1920</v>
      </c>
      <c r="AU23" s="62">
        <v>2720</v>
      </c>
      <c r="AV23" s="62">
        <v>3400</v>
      </c>
      <c r="AW23" s="63" t="s">
        <v>74</v>
      </c>
      <c r="AX23" s="64">
        <v>44931</v>
      </c>
      <c r="AY23" s="64" t="s">
        <v>2667</v>
      </c>
      <c r="BA23" s="46" t="s">
        <v>74</v>
      </c>
      <c r="BB23" s="26"/>
      <c r="BC23" s="26"/>
      <c r="BD23" s="70" t="s">
        <v>2668</v>
      </c>
      <c r="BE23" s="46" t="e">
        <v>#REF!</v>
      </c>
      <c r="BF23" s="46" t="s">
        <v>75</v>
      </c>
      <c r="BG23" s="65">
        <v>6</v>
      </c>
      <c r="BH23" s="66"/>
      <c r="BI23" s="63" t="s">
        <v>2669</v>
      </c>
    </row>
    <row r="24" spans="1:61" ht="102" x14ac:dyDescent="0.2">
      <c r="A24" s="45" t="s">
        <v>2670</v>
      </c>
      <c r="B24" s="46"/>
      <c r="C24" s="46" t="s">
        <v>2653</v>
      </c>
      <c r="D24" s="46" t="s">
        <v>2654</v>
      </c>
      <c r="E24" s="46" t="s">
        <v>2671</v>
      </c>
      <c r="F24" s="46"/>
      <c r="G24" s="46" t="s">
        <v>2656</v>
      </c>
      <c r="H24" s="46" t="s">
        <v>2657</v>
      </c>
      <c r="I24" s="46"/>
      <c r="J24" s="46" t="s">
        <v>71</v>
      </c>
      <c r="K24" s="47">
        <v>500</v>
      </c>
      <c r="L24" s="47">
        <f>1100+200</f>
        <v>1300</v>
      </c>
      <c r="M24" s="47">
        <v>1800</v>
      </c>
      <c r="N24" s="46" t="s">
        <v>2658</v>
      </c>
      <c r="O24" s="71" t="s">
        <v>2672</v>
      </c>
      <c r="P24" s="46" t="s">
        <v>2660</v>
      </c>
      <c r="Q24" s="46" t="s">
        <v>2565</v>
      </c>
      <c r="R24" s="46" t="s">
        <v>2568</v>
      </c>
      <c r="S24" s="49">
        <v>450</v>
      </c>
      <c r="T24" s="49">
        <v>2250</v>
      </c>
      <c r="U24" s="50">
        <v>0.10888888888888888</v>
      </c>
      <c r="V24" s="50">
        <v>0.12222222222222222</v>
      </c>
      <c r="W24" s="77">
        <v>2.6</v>
      </c>
      <c r="X24" s="52">
        <v>225</v>
      </c>
      <c r="Y24" s="52">
        <v>30</v>
      </c>
      <c r="Z24" s="52">
        <v>1750</v>
      </c>
      <c r="AA24" s="52">
        <v>2005</v>
      </c>
      <c r="AB24" s="53">
        <v>0.89111111111111108</v>
      </c>
      <c r="AC24" s="72">
        <v>245</v>
      </c>
      <c r="AD24" s="55">
        <v>0.10888888888888888</v>
      </c>
      <c r="AE24" s="73">
        <v>3</v>
      </c>
      <c r="AF24" s="57" t="s">
        <v>95</v>
      </c>
      <c r="AG24" s="58">
        <v>500</v>
      </c>
      <c r="AH24" s="58">
        <v>1300</v>
      </c>
      <c r="AI24" s="58">
        <v>1800</v>
      </c>
      <c r="AJ24" s="49">
        <v>450</v>
      </c>
      <c r="AK24" s="49">
        <v>2250</v>
      </c>
      <c r="AL24" s="52">
        <v>225</v>
      </c>
      <c r="AM24" s="52">
        <v>1750</v>
      </c>
      <c r="AN24" s="52">
        <v>1975</v>
      </c>
      <c r="AO24" s="59">
        <v>0.87777777777777777</v>
      </c>
      <c r="AP24" s="60">
        <v>275</v>
      </c>
      <c r="AQ24" s="61">
        <v>0.12222222222222222</v>
      </c>
      <c r="AR24" s="60" t="s">
        <v>73</v>
      </c>
      <c r="AS24" s="62">
        <v>800</v>
      </c>
      <c r="AT24" s="62">
        <v>2080</v>
      </c>
      <c r="AU24" s="62">
        <v>2880</v>
      </c>
      <c r="AV24" s="62">
        <v>3600</v>
      </c>
      <c r="AW24" s="63" t="s">
        <v>74</v>
      </c>
      <c r="AX24" s="64">
        <v>44931</v>
      </c>
      <c r="AY24" s="64" t="s">
        <v>2673</v>
      </c>
      <c r="BA24" s="46" t="s">
        <v>74</v>
      </c>
      <c r="BB24" s="26"/>
      <c r="BC24" s="26"/>
      <c r="BD24" s="70" t="s">
        <v>2674</v>
      </c>
      <c r="BE24" s="46" t="e">
        <v>#REF!</v>
      </c>
      <c r="BF24" s="46" t="s">
        <v>75</v>
      </c>
      <c r="BG24" s="65">
        <v>6</v>
      </c>
      <c r="BH24" s="66"/>
      <c r="BI24" s="63" t="s">
        <v>2675</v>
      </c>
    </row>
    <row r="25" spans="1:61" ht="114.75" x14ac:dyDescent="0.2">
      <c r="A25" s="45" t="s">
        <v>2676</v>
      </c>
      <c r="B25" s="46"/>
      <c r="C25" s="46" t="s">
        <v>2677</v>
      </c>
      <c r="D25" s="46" t="s">
        <v>2654</v>
      </c>
      <c r="E25" s="46" t="s">
        <v>2655</v>
      </c>
      <c r="F25" s="46"/>
      <c r="G25" s="46" t="s">
        <v>2656</v>
      </c>
      <c r="H25" s="46" t="s">
        <v>2657</v>
      </c>
      <c r="I25" s="46"/>
      <c r="J25" s="46" t="s">
        <v>71</v>
      </c>
      <c r="K25" s="47">
        <v>500</v>
      </c>
      <c r="L25" s="47">
        <f>1000+200</f>
        <v>1200</v>
      </c>
      <c r="M25" s="47">
        <v>1700</v>
      </c>
      <c r="N25" s="46" t="s">
        <v>2658</v>
      </c>
      <c r="O25" s="71" t="s">
        <v>2678</v>
      </c>
      <c r="P25" s="46" t="s">
        <v>2660</v>
      </c>
      <c r="Q25" s="46" t="s">
        <v>2565</v>
      </c>
      <c r="R25" s="46" t="s">
        <v>2568</v>
      </c>
      <c r="S25" s="49">
        <v>425</v>
      </c>
      <c r="T25" s="49">
        <v>2125</v>
      </c>
      <c r="U25" s="50">
        <v>0.12117647058823529</v>
      </c>
      <c r="V25" s="50">
        <v>0.13529411764705881</v>
      </c>
      <c r="W25" s="77">
        <v>2.4</v>
      </c>
      <c r="X25" s="52">
        <v>212.5</v>
      </c>
      <c r="Y25" s="52">
        <v>30</v>
      </c>
      <c r="Z25" s="52">
        <v>1625</v>
      </c>
      <c r="AA25" s="52">
        <v>1867.5</v>
      </c>
      <c r="AB25" s="53">
        <v>0.87882352941176467</v>
      </c>
      <c r="AC25" s="72">
        <v>257.5</v>
      </c>
      <c r="AD25" s="55">
        <v>0.12117647058823529</v>
      </c>
      <c r="AE25" s="73">
        <v>3</v>
      </c>
      <c r="AF25" s="57" t="s">
        <v>95</v>
      </c>
      <c r="AG25" s="58">
        <v>500</v>
      </c>
      <c r="AH25" s="58">
        <v>1200</v>
      </c>
      <c r="AI25" s="58">
        <v>1700</v>
      </c>
      <c r="AJ25" s="49">
        <v>425</v>
      </c>
      <c r="AK25" s="49">
        <v>2125</v>
      </c>
      <c r="AL25" s="52">
        <v>212.5</v>
      </c>
      <c r="AM25" s="52">
        <v>1625</v>
      </c>
      <c r="AN25" s="52">
        <v>1837.5</v>
      </c>
      <c r="AO25" s="59">
        <v>0.86470588235294121</v>
      </c>
      <c r="AP25" s="60">
        <v>287.5</v>
      </c>
      <c r="AQ25" s="61">
        <v>0.13529411764705881</v>
      </c>
      <c r="AR25" s="60" t="s">
        <v>73</v>
      </c>
      <c r="AS25" s="62">
        <v>800</v>
      </c>
      <c r="AT25" s="62">
        <v>1920</v>
      </c>
      <c r="AU25" s="62">
        <v>2720</v>
      </c>
      <c r="AV25" s="62">
        <v>3400</v>
      </c>
      <c r="AW25" s="63" t="s">
        <v>74</v>
      </c>
      <c r="AX25" s="64">
        <v>44931</v>
      </c>
      <c r="AY25" s="64" t="s">
        <v>2679</v>
      </c>
      <c r="BA25" s="46" t="s">
        <v>74</v>
      </c>
      <c r="BB25" s="26"/>
      <c r="BC25" s="26"/>
      <c r="BD25" s="70" t="s">
        <v>2680</v>
      </c>
      <c r="BE25" s="46" t="e">
        <v>#REF!</v>
      </c>
      <c r="BF25" s="46" t="s">
        <v>75</v>
      </c>
      <c r="BG25" s="65">
        <v>6</v>
      </c>
      <c r="BH25" s="66"/>
      <c r="BI25" s="63" t="s">
        <v>2681</v>
      </c>
    </row>
    <row r="26" spans="1:61" ht="114.75" x14ac:dyDescent="0.2">
      <c r="A26" s="45" t="s">
        <v>2682</v>
      </c>
      <c r="B26" s="46"/>
      <c r="C26" s="46" t="s">
        <v>2677</v>
      </c>
      <c r="D26" s="46" t="s">
        <v>2654</v>
      </c>
      <c r="E26" s="46" t="s">
        <v>2665</v>
      </c>
      <c r="F26" s="46"/>
      <c r="G26" s="46" t="s">
        <v>2656</v>
      </c>
      <c r="H26" s="46" t="s">
        <v>2657</v>
      </c>
      <c r="I26" s="46"/>
      <c r="J26" s="46" t="s">
        <v>71</v>
      </c>
      <c r="K26" s="47">
        <v>500</v>
      </c>
      <c r="L26" s="47">
        <f>1100+200</f>
        <v>1300</v>
      </c>
      <c r="M26" s="47">
        <v>1800</v>
      </c>
      <c r="N26" s="46" t="s">
        <v>2658</v>
      </c>
      <c r="O26" s="71" t="s">
        <v>2683</v>
      </c>
      <c r="P26" s="46" t="s">
        <v>2660</v>
      </c>
      <c r="Q26" s="46" t="s">
        <v>2565</v>
      </c>
      <c r="R26" s="46" t="s">
        <v>2568</v>
      </c>
      <c r="S26" s="49">
        <v>450</v>
      </c>
      <c r="T26" s="49">
        <v>2250</v>
      </c>
      <c r="U26" s="50">
        <v>0.10888888888888888</v>
      </c>
      <c r="V26" s="50">
        <v>0.12222222222222222</v>
      </c>
      <c r="W26" s="77">
        <v>2.6</v>
      </c>
      <c r="X26" s="52">
        <v>225</v>
      </c>
      <c r="Y26" s="52">
        <v>30</v>
      </c>
      <c r="Z26" s="52">
        <v>1750</v>
      </c>
      <c r="AA26" s="52">
        <v>2005</v>
      </c>
      <c r="AB26" s="53">
        <v>0.89111111111111108</v>
      </c>
      <c r="AC26" s="72">
        <v>245</v>
      </c>
      <c r="AD26" s="55">
        <v>0.10888888888888888</v>
      </c>
      <c r="AE26" s="73">
        <v>3</v>
      </c>
      <c r="AF26" s="57" t="s">
        <v>95</v>
      </c>
      <c r="AG26" s="58">
        <v>500</v>
      </c>
      <c r="AH26" s="58">
        <v>1300</v>
      </c>
      <c r="AI26" s="58">
        <v>1800</v>
      </c>
      <c r="AJ26" s="49">
        <v>450</v>
      </c>
      <c r="AK26" s="49">
        <v>2250</v>
      </c>
      <c r="AL26" s="52">
        <v>225</v>
      </c>
      <c r="AM26" s="52">
        <v>1750</v>
      </c>
      <c r="AN26" s="52">
        <v>1975</v>
      </c>
      <c r="AO26" s="59">
        <v>0.87777777777777777</v>
      </c>
      <c r="AP26" s="60">
        <v>275</v>
      </c>
      <c r="AQ26" s="61">
        <v>0.12222222222222222</v>
      </c>
      <c r="AR26" s="60" t="s">
        <v>73</v>
      </c>
      <c r="AS26" s="62">
        <v>800</v>
      </c>
      <c r="AT26" s="62">
        <v>2080</v>
      </c>
      <c r="AU26" s="62">
        <v>2880</v>
      </c>
      <c r="AV26" s="62">
        <v>3600</v>
      </c>
      <c r="AW26" s="63" t="s">
        <v>74</v>
      </c>
      <c r="AX26" s="64">
        <v>44931</v>
      </c>
      <c r="AY26" s="64" t="s">
        <v>2684</v>
      </c>
      <c r="BA26" s="46" t="s">
        <v>74</v>
      </c>
      <c r="BB26" s="26"/>
      <c r="BC26" s="26"/>
      <c r="BD26" s="70" t="s">
        <v>2685</v>
      </c>
      <c r="BE26" s="46" t="e">
        <v>#REF!</v>
      </c>
      <c r="BF26" s="46" t="s">
        <v>75</v>
      </c>
      <c r="BG26" s="65">
        <v>6</v>
      </c>
      <c r="BH26" s="66"/>
      <c r="BI26" s="63" t="s">
        <v>2686</v>
      </c>
    </row>
    <row r="27" spans="1:61" ht="102" x14ac:dyDescent="0.2">
      <c r="A27" s="45" t="s">
        <v>2687</v>
      </c>
      <c r="B27" s="46"/>
      <c r="C27" s="46" t="s">
        <v>2677</v>
      </c>
      <c r="D27" s="46" t="s">
        <v>2654</v>
      </c>
      <c r="E27" s="46" t="s">
        <v>2671</v>
      </c>
      <c r="F27" s="46"/>
      <c r="G27" s="46" t="s">
        <v>2656</v>
      </c>
      <c r="H27" s="46" t="s">
        <v>2657</v>
      </c>
      <c r="I27" s="46"/>
      <c r="J27" s="46" t="s">
        <v>71</v>
      </c>
      <c r="K27" s="47">
        <v>550</v>
      </c>
      <c r="L27" s="47">
        <f>1350+200</f>
        <v>1550</v>
      </c>
      <c r="M27" s="47">
        <v>2100</v>
      </c>
      <c r="N27" s="46" t="s">
        <v>2658</v>
      </c>
      <c r="O27" s="71" t="s">
        <v>2688</v>
      </c>
      <c r="P27" s="46" t="s">
        <v>2660</v>
      </c>
      <c r="Q27" s="46" t="s">
        <v>2565</v>
      </c>
      <c r="R27" s="46" t="s">
        <v>2568</v>
      </c>
      <c r="S27" s="49">
        <v>525</v>
      </c>
      <c r="T27" s="49">
        <v>2625</v>
      </c>
      <c r="U27" s="50">
        <v>9.8095238095238096E-2</v>
      </c>
      <c r="V27" s="50">
        <v>0.10952380952380952</v>
      </c>
      <c r="W27" s="77">
        <v>2.8181818181818183</v>
      </c>
      <c r="X27" s="52">
        <v>262.5</v>
      </c>
      <c r="Y27" s="52">
        <v>30</v>
      </c>
      <c r="Z27" s="52">
        <v>2075</v>
      </c>
      <c r="AA27" s="52">
        <v>2367.5</v>
      </c>
      <c r="AB27" s="53">
        <v>0.90190476190476188</v>
      </c>
      <c r="AC27" s="72">
        <v>257.5</v>
      </c>
      <c r="AD27" s="55">
        <v>9.8095238095238096E-2</v>
      </c>
      <c r="AE27" s="73">
        <v>3</v>
      </c>
      <c r="AF27" s="57" t="s">
        <v>95</v>
      </c>
      <c r="AG27" s="58">
        <v>550</v>
      </c>
      <c r="AH27" s="58">
        <v>1550</v>
      </c>
      <c r="AI27" s="58">
        <v>2100</v>
      </c>
      <c r="AJ27" s="49">
        <v>525</v>
      </c>
      <c r="AK27" s="49">
        <v>2625</v>
      </c>
      <c r="AL27" s="52">
        <v>262.5</v>
      </c>
      <c r="AM27" s="52">
        <v>2075</v>
      </c>
      <c r="AN27" s="52">
        <v>2337.5</v>
      </c>
      <c r="AO27" s="59">
        <v>0.89047619047619042</v>
      </c>
      <c r="AP27" s="60">
        <v>287.5</v>
      </c>
      <c r="AQ27" s="61">
        <v>0.10952380952380952</v>
      </c>
      <c r="AR27" s="60" t="s">
        <v>73</v>
      </c>
      <c r="AS27" s="62">
        <v>880</v>
      </c>
      <c r="AT27" s="62">
        <v>2480</v>
      </c>
      <c r="AU27" s="62">
        <v>3360</v>
      </c>
      <c r="AV27" s="62">
        <v>4200</v>
      </c>
      <c r="AW27" s="63" t="s">
        <v>74</v>
      </c>
      <c r="AX27" s="64">
        <v>44931</v>
      </c>
      <c r="AY27" s="64" t="s">
        <v>2689</v>
      </c>
      <c r="BA27" s="46" t="s">
        <v>74</v>
      </c>
      <c r="BB27" s="26"/>
      <c r="BC27" s="26"/>
      <c r="BD27" s="70" t="s">
        <v>2690</v>
      </c>
      <c r="BE27" s="46" t="e">
        <v>#REF!</v>
      </c>
      <c r="BF27" s="46" t="s">
        <v>75</v>
      </c>
      <c r="BG27" s="65">
        <v>6</v>
      </c>
      <c r="BH27" s="66"/>
      <c r="BI27" s="63" t="s">
        <v>2691</v>
      </c>
    </row>
    <row r="28" spans="1:61" ht="114.75" x14ac:dyDescent="0.2">
      <c r="A28" s="45" t="s">
        <v>2692</v>
      </c>
      <c r="B28" s="46"/>
      <c r="C28" s="46" t="s">
        <v>2653</v>
      </c>
      <c r="D28" s="46" t="s">
        <v>2654</v>
      </c>
      <c r="E28" s="46" t="s">
        <v>2655</v>
      </c>
      <c r="F28" s="46"/>
      <c r="G28" s="46" t="s">
        <v>2656</v>
      </c>
      <c r="H28" s="46" t="s">
        <v>337</v>
      </c>
      <c r="I28" s="46"/>
      <c r="J28" s="46" t="s">
        <v>71</v>
      </c>
      <c r="K28" s="47">
        <v>520</v>
      </c>
      <c r="L28" s="47">
        <f>900+400</f>
        <v>1300</v>
      </c>
      <c r="M28" s="47">
        <v>1820</v>
      </c>
      <c r="N28" s="46" t="s">
        <v>2658</v>
      </c>
      <c r="O28" s="71" t="s">
        <v>2693</v>
      </c>
      <c r="P28" s="46" t="s">
        <v>2660</v>
      </c>
      <c r="Q28" s="46" t="s">
        <v>2565</v>
      </c>
      <c r="R28" s="46" t="s">
        <v>2568</v>
      </c>
      <c r="S28" s="49">
        <v>455</v>
      </c>
      <c r="T28" s="49">
        <v>2275</v>
      </c>
      <c r="U28" s="50">
        <v>0.11538461538461539</v>
      </c>
      <c r="V28" s="50">
        <v>0.12857142857142856</v>
      </c>
      <c r="W28" s="77">
        <v>2.5</v>
      </c>
      <c r="X28" s="52">
        <v>227.5</v>
      </c>
      <c r="Y28" s="52">
        <v>30</v>
      </c>
      <c r="Z28" s="52">
        <v>1755</v>
      </c>
      <c r="AA28" s="52">
        <v>2012.5</v>
      </c>
      <c r="AB28" s="53">
        <v>0.88461538461538458</v>
      </c>
      <c r="AC28" s="72">
        <v>262.5</v>
      </c>
      <c r="AD28" s="55">
        <v>0.11538461538461539</v>
      </c>
      <c r="AE28" s="73">
        <v>3</v>
      </c>
      <c r="AF28" s="57" t="s">
        <v>95</v>
      </c>
      <c r="AG28" s="58">
        <v>520</v>
      </c>
      <c r="AH28" s="58">
        <v>1300</v>
      </c>
      <c r="AI28" s="58">
        <v>1820</v>
      </c>
      <c r="AJ28" s="49">
        <v>455</v>
      </c>
      <c r="AK28" s="49">
        <v>2275</v>
      </c>
      <c r="AL28" s="52">
        <v>227.5</v>
      </c>
      <c r="AM28" s="52">
        <v>1755</v>
      </c>
      <c r="AN28" s="52">
        <v>1982.5</v>
      </c>
      <c r="AO28" s="59">
        <v>0.87142857142857144</v>
      </c>
      <c r="AP28" s="60">
        <v>292.5</v>
      </c>
      <c r="AQ28" s="61">
        <v>0.12857142857142856</v>
      </c>
      <c r="AR28" s="60" t="s">
        <v>73</v>
      </c>
      <c r="AS28" s="62">
        <v>832</v>
      </c>
      <c r="AT28" s="62">
        <v>2080</v>
      </c>
      <c r="AU28" s="62">
        <v>2912</v>
      </c>
      <c r="AV28" s="62">
        <v>3640</v>
      </c>
      <c r="AW28" s="63" t="s">
        <v>74</v>
      </c>
      <c r="AX28" s="64">
        <v>44931</v>
      </c>
      <c r="AY28" s="64" t="s">
        <v>2694</v>
      </c>
      <c r="BA28" s="46" t="s">
        <v>74</v>
      </c>
      <c r="BB28" s="26"/>
      <c r="BC28" s="26"/>
      <c r="BD28" s="70" t="s">
        <v>2662</v>
      </c>
      <c r="BE28" s="46" t="e">
        <v>#REF!</v>
      </c>
      <c r="BF28" s="46" t="s">
        <v>75</v>
      </c>
      <c r="BG28" s="65">
        <v>6</v>
      </c>
      <c r="BH28" s="66"/>
      <c r="BI28" s="63" t="s">
        <v>2695</v>
      </c>
    </row>
    <row r="29" spans="1:61" ht="114.75" x14ac:dyDescent="0.2">
      <c r="A29" s="45" t="s">
        <v>2696</v>
      </c>
      <c r="B29" s="46"/>
      <c r="C29" s="46" t="s">
        <v>2653</v>
      </c>
      <c r="D29" s="46" t="s">
        <v>2654</v>
      </c>
      <c r="E29" s="46" t="s">
        <v>2665</v>
      </c>
      <c r="F29" s="46"/>
      <c r="G29" s="46" t="s">
        <v>2656</v>
      </c>
      <c r="H29" s="46" t="s">
        <v>337</v>
      </c>
      <c r="I29" s="46"/>
      <c r="J29" s="46" t="s">
        <v>71</v>
      </c>
      <c r="K29" s="47">
        <v>520</v>
      </c>
      <c r="L29" s="47">
        <f>1000+400</f>
        <v>1400</v>
      </c>
      <c r="M29" s="47">
        <v>1920</v>
      </c>
      <c r="N29" s="46" t="s">
        <v>2658</v>
      </c>
      <c r="O29" s="71" t="s">
        <v>2697</v>
      </c>
      <c r="P29" s="46" t="s">
        <v>2660</v>
      </c>
      <c r="Q29" s="46" t="s">
        <v>2565</v>
      </c>
      <c r="R29" s="46" t="s">
        <v>2568</v>
      </c>
      <c r="S29" s="49">
        <v>480</v>
      </c>
      <c r="T29" s="49">
        <v>2400</v>
      </c>
      <c r="U29" s="50">
        <v>0.10416666666666667</v>
      </c>
      <c r="V29" s="50">
        <v>0.11666666666666667</v>
      </c>
      <c r="W29" s="77">
        <v>2.6923076923076925</v>
      </c>
      <c r="X29" s="52">
        <v>240</v>
      </c>
      <c r="Y29" s="52">
        <v>30</v>
      </c>
      <c r="Z29" s="52">
        <v>1880</v>
      </c>
      <c r="AA29" s="52">
        <v>2150</v>
      </c>
      <c r="AB29" s="53">
        <v>0.89583333333333337</v>
      </c>
      <c r="AC29" s="72">
        <v>250</v>
      </c>
      <c r="AD29" s="55">
        <v>0.10416666666666667</v>
      </c>
      <c r="AE29" s="73">
        <v>3</v>
      </c>
      <c r="AF29" s="57" t="s">
        <v>95</v>
      </c>
      <c r="AG29" s="58">
        <v>520</v>
      </c>
      <c r="AH29" s="58">
        <v>1400</v>
      </c>
      <c r="AI29" s="58">
        <v>1920</v>
      </c>
      <c r="AJ29" s="49">
        <v>480</v>
      </c>
      <c r="AK29" s="49">
        <v>2400</v>
      </c>
      <c r="AL29" s="52">
        <v>240</v>
      </c>
      <c r="AM29" s="52">
        <v>1880</v>
      </c>
      <c r="AN29" s="52">
        <v>2120</v>
      </c>
      <c r="AO29" s="59">
        <v>0.8833333333333333</v>
      </c>
      <c r="AP29" s="60">
        <v>280</v>
      </c>
      <c r="AQ29" s="61">
        <v>0.11666666666666667</v>
      </c>
      <c r="AR29" s="60" t="s">
        <v>73</v>
      </c>
      <c r="AS29" s="62">
        <v>832</v>
      </c>
      <c r="AT29" s="62">
        <v>2240</v>
      </c>
      <c r="AU29" s="62">
        <v>3072</v>
      </c>
      <c r="AV29" s="62">
        <v>3840</v>
      </c>
      <c r="AW29" s="63" t="s">
        <v>74</v>
      </c>
      <c r="AX29" s="64">
        <v>44931</v>
      </c>
      <c r="AY29" s="64" t="s">
        <v>2698</v>
      </c>
      <c r="BA29" s="46" t="s">
        <v>74</v>
      </c>
      <c r="BB29" s="26"/>
      <c r="BC29" s="26"/>
      <c r="BD29" s="70" t="s">
        <v>2668</v>
      </c>
      <c r="BE29" s="46" t="e">
        <v>#REF!</v>
      </c>
      <c r="BF29" s="46" t="s">
        <v>75</v>
      </c>
      <c r="BG29" s="65">
        <v>6</v>
      </c>
      <c r="BH29" s="66"/>
      <c r="BI29" s="63" t="s">
        <v>2699</v>
      </c>
    </row>
    <row r="30" spans="1:61" ht="102" x14ac:dyDescent="0.2">
      <c r="A30" s="45" t="s">
        <v>2700</v>
      </c>
      <c r="B30" s="46"/>
      <c r="C30" s="46" t="s">
        <v>2653</v>
      </c>
      <c r="D30" s="46" t="s">
        <v>2654</v>
      </c>
      <c r="E30" s="46" t="s">
        <v>2671</v>
      </c>
      <c r="F30" s="46"/>
      <c r="G30" s="46" t="s">
        <v>2656</v>
      </c>
      <c r="H30" s="46" t="s">
        <v>337</v>
      </c>
      <c r="I30" s="46"/>
      <c r="J30" s="46" t="s">
        <v>71</v>
      </c>
      <c r="K30" s="47">
        <v>550</v>
      </c>
      <c r="L30" s="47">
        <f>1100+400</f>
        <v>1500</v>
      </c>
      <c r="M30" s="47">
        <v>2050</v>
      </c>
      <c r="N30" s="46" t="s">
        <v>2658</v>
      </c>
      <c r="O30" s="71" t="s">
        <v>2701</v>
      </c>
      <c r="P30" s="46" t="s">
        <v>2660</v>
      </c>
      <c r="Q30" s="46" t="s">
        <v>2565</v>
      </c>
      <c r="R30" s="46" t="s">
        <v>2568</v>
      </c>
      <c r="S30" s="49">
        <v>512.5</v>
      </c>
      <c r="T30" s="49">
        <v>2562.5</v>
      </c>
      <c r="U30" s="50">
        <v>0.10292682926829268</v>
      </c>
      <c r="V30" s="50">
        <v>0.11463414634146342</v>
      </c>
      <c r="W30" s="77">
        <v>2.7272727272727271</v>
      </c>
      <c r="X30" s="52">
        <v>256.25</v>
      </c>
      <c r="Y30" s="52">
        <v>30</v>
      </c>
      <c r="Z30" s="52">
        <v>2012.5</v>
      </c>
      <c r="AA30" s="52">
        <v>2298.75</v>
      </c>
      <c r="AB30" s="53">
        <v>0.89707317073170734</v>
      </c>
      <c r="AC30" s="72">
        <v>263.75</v>
      </c>
      <c r="AD30" s="55">
        <v>0.10292682926829268</v>
      </c>
      <c r="AE30" s="73">
        <v>3</v>
      </c>
      <c r="AF30" s="57" t="s">
        <v>95</v>
      </c>
      <c r="AG30" s="58">
        <v>550</v>
      </c>
      <c r="AH30" s="58">
        <v>1500</v>
      </c>
      <c r="AI30" s="58">
        <v>2050</v>
      </c>
      <c r="AJ30" s="49">
        <v>512.5</v>
      </c>
      <c r="AK30" s="49">
        <v>2562.5</v>
      </c>
      <c r="AL30" s="52">
        <v>256.25</v>
      </c>
      <c r="AM30" s="52">
        <v>2012.5</v>
      </c>
      <c r="AN30" s="52">
        <v>2268.75</v>
      </c>
      <c r="AO30" s="59">
        <v>0.88536585365853659</v>
      </c>
      <c r="AP30" s="60">
        <v>293.75</v>
      </c>
      <c r="AQ30" s="61">
        <v>0.11463414634146342</v>
      </c>
      <c r="AR30" s="60" t="s">
        <v>73</v>
      </c>
      <c r="AS30" s="62">
        <v>880</v>
      </c>
      <c r="AT30" s="62">
        <v>2400</v>
      </c>
      <c r="AU30" s="62">
        <v>3280</v>
      </c>
      <c r="AV30" s="62">
        <v>4100</v>
      </c>
      <c r="AW30" s="63" t="s">
        <v>74</v>
      </c>
      <c r="AX30" s="64">
        <v>44931</v>
      </c>
      <c r="AY30" s="64" t="s">
        <v>2702</v>
      </c>
      <c r="BA30" s="46" t="s">
        <v>74</v>
      </c>
      <c r="BB30" s="26"/>
      <c r="BC30" s="26"/>
      <c r="BD30" s="70" t="s">
        <v>2674</v>
      </c>
      <c r="BE30" s="46" t="e">
        <v>#REF!</v>
      </c>
      <c r="BF30" s="46" t="s">
        <v>75</v>
      </c>
      <c r="BG30" s="65">
        <v>6</v>
      </c>
      <c r="BH30" s="66"/>
      <c r="BI30" s="63" t="s">
        <v>2703</v>
      </c>
    </row>
    <row r="31" spans="1:61" ht="114.75" x14ac:dyDescent="0.2">
      <c r="A31" s="45" t="s">
        <v>2704</v>
      </c>
      <c r="B31" s="46"/>
      <c r="C31" s="46" t="s">
        <v>2677</v>
      </c>
      <c r="D31" s="46" t="s">
        <v>2654</v>
      </c>
      <c r="E31" s="46" t="s">
        <v>2655</v>
      </c>
      <c r="F31" s="46"/>
      <c r="G31" s="46" t="s">
        <v>2656</v>
      </c>
      <c r="H31" s="46" t="s">
        <v>337</v>
      </c>
      <c r="I31" s="46"/>
      <c r="J31" s="46" t="s">
        <v>71</v>
      </c>
      <c r="K31" s="47">
        <v>520</v>
      </c>
      <c r="L31" s="47">
        <f>1000+400</f>
        <v>1400</v>
      </c>
      <c r="M31" s="47">
        <v>1920</v>
      </c>
      <c r="N31" s="46" t="s">
        <v>2658</v>
      </c>
      <c r="O31" s="71" t="s">
        <v>2705</v>
      </c>
      <c r="P31" s="46" t="s">
        <v>2660</v>
      </c>
      <c r="Q31" s="46" t="s">
        <v>2565</v>
      </c>
      <c r="R31" s="46" t="s">
        <v>2568</v>
      </c>
      <c r="S31" s="49">
        <v>480</v>
      </c>
      <c r="T31" s="49">
        <v>2400</v>
      </c>
      <c r="U31" s="50">
        <v>0.10416666666666667</v>
      </c>
      <c r="V31" s="50">
        <v>0.11666666666666667</v>
      </c>
      <c r="W31" s="77">
        <v>2.6923076923076925</v>
      </c>
      <c r="X31" s="52">
        <v>240</v>
      </c>
      <c r="Y31" s="52">
        <v>30</v>
      </c>
      <c r="Z31" s="52">
        <v>1880</v>
      </c>
      <c r="AA31" s="52">
        <v>2150</v>
      </c>
      <c r="AB31" s="53">
        <v>0.89583333333333337</v>
      </c>
      <c r="AC31" s="72">
        <v>250</v>
      </c>
      <c r="AD31" s="55">
        <v>0.10416666666666667</v>
      </c>
      <c r="AE31" s="73">
        <v>3</v>
      </c>
      <c r="AF31" s="57" t="s">
        <v>95</v>
      </c>
      <c r="AG31" s="58">
        <v>520</v>
      </c>
      <c r="AH31" s="58">
        <v>1400</v>
      </c>
      <c r="AI31" s="58">
        <v>1920</v>
      </c>
      <c r="AJ31" s="49">
        <v>480</v>
      </c>
      <c r="AK31" s="49">
        <v>2400</v>
      </c>
      <c r="AL31" s="52">
        <v>240</v>
      </c>
      <c r="AM31" s="52">
        <v>1880</v>
      </c>
      <c r="AN31" s="52">
        <v>2120</v>
      </c>
      <c r="AO31" s="59">
        <v>0.8833333333333333</v>
      </c>
      <c r="AP31" s="60">
        <v>280</v>
      </c>
      <c r="AQ31" s="61">
        <v>0.11666666666666667</v>
      </c>
      <c r="AR31" s="60" t="s">
        <v>73</v>
      </c>
      <c r="AS31" s="62">
        <v>832</v>
      </c>
      <c r="AT31" s="62">
        <v>2240</v>
      </c>
      <c r="AU31" s="62">
        <v>3072</v>
      </c>
      <c r="AV31" s="62">
        <v>3840</v>
      </c>
      <c r="AW31" s="63" t="s">
        <v>74</v>
      </c>
      <c r="AX31" s="64">
        <v>44931</v>
      </c>
      <c r="AY31" s="64" t="s">
        <v>2706</v>
      </c>
      <c r="BA31" s="46" t="s">
        <v>74</v>
      </c>
      <c r="BB31" s="26"/>
      <c r="BC31" s="26"/>
      <c r="BD31" s="70" t="s">
        <v>2680</v>
      </c>
      <c r="BE31" s="46" t="e">
        <v>#REF!</v>
      </c>
      <c r="BF31" s="46" t="s">
        <v>75</v>
      </c>
      <c r="BG31" s="65">
        <v>6</v>
      </c>
      <c r="BH31" s="66"/>
      <c r="BI31" s="63" t="s">
        <v>2707</v>
      </c>
    </row>
    <row r="32" spans="1:61" ht="114.75" x14ac:dyDescent="0.2">
      <c r="A32" s="45" t="s">
        <v>2708</v>
      </c>
      <c r="B32" s="46"/>
      <c r="C32" s="46" t="s">
        <v>2677</v>
      </c>
      <c r="D32" s="46" t="s">
        <v>2654</v>
      </c>
      <c r="E32" s="46" t="s">
        <v>2665</v>
      </c>
      <c r="F32" s="46"/>
      <c r="G32" s="46" t="s">
        <v>2656</v>
      </c>
      <c r="H32" s="46" t="s">
        <v>337</v>
      </c>
      <c r="I32" s="46"/>
      <c r="J32" s="46" t="s">
        <v>71</v>
      </c>
      <c r="K32" s="47">
        <v>520</v>
      </c>
      <c r="L32" s="47">
        <f>1100+400</f>
        <v>1500</v>
      </c>
      <c r="M32" s="47">
        <v>2020</v>
      </c>
      <c r="N32" s="46" t="s">
        <v>2658</v>
      </c>
      <c r="O32" s="71" t="s">
        <v>2709</v>
      </c>
      <c r="P32" s="46" t="s">
        <v>2660</v>
      </c>
      <c r="Q32" s="46" t="s">
        <v>2565</v>
      </c>
      <c r="R32" s="46" t="s">
        <v>2568</v>
      </c>
      <c r="S32" s="49">
        <v>505</v>
      </c>
      <c r="T32" s="49">
        <v>2525</v>
      </c>
      <c r="U32" s="50">
        <v>9.405940594059406E-2</v>
      </c>
      <c r="V32" s="50">
        <v>0.10594059405940594</v>
      </c>
      <c r="W32" s="77">
        <v>2.8846153846153846</v>
      </c>
      <c r="X32" s="52">
        <v>252.5</v>
      </c>
      <c r="Y32" s="52">
        <v>30</v>
      </c>
      <c r="Z32" s="52">
        <v>2005</v>
      </c>
      <c r="AA32" s="52">
        <v>2287.5</v>
      </c>
      <c r="AB32" s="53">
        <v>0.90594059405940597</v>
      </c>
      <c r="AC32" s="72">
        <v>237.5</v>
      </c>
      <c r="AD32" s="55">
        <v>9.405940594059406E-2</v>
      </c>
      <c r="AE32" s="73">
        <v>3</v>
      </c>
      <c r="AF32" s="57" t="s">
        <v>95</v>
      </c>
      <c r="AG32" s="58">
        <v>520</v>
      </c>
      <c r="AH32" s="58">
        <v>1500</v>
      </c>
      <c r="AI32" s="58">
        <v>2020</v>
      </c>
      <c r="AJ32" s="49">
        <v>505</v>
      </c>
      <c r="AK32" s="49">
        <v>2525</v>
      </c>
      <c r="AL32" s="52">
        <v>252.5</v>
      </c>
      <c r="AM32" s="52">
        <v>2005</v>
      </c>
      <c r="AN32" s="52">
        <v>2257.5</v>
      </c>
      <c r="AO32" s="59">
        <v>0.89405940594059408</v>
      </c>
      <c r="AP32" s="60">
        <v>267.5</v>
      </c>
      <c r="AQ32" s="61">
        <v>0.10594059405940594</v>
      </c>
      <c r="AR32" s="60" t="s">
        <v>73</v>
      </c>
      <c r="AS32" s="62">
        <v>832</v>
      </c>
      <c r="AT32" s="62">
        <v>2400</v>
      </c>
      <c r="AU32" s="62">
        <v>3232</v>
      </c>
      <c r="AV32" s="62">
        <v>4040</v>
      </c>
      <c r="AW32" s="63" t="s">
        <v>74</v>
      </c>
      <c r="AX32" s="64">
        <v>44931</v>
      </c>
      <c r="AY32" s="64" t="s">
        <v>2710</v>
      </c>
      <c r="BA32" s="46" t="s">
        <v>74</v>
      </c>
      <c r="BB32" s="26"/>
      <c r="BC32" s="26"/>
      <c r="BD32" s="70" t="s">
        <v>2685</v>
      </c>
      <c r="BE32" s="46" t="e">
        <v>#REF!</v>
      </c>
      <c r="BF32" s="46" t="s">
        <v>75</v>
      </c>
      <c r="BG32" s="65">
        <v>6</v>
      </c>
      <c r="BH32" s="66"/>
      <c r="BI32" s="63" t="s">
        <v>2711</v>
      </c>
    </row>
    <row r="33" spans="1:61" ht="102" x14ac:dyDescent="0.2">
      <c r="A33" s="45" t="s">
        <v>2712</v>
      </c>
      <c r="B33" s="46"/>
      <c r="C33" s="46" t="s">
        <v>2677</v>
      </c>
      <c r="D33" s="46" t="s">
        <v>2654</v>
      </c>
      <c r="E33" s="46" t="s">
        <v>2671</v>
      </c>
      <c r="F33" s="46"/>
      <c r="G33" s="46" t="s">
        <v>2656</v>
      </c>
      <c r="H33" s="46" t="s">
        <v>337</v>
      </c>
      <c r="I33" s="46"/>
      <c r="J33" s="46" t="s">
        <v>71</v>
      </c>
      <c r="K33" s="47">
        <v>550</v>
      </c>
      <c r="L33" s="47">
        <f>1350+400</f>
        <v>1750</v>
      </c>
      <c r="M33" s="47">
        <v>2300</v>
      </c>
      <c r="N33" s="46" t="s">
        <v>2658</v>
      </c>
      <c r="O33" s="71" t="s">
        <v>2713</v>
      </c>
      <c r="P33" s="46" t="s">
        <v>2660</v>
      </c>
      <c r="Q33" s="46" t="s">
        <v>2565</v>
      </c>
      <c r="R33" s="46" t="s">
        <v>2568</v>
      </c>
      <c r="S33" s="49">
        <v>575</v>
      </c>
      <c r="T33" s="49">
        <v>2875</v>
      </c>
      <c r="U33" s="50">
        <v>8.0869565217391304E-2</v>
      </c>
      <c r="V33" s="50">
        <v>9.1304347826086957E-2</v>
      </c>
      <c r="W33" s="77">
        <v>3.1818181818181817</v>
      </c>
      <c r="X33" s="52">
        <v>287.5</v>
      </c>
      <c r="Y33" s="52">
        <v>30</v>
      </c>
      <c r="Z33" s="52">
        <v>2325</v>
      </c>
      <c r="AA33" s="52">
        <v>2642.5</v>
      </c>
      <c r="AB33" s="53">
        <v>0.9191304347826087</v>
      </c>
      <c r="AC33" s="72">
        <v>232.5</v>
      </c>
      <c r="AD33" s="55">
        <v>8.0869565217391304E-2</v>
      </c>
      <c r="AE33" s="73">
        <v>3</v>
      </c>
      <c r="AF33" s="57" t="s">
        <v>95</v>
      </c>
      <c r="AG33" s="58">
        <v>550</v>
      </c>
      <c r="AH33" s="58">
        <v>1750</v>
      </c>
      <c r="AI33" s="58">
        <v>2300</v>
      </c>
      <c r="AJ33" s="49">
        <v>575</v>
      </c>
      <c r="AK33" s="49">
        <v>2875</v>
      </c>
      <c r="AL33" s="52">
        <v>287.5</v>
      </c>
      <c r="AM33" s="52">
        <v>2325</v>
      </c>
      <c r="AN33" s="52">
        <v>2612.5</v>
      </c>
      <c r="AO33" s="59">
        <v>0.90869565217391302</v>
      </c>
      <c r="AP33" s="60">
        <v>262.5</v>
      </c>
      <c r="AQ33" s="61">
        <v>9.1304347826086957E-2</v>
      </c>
      <c r="AR33" s="60" t="s">
        <v>73</v>
      </c>
      <c r="AS33" s="62">
        <v>880</v>
      </c>
      <c r="AT33" s="62">
        <v>2800</v>
      </c>
      <c r="AU33" s="62">
        <v>3680</v>
      </c>
      <c r="AV33" s="62">
        <v>4600</v>
      </c>
      <c r="AW33" s="63" t="s">
        <v>74</v>
      </c>
      <c r="AX33" s="64">
        <v>44931</v>
      </c>
      <c r="AY33" s="64" t="s">
        <v>2714</v>
      </c>
      <c r="BA33" s="46" t="s">
        <v>74</v>
      </c>
      <c r="BB33" s="26"/>
      <c r="BC33" s="26"/>
      <c r="BD33" s="70" t="s">
        <v>2690</v>
      </c>
      <c r="BE33" s="46" t="e">
        <v>#REF!</v>
      </c>
      <c r="BF33" s="46" t="s">
        <v>75</v>
      </c>
      <c r="BG33" s="65">
        <v>6</v>
      </c>
      <c r="BH33" s="66"/>
      <c r="BI33" s="63" t="s">
        <v>2715</v>
      </c>
    </row>
    <row r="34" spans="1:61" ht="114.75" x14ac:dyDescent="0.2">
      <c r="A34" s="45" t="s">
        <v>2716</v>
      </c>
      <c r="B34" s="46"/>
      <c r="C34" s="46" t="s">
        <v>2653</v>
      </c>
      <c r="D34" s="46" t="s">
        <v>2654</v>
      </c>
      <c r="E34" s="46" t="s">
        <v>2655</v>
      </c>
      <c r="F34" s="46"/>
      <c r="G34" s="46" t="s">
        <v>2656</v>
      </c>
      <c r="H34" s="46" t="s">
        <v>135</v>
      </c>
      <c r="I34" s="46"/>
      <c r="J34" s="46" t="s">
        <v>71</v>
      </c>
      <c r="K34" s="47">
        <v>540</v>
      </c>
      <c r="L34" s="47">
        <f>900+600</f>
        <v>1500</v>
      </c>
      <c r="M34" s="47">
        <v>2040</v>
      </c>
      <c r="N34" s="46" t="s">
        <v>2658</v>
      </c>
      <c r="O34" s="71" t="s">
        <v>2717</v>
      </c>
      <c r="P34" s="46" t="s">
        <v>2660</v>
      </c>
      <c r="Q34" s="46" t="s">
        <v>2565</v>
      </c>
      <c r="R34" s="46" t="s">
        <v>2568</v>
      </c>
      <c r="S34" s="49">
        <v>510</v>
      </c>
      <c r="T34" s="49">
        <v>2550</v>
      </c>
      <c r="U34" s="50">
        <v>0.1</v>
      </c>
      <c r="V34" s="50">
        <v>0.11176470588235295</v>
      </c>
      <c r="W34" s="77">
        <v>2.7777777777777777</v>
      </c>
      <c r="X34" s="52">
        <v>255</v>
      </c>
      <c r="Y34" s="52">
        <v>30</v>
      </c>
      <c r="Z34" s="52">
        <v>2010</v>
      </c>
      <c r="AA34" s="52">
        <v>2295</v>
      </c>
      <c r="AB34" s="53">
        <v>0.9</v>
      </c>
      <c r="AC34" s="72">
        <v>255</v>
      </c>
      <c r="AD34" s="55">
        <v>0.1</v>
      </c>
      <c r="AE34" s="73">
        <v>3</v>
      </c>
      <c r="AF34" s="57" t="s">
        <v>95</v>
      </c>
      <c r="AG34" s="58">
        <v>540</v>
      </c>
      <c r="AH34" s="58">
        <v>1500</v>
      </c>
      <c r="AI34" s="58">
        <v>2040</v>
      </c>
      <c r="AJ34" s="49">
        <v>510</v>
      </c>
      <c r="AK34" s="49">
        <v>2550</v>
      </c>
      <c r="AL34" s="52">
        <v>255</v>
      </c>
      <c r="AM34" s="52">
        <v>2010</v>
      </c>
      <c r="AN34" s="52">
        <v>2265</v>
      </c>
      <c r="AO34" s="59">
        <v>0.88823529411764701</v>
      </c>
      <c r="AP34" s="60">
        <v>285</v>
      </c>
      <c r="AQ34" s="61">
        <v>0.11176470588235295</v>
      </c>
      <c r="AR34" s="60" t="s">
        <v>73</v>
      </c>
      <c r="AS34" s="62">
        <v>864</v>
      </c>
      <c r="AT34" s="62">
        <v>2400</v>
      </c>
      <c r="AU34" s="62">
        <v>3264</v>
      </c>
      <c r="AV34" s="62">
        <v>4080</v>
      </c>
      <c r="AW34" s="63" t="s">
        <v>74</v>
      </c>
      <c r="AX34" s="64">
        <v>44931</v>
      </c>
      <c r="AY34" s="64" t="s">
        <v>2718</v>
      </c>
      <c r="BA34" s="46" t="s">
        <v>74</v>
      </c>
      <c r="BB34" s="26"/>
      <c r="BC34" s="26"/>
      <c r="BD34" s="70" t="s">
        <v>2662</v>
      </c>
      <c r="BE34" s="46" t="e">
        <v>#REF!</v>
      </c>
      <c r="BF34" s="46" t="s">
        <v>75</v>
      </c>
      <c r="BG34" s="65">
        <v>6</v>
      </c>
      <c r="BH34" s="66"/>
      <c r="BI34" s="63" t="s">
        <v>2719</v>
      </c>
    </row>
    <row r="35" spans="1:61" ht="114.75" x14ac:dyDescent="0.2">
      <c r="A35" s="45" t="s">
        <v>2720</v>
      </c>
      <c r="B35" s="46"/>
      <c r="C35" s="46" t="s">
        <v>2653</v>
      </c>
      <c r="D35" s="46" t="s">
        <v>2654</v>
      </c>
      <c r="E35" s="46" t="s">
        <v>2665</v>
      </c>
      <c r="F35" s="46"/>
      <c r="G35" s="46" t="s">
        <v>2656</v>
      </c>
      <c r="H35" s="46" t="s">
        <v>135</v>
      </c>
      <c r="I35" s="46"/>
      <c r="J35" s="46" t="s">
        <v>71</v>
      </c>
      <c r="K35" s="47">
        <v>540</v>
      </c>
      <c r="L35" s="47">
        <f>1000+600</f>
        <v>1600</v>
      </c>
      <c r="M35" s="47">
        <v>2140</v>
      </c>
      <c r="N35" s="46" t="s">
        <v>2658</v>
      </c>
      <c r="O35" s="71" t="s">
        <v>2721</v>
      </c>
      <c r="P35" s="46" t="s">
        <v>2660</v>
      </c>
      <c r="Q35" s="46" t="s">
        <v>2565</v>
      </c>
      <c r="R35" s="46" t="s">
        <v>2568</v>
      </c>
      <c r="S35" s="49">
        <v>535</v>
      </c>
      <c r="T35" s="49">
        <v>2675</v>
      </c>
      <c r="U35" s="50">
        <v>9.065420560747664E-2</v>
      </c>
      <c r="V35" s="50">
        <v>0.10186915887850467</v>
      </c>
      <c r="W35" s="77">
        <v>2.9629629629629628</v>
      </c>
      <c r="X35" s="52">
        <v>267.5</v>
      </c>
      <c r="Y35" s="52">
        <v>30</v>
      </c>
      <c r="Z35" s="52">
        <v>2135</v>
      </c>
      <c r="AA35" s="52">
        <v>2432.5</v>
      </c>
      <c r="AB35" s="53">
        <v>0.90934579439252339</v>
      </c>
      <c r="AC35" s="72">
        <v>242.5</v>
      </c>
      <c r="AD35" s="55">
        <v>9.065420560747664E-2</v>
      </c>
      <c r="AE35" s="73">
        <v>3</v>
      </c>
      <c r="AF35" s="57" t="s">
        <v>95</v>
      </c>
      <c r="AG35" s="58">
        <v>540</v>
      </c>
      <c r="AH35" s="58">
        <v>1600</v>
      </c>
      <c r="AI35" s="58">
        <v>2140</v>
      </c>
      <c r="AJ35" s="49">
        <v>535</v>
      </c>
      <c r="AK35" s="49">
        <v>2675</v>
      </c>
      <c r="AL35" s="52">
        <v>267.5</v>
      </c>
      <c r="AM35" s="52">
        <v>2135</v>
      </c>
      <c r="AN35" s="52">
        <v>2402.5</v>
      </c>
      <c r="AO35" s="59">
        <v>0.89813084112149533</v>
      </c>
      <c r="AP35" s="60">
        <v>272.5</v>
      </c>
      <c r="AQ35" s="61">
        <v>0.10186915887850467</v>
      </c>
      <c r="AR35" s="60" t="s">
        <v>73</v>
      </c>
      <c r="AS35" s="62">
        <v>864</v>
      </c>
      <c r="AT35" s="62">
        <v>2560</v>
      </c>
      <c r="AU35" s="62">
        <v>3424</v>
      </c>
      <c r="AV35" s="62">
        <v>4280</v>
      </c>
      <c r="AW35" s="63" t="s">
        <v>74</v>
      </c>
      <c r="AX35" s="64">
        <v>44931</v>
      </c>
      <c r="AY35" s="64" t="s">
        <v>2722</v>
      </c>
      <c r="BA35" s="46" t="s">
        <v>74</v>
      </c>
      <c r="BB35" s="26"/>
      <c r="BC35" s="26"/>
      <c r="BD35" s="70" t="s">
        <v>2668</v>
      </c>
      <c r="BE35" s="46" t="e">
        <v>#REF!</v>
      </c>
      <c r="BF35" s="46" t="s">
        <v>75</v>
      </c>
      <c r="BG35" s="65">
        <v>6</v>
      </c>
      <c r="BH35" s="66"/>
      <c r="BI35" s="63" t="s">
        <v>2723</v>
      </c>
    </row>
    <row r="36" spans="1:61" ht="102" x14ac:dyDescent="0.2">
      <c r="A36" s="45" t="s">
        <v>2724</v>
      </c>
      <c r="B36" s="46"/>
      <c r="C36" s="46" t="s">
        <v>2653</v>
      </c>
      <c r="D36" s="46" t="s">
        <v>2654</v>
      </c>
      <c r="E36" s="46" t="s">
        <v>2671</v>
      </c>
      <c r="F36" s="46"/>
      <c r="G36" s="46" t="s">
        <v>2656</v>
      </c>
      <c r="H36" s="46" t="s">
        <v>135</v>
      </c>
      <c r="I36" s="46"/>
      <c r="J36" s="46" t="s">
        <v>71</v>
      </c>
      <c r="K36" s="47">
        <v>570</v>
      </c>
      <c r="L36" s="47">
        <f>1100+600</f>
        <v>1700</v>
      </c>
      <c r="M36" s="47">
        <v>2270</v>
      </c>
      <c r="N36" s="46" t="s">
        <v>2658</v>
      </c>
      <c r="O36" s="71" t="s">
        <v>2725</v>
      </c>
      <c r="P36" s="46" t="s">
        <v>2660</v>
      </c>
      <c r="Q36" s="46" t="s">
        <v>2565</v>
      </c>
      <c r="R36" s="46" t="s">
        <v>2568</v>
      </c>
      <c r="S36" s="49">
        <v>567.5</v>
      </c>
      <c r="T36" s="49">
        <v>2837.5</v>
      </c>
      <c r="U36" s="50">
        <v>9.0308370044052858E-2</v>
      </c>
      <c r="V36" s="50">
        <v>0.10088105726872247</v>
      </c>
      <c r="W36" s="77">
        <v>2.9824561403508771</v>
      </c>
      <c r="X36" s="52">
        <v>283.75</v>
      </c>
      <c r="Y36" s="52">
        <v>30</v>
      </c>
      <c r="Z36" s="52">
        <v>2267.5</v>
      </c>
      <c r="AA36" s="52">
        <v>2581.25</v>
      </c>
      <c r="AB36" s="53">
        <v>0.9096916299559471</v>
      </c>
      <c r="AC36" s="72">
        <v>256.25</v>
      </c>
      <c r="AD36" s="55">
        <v>9.0308370044052858E-2</v>
      </c>
      <c r="AE36" s="73">
        <v>3</v>
      </c>
      <c r="AF36" s="57" t="s">
        <v>95</v>
      </c>
      <c r="AG36" s="58">
        <v>570</v>
      </c>
      <c r="AH36" s="58">
        <v>1700</v>
      </c>
      <c r="AI36" s="58">
        <v>2270</v>
      </c>
      <c r="AJ36" s="49">
        <v>567.5</v>
      </c>
      <c r="AK36" s="49">
        <v>2837.5</v>
      </c>
      <c r="AL36" s="52">
        <v>283.75</v>
      </c>
      <c r="AM36" s="52">
        <v>2267.5</v>
      </c>
      <c r="AN36" s="52">
        <v>2551.25</v>
      </c>
      <c r="AO36" s="59">
        <v>0.89911894273127757</v>
      </c>
      <c r="AP36" s="60">
        <v>286.25</v>
      </c>
      <c r="AQ36" s="61">
        <v>0.10088105726872247</v>
      </c>
      <c r="AR36" s="60" t="s">
        <v>73</v>
      </c>
      <c r="AS36" s="62">
        <v>912</v>
      </c>
      <c r="AT36" s="62">
        <v>2720</v>
      </c>
      <c r="AU36" s="62">
        <v>3632</v>
      </c>
      <c r="AV36" s="62">
        <v>4540</v>
      </c>
      <c r="AW36" s="63" t="s">
        <v>74</v>
      </c>
      <c r="AX36" s="64">
        <v>44931</v>
      </c>
      <c r="AY36" s="64" t="s">
        <v>2726</v>
      </c>
      <c r="BA36" s="46" t="s">
        <v>74</v>
      </c>
      <c r="BB36" s="26"/>
      <c r="BC36" s="26"/>
      <c r="BD36" s="70" t="s">
        <v>2674</v>
      </c>
      <c r="BE36" s="46" t="e">
        <v>#REF!</v>
      </c>
      <c r="BF36" s="46" t="s">
        <v>75</v>
      </c>
      <c r="BG36" s="65">
        <v>6</v>
      </c>
      <c r="BH36" s="66"/>
      <c r="BI36" s="63" t="s">
        <v>2727</v>
      </c>
    </row>
    <row r="37" spans="1:61" ht="114.75" x14ac:dyDescent="0.2">
      <c r="A37" s="45" t="s">
        <v>2728</v>
      </c>
      <c r="B37" s="46"/>
      <c r="C37" s="46" t="s">
        <v>2677</v>
      </c>
      <c r="D37" s="46" t="s">
        <v>2654</v>
      </c>
      <c r="E37" s="46" t="s">
        <v>2655</v>
      </c>
      <c r="F37" s="46"/>
      <c r="G37" s="46" t="s">
        <v>2656</v>
      </c>
      <c r="H37" s="46" t="s">
        <v>135</v>
      </c>
      <c r="I37" s="46"/>
      <c r="J37" s="46" t="s">
        <v>71</v>
      </c>
      <c r="K37" s="47">
        <v>540</v>
      </c>
      <c r="L37" s="47">
        <f>1000+600</f>
        <v>1600</v>
      </c>
      <c r="M37" s="47">
        <v>2140</v>
      </c>
      <c r="N37" s="46" t="s">
        <v>2658</v>
      </c>
      <c r="O37" s="71" t="s">
        <v>2729</v>
      </c>
      <c r="P37" s="46" t="s">
        <v>2660</v>
      </c>
      <c r="Q37" s="46" t="s">
        <v>2565</v>
      </c>
      <c r="R37" s="46" t="s">
        <v>2568</v>
      </c>
      <c r="S37" s="49">
        <v>535</v>
      </c>
      <c r="T37" s="49">
        <v>2675</v>
      </c>
      <c r="U37" s="50">
        <v>9.065420560747664E-2</v>
      </c>
      <c r="V37" s="50">
        <v>0.10186915887850467</v>
      </c>
      <c r="W37" s="77">
        <v>2.9629629629629628</v>
      </c>
      <c r="X37" s="52">
        <v>267.5</v>
      </c>
      <c r="Y37" s="52">
        <v>30</v>
      </c>
      <c r="Z37" s="52">
        <v>2135</v>
      </c>
      <c r="AA37" s="52">
        <v>2432.5</v>
      </c>
      <c r="AB37" s="53">
        <v>0.90934579439252339</v>
      </c>
      <c r="AC37" s="72">
        <v>242.5</v>
      </c>
      <c r="AD37" s="55">
        <v>9.065420560747664E-2</v>
      </c>
      <c r="AE37" s="73">
        <v>3</v>
      </c>
      <c r="AF37" s="57" t="s">
        <v>95</v>
      </c>
      <c r="AG37" s="58">
        <v>540</v>
      </c>
      <c r="AH37" s="58">
        <v>1600</v>
      </c>
      <c r="AI37" s="58">
        <v>2140</v>
      </c>
      <c r="AJ37" s="49">
        <v>535</v>
      </c>
      <c r="AK37" s="49">
        <v>2675</v>
      </c>
      <c r="AL37" s="52">
        <v>267.5</v>
      </c>
      <c r="AM37" s="52">
        <v>2135</v>
      </c>
      <c r="AN37" s="52">
        <v>2402.5</v>
      </c>
      <c r="AO37" s="59">
        <v>0.89813084112149533</v>
      </c>
      <c r="AP37" s="60">
        <v>272.5</v>
      </c>
      <c r="AQ37" s="61">
        <v>0.10186915887850467</v>
      </c>
      <c r="AR37" s="60" t="s">
        <v>73</v>
      </c>
      <c r="AS37" s="62">
        <v>864</v>
      </c>
      <c r="AT37" s="62">
        <v>2560</v>
      </c>
      <c r="AU37" s="62">
        <v>3424</v>
      </c>
      <c r="AV37" s="62">
        <v>4280</v>
      </c>
      <c r="AW37" s="63" t="s">
        <v>74</v>
      </c>
      <c r="AX37" s="64">
        <v>44931</v>
      </c>
      <c r="AY37" s="64" t="s">
        <v>2730</v>
      </c>
      <c r="BA37" s="46" t="s">
        <v>74</v>
      </c>
      <c r="BB37" s="26"/>
      <c r="BC37" s="26"/>
      <c r="BD37" s="70" t="s">
        <v>2680</v>
      </c>
      <c r="BE37" s="46" t="e">
        <v>#REF!</v>
      </c>
      <c r="BF37" s="46" t="s">
        <v>75</v>
      </c>
      <c r="BG37" s="65">
        <v>6</v>
      </c>
      <c r="BH37" s="66"/>
      <c r="BI37" s="63" t="s">
        <v>2731</v>
      </c>
    </row>
    <row r="38" spans="1:61" ht="114.75" x14ac:dyDescent="0.2">
      <c r="A38" s="45" t="s">
        <v>2732</v>
      </c>
      <c r="B38" s="46"/>
      <c r="C38" s="46" t="s">
        <v>2677</v>
      </c>
      <c r="D38" s="46" t="s">
        <v>2654</v>
      </c>
      <c r="E38" s="46" t="s">
        <v>2665</v>
      </c>
      <c r="F38" s="46"/>
      <c r="G38" s="46" t="s">
        <v>2656</v>
      </c>
      <c r="H38" s="46" t="s">
        <v>135</v>
      </c>
      <c r="I38" s="46"/>
      <c r="J38" s="46" t="s">
        <v>71</v>
      </c>
      <c r="K38" s="47">
        <v>540</v>
      </c>
      <c r="L38" s="47">
        <f>1100+600</f>
        <v>1700</v>
      </c>
      <c r="M38" s="47">
        <v>2240</v>
      </c>
      <c r="N38" s="46" t="s">
        <v>2658</v>
      </c>
      <c r="O38" s="71" t="s">
        <v>2733</v>
      </c>
      <c r="P38" s="46" t="s">
        <v>2660</v>
      </c>
      <c r="Q38" s="46" t="s">
        <v>2565</v>
      </c>
      <c r="R38" s="46" t="s">
        <v>2568</v>
      </c>
      <c r="S38" s="49">
        <v>560</v>
      </c>
      <c r="T38" s="49">
        <v>2800</v>
      </c>
      <c r="U38" s="50">
        <v>8.2142857142857142E-2</v>
      </c>
      <c r="V38" s="50">
        <v>9.285714285714286E-2</v>
      </c>
      <c r="W38" s="77">
        <v>3.1481481481481484</v>
      </c>
      <c r="X38" s="52">
        <v>280</v>
      </c>
      <c r="Y38" s="52">
        <v>30</v>
      </c>
      <c r="Z38" s="52">
        <v>2260</v>
      </c>
      <c r="AA38" s="52">
        <v>2570</v>
      </c>
      <c r="AB38" s="53">
        <v>0.91785714285714282</v>
      </c>
      <c r="AC38" s="72">
        <v>230</v>
      </c>
      <c r="AD38" s="55">
        <v>8.2142857142857142E-2</v>
      </c>
      <c r="AE38" s="73">
        <v>3</v>
      </c>
      <c r="AF38" s="57" t="s">
        <v>95</v>
      </c>
      <c r="AG38" s="58">
        <v>540</v>
      </c>
      <c r="AH38" s="58">
        <v>1700</v>
      </c>
      <c r="AI38" s="58">
        <v>2240</v>
      </c>
      <c r="AJ38" s="49">
        <v>560</v>
      </c>
      <c r="AK38" s="49">
        <v>2800</v>
      </c>
      <c r="AL38" s="52">
        <v>280</v>
      </c>
      <c r="AM38" s="52">
        <v>2260</v>
      </c>
      <c r="AN38" s="52">
        <v>2540</v>
      </c>
      <c r="AO38" s="59">
        <v>0.90714285714285714</v>
      </c>
      <c r="AP38" s="60">
        <v>260</v>
      </c>
      <c r="AQ38" s="61">
        <v>9.285714285714286E-2</v>
      </c>
      <c r="AR38" s="60" t="s">
        <v>73</v>
      </c>
      <c r="AS38" s="62">
        <v>864</v>
      </c>
      <c r="AT38" s="62">
        <v>2720</v>
      </c>
      <c r="AU38" s="62">
        <v>3584</v>
      </c>
      <c r="AV38" s="62">
        <v>4480</v>
      </c>
      <c r="AW38" s="63" t="s">
        <v>74</v>
      </c>
      <c r="AX38" s="64">
        <v>44931</v>
      </c>
      <c r="AY38" s="64" t="s">
        <v>2734</v>
      </c>
      <c r="BA38" s="46" t="s">
        <v>74</v>
      </c>
      <c r="BB38" s="26"/>
      <c r="BC38" s="26"/>
      <c r="BD38" s="70" t="s">
        <v>2685</v>
      </c>
      <c r="BE38" s="46" t="e">
        <v>#REF!</v>
      </c>
      <c r="BF38" s="46" t="s">
        <v>75</v>
      </c>
      <c r="BG38" s="65">
        <v>6</v>
      </c>
      <c r="BH38" s="66"/>
      <c r="BI38" s="63" t="s">
        <v>2735</v>
      </c>
    </row>
    <row r="39" spans="1:61" ht="102" x14ac:dyDescent="0.2">
      <c r="A39" s="45" t="s">
        <v>2736</v>
      </c>
      <c r="B39" s="46"/>
      <c r="C39" s="46" t="s">
        <v>2677</v>
      </c>
      <c r="D39" s="46" t="s">
        <v>2654</v>
      </c>
      <c r="E39" s="46" t="s">
        <v>2671</v>
      </c>
      <c r="F39" s="46"/>
      <c r="G39" s="46" t="s">
        <v>2656</v>
      </c>
      <c r="H39" s="46" t="s">
        <v>135</v>
      </c>
      <c r="I39" s="46"/>
      <c r="J39" s="46" t="s">
        <v>71</v>
      </c>
      <c r="K39" s="47">
        <v>570</v>
      </c>
      <c r="L39" s="47">
        <f>1350+600</f>
        <v>1950</v>
      </c>
      <c r="M39" s="47">
        <v>2520</v>
      </c>
      <c r="N39" s="46" t="s">
        <v>2658</v>
      </c>
      <c r="O39" s="71" t="s">
        <v>2737</v>
      </c>
      <c r="P39" s="46" t="s">
        <v>2660</v>
      </c>
      <c r="Q39" s="46" t="s">
        <v>2565</v>
      </c>
      <c r="R39" s="46" t="s">
        <v>2568</v>
      </c>
      <c r="S39" s="49">
        <v>630</v>
      </c>
      <c r="T39" s="49">
        <v>3150</v>
      </c>
      <c r="U39" s="50">
        <v>7.1428571428571425E-2</v>
      </c>
      <c r="V39" s="50">
        <v>8.0952380952380956E-2</v>
      </c>
      <c r="W39" s="77">
        <v>3.4210526315789473</v>
      </c>
      <c r="X39" s="52">
        <v>315</v>
      </c>
      <c r="Y39" s="52">
        <v>30</v>
      </c>
      <c r="Z39" s="52">
        <v>2580</v>
      </c>
      <c r="AA39" s="52">
        <v>2925</v>
      </c>
      <c r="AB39" s="53">
        <v>0.9285714285714286</v>
      </c>
      <c r="AC39" s="72">
        <v>225</v>
      </c>
      <c r="AD39" s="55">
        <v>7.1428571428571425E-2</v>
      </c>
      <c r="AE39" s="73">
        <v>3</v>
      </c>
      <c r="AF39" s="57" t="s">
        <v>95</v>
      </c>
      <c r="AG39" s="58">
        <v>570</v>
      </c>
      <c r="AH39" s="58">
        <v>1950</v>
      </c>
      <c r="AI39" s="58">
        <v>2520</v>
      </c>
      <c r="AJ39" s="49">
        <v>630</v>
      </c>
      <c r="AK39" s="49">
        <v>3150</v>
      </c>
      <c r="AL39" s="52">
        <v>315</v>
      </c>
      <c r="AM39" s="52">
        <v>2580</v>
      </c>
      <c r="AN39" s="52">
        <v>2895</v>
      </c>
      <c r="AO39" s="59">
        <v>0.919047619047619</v>
      </c>
      <c r="AP39" s="60">
        <v>255</v>
      </c>
      <c r="AQ39" s="61">
        <v>8.0952380952380956E-2</v>
      </c>
      <c r="AR39" s="60" t="s">
        <v>73</v>
      </c>
      <c r="AS39" s="62">
        <v>912</v>
      </c>
      <c r="AT39" s="62">
        <v>3120</v>
      </c>
      <c r="AU39" s="62">
        <v>4032</v>
      </c>
      <c r="AV39" s="62">
        <v>5040</v>
      </c>
      <c r="AW39" s="63" t="s">
        <v>74</v>
      </c>
      <c r="AX39" s="64">
        <v>44931</v>
      </c>
      <c r="AY39" s="64" t="s">
        <v>2738</v>
      </c>
      <c r="BA39" s="46" t="s">
        <v>74</v>
      </c>
      <c r="BB39" s="26"/>
      <c r="BC39" s="26"/>
      <c r="BD39" s="70" t="s">
        <v>2690</v>
      </c>
      <c r="BE39" s="46" t="e">
        <v>#REF!</v>
      </c>
      <c r="BF39" s="46" t="s">
        <v>75</v>
      </c>
      <c r="BG39" s="65">
        <v>6</v>
      </c>
      <c r="BH39" s="66"/>
      <c r="BI39" s="63" t="s">
        <v>2739</v>
      </c>
    </row>
    <row r="40" spans="1:61" ht="102" x14ac:dyDescent="0.2">
      <c r="A40" s="45" t="s">
        <v>2740</v>
      </c>
      <c r="B40" s="46"/>
      <c r="C40" s="46" t="s">
        <v>2677</v>
      </c>
      <c r="D40" s="46" t="s">
        <v>2741</v>
      </c>
      <c r="E40" s="46" t="s">
        <v>2742</v>
      </c>
      <c r="F40" s="46"/>
      <c r="G40" s="46" t="s">
        <v>2743</v>
      </c>
      <c r="H40" s="46" t="s">
        <v>2657</v>
      </c>
      <c r="I40" s="46"/>
      <c r="J40" s="46" t="s">
        <v>71</v>
      </c>
      <c r="K40" s="47">
        <v>650</v>
      </c>
      <c r="L40" s="47">
        <f>1000+200</f>
        <v>1200</v>
      </c>
      <c r="M40" s="47">
        <v>1850</v>
      </c>
      <c r="N40" s="46" t="s">
        <v>2658</v>
      </c>
      <c r="O40" s="71" t="s">
        <v>2744</v>
      </c>
      <c r="P40" s="46" t="s">
        <v>2660</v>
      </c>
      <c r="Q40" s="46" t="s">
        <v>2565</v>
      </c>
      <c r="R40" s="46" t="s">
        <v>2568</v>
      </c>
      <c r="S40" s="49">
        <v>462.5</v>
      </c>
      <c r="T40" s="49">
        <v>2312.5</v>
      </c>
      <c r="U40" s="50">
        <v>0.16810810810810811</v>
      </c>
      <c r="V40" s="50">
        <v>0.18108108108108109</v>
      </c>
      <c r="W40" s="77">
        <v>1.8461538461538463</v>
      </c>
      <c r="X40" s="52">
        <v>231.25</v>
      </c>
      <c r="Y40" s="52">
        <v>30</v>
      </c>
      <c r="Z40" s="52">
        <v>1662.5</v>
      </c>
      <c r="AA40" s="52">
        <v>1923.75</v>
      </c>
      <c r="AB40" s="53">
        <v>0.83189189189189194</v>
      </c>
      <c r="AC40" s="72">
        <v>388.75</v>
      </c>
      <c r="AD40" s="55">
        <v>0.16810810810810811</v>
      </c>
      <c r="AE40" s="73">
        <v>3</v>
      </c>
      <c r="AF40" s="57" t="s">
        <v>95</v>
      </c>
      <c r="AG40" s="58">
        <v>650</v>
      </c>
      <c r="AH40" s="58">
        <v>1200</v>
      </c>
      <c r="AI40" s="58">
        <v>1850</v>
      </c>
      <c r="AJ40" s="49">
        <v>462.5</v>
      </c>
      <c r="AK40" s="49">
        <v>2312.5</v>
      </c>
      <c r="AL40" s="52">
        <v>231.25</v>
      </c>
      <c r="AM40" s="52">
        <v>1662.5</v>
      </c>
      <c r="AN40" s="52">
        <v>1893.75</v>
      </c>
      <c r="AO40" s="59">
        <v>0.81891891891891888</v>
      </c>
      <c r="AP40" s="60">
        <v>418.75</v>
      </c>
      <c r="AQ40" s="61">
        <v>0.18108108108108109</v>
      </c>
      <c r="AR40" s="60" t="s">
        <v>73</v>
      </c>
      <c r="AS40" s="62">
        <v>1040</v>
      </c>
      <c r="AT40" s="62">
        <v>1920</v>
      </c>
      <c r="AU40" s="62">
        <v>2960</v>
      </c>
      <c r="AV40" s="62">
        <v>3700</v>
      </c>
      <c r="AW40" s="63" t="s">
        <v>74</v>
      </c>
      <c r="AX40" s="64">
        <v>45299</v>
      </c>
      <c r="AY40" s="64" t="s">
        <v>2745</v>
      </c>
      <c r="BA40" s="46" t="s">
        <v>74</v>
      </c>
      <c r="BB40" s="26"/>
      <c r="BC40" s="26"/>
      <c r="BD40" s="70" t="s">
        <v>2746</v>
      </c>
      <c r="BE40" s="46" t="e">
        <v>#REF!</v>
      </c>
      <c r="BF40" s="46" t="s">
        <v>75</v>
      </c>
      <c r="BG40" s="65">
        <v>6</v>
      </c>
      <c r="BH40" s="66"/>
      <c r="BI40" s="63" t="s">
        <v>2747</v>
      </c>
    </row>
    <row r="41" spans="1:61" ht="102" x14ac:dyDescent="0.2">
      <c r="A41" s="45" t="s">
        <v>2748</v>
      </c>
      <c r="B41" s="46"/>
      <c r="C41" s="46" t="s">
        <v>2677</v>
      </c>
      <c r="D41" s="46" t="s">
        <v>2741</v>
      </c>
      <c r="E41" s="46" t="s">
        <v>2749</v>
      </c>
      <c r="F41" s="46"/>
      <c r="G41" s="46" t="s">
        <v>2743</v>
      </c>
      <c r="H41" s="46" t="s">
        <v>2657</v>
      </c>
      <c r="I41" s="46"/>
      <c r="J41" s="46" t="s">
        <v>71</v>
      </c>
      <c r="K41" s="47">
        <v>800</v>
      </c>
      <c r="L41" s="47">
        <f>2100+200</f>
        <v>2300</v>
      </c>
      <c r="M41" s="47">
        <v>3100</v>
      </c>
      <c r="N41" s="46" t="s">
        <v>2658</v>
      </c>
      <c r="O41" s="71" t="s">
        <v>2750</v>
      </c>
      <c r="P41" s="46" t="s">
        <v>2660</v>
      </c>
      <c r="Q41" s="46" t="s">
        <v>2565</v>
      </c>
      <c r="R41" s="46" t="s">
        <v>2568</v>
      </c>
      <c r="S41" s="49">
        <v>775</v>
      </c>
      <c r="T41" s="49">
        <v>3875</v>
      </c>
      <c r="U41" s="50">
        <v>9.8709677419354838E-2</v>
      </c>
      <c r="V41" s="50">
        <v>0.1064516129032258</v>
      </c>
      <c r="W41" s="77">
        <v>2.875</v>
      </c>
      <c r="X41" s="52">
        <v>387.5</v>
      </c>
      <c r="Y41" s="52">
        <v>30</v>
      </c>
      <c r="Z41" s="52">
        <v>3075</v>
      </c>
      <c r="AA41" s="52">
        <v>3492.5</v>
      </c>
      <c r="AB41" s="53">
        <v>0.90129032258064512</v>
      </c>
      <c r="AC41" s="72">
        <v>382.5</v>
      </c>
      <c r="AD41" s="55">
        <v>9.8709677419354838E-2</v>
      </c>
      <c r="AE41" s="73">
        <v>3</v>
      </c>
      <c r="AF41" s="57" t="s">
        <v>95</v>
      </c>
      <c r="AG41" s="58">
        <v>800</v>
      </c>
      <c r="AH41" s="58">
        <v>2300</v>
      </c>
      <c r="AI41" s="58">
        <v>3100</v>
      </c>
      <c r="AJ41" s="49">
        <v>775</v>
      </c>
      <c r="AK41" s="49">
        <v>3875</v>
      </c>
      <c r="AL41" s="52">
        <v>387.5</v>
      </c>
      <c r="AM41" s="52">
        <v>3075</v>
      </c>
      <c r="AN41" s="52">
        <v>3462.5</v>
      </c>
      <c r="AO41" s="59">
        <v>0.8935483870967742</v>
      </c>
      <c r="AP41" s="60">
        <v>412.5</v>
      </c>
      <c r="AQ41" s="61">
        <v>0.1064516129032258</v>
      </c>
      <c r="AR41" s="60" t="s">
        <v>73</v>
      </c>
      <c r="AS41" s="62">
        <v>1280</v>
      </c>
      <c r="AT41" s="62">
        <v>3680</v>
      </c>
      <c r="AU41" s="62">
        <v>4960</v>
      </c>
      <c r="AV41" s="62">
        <v>6200</v>
      </c>
      <c r="AW41" s="63" t="s">
        <v>74</v>
      </c>
      <c r="AX41" s="64">
        <v>45299</v>
      </c>
      <c r="AY41" s="64" t="s">
        <v>2751</v>
      </c>
      <c r="BA41" s="46" t="s">
        <v>74</v>
      </c>
      <c r="BB41" s="26"/>
      <c r="BC41" s="26"/>
      <c r="BD41" s="70" t="s">
        <v>2752</v>
      </c>
      <c r="BE41" s="46" t="e">
        <v>#REF!</v>
      </c>
      <c r="BF41" s="46" t="s">
        <v>75</v>
      </c>
      <c r="BG41" s="65">
        <v>6</v>
      </c>
      <c r="BH41" s="66"/>
      <c r="BI41" s="63" t="s">
        <v>2753</v>
      </c>
    </row>
    <row r="42" spans="1:61" ht="76.5" x14ac:dyDescent="0.2">
      <c r="A42" s="45" t="s">
        <v>2754</v>
      </c>
      <c r="B42" s="46"/>
      <c r="C42" s="46" t="s">
        <v>2755</v>
      </c>
      <c r="D42" s="46" t="s">
        <v>2756</v>
      </c>
      <c r="E42" s="46" t="s">
        <v>2157</v>
      </c>
      <c r="F42" s="46"/>
      <c r="G42" s="46"/>
      <c r="H42" s="46"/>
      <c r="I42" s="46"/>
      <c r="J42" s="46" t="s">
        <v>71</v>
      </c>
      <c r="K42" s="47">
        <v>160</v>
      </c>
      <c r="L42" s="47">
        <v>50</v>
      </c>
      <c r="M42" s="47">
        <v>210</v>
      </c>
      <c r="N42" s="46" t="s">
        <v>2757</v>
      </c>
      <c r="O42" s="71" t="s">
        <v>2758</v>
      </c>
      <c r="P42" s="46" t="s">
        <v>2759</v>
      </c>
      <c r="Q42" s="46" t="s">
        <v>2565</v>
      </c>
      <c r="R42" s="46" t="s">
        <v>2568</v>
      </c>
      <c r="S42" s="49">
        <v>52.5</v>
      </c>
      <c r="T42" s="49">
        <v>262.5</v>
      </c>
      <c r="U42" s="67">
        <v>0.39523809523809522</v>
      </c>
      <c r="V42" s="67">
        <v>0.50952380952380949</v>
      </c>
      <c r="W42" s="51">
        <v>0.3125</v>
      </c>
      <c r="X42" s="52">
        <v>26.25</v>
      </c>
      <c r="Y42" s="52">
        <v>30</v>
      </c>
      <c r="Z42" s="52">
        <v>102.5</v>
      </c>
      <c r="AA42" s="52">
        <v>158.75</v>
      </c>
      <c r="AB42" s="53">
        <v>0.60476190476190472</v>
      </c>
      <c r="AC42" s="54">
        <v>103.75</v>
      </c>
      <c r="AD42" s="55">
        <v>0.39523809523809522</v>
      </c>
      <c r="AE42" s="73">
        <v>3</v>
      </c>
      <c r="AF42" s="57" t="s">
        <v>95</v>
      </c>
      <c r="AG42" s="58">
        <v>160</v>
      </c>
      <c r="AH42" s="58">
        <v>50</v>
      </c>
      <c r="AI42" s="58">
        <v>210</v>
      </c>
      <c r="AJ42" s="49">
        <v>52.5</v>
      </c>
      <c r="AK42" s="49">
        <v>262.5</v>
      </c>
      <c r="AL42" s="52">
        <v>26.25</v>
      </c>
      <c r="AM42" s="52">
        <v>102.5</v>
      </c>
      <c r="AN42" s="52">
        <v>128.75</v>
      </c>
      <c r="AO42" s="59">
        <v>0.49047619047619045</v>
      </c>
      <c r="AP42" s="60">
        <v>133.75</v>
      </c>
      <c r="AQ42" s="61">
        <v>0.50952380952380949</v>
      </c>
      <c r="AR42" s="60" t="s">
        <v>78</v>
      </c>
      <c r="AS42" s="62">
        <v>256</v>
      </c>
      <c r="AT42" s="62">
        <v>80</v>
      </c>
      <c r="AU42" s="62">
        <v>336</v>
      </c>
      <c r="AV42" s="62">
        <v>420</v>
      </c>
      <c r="AW42" s="63" t="s">
        <v>74</v>
      </c>
      <c r="AX42" s="64">
        <v>45299</v>
      </c>
      <c r="AY42" s="64" t="s">
        <v>2760</v>
      </c>
      <c r="BA42" s="46" t="s">
        <v>74</v>
      </c>
      <c r="BB42" s="26"/>
      <c r="BC42" s="26"/>
      <c r="BD42" s="46"/>
      <c r="BE42" s="46" t="e">
        <v>#REF!</v>
      </c>
      <c r="BF42" s="46" t="s">
        <v>79</v>
      </c>
      <c r="BG42" s="65">
        <v>0.75</v>
      </c>
      <c r="BH42" s="66"/>
      <c r="BI42" s="63" t="s">
        <v>2761</v>
      </c>
    </row>
    <row r="43" spans="1:61" ht="51" x14ac:dyDescent="0.2">
      <c r="A43" s="45" t="s">
        <v>2762</v>
      </c>
      <c r="B43" s="46"/>
      <c r="C43" s="46" t="s">
        <v>2763</v>
      </c>
      <c r="D43" s="46" t="s">
        <v>2741</v>
      </c>
      <c r="E43" s="46" t="s">
        <v>2157</v>
      </c>
      <c r="F43" s="46"/>
      <c r="G43" s="46"/>
      <c r="H43" s="46"/>
      <c r="I43" s="46"/>
      <c r="J43" s="46" t="s">
        <v>71</v>
      </c>
      <c r="K43" s="47">
        <v>130</v>
      </c>
      <c r="L43" s="47">
        <v>40</v>
      </c>
      <c r="M43" s="47">
        <v>170</v>
      </c>
      <c r="N43" s="46" t="s">
        <v>2757</v>
      </c>
      <c r="O43" s="71" t="s">
        <v>2764</v>
      </c>
      <c r="P43" s="46" t="s">
        <v>2765</v>
      </c>
      <c r="Q43" s="46" t="s">
        <v>2565</v>
      </c>
      <c r="R43" s="46" t="s">
        <v>2568</v>
      </c>
      <c r="S43" s="49">
        <v>42.5</v>
      </c>
      <c r="T43" s="49">
        <v>212.5</v>
      </c>
      <c r="U43" s="67">
        <v>0.37058823529411766</v>
      </c>
      <c r="V43" s="67">
        <v>0.39523809523809522</v>
      </c>
      <c r="W43" s="51">
        <v>0.30769230769230771</v>
      </c>
      <c r="X43" s="52">
        <v>21.25</v>
      </c>
      <c r="Y43" s="52">
        <v>30</v>
      </c>
      <c r="Z43" s="52">
        <v>82.5</v>
      </c>
      <c r="AA43" s="52">
        <v>133.75</v>
      </c>
      <c r="AB43" s="53">
        <v>0.62941176470588234</v>
      </c>
      <c r="AC43" s="75">
        <v>78.75</v>
      </c>
      <c r="AD43" s="55">
        <v>0.37058823529411766</v>
      </c>
      <c r="AE43" s="56">
        <v>2</v>
      </c>
      <c r="AF43" s="57" t="s">
        <v>72</v>
      </c>
      <c r="AG43" s="58">
        <v>65</v>
      </c>
      <c r="AH43" s="58">
        <v>40</v>
      </c>
      <c r="AI43" s="58">
        <v>105</v>
      </c>
      <c r="AJ43" s="49">
        <v>26.25</v>
      </c>
      <c r="AK43" s="49">
        <v>131.25</v>
      </c>
      <c r="AL43" s="52">
        <v>13.125</v>
      </c>
      <c r="AM43" s="52">
        <v>66.25</v>
      </c>
      <c r="AN43" s="52">
        <v>79.375</v>
      </c>
      <c r="AO43" s="59">
        <v>0.60476190476190472</v>
      </c>
      <c r="AP43" s="60">
        <v>51.875</v>
      </c>
      <c r="AQ43" s="61">
        <v>0.39523809523809522</v>
      </c>
      <c r="AR43" s="60" t="s">
        <v>78</v>
      </c>
      <c r="AS43" s="62">
        <v>195</v>
      </c>
      <c r="AT43" s="62">
        <v>60</v>
      </c>
      <c r="AU43" s="62">
        <v>255</v>
      </c>
      <c r="AV43" s="62">
        <v>318.75</v>
      </c>
      <c r="AW43" s="63" t="s">
        <v>74</v>
      </c>
      <c r="AX43" s="64">
        <v>45299</v>
      </c>
      <c r="AY43" s="64" t="s">
        <v>2766</v>
      </c>
      <c r="BA43" s="46" t="s">
        <v>74</v>
      </c>
      <c r="BB43" s="26"/>
      <c r="BC43" s="26"/>
      <c r="BD43" s="70" t="s">
        <v>2767</v>
      </c>
      <c r="BE43" s="46" t="e">
        <v>#REF!</v>
      </c>
      <c r="BF43" s="46" t="s">
        <v>79</v>
      </c>
      <c r="BG43" s="65">
        <v>0.5</v>
      </c>
      <c r="BH43" s="66"/>
      <c r="BI43" s="63" t="s">
        <v>2768</v>
      </c>
    </row>
    <row r="44" spans="1:61" ht="76.5" x14ac:dyDescent="0.2">
      <c r="A44" s="45" t="s">
        <v>2769</v>
      </c>
      <c r="B44" s="46"/>
      <c r="C44" s="46" t="s">
        <v>2770</v>
      </c>
      <c r="D44" s="46" t="s">
        <v>2741</v>
      </c>
      <c r="E44" s="46" t="s">
        <v>2157</v>
      </c>
      <c r="F44" s="46" t="s">
        <v>2771</v>
      </c>
      <c r="G44" s="46"/>
      <c r="H44" s="46"/>
      <c r="I44" s="46"/>
      <c r="J44" s="46" t="s">
        <v>71</v>
      </c>
      <c r="K44" s="47">
        <v>190</v>
      </c>
      <c r="L44" s="47">
        <v>110</v>
      </c>
      <c r="M44" s="47">
        <v>300</v>
      </c>
      <c r="N44" s="46" t="s">
        <v>2757</v>
      </c>
      <c r="O44" s="71" t="s">
        <v>2772</v>
      </c>
      <c r="P44" s="46" t="s">
        <v>2759</v>
      </c>
      <c r="Q44" s="46" t="s">
        <v>2565</v>
      </c>
      <c r="R44" s="46" t="s">
        <v>2568</v>
      </c>
      <c r="S44" s="49">
        <v>75</v>
      </c>
      <c r="T44" s="49">
        <v>375</v>
      </c>
      <c r="U44" s="67">
        <v>0.32666666666666666</v>
      </c>
      <c r="V44" s="67">
        <v>0.40666666666666668</v>
      </c>
      <c r="W44" s="51">
        <v>0.57894736842105265</v>
      </c>
      <c r="X44" s="52">
        <v>37.5</v>
      </c>
      <c r="Y44" s="52">
        <v>30</v>
      </c>
      <c r="Z44" s="52">
        <v>185</v>
      </c>
      <c r="AA44" s="52">
        <v>252.5</v>
      </c>
      <c r="AB44" s="53">
        <v>0.67333333333333334</v>
      </c>
      <c r="AC44" s="72">
        <v>122.5</v>
      </c>
      <c r="AD44" s="55">
        <v>0.32666666666666666</v>
      </c>
      <c r="AE44" s="73">
        <v>3</v>
      </c>
      <c r="AF44" s="57" t="s">
        <v>95</v>
      </c>
      <c r="AG44" s="58">
        <v>190</v>
      </c>
      <c r="AH44" s="58">
        <v>110</v>
      </c>
      <c r="AI44" s="58">
        <v>300</v>
      </c>
      <c r="AJ44" s="49">
        <v>75</v>
      </c>
      <c r="AK44" s="49">
        <v>375</v>
      </c>
      <c r="AL44" s="52">
        <v>37.5</v>
      </c>
      <c r="AM44" s="52">
        <v>185</v>
      </c>
      <c r="AN44" s="52">
        <v>222.5</v>
      </c>
      <c r="AO44" s="59">
        <v>0.59333333333333338</v>
      </c>
      <c r="AP44" s="60">
        <v>152.5</v>
      </c>
      <c r="AQ44" s="61">
        <v>0.40666666666666668</v>
      </c>
      <c r="AR44" s="60" t="s">
        <v>78</v>
      </c>
      <c r="AS44" s="62">
        <v>304</v>
      </c>
      <c r="AT44" s="62">
        <v>176</v>
      </c>
      <c r="AU44" s="62">
        <v>480</v>
      </c>
      <c r="AV44" s="62">
        <v>600</v>
      </c>
      <c r="AW44" s="63" t="s">
        <v>74</v>
      </c>
      <c r="AX44" s="64">
        <v>45299</v>
      </c>
      <c r="AY44" s="64" t="s">
        <v>2773</v>
      </c>
      <c r="BA44" s="46" t="s">
        <v>74</v>
      </c>
      <c r="BB44" s="26"/>
      <c r="BC44" s="26"/>
      <c r="BD44" s="46"/>
      <c r="BE44" s="46" t="e">
        <v>#REF!</v>
      </c>
      <c r="BF44" s="46" t="s">
        <v>79</v>
      </c>
      <c r="BG44" s="65">
        <v>0.75</v>
      </c>
      <c r="BH44" s="66"/>
      <c r="BI44" s="63" t="s">
        <v>2774</v>
      </c>
    </row>
    <row r="45" spans="1:61" ht="25.5" x14ac:dyDescent="0.2">
      <c r="A45" s="34" t="s">
        <v>2775</v>
      </c>
      <c r="B45" s="35"/>
      <c r="C45" s="35" t="s">
        <v>68</v>
      </c>
      <c r="D45" s="35" t="s">
        <v>68</v>
      </c>
      <c r="E45" s="35" t="s">
        <v>68</v>
      </c>
      <c r="F45" s="35" t="s">
        <v>68</v>
      </c>
      <c r="G45" s="35" t="s">
        <v>68</v>
      </c>
      <c r="H45" s="35" t="s">
        <v>68</v>
      </c>
      <c r="I45" s="35" t="s">
        <v>68</v>
      </c>
      <c r="J45" s="35" t="s">
        <v>68</v>
      </c>
      <c r="K45" s="36" t="s">
        <v>68</v>
      </c>
      <c r="L45" s="36" t="s">
        <v>68</v>
      </c>
      <c r="M45" s="36" t="s">
        <v>68</v>
      </c>
      <c r="N45" s="35"/>
      <c r="O45" s="35" t="s">
        <v>68</v>
      </c>
      <c r="P45" s="37"/>
      <c r="Q45" s="38" t="s">
        <v>2565</v>
      </c>
      <c r="R45" s="38" t="s">
        <v>2776</v>
      </c>
      <c r="S45" s="36" t="s">
        <v>68</v>
      </c>
      <c r="T45" s="36" t="s">
        <v>68</v>
      </c>
      <c r="U45" s="39" t="s">
        <v>68</v>
      </c>
      <c r="V45" s="39" t="s">
        <v>68</v>
      </c>
      <c r="W45" s="40" t="s">
        <v>68</v>
      </c>
      <c r="X45" s="36" t="s">
        <v>68</v>
      </c>
      <c r="Y45" s="36" t="s">
        <v>68</v>
      </c>
      <c r="Z45" s="36" t="s">
        <v>68</v>
      </c>
      <c r="AA45" s="36" t="s">
        <v>68</v>
      </c>
      <c r="AB45" s="39" t="s">
        <v>68</v>
      </c>
      <c r="AC45" s="36" t="s">
        <v>68</v>
      </c>
      <c r="AD45" s="39" t="s">
        <v>68</v>
      </c>
      <c r="AE45" s="41"/>
      <c r="AF45" s="42" t="s">
        <v>68</v>
      </c>
      <c r="AG45" s="36" t="s">
        <v>68</v>
      </c>
      <c r="AH45" s="36" t="s">
        <v>68</v>
      </c>
      <c r="AI45" s="36" t="s">
        <v>68</v>
      </c>
      <c r="AJ45" s="36" t="s">
        <v>68</v>
      </c>
      <c r="AK45" s="36" t="s">
        <v>68</v>
      </c>
      <c r="AL45" s="36" t="s">
        <v>68</v>
      </c>
      <c r="AM45" s="36" t="s">
        <v>68</v>
      </c>
      <c r="AN45" s="36" t="s">
        <v>68</v>
      </c>
      <c r="AO45" s="43" t="s">
        <v>68</v>
      </c>
      <c r="AP45" s="36" t="s">
        <v>68</v>
      </c>
      <c r="AQ45" s="39" t="s">
        <v>68</v>
      </c>
      <c r="AR45" s="36" t="s">
        <v>68</v>
      </c>
      <c r="AS45" s="36" t="s">
        <v>68</v>
      </c>
      <c r="AT45" s="36" t="s">
        <v>68</v>
      </c>
      <c r="AU45" s="36" t="s">
        <v>68</v>
      </c>
      <c r="AV45" s="36" t="s">
        <v>68</v>
      </c>
      <c r="AW45" s="35"/>
      <c r="AX45" s="37"/>
      <c r="AY45" s="37" t="s">
        <v>68</v>
      </c>
      <c r="BA45" s="37"/>
      <c r="BB45" s="37"/>
      <c r="BC45" s="37"/>
      <c r="BD45" s="35"/>
      <c r="BE45" s="35" t="e">
        <v>#REF!</v>
      </c>
      <c r="BF45" s="35"/>
      <c r="BG45" s="44"/>
      <c r="BH45" s="38" t="s">
        <v>2777</v>
      </c>
      <c r="BI45" s="35" t="s">
        <v>68</v>
      </c>
    </row>
    <row r="46" spans="1:61" ht="25.5" x14ac:dyDescent="0.2">
      <c r="A46" s="45" t="s">
        <v>2778</v>
      </c>
      <c r="B46" s="46"/>
      <c r="C46" s="46" t="s">
        <v>2779</v>
      </c>
      <c r="D46" s="46" t="s">
        <v>1266</v>
      </c>
      <c r="E46" s="46" t="s">
        <v>68</v>
      </c>
      <c r="F46" s="46" t="s">
        <v>68</v>
      </c>
      <c r="G46" s="46" t="s">
        <v>68</v>
      </c>
      <c r="H46" s="46" t="s">
        <v>68</v>
      </c>
      <c r="I46" s="46" t="s">
        <v>445</v>
      </c>
      <c r="J46" s="46" t="s">
        <v>71</v>
      </c>
      <c r="K46" s="47">
        <v>130</v>
      </c>
      <c r="L46" s="47">
        <v>25</v>
      </c>
      <c r="M46" s="47">
        <v>155</v>
      </c>
      <c r="N46" s="46"/>
      <c r="O46" s="71" t="s">
        <v>68</v>
      </c>
      <c r="P46" s="64"/>
      <c r="Q46" s="46" t="s">
        <v>2565</v>
      </c>
      <c r="R46" s="46" t="s">
        <v>2776</v>
      </c>
      <c r="S46" s="49">
        <v>38.75</v>
      </c>
      <c r="T46" s="49">
        <v>193.75</v>
      </c>
      <c r="U46" s="67">
        <v>0.41612903225806452</v>
      </c>
      <c r="V46" s="67">
        <v>0.30784313725490198</v>
      </c>
      <c r="W46" s="51">
        <v>0.19230769230769232</v>
      </c>
      <c r="X46" s="52">
        <v>19.375</v>
      </c>
      <c r="Y46" s="52">
        <v>30</v>
      </c>
      <c r="Z46" s="52">
        <v>63.75</v>
      </c>
      <c r="AA46" s="52">
        <v>113.125</v>
      </c>
      <c r="AB46" s="53">
        <v>0.58387096774193548</v>
      </c>
      <c r="AC46" s="68">
        <v>80.625</v>
      </c>
      <c r="AD46" s="55">
        <v>0.41612903225806452</v>
      </c>
      <c r="AE46" s="69">
        <v>1</v>
      </c>
      <c r="AF46" s="57" t="s">
        <v>77</v>
      </c>
      <c r="AG46" s="58">
        <v>26</v>
      </c>
      <c r="AH46" s="58">
        <v>25</v>
      </c>
      <c r="AI46" s="58">
        <v>51</v>
      </c>
      <c r="AJ46" s="49">
        <v>12.75</v>
      </c>
      <c r="AK46" s="49">
        <v>63.75</v>
      </c>
      <c r="AL46" s="52">
        <v>6.375</v>
      </c>
      <c r="AM46" s="52">
        <v>37.75</v>
      </c>
      <c r="AN46" s="52">
        <v>44.125</v>
      </c>
      <c r="AO46" s="59">
        <v>0.69215686274509802</v>
      </c>
      <c r="AP46" s="60">
        <v>19.625</v>
      </c>
      <c r="AQ46" s="61">
        <v>0.30784313725490198</v>
      </c>
      <c r="AR46" s="60" t="s">
        <v>78</v>
      </c>
      <c r="AS46" s="62">
        <v>169</v>
      </c>
      <c r="AT46" s="62">
        <v>33</v>
      </c>
      <c r="AU46" s="62">
        <v>202</v>
      </c>
      <c r="AV46" s="62">
        <v>252.5</v>
      </c>
      <c r="AW46" s="47" t="s">
        <v>107</v>
      </c>
      <c r="AX46" s="64"/>
      <c r="AY46" s="64" t="s">
        <v>2780</v>
      </c>
      <c r="BA46" s="64"/>
      <c r="BB46" s="64"/>
      <c r="BC46" s="64"/>
      <c r="BD46" s="46"/>
      <c r="BE46" s="46" t="e">
        <v>#REF!</v>
      </c>
      <c r="BF46" s="46" t="s">
        <v>79</v>
      </c>
      <c r="BG46" s="65">
        <v>0.5</v>
      </c>
      <c r="BH46" s="66" t="s">
        <v>2781</v>
      </c>
      <c r="BI46" s="63" t="s">
        <v>2782</v>
      </c>
    </row>
    <row r="47" spans="1:61" ht="25.5" x14ac:dyDescent="0.2">
      <c r="A47" s="45" t="s">
        <v>2783</v>
      </c>
      <c r="B47" s="46"/>
      <c r="C47" s="46" t="s">
        <v>2779</v>
      </c>
      <c r="D47" s="46" t="s">
        <v>1266</v>
      </c>
      <c r="E47" s="46" t="s">
        <v>68</v>
      </c>
      <c r="F47" s="46" t="s">
        <v>68</v>
      </c>
      <c r="G47" s="46" t="s">
        <v>68</v>
      </c>
      <c r="H47" s="46" t="s">
        <v>68</v>
      </c>
      <c r="I47" s="46" t="s">
        <v>449</v>
      </c>
      <c r="J47" s="46" t="s">
        <v>71</v>
      </c>
      <c r="K47" s="47">
        <v>130</v>
      </c>
      <c r="L47" s="47">
        <v>30</v>
      </c>
      <c r="M47" s="47">
        <v>160</v>
      </c>
      <c r="N47" s="46"/>
      <c r="O47" s="71" t="s">
        <v>68</v>
      </c>
      <c r="P47" s="64"/>
      <c r="Q47" s="46" t="s">
        <v>2565</v>
      </c>
      <c r="R47" s="46" t="s">
        <v>2776</v>
      </c>
      <c r="S47" s="49">
        <v>40</v>
      </c>
      <c r="T47" s="49">
        <v>200</v>
      </c>
      <c r="U47" s="67">
        <v>0.4</v>
      </c>
      <c r="V47" s="28">
        <v>0.27142857142857141</v>
      </c>
      <c r="W47" s="51">
        <v>0.23076923076923078</v>
      </c>
      <c r="X47" s="52">
        <v>20</v>
      </c>
      <c r="Y47" s="52">
        <v>30</v>
      </c>
      <c r="Z47" s="52">
        <v>70</v>
      </c>
      <c r="AA47" s="52">
        <v>120</v>
      </c>
      <c r="AB47" s="53">
        <v>0.6</v>
      </c>
      <c r="AC47" s="68">
        <v>80</v>
      </c>
      <c r="AD47" s="55">
        <v>0.4</v>
      </c>
      <c r="AE47" s="69">
        <v>1</v>
      </c>
      <c r="AF47" s="57" t="s">
        <v>77</v>
      </c>
      <c r="AG47" s="58">
        <v>26</v>
      </c>
      <c r="AH47" s="58">
        <v>30</v>
      </c>
      <c r="AI47" s="58">
        <v>56</v>
      </c>
      <c r="AJ47" s="49">
        <v>14</v>
      </c>
      <c r="AK47" s="49">
        <v>70</v>
      </c>
      <c r="AL47" s="52">
        <v>7</v>
      </c>
      <c r="AM47" s="52">
        <v>44</v>
      </c>
      <c r="AN47" s="52">
        <v>51</v>
      </c>
      <c r="AO47" s="59">
        <v>0.72857142857142854</v>
      </c>
      <c r="AP47" s="60">
        <v>19</v>
      </c>
      <c r="AQ47" s="61">
        <v>0.27142857142857141</v>
      </c>
      <c r="AR47" s="60" t="s">
        <v>78</v>
      </c>
      <c r="AS47" s="62">
        <v>169</v>
      </c>
      <c r="AT47" s="62">
        <v>39</v>
      </c>
      <c r="AU47" s="62">
        <v>208</v>
      </c>
      <c r="AV47" s="62">
        <v>260</v>
      </c>
      <c r="AW47" s="47" t="s">
        <v>107</v>
      </c>
      <c r="AX47" s="64"/>
      <c r="AY47" s="64" t="s">
        <v>2784</v>
      </c>
      <c r="BA47" s="64"/>
      <c r="BB47" s="64"/>
      <c r="BC47" s="64"/>
      <c r="BD47" s="46"/>
      <c r="BE47" s="46" t="e">
        <v>#REF!</v>
      </c>
      <c r="BF47" s="46" t="s">
        <v>79</v>
      </c>
      <c r="BG47" s="65">
        <v>0.5</v>
      </c>
      <c r="BH47" s="66" t="s">
        <v>2785</v>
      </c>
      <c r="BI47" s="63" t="s">
        <v>2786</v>
      </c>
    </row>
    <row r="48" spans="1:61" ht="25.5" x14ac:dyDescent="0.2">
      <c r="A48" s="45" t="s">
        <v>2787</v>
      </c>
      <c r="B48" s="46"/>
      <c r="C48" s="46" t="s">
        <v>2788</v>
      </c>
      <c r="D48" s="46" t="s">
        <v>1266</v>
      </c>
      <c r="E48" s="46" t="s">
        <v>2157</v>
      </c>
      <c r="F48" s="46" t="s">
        <v>68</v>
      </c>
      <c r="G48" s="46" t="s">
        <v>68</v>
      </c>
      <c r="H48" s="46" t="s">
        <v>68</v>
      </c>
      <c r="I48" s="46" t="s">
        <v>68</v>
      </c>
      <c r="J48" s="46" t="s">
        <v>71</v>
      </c>
      <c r="K48" s="47">
        <v>145</v>
      </c>
      <c r="L48" s="47">
        <v>20</v>
      </c>
      <c r="M48" s="47">
        <v>165</v>
      </c>
      <c r="N48" s="46"/>
      <c r="O48" s="71" t="s">
        <v>68</v>
      </c>
      <c r="P48" s="64"/>
      <c r="Q48" s="46" t="s">
        <v>2565</v>
      </c>
      <c r="R48" s="46" t="s">
        <v>2776</v>
      </c>
      <c r="S48" s="49">
        <v>41.25</v>
      </c>
      <c r="T48" s="49">
        <v>206.25</v>
      </c>
      <c r="U48" s="67">
        <v>0.45757575757575758</v>
      </c>
      <c r="V48" s="67">
        <v>0.37346938775510202</v>
      </c>
      <c r="W48" s="51">
        <v>0.13793103448275862</v>
      </c>
      <c r="X48" s="52">
        <v>20.625</v>
      </c>
      <c r="Y48" s="52">
        <v>30</v>
      </c>
      <c r="Z48" s="52">
        <v>61.25</v>
      </c>
      <c r="AA48" s="52">
        <v>111.875</v>
      </c>
      <c r="AB48" s="53">
        <v>0.54242424242424248</v>
      </c>
      <c r="AC48" s="54">
        <v>94.375</v>
      </c>
      <c r="AD48" s="55">
        <v>0.45757575757575758</v>
      </c>
      <c r="AE48" s="69">
        <v>1</v>
      </c>
      <c r="AF48" s="57" t="s">
        <v>77</v>
      </c>
      <c r="AG48" s="58">
        <v>29</v>
      </c>
      <c r="AH48" s="58">
        <v>20</v>
      </c>
      <c r="AI48" s="58">
        <v>49</v>
      </c>
      <c r="AJ48" s="49">
        <v>12.25</v>
      </c>
      <c r="AK48" s="49">
        <v>61.25</v>
      </c>
      <c r="AL48" s="52">
        <v>6.125</v>
      </c>
      <c r="AM48" s="52">
        <v>32.25</v>
      </c>
      <c r="AN48" s="52">
        <v>38.375</v>
      </c>
      <c r="AO48" s="59">
        <v>0.62653061224489792</v>
      </c>
      <c r="AP48" s="60">
        <v>22.875</v>
      </c>
      <c r="AQ48" s="61">
        <v>0.37346938775510202</v>
      </c>
      <c r="AR48" s="60" t="s">
        <v>78</v>
      </c>
      <c r="AS48" s="62">
        <v>189</v>
      </c>
      <c r="AT48" s="62">
        <v>26</v>
      </c>
      <c r="AU48" s="62">
        <v>215</v>
      </c>
      <c r="AV48" s="62">
        <v>268.75</v>
      </c>
      <c r="AW48" s="47" t="s">
        <v>107</v>
      </c>
      <c r="AX48" s="64"/>
      <c r="AY48" s="64" t="s">
        <v>2789</v>
      </c>
      <c r="BA48" s="64"/>
      <c r="BB48" s="64"/>
      <c r="BC48" s="64"/>
      <c r="BD48" s="46"/>
      <c r="BE48" s="46" t="e">
        <v>#REF!</v>
      </c>
      <c r="BF48" s="46" t="s">
        <v>79</v>
      </c>
      <c r="BG48" s="65">
        <v>0.75</v>
      </c>
      <c r="BH48" s="66" t="s">
        <v>2790</v>
      </c>
      <c r="BI48" s="63" t="s">
        <v>2791</v>
      </c>
    </row>
    <row r="49" spans="1:61" ht="25.5" x14ac:dyDescent="0.2">
      <c r="A49" s="45" t="s">
        <v>2792</v>
      </c>
      <c r="B49" s="46"/>
      <c r="C49" s="46" t="s">
        <v>2793</v>
      </c>
      <c r="D49" s="46" t="s">
        <v>1266</v>
      </c>
      <c r="E49" s="46" t="s">
        <v>68</v>
      </c>
      <c r="F49" s="46" t="s">
        <v>68</v>
      </c>
      <c r="G49" s="46" t="s">
        <v>68</v>
      </c>
      <c r="H49" s="46" t="s">
        <v>68</v>
      </c>
      <c r="I49" s="46" t="s">
        <v>68</v>
      </c>
      <c r="J49" s="46" t="s">
        <v>71</v>
      </c>
      <c r="K49" s="47">
        <v>130</v>
      </c>
      <c r="L49" s="47">
        <v>10</v>
      </c>
      <c r="M49" s="47">
        <v>140</v>
      </c>
      <c r="N49" s="46"/>
      <c r="O49" s="71" t="s">
        <v>68</v>
      </c>
      <c r="P49" s="64"/>
      <c r="Q49" s="46" t="s">
        <v>2565</v>
      </c>
      <c r="R49" s="46" t="s">
        <v>2776</v>
      </c>
      <c r="S49" s="49">
        <v>35</v>
      </c>
      <c r="T49" s="49">
        <v>175</v>
      </c>
      <c r="U49" s="67">
        <v>0.47142857142857142</v>
      </c>
      <c r="V49" s="67">
        <v>0.4777777777777778</v>
      </c>
      <c r="W49" s="51">
        <v>7.6923076923076927E-2</v>
      </c>
      <c r="X49" s="52">
        <v>17.5</v>
      </c>
      <c r="Y49" s="52">
        <v>30</v>
      </c>
      <c r="Z49" s="52">
        <v>45</v>
      </c>
      <c r="AA49" s="52">
        <v>92.5</v>
      </c>
      <c r="AB49" s="53">
        <v>0.52857142857142858</v>
      </c>
      <c r="AC49" s="68">
        <v>82.5</v>
      </c>
      <c r="AD49" s="55">
        <v>0.47142857142857142</v>
      </c>
      <c r="AE49" s="69">
        <v>1</v>
      </c>
      <c r="AF49" s="57" t="s">
        <v>77</v>
      </c>
      <c r="AG49" s="58">
        <v>26</v>
      </c>
      <c r="AH49" s="58">
        <v>10</v>
      </c>
      <c r="AI49" s="58">
        <v>36</v>
      </c>
      <c r="AJ49" s="49">
        <v>9</v>
      </c>
      <c r="AK49" s="49">
        <v>45</v>
      </c>
      <c r="AL49" s="52">
        <v>4.5</v>
      </c>
      <c r="AM49" s="52">
        <v>19</v>
      </c>
      <c r="AN49" s="52">
        <v>23.5</v>
      </c>
      <c r="AO49" s="59">
        <v>0.52222222222222225</v>
      </c>
      <c r="AP49" s="60">
        <v>21.5</v>
      </c>
      <c r="AQ49" s="61">
        <v>0.4777777777777778</v>
      </c>
      <c r="AR49" s="60" t="s">
        <v>78</v>
      </c>
      <c r="AS49" s="62">
        <v>169</v>
      </c>
      <c r="AT49" s="62">
        <v>13</v>
      </c>
      <c r="AU49" s="62">
        <v>182</v>
      </c>
      <c r="AV49" s="62">
        <v>227.5</v>
      </c>
      <c r="AW49" s="47" t="s">
        <v>107</v>
      </c>
      <c r="AX49" s="64"/>
      <c r="AY49" s="64" t="s">
        <v>2794</v>
      </c>
      <c r="BA49" s="64"/>
      <c r="BB49" s="64"/>
      <c r="BC49" s="64"/>
      <c r="BD49" s="46"/>
      <c r="BE49" s="46" t="e">
        <v>#REF!</v>
      </c>
      <c r="BF49" s="46" t="s">
        <v>79</v>
      </c>
      <c r="BG49" s="65">
        <v>0.5</v>
      </c>
      <c r="BH49" s="66" t="s">
        <v>2795</v>
      </c>
      <c r="BI49" s="63" t="s">
        <v>2796</v>
      </c>
    </row>
    <row r="50" spans="1:61" ht="25.5" x14ac:dyDescent="0.2">
      <c r="A50" s="45" t="s">
        <v>2797</v>
      </c>
      <c r="B50" s="46"/>
      <c r="C50" s="46" t="s">
        <v>2798</v>
      </c>
      <c r="D50" s="46" t="s">
        <v>1266</v>
      </c>
      <c r="E50" s="46" t="s">
        <v>68</v>
      </c>
      <c r="F50" s="46" t="s">
        <v>68</v>
      </c>
      <c r="G50" s="46" t="s">
        <v>68</v>
      </c>
      <c r="H50" s="46" t="s">
        <v>68</v>
      </c>
      <c r="I50" s="46" t="s">
        <v>445</v>
      </c>
      <c r="J50" s="46" t="s">
        <v>71</v>
      </c>
      <c r="K50" s="47">
        <v>130</v>
      </c>
      <c r="L50" s="47">
        <v>30</v>
      </c>
      <c r="M50" s="47">
        <v>160</v>
      </c>
      <c r="N50" s="46"/>
      <c r="O50" s="71" t="s">
        <v>68</v>
      </c>
      <c r="P50" s="64"/>
      <c r="Q50" s="46" t="s">
        <v>2565</v>
      </c>
      <c r="R50" s="46" t="s">
        <v>2776</v>
      </c>
      <c r="S50" s="49">
        <v>40</v>
      </c>
      <c r="T50" s="49">
        <v>200</v>
      </c>
      <c r="U50" s="67">
        <v>0.4</v>
      </c>
      <c r="V50" s="28">
        <v>0.27142857142857141</v>
      </c>
      <c r="W50" s="51">
        <v>0.23076923076923078</v>
      </c>
      <c r="X50" s="52">
        <v>20</v>
      </c>
      <c r="Y50" s="52">
        <v>30</v>
      </c>
      <c r="Z50" s="52">
        <v>70</v>
      </c>
      <c r="AA50" s="52">
        <v>120</v>
      </c>
      <c r="AB50" s="53">
        <v>0.6</v>
      </c>
      <c r="AC50" s="68">
        <v>80</v>
      </c>
      <c r="AD50" s="55">
        <v>0.4</v>
      </c>
      <c r="AE50" s="69">
        <v>1</v>
      </c>
      <c r="AF50" s="57" t="s">
        <v>77</v>
      </c>
      <c r="AG50" s="58">
        <v>26</v>
      </c>
      <c r="AH50" s="58">
        <v>30</v>
      </c>
      <c r="AI50" s="58">
        <v>56</v>
      </c>
      <c r="AJ50" s="49">
        <v>14</v>
      </c>
      <c r="AK50" s="49">
        <v>70</v>
      </c>
      <c r="AL50" s="52">
        <v>7</v>
      </c>
      <c r="AM50" s="52">
        <v>44</v>
      </c>
      <c r="AN50" s="52">
        <v>51</v>
      </c>
      <c r="AO50" s="59">
        <v>0.72857142857142854</v>
      </c>
      <c r="AP50" s="60">
        <v>19</v>
      </c>
      <c r="AQ50" s="61">
        <v>0.27142857142857141</v>
      </c>
      <c r="AR50" s="60" t="s">
        <v>78</v>
      </c>
      <c r="AS50" s="62">
        <v>169</v>
      </c>
      <c r="AT50" s="62">
        <v>39</v>
      </c>
      <c r="AU50" s="62">
        <v>208</v>
      </c>
      <c r="AV50" s="62">
        <v>260</v>
      </c>
      <c r="AW50" s="47" t="s">
        <v>107</v>
      </c>
      <c r="AX50" s="64"/>
      <c r="AY50" s="64" t="s">
        <v>2799</v>
      </c>
      <c r="BA50" s="64"/>
      <c r="BB50" s="64"/>
      <c r="BC50" s="64"/>
      <c r="BD50" s="46"/>
      <c r="BE50" s="46" t="e">
        <v>#REF!</v>
      </c>
      <c r="BF50" s="46" t="s">
        <v>79</v>
      </c>
      <c r="BG50" s="65">
        <v>0.25</v>
      </c>
      <c r="BH50" s="66" t="s">
        <v>2800</v>
      </c>
      <c r="BI50" s="63" t="s">
        <v>2801</v>
      </c>
    </row>
    <row r="51" spans="1:61" ht="25.5" x14ac:dyDescent="0.2">
      <c r="A51" s="45" t="s">
        <v>2802</v>
      </c>
      <c r="B51" s="46"/>
      <c r="C51" s="46" t="s">
        <v>2798</v>
      </c>
      <c r="D51" s="46" t="s">
        <v>1266</v>
      </c>
      <c r="E51" s="46" t="s">
        <v>68</v>
      </c>
      <c r="F51" s="46" t="s">
        <v>68</v>
      </c>
      <c r="G51" s="46" t="s">
        <v>68</v>
      </c>
      <c r="H51" s="46" t="s">
        <v>68</v>
      </c>
      <c r="I51" s="46" t="s">
        <v>449</v>
      </c>
      <c r="J51" s="46" t="s">
        <v>71</v>
      </c>
      <c r="K51" s="47">
        <v>140</v>
      </c>
      <c r="L51" s="47">
        <v>50</v>
      </c>
      <c r="M51" s="47">
        <v>190</v>
      </c>
      <c r="N51" s="46"/>
      <c r="O51" s="71" t="s">
        <v>68</v>
      </c>
      <c r="P51" s="64"/>
      <c r="Q51" s="46" t="s">
        <v>2565</v>
      </c>
      <c r="R51" s="46" t="s">
        <v>2776</v>
      </c>
      <c r="S51" s="49">
        <v>47.5</v>
      </c>
      <c r="T51" s="49">
        <v>237.5</v>
      </c>
      <c r="U51" s="67">
        <v>0.36315789473684212</v>
      </c>
      <c r="V51" s="50">
        <v>0.18717948717948718</v>
      </c>
      <c r="W51" s="51">
        <v>0.35714285714285715</v>
      </c>
      <c r="X51" s="52">
        <v>23.75</v>
      </c>
      <c r="Y51" s="52">
        <v>30</v>
      </c>
      <c r="Z51" s="52">
        <v>97.5</v>
      </c>
      <c r="AA51" s="52">
        <v>151.25</v>
      </c>
      <c r="AB51" s="53">
        <v>0.63684210526315788</v>
      </c>
      <c r="AC51" s="68">
        <v>86.25</v>
      </c>
      <c r="AD51" s="55">
        <v>0.36315789473684212</v>
      </c>
      <c r="AE51" s="69">
        <v>1</v>
      </c>
      <c r="AF51" s="57" t="s">
        <v>77</v>
      </c>
      <c r="AG51" s="58">
        <v>28</v>
      </c>
      <c r="AH51" s="58">
        <v>50</v>
      </c>
      <c r="AI51" s="58">
        <v>78</v>
      </c>
      <c r="AJ51" s="49">
        <v>19.5</v>
      </c>
      <c r="AK51" s="49">
        <v>97.5</v>
      </c>
      <c r="AL51" s="52">
        <v>9.75</v>
      </c>
      <c r="AM51" s="52">
        <v>69.5</v>
      </c>
      <c r="AN51" s="52">
        <v>79.25</v>
      </c>
      <c r="AO51" s="59">
        <v>0.81282051282051282</v>
      </c>
      <c r="AP51" s="60">
        <v>18.25</v>
      </c>
      <c r="AQ51" s="61">
        <v>0.18717948717948718</v>
      </c>
      <c r="AR51" s="60" t="s">
        <v>73</v>
      </c>
      <c r="AS51" s="62">
        <v>182</v>
      </c>
      <c r="AT51" s="62">
        <v>65</v>
      </c>
      <c r="AU51" s="62">
        <v>247</v>
      </c>
      <c r="AV51" s="62">
        <v>308.75</v>
      </c>
      <c r="AW51" s="47" t="s">
        <v>107</v>
      </c>
      <c r="AX51" s="64"/>
      <c r="AY51" s="64" t="s">
        <v>2803</v>
      </c>
      <c r="BA51" s="64"/>
      <c r="BB51" s="64"/>
      <c r="BC51" s="64"/>
      <c r="BD51" s="46"/>
      <c r="BE51" s="46" t="e">
        <v>#REF!</v>
      </c>
      <c r="BF51" s="46" t="s">
        <v>79</v>
      </c>
      <c r="BG51" s="65">
        <v>0.25</v>
      </c>
      <c r="BH51" s="66" t="s">
        <v>2804</v>
      </c>
      <c r="BI51" s="63" t="s">
        <v>2805</v>
      </c>
    </row>
    <row r="52" spans="1:61" ht="25.5" x14ac:dyDescent="0.2">
      <c r="A52" s="45" t="s">
        <v>2806</v>
      </c>
      <c r="B52" s="46"/>
      <c r="C52" s="46" t="s">
        <v>2807</v>
      </c>
      <c r="D52" s="46" t="s">
        <v>1266</v>
      </c>
      <c r="E52" s="46" t="s">
        <v>2808</v>
      </c>
      <c r="F52" s="46" t="s">
        <v>2174</v>
      </c>
      <c r="G52" s="46" t="s">
        <v>68</v>
      </c>
      <c r="H52" s="46" t="s">
        <v>68</v>
      </c>
      <c r="I52" s="46" t="s">
        <v>68</v>
      </c>
      <c r="J52" s="46" t="s">
        <v>71</v>
      </c>
      <c r="K52" s="47">
        <v>155</v>
      </c>
      <c r="L52" s="47">
        <v>100</v>
      </c>
      <c r="M52" s="47">
        <v>255</v>
      </c>
      <c r="N52" s="46"/>
      <c r="O52" s="71" t="s">
        <v>68</v>
      </c>
      <c r="P52" s="64"/>
      <c r="Q52" s="46" t="s">
        <v>2565</v>
      </c>
      <c r="R52" s="46" t="s">
        <v>2776</v>
      </c>
      <c r="S52" s="49">
        <v>63.75</v>
      </c>
      <c r="T52" s="49">
        <v>318.75</v>
      </c>
      <c r="U52" s="28">
        <v>0.29215686274509806</v>
      </c>
      <c r="V52" s="28">
        <v>0.24929577464788732</v>
      </c>
      <c r="W52" s="51">
        <v>0.64516129032258063</v>
      </c>
      <c r="X52" s="52">
        <v>31.875</v>
      </c>
      <c r="Y52" s="52">
        <v>30</v>
      </c>
      <c r="Z52" s="52">
        <v>163.75</v>
      </c>
      <c r="AA52" s="52">
        <v>225.625</v>
      </c>
      <c r="AB52" s="53">
        <v>0.707843137254902</v>
      </c>
      <c r="AC52" s="54">
        <v>93.125</v>
      </c>
      <c r="AD52" s="55">
        <v>0.29215686274509806</v>
      </c>
      <c r="AE52" s="56">
        <v>2</v>
      </c>
      <c r="AF52" s="57" t="s">
        <v>72</v>
      </c>
      <c r="AG52" s="58">
        <v>77.5</v>
      </c>
      <c r="AH52" s="58">
        <v>100</v>
      </c>
      <c r="AI52" s="58">
        <v>177.5</v>
      </c>
      <c r="AJ52" s="49">
        <v>44.375</v>
      </c>
      <c r="AK52" s="49">
        <v>221.875</v>
      </c>
      <c r="AL52" s="52">
        <v>22.1875</v>
      </c>
      <c r="AM52" s="52">
        <v>144.375</v>
      </c>
      <c r="AN52" s="52">
        <v>166.5625</v>
      </c>
      <c r="AO52" s="59">
        <v>0.75070422535211268</v>
      </c>
      <c r="AP52" s="60">
        <v>55.3125</v>
      </c>
      <c r="AQ52" s="61">
        <v>0.24929577464788732</v>
      </c>
      <c r="AR52" s="60" t="s">
        <v>78</v>
      </c>
      <c r="AS52" s="62">
        <v>233</v>
      </c>
      <c r="AT52" s="62">
        <v>150</v>
      </c>
      <c r="AU52" s="62">
        <v>383</v>
      </c>
      <c r="AV52" s="62">
        <v>478.75</v>
      </c>
      <c r="AW52" s="47" t="s">
        <v>107</v>
      </c>
      <c r="AX52" s="64">
        <v>45111</v>
      </c>
      <c r="AY52" s="64" t="s">
        <v>2809</v>
      </c>
      <c r="BA52" s="64"/>
      <c r="BB52" s="64"/>
      <c r="BC52" s="64"/>
      <c r="BD52" s="70" t="s">
        <v>2810</v>
      </c>
      <c r="BE52" s="46" t="e">
        <v>#REF!</v>
      </c>
      <c r="BF52" s="46" t="s">
        <v>79</v>
      </c>
      <c r="BG52" s="65">
        <v>1</v>
      </c>
      <c r="BH52" s="66" t="s">
        <v>2811</v>
      </c>
      <c r="BI52" s="63" t="s">
        <v>2812</v>
      </c>
    </row>
    <row r="53" spans="1:61" ht="25.5" x14ac:dyDescent="0.2">
      <c r="A53" s="45" t="s">
        <v>2813</v>
      </c>
      <c r="B53" s="46"/>
      <c r="C53" s="46" t="s">
        <v>2814</v>
      </c>
      <c r="D53" s="46" t="s">
        <v>1266</v>
      </c>
      <c r="E53" s="46" t="s">
        <v>68</v>
      </c>
      <c r="F53" s="46" t="s">
        <v>68</v>
      </c>
      <c r="G53" s="46" t="s">
        <v>68</v>
      </c>
      <c r="H53" s="46" t="s">
        <v>68</v>
      </c>
      <c r="I53" s="46" t="s">
        <v>68</v>
      </c>
      <c r="J53" s="46" t="s">
        <v>71</v>
      </c>
      <c r="K53" s="47">
        <v>150</v>
      </c>
      <c r="L53" s="47">
        <v>90</v>
      </c>
      <c r="M53" s="47">
        <v>240</v>
      </c>
      <c r="N53" s="46"/>
      <c r="O53" s="71" t="s">
        <v>68</v>
      </c>
      <c r="P53" s="64"/>
      <c r="Q53" s="46" t="s">
        <v>2565</v>
      </c>
      <c r="R53" s="46" t="s">
        <v>2776</v>
      </c>
      <c r="S53" s="49">
        <v>60</v>
      </c>
      <c r="T53" s="49">
        <v>300</v>
      </c>
      <c r="U53" s="67">
        <v>0.3</v>
      </c>
      <c r="V53" s="28">
        <v>0.26363636363636361</v>
      </c>
      <c r="W53" s="51">
        <v>0.6</v>
      </c>
      <c r="X53" s="52">
        <v>30</v>
      </c>
      <c r="Y53" s="52">
        <v>30</v>
      </c>
      <c r="Z53" s="52">
        <v>150</v>
      </c>
      <c r="AA53" s="52">
        <v>210</v>
      </c>
      <c r="AB53" s="53">
        <v>0.7</v>
      </c>
      <c r="AC53" s="54">
        <v>90</v>
      </c>
      <c r="AD53" s="55">
        <v>0.3</v>
      </c>
      <c r="AE53" s="56">
        <v>2</v>
      </c>
      <c r="AF53" s="57" t="s">
        <v>72</v>
      </c>
      <c r="AG53" s="58">
        <v>75</v>
      </c>
      <c r="AH53" s="58">
        <v>90</v>
      </c>
      <c r="AI53" s="58">
        <v>165</v>
      </c>
      <c r="AJ53" s="49">
        <v>41.25</v>
      </c>
      <c r="AK53" s="49">
        <v>206.25</v>
      </c>
      <c r="AL53" s="52">
        <v>20.625</v>
      </c>
      <c r="AM53" s="52">
        <v>131.25</v>
      </c>
      <c r="AN53" s="52">
        <v>151.875</v>
      </c>
      <c r="AO53" s="59">
        <v>0.73636363636363633</v>
      </c>
      <c r="AP53" s="60">
        <v>54.375</v>
      </c>
      <c r="AQ53" s="61">
        <v>0.26363636363636361</v>
      </c>
      <c r="AR53" s="60" t="s">
        <v>78</v>
      </c>
      <c r="AS53" s="62">
        <v>225</v>
      </c>
      <c r="AT53" s="62">
        <v>135</v>
      </c>
      <c r="AU53" s="62">
        <v>360</v>
      </c>
      <c r="AV53" s="62">
        <v>450</v>
      </c>
      <c r="AW53" s="47" t="s">
        <v>107</v>
      </c>
      <c r="AX53" s="64"/>
      <c r="AY53" s="64" t="s">
        <v>2815</v>
      </c>
      <c r="BA53" s="64"/>
      <c r="BB53" s="64"/>
      <c r="BC53" s="64"/>
      <c r="BD53" s="46"/>
      <c r="BE53" s="46" t="e">
        <v>#REF!</v>
      </c>
      <c r="BF53" s="46" t="s">
        <v>79</v>
      </c>
      <c r="BG53" s="65">
        <v>0.5</v>
      </c>
      <c r="BH53" s="66" t="s">
        <v>2816</v>
      </c>
      <c r="BI53" s="63" t="s">
        <v>2817</v>
      </c>
    </row>
    <row r="54" spans="1:61" ht="25.5" x14ac:dyDescent="0.2">
      <c r="A54" s="45" t="s">
        <v>2818</v>
      </c>
      <c r="B54" s="46"/>
      <c r="C54" s="46" t="s">
        <v>2819</v>
      </c>
      <c r="D54" s="46" t="s">
        <v>1266</v>
      </c>
      <c r="E54" s="46" t="s">
        <v>68</v>
      </c>
      <c r="F54" s="46" t="s">
        <v>68</v>
      </c>
      <c r="G54" s="46" t="s">
        <v>68</v>
      </c>
      <c r="H54" s="46" t="s">
        <v>68</v>
      </c>
      <c r="I54" s="46" t="s">
        <v>68</v>
      </c>
      <c r="J54" s="46" t="s">
        <v>71</v>
      </c>
      <c r="K54" s="47">
        <v>140</v>
      </c>
      <c r="L54" s="47">
        <v>20</v>
      </c>
      <c r="M54" s="47">
        <v>160</v>
      </c>
      <c r="N54" s="46"/>
      <c r="O54" s="71" t="s">
        <v>68</v>
      </c>
      <c r="P54" s="64"/>
      <c r="Q54" s="46" t="s">
        <v>2565</v>
      </c>
      <c r="R54" s="46" t="s">
        <v>2776</v>
      </c>
      <c r="S54" s="49">
        <v>40</v>
      </c>
      <c r="T54" s="49">
        <v>200</v>
      </c>
      <c r="U54" s="67">
        <v>0.45</v>
      </c>
      <c r="V54" s="67">
        <v>0.52222222222222225</v>
      </c>
      <c r="W54" s="51">
        <v>0.14285714285714285</v>
      </c>
      <c r="X54" s="52">
        <v>20</v>
      </c>
      <c r="Y54" s="52">
        <v>30</v>
      </c>
      <c r="Z54" s="52">
        <v>60</v>
      </c>
      <c r="AA54" s="52">
        <v>110</v>
      </c>
      <c r="AB54" s="53">
        <v>0.55000000000000004</v>
      </c>
      <c r="AC54" s="54">
        <v>90</v>
      </c>
      <c r="AD54" s="55">
        <v>0.45</v>
      </c>
      <c r="AE54" s="56">
        <v>2</v>
      </c>
      <c r="AF54" s="57" t="s">
        <v>72</v>
      </c>
      <c r="AG54" s="58">
        <v>70</v>
      </c>
      <c r="AH54" s="58">
        <v>20</v>
      </c>
      <c r="AI54" s="58">
        <v>90</v>
      </c>
      <c r="AJ54" s="49">
        <v>22.5</v>
      </c>
      <c r="AK54" s="49">
        <v>112.5</v>
      </c>
      <c r="AL54" s="52">
        <v>11.25</v>
      </c>
      <c r="AM54" s="52">
        <v>42.5</v>
      </c>
      <c r="AN54" s="52">
        <v>53.75</v>
      </c>
      <c r="AO54" s="59">
        <v>0.4777777777777778</v>
      </c>
      <c r="AP54" s="60">
        <v>58.75</v>
      </c>
      <c r="AQ54" s="61">
        <v>0.52222222222222225</v>
      </c>
      <c r="AR54" s="60" t="s">
        <v>78</v>
      </c>
      <c r="AS54" s="62">
        <v>210</v>
      </c>
      <c r="AT54" s="62">
        <v>30</v>
      </c>
      <c r="AU54" s="62">
        <v>240</v>
      </c>
      <c r="AV54" s="62">
        <v>300</v>
      </c>
      <c r="AW54" s="47" t="s">
        <v>107</v>
      </c>
      <c r="AX54" s="64"/>
      <c r="AY54" s="64" t="s">
        <v>2820</v>
      </c>
      <c r="BA54" s="64"/>
      <c r="BB54" s="64"/>
      <c r="BC54" s="64"/>
      <c r="BD54" s="46"/>
      <c r="BE54" s="46" t="e">
        <v>#REF!</v>
      </c>
      <c r="BF54" s="46" t="s">
        <v>79</v>
      </c>
      <c r="BG54" s="65">
        <v>0.75</v>
      </c>
      <c r="BH54" s="66" t="s">
        <v>2821</v>
      </c>
      <c r="BI54" s="63" t="s">
        <v>2822</v>
      </c>
    </row>
    <row r="55" spans="1:61" ht="25.5" x14ac:dyDescent="0.2">
      <c r="A55" s="45" t="s">
        <v>2823</v>
      </c>
      <c r="B55" s="46"/>
      <c r="C55" s="46" t="s">
        <v>2824</v>
      </c>
      <c r="D55" s="46" t="s">
        <v>1266</v>
      </c>
      <c r="E55" s="46" t="s">
        <v>68</v>
      </c>
      <c r="F55" s="46" t="s">
        <v>68</v>
      </c>
      <c r="G55" s="46" t="s">
        <v>68</v>
      </c>
      <c r="H55" s="46" t="s">
        <v>68</v>
      </c>
      <c r="I55" s="46" t="s">
        <v>68</v>
      </c>
      <c r="J55" s="46" t="s">
        <v>71</v>
      </c>
      <c r="K55" s="47">
        <v>140</v>
      </c>
      <c r="L55" s="47">
        <v>0</v>
      </c>
      <c r="M55" s="47">
        <v>140</v>
      </c>
      <c r="N55" s="46"/>
      <c r="O55" s="71" t="s">
        <v>68</v>
      </c>
      <c r="P55" s="64"/>
      <c r="Q55" s="46" t="s">
        <v>2565</v>
      </c>
      <c r="R55" s="46" t="s">
        <v>2776</v>
      </c>
      <c r="S55" s="49">
        <v>35</v>
      </c>
      <c r="T55" s="49">
        <v>175</v>
      </c>
      <c r="U55" s="67">
        <v>0.52857142857142858</v>
      </c>
      <c r="V55" s="67">
        <v>0.7</v>
      </c>
      <c r="W55" s="51">
        <v>0</v>
      </c>
      <c r="X55" s="52">
        <v>17.5</v>
      </c>
      <c r="Y55" s="52">
        <v>30</v>
      </c>
      <c r="Z55" s="52">
        <v>35</v>
      </c>
      <c r="AA55" s="52">
        <v>82.5</v>
      </c>
      <c r="AB55" s="53">
        <v>0.47142857142857142</v>
      </c>
      <c r="AC55" s="54">
        <v>92.5</v>
      </c>
      <c r="AD55" s="55">
        <v>0.52857142857142858</v>
      </c>
      <c r="AE55" s="56">
        <v>2</v>
      </c>
      <c r="AF55" s="57" t="s">
        <v>72</v>
      </c>
      <c r="AG55" s="58">
        <v>70</v>
      </c>
      <c r="AH55" s="58">
        <v>0</v>
      </c>
      <c r="AI55" s="58">
        <v>70</v>
      </c>
      <c r="AJ55" s="49">
        <v>17.5</v>
      </c>
      <c r="AK55" s="49">
        <v>87.5</v>
      </c>
      <c r="AL55" s="52">
        <v>8.75</v>
      </c>
      <c r="AM55" s="52">
        <v>17.5</v>
      </c>
      <c r="AN55" s="52">
        <v>26.25</v>
      </c>
      <c r="AO55" s="59">
        <v>0.3</v>
      </c>
      <c r="AP55" s="60">
        <v>61.25</v>
      </c>
      <c r="AQ55" s="61">
        <v>0.7</v>
      </c>
      <c r="AR55" s="60" t="s">
        <v>78</v>
      </c>
      <c r="AS55" s="62">
        <v>210</v>
      </c>
      <c r="AT55" s="62">
        <v>0</v>
      </c>
      <c r="AU55" s="62">
        <v>210</v>
      </c>
      <c r="AV55" s="62">
        <v>262.5</v>
      </c>
      <c r="AW55" s="47" t="s">
        <v>107</v>
      </c>
      <c r="AX55" s="64"/>
      <c r="AY55" s="64" t="s">
        <v>2825</v>
      </c>
      <c r="BA55" s="64"/>
      <c r="BB55" s="64"/>
      <c r="BC55" s="64"/>
      <c r="BD55" s="46"/>
      <c r="BE55" s="46" t="e">
        <v>#REF!</v>
      </c>
      <c r="BF55" s="46" t="s">
        <v>79</v>
      </c>
      <c r="BG55" s="65">
        <v>0.75</v>
      </c>
      <c r="BH55" s="66" t="s">
        <v>2826</v>
      </c>
      <c r="BI55" s="63" t="s">
        <v>2827</v>
      </c>
    </row>
    <row r="56" spans="1:61" ht="25.5" x14ac:dyDescent="0.2">
      <c r="A56" s="45" t="s">
        <v>2828</v>
      </c>
      <c r="B56" s="46"/>
      <c r="C56" s="46" t="s">
        <v>2829</v>
      </c>
      <c r="D56" s="46" t="s">
        <v>1266</v>
      </c>
      <c r="E56" s="46" t="s">
        <v>68</v>
      </c>
      <c r="F56" s="46" t="s">
        <v>68</v>
      </c>
      <c r="G56" s="46" t="s">
        <v>68</v>
      </c>
      <c r="H56" s="46" t="s">
        <v>68</v>
      </c>
      <c r="I56" s="46" t="s">
        <v>68</v>
      </c>
      <c r="J56" s="46" t="s">
        <v>71</v>
      </c>
      <c r="K56" s="47">
        <v>140</v>
      </c>
      <c r="L56" s="47">
        <v>0</v>
      </c>
      <c r="M56" s="47">
        <v>140</v>
      </c>
      <c r="N56" s="46"/>
      <c r="O56" s="71" t="s">
        <v>68</v>
      </c>
      <c r="P56" s="64"/>
      <c r="Q56" s="46" t="s">
        <v>2565</v>
      </c>
      <c r="R56" s="46" t="s">
        <v>2776</v>
      </c>
      <c r="S56" s="49">
        <v>35</v>
      </c>
      <c r="T56" s="49">
        <v>175</v>
      </c>
      <c r="U56" s="67">
        <v>0.52857142857142858</v>
      </c>
      <c r="V56" s="67">
        <v>0.7</v>
      </c>
      <c r="W56" s="51">
        <v>0</v>
      </c>
      <c r="X56" s="52">
        <v>17.5</v>
      </c>
      <c r="Y56" s="52">
        <v>30</v>
      </c>
      <c r="Z56" s="52">
        <v>35</v>
      </c>
      <c r="AA56" s="52">
        <v>82.5</v>
      </c>
      <c r="AB56" s="53">
        <v>0.47142857142857142</v>
      </c>
      <c r="AC56" s="54">
        <v>92.5</v>
      </c>
      <c r="AD56" s="55">
        <v>0.52857142857142858</v>
      </c>
      <c r="AE56" s="56">
        <v>2</v>
      </c>
      <c r="AF56" s="57" t="s">
        <v>72</v>
      </c>
      <c r="AG56" s="58">
        <v>70</v>
      </c>
      <c r="AH56" s="58">
        <v>0</v>
      </c>
      <c r="AI56" s="58">
        <v>70</v>
      </c>
      <c r="AJ56" s="49">
        <v>17.5</v>
      </c>
      <c r="AK56" s="49">
        <v>87.5</v>
      </c>
      <c r="AL56" s="52">
        <v>8.75</v>
      </c>
      <c r="AM56" s="52">
        <v>17.5</v>
      </c>
      <c r="AN56" s="52">
        <v>26.25</v>
      </c>
      <c r="AO56" s="59">
        <v>0.3</v>
      </c>
      <c r="AP56" s="60">
        <v>61.25</v>
      </c>
      <c r="AQ56" s="61">
        <v>0.7</v>
      </c>
      <c r="AR56" s="60" t="s">
        <v>78</v>
      </c>
      <c r="AS56" s="62">
        <v>210</v>
      </c>
      <c r="AT56" s="62">
        <v>0</v>
      </c>
      <c r="AU56" s="62">
        <v>210</v>
      </c>
      <c r="AV56" s="62">
        <v>262.5</v>
      </c>
      <c r="AW56" s="47" t="s">
        <v>107</v>
      </c>
      <c r="AX56" s="64"/>
      <c r="AY56" s="64" t="s">
        <v>2830</v>
      </c>
      <c r="BA56" s="64"/>
      <c r="BB56" s="64"/>
      <c r="BC56" s="64"/>
      <c r="BD56" s="46"/>
      <c r="BE56" s="46" t="e">
        <v>#REF!</v>
      </c>
      <c r="BF56" s="46" t="s">
        <v>79</v>
      </c>
      <c r="BG56" s="65">
        <v>0.5</v>
      </c>
      <c r="BH56" s="66" t="s">
        <v>2831</v>
      </c>
      <c r="BI56" s="63" t="s">
        <v>2832</v>
      </c>
    </row>
    <row r="57" spans="1:61" ht="25.5" x14ac:dyDescent="0.2">
      <c r="A57" s="45" t="s">
        <v>2833</v>
      </c>
      <c r="B57" s="46"/>
      <c r="C57" s="46" t="s">
        <v>2834</v>
      </c>
      <c r="D57" s="46" t="s">
        <v>1266</v>
      </c>
      <c r="E57" s="46" t="s">
        <v>68</v>
      </c>
      <c r="F57" s="46" t="s">
        <v>68</v>
      </c>
      <c r="G57" s="46" t="s">
        <v>68</v>
      </c>
      <c r="H57" s="46" t="s">
        <v>68</v>
      </c>
      <c r="I57" s="46" t="s">
        <v>68</v>
      </c>
      <c r="J57" s="46" t="s">
        <v>71</v>
      </c>
      <c r="K57" s="47">
        <v>140</v>
      </c>
      <c r="L57" s="47">
        <v>20</v>
      </c>
      <c r="M57" s="47">
        <v>160</v>
      </c>
      <c r="N57" s="46"/>
      <c r="O57" s="71" t="s">
        <v>68</v>
      </c>
      <c r="P57" s="64"/>
      <c r="Q57" s="46" t="s">
        <v>2565</v>
      </c>
      <c r="R57" s="46" t="s">
        <v>2776</v>
      </c>
      <c r="S57" s="49">
        <v>40</v>
      </c>
      <c r="T57" s="49">
        <v>200</v>
      </c>
      <c r="U57" s="67">
        <v>0.45</v>
      </c>
      <c r="V57" s="67">
        <v>0.52222222222222225</v>
      </c>
      <c r="W57" s="51">
        <v>0.14285714285714285</v>
      </c>
      <c r="X57" s="52">
        <v>20</v>
      </c>
      <c r="Y57" s="52">
        <v>30</v>
      </c>
      <c r="Z57" s="52">
        <v>60</v>
      </c>
      <c r="AA57" s="52">
        <v>110</v>
      </c>
      <c r="AB57" s="53">
        <v>0.55000000000000004</v>
      </c>
      <c r="AC57" s="54">
        <v>90</v>
      </c>
      <c r="AD57" s="55">
        <v>0.45</v>
      </c>
      <c r="AE57" s="56">
        <v>2</v>
      </c>
      <c r="AF57" s="57" t="s">
        <v>72</v>
      </c>
      <c r="AG57" s="58">
        <v>70</v>
      </c>
      <c r="AH57" s="58">
        <v>20</v>
      </c>
      <c r="AI57" s="58">
        <v>90</v>
      </c>
      <c r="AJ57" s="49">
        <v>22.5</v>
      </c>
      <c r="AK57" s="49">
        <v>112.5</v>
      </c>
      <c r="AL57" s="52">
        <v>11.25</v>
      </c>
      <c r="AM57" s="52">
        <v>42.5</v>
      </c>
      <c r="AN57" s="52">
        <v>53.75</v>
      </c>
      <c r="AO57" s="59">
        <v>0.4777777777777778</v>
      </c>
      <c r="AP57" s="60">
        <v>58.75</v>
      </c>
      <c r="AQ57" s="61">
        <v>0.52222222222222225</v>
      </c>
      <c r="AR57" s="60" t="s">
        <v>78</v>
      </c>
      <c r="AS57" s="62">
        <v>210</v>
      </c>
      <c r="AT57" s="62">
        <v>30</v>
      </c>
      <c r="AU57" s="62">
        <v>240</v>
      </c>
      <c r="AV57" s="62">
        <v>300</v>
      </c>
      <c r="AW57" s="47" t="s">
        <v>107</v>
      </c>
      <c r="AX57" s="64"/>
      <c r="AY57" s="64" t="s">
        <v>2835</v>
      </c>
      <c r="BA57" s="64"/>
      <c r="BB57" s="64"/>
      <c r="BC57" s="64"/>
      <c r="BD57" s="46"/>
      <c r="BE57" s="46" t="e">
        <v>#REF!</v>
      </c>
      <c r="BF57" s="46" t="s">
        <v>79</v>
      </c>
      <c r="BG57" s="65">
        <v>0.5</v>
      </c>
      <c r="BH57" s="66" t="s">
        <v>2836</v>
      </c>
      <c r="BI57" s="63" t="s">
        <v>2837</v>
      </c>
    </row>
    <row r="58" spans="1:61" ht="25.5" x14ac:dyDescent="0.2">
      <c r="A58" s="45" t="s">
        <v>2838</v>
      </c>
      <c r="B58" s="46"/>
      <c r="C58" s="46" t="s">
        <v>2839</v>
      </c>
      <c r="D58" s="46" t="s">
        <v>1266</v>
      </c>
      <c r="E58" s="46" t="s">
        <v>2840</v>
      </c>
      <c r="F58" s="46" t="s">
        <v>68</v>
      </c>
      <c r="G58" s="46" t="s">
        <v>68</v>
      </c>
      <c r="H58" s="46" t="s">
        <v>68</v>
      </c>
      <c r="I58" s="46" t="s">
        <v>68</v>
      </c>
      <c r="J58" s="46" t="s">
        <v>71</v>
      </c>
      <c r="K58" s="47">
        <v>150</v>
      </c>
      <c r="L58" s="47">
        <f>100*(0.6*0.6)</f>
        <v>36</v>
      </c>
      <c r="M58" s="47">
        <v>186</v>
      </c>
      <c r="N58" s="46"/>
      <c r="O58" s="71" t="s">
        <v>68</v>
      </c>
      <c r="P58" s="64"/>
      <c r="Q58" s="46" t="s">
        <v>2565</v>
      </c>
      <c r="R58" s="46" t="s">
        <v>2776</v>
      </c>
      <c r="S58" s="49">
        <v>46.5</v>
      </c>
      <c r="T58" s="49">
        <v>232.5</v>
      </c>
      <c r="U58" s="67">
        <v>0.41612903225806452</v>
      </c>
      <c r="V58" s="67">
        <v>0.44054054054054054</v>
      </c>
      <c r="W58" s="51">
        <v>0.24</v>
      </c>
      <c r="X58" s="52">
        <v>23.25</v>
      </c>
      <c r="Y58" s="52">
        <v>30</v>
      </c>
      <c r="Z58" s="52">
        <v>82.5</v>
      </c>
      <c r="AA58" s="52">
        <v>135.75</v>
      </c>
      <c r="AB58" s="53">
        <v>0.58387096774193548</v>
      </c>
      <c r="AC58" s="54">
        <v>96.75</v>
      </c>
      <c r="AD58" s="55">
        <v>0.41612903225806452</v>
      </c>
      <c r="AE58" s="56">
        <v>2</v>
      </c>
      <c r="AF58" s="57" t="s">
        <v>72</v>
      </c>
      <c r="AG58" s="58">
        <v>75</v>
      </c>
      <c r="AH58" s="58">
        <v>36</v>
      </c>
      <c r="AI58" s="58">
        <v>111</v>
      </c>
      <c r="AJ58" s="49">
        <v>27.75</v>
      </c>
      <c r="AK58" s="49">
        <v>138.75</v>
      </c>
      <c r="AL58" s="52">
        <v>13.875</v>
      </c>
      <c r="AM58" s="52">
        <v>63.75</v>
      </c>
      <c r="AN58" s="52">
        <v>77.625</v>
      </c>
      <c r="AO58" s="59">
        <v>0.55945945945945941</v>
      </c>
      <c r="AP58" s="60">
        <v>61.125</v>
      </c>
      <c r="AQ58" s="61">
        <v>0.44054054054054054</v>
      </c>
      <c r="AR58" s="60" t="s">
        <v>78</v>
      </c>
      <c r="AS58" s="62">
        <v>225</v>
      </c>
      <c r="AT58" s="62">
        <v>54</v>
      </c>
      <c r="AU58" s="62">
        <v>279</v>
      </c>
      <c r="AV58" s="62">
        <v>348.75</v>
      </c>
      <c r="AW58" s="47" t="s">
        <v>107</v>
      </c>
      <c r="AX58" s="64"/>
      <c r="AY58" s="64" t="s">
        <v>2841</v>
      </c>
      <c r="BA58" s="64"/>
      <c r="BB58" s="64"/>
      <c r="BC58" s="64"/>
      <c r="BD58" s="46"/>
      <c r="BE58" s="46" t="e">
        <v>#REF!</v>
      </c>
      <c r="BF58" s="46" t="s">
        <v>79</v>
      </c>
      <c r="BG58" s="65">
        <v>0.75</v>
      </c>
      <c r="BH58" s="66" t="s">
        <v>2842</v>
      </c>
      <c r="BI58" s="63" t="s">
        <v>2843</v>
      </c>
    </row>
    <row r="59" spans="1:61" ht="25.5" x14ac:dyDescent="0.2">
      <c r="A59" s="45" t="s">
        <v>2844</v>
      </c>
      <c r="B59" s="46"/>
      <c r="C59" s="46" t="s">
        <v>2839</v>
      </c>
      <c r="D59" s="46" t="s">
        <v>1266</v>
      </c>
      <c r="E59" s="46" t="s">
        <v>2845</v>
      </c>
      <c r="F59" s="46" t="s">
        <v>68</v>
      </c>
      <c r="G59" s="46" t="s">
        <v>68</v>
      </c>
      <c r="H59" s="46" t="s">
        <v>68</v>
      </c>
      <c r="I59" s="46" t="s">
        <v>68</v>
      </c>
      <c r="J59" s="46" t="s">
        <v>71</v>
      </c>
      <c r="K59" s="47">
        <v>180</v>
      </c>
      <c r="L59" s="47">
        <f>100*(1*1)</f>
        <v>100</v>
      </c>
      <c r="M59" s="47">
        <v>280</v>
      </c>
      <c r="N59" s="46"/>
      <c r="O59" s="71" t="s">
        <v>68</v>
      </c>
      <c r="P59" s="64"/>
      <c r="Q59" s="46" t="s">
        <v>2565</v>
      </c>
      <c r="R59" s="46" t="s">
        <v>2776</v>
      </c>
      <c r="S59" s="49">
        <v>70</v>
      </c>
      <c r="T59" s="49">
        <v>350</v>
      </c>
      <c r="U59" s="67">
        <v>0.32857142857142857</v>
      </c>
      <c r="V59" s="28">
        <v>0.27894736842105261</v>
      </c>
      <c r="W59" s="51">
        <v>0.55555555555555558</v>
      </c>
      <c r="X59" s="52">
        <v>35</v>
      </c>
      <c r="Y59" s="52">
        <v>30</v>
      </c>
      <c r="Z59" s="52">
        <v>170</v>
      </c>
      <c r="AA59" s="52">
        <v>235</v>
      </c>
      <c r="AB59" s="53">
        <v>0.67142857142857137</v>
      </c>
      <c r="AC59" s="54">
        <v>115</v>
      </c>
      <c r="AD59" s="55">
        <v>0.32857142857142857</v>
      </c>
      <c r="AE59" s="56">
        <v>2</v>
      </c>
      <c r="AF59" s="57" t="s">
        <v>72</v>
      </c>
      <c r="AG59" s="58">
        <v>90</v>
      </c>
      <c r="AH59" s="58">
        <v>100</v>
      </c>
      <c r="AI59" s="58">
        <v>190</v>
      </c>
      <c r="AJ59" s="49">
        <v>47.5</v>
      </c>
      <c r="AK59" s="49">
        <v>237.5</v>
      </c>
      <c r="AL59" s="52">
        <v>23.75</v>
      </c>
      <c r="AM59" s="52">
        <v>147.5</v>
      </c>
      <c r="AN59" s="52">
        <v>171.25</v>
      </c>
      <c r="AO59" s="59">
        <v>0.72105263157894739</v>
      </c>
      <c r="AP59" s="60">
        <v>66.25</v>
      </c>
      <c r="AQ59" s="61">
        <v>0.27894736842105261</v>
      </c>
      <c r="AR59" s="60" t="s">
        <v>78</v>
      </c>
      <c r="AS59" s="62">
        <v>270</v>
      </c>
      <c r="AT59" s="62">
        <v>150</v>
      </c>
      <c r="AU59" s="62">
        <v>420</v>
      </c>
      <c r="AV59" s="62">
        <v>525</v>
      </c>
      <c r="AW59" s="47"/>
      <c r="AX59" s="64"/>
      <c r="AY59" s="64" t="s">
        <v>2846</v>
      </c>
      <c r="BA59" s="64"/>
      <c r="BB59" s="64"/>
      <c r="BC59" s="64"/>
      <c r="BD59" s="46"/>
      <c r="BE59" s="46" t="e">
        <v>#REF!</v>
      </c>
      <c r="BF59" s="46" t="s">
        <v>79</v>
      </c>
      <c r="BG59" s="65">
        <v>0.75</v>
      </c>
      <c r="BH59" s="66"/>
      <c r="BI59" s="63" t="s">
        <v>2847</v>
      </c>
    </row>
    <row r="60" spans="1:61" ht="25.5" x14ac:dyDescent="0.2">
      <c r="A60" s="45" t="s">
        <v>2848</v>
      </c>
      <c r="B60" s="46"/>
      <c r="C60" s="46" t="s">
        <v>2839</v>
      </c>
      <c r="D60" s="46" t="s">
        <v>1266</v>
      </c>
      <c r="E60" s="46" t="s">
        <v>2849</v>
      </c>
      <c r="F60" s="46" t="s">
        <v>68</v>
      </c>
      <c r="G60" s="46" t="s">
        <v>68</v>
      </c>
      <c r="H60" s="46" t="s">
        <v>68</v>
      </c>
      <c r="I60" s="46" t="s">
        <v>68</v>
      </c>
      <c r="J60" s="46" t="s">
        <v>71</v>
      </c>
      <c r="K60" s="47">
        <v>195</v>
      </c>
      <c r="L60" s="47">
        <f>100*(1.2*1.2)</f>
        <v>144</v>
      </c>
      <c r="M60" s="47">
        <v>339</v>
      </c>
      <c r="N60" s="46"/>
      <c r="O60" s="71" t="s">
        <v>68</v>
      </c>
      <c r="P60" s="64"/>
      <c r="Q60" s="46" t="s">
        <v>2565</v>
      </c>
      <c r="R60" s="46" t="s">
        <v>2776</v>
      </c>
      <c r="S60" s="49">
        <v>84.75</v>
      </c>
      <c r="T60" s="49">
        <v>423.75</v>
      </c>
      <c r="U60" s="28">
        <v>0.28938053097345134</v>
      </c>
      <c r="V60" s="67">
        <v>0.36017699115044249</v>
      </c>
      <c r="W60" s="51">
        <v>0.7384615384615385</v>
      </c>
      <c r="X60" s="52">
        <v>42.375</v>
      </c>
      <c r="Y60" s="52">
        <v>30</v>
      </c>
      <c r="Z60" s="52">
        <v>228.75</v>
      </c>
      <c r="AA60" s="52">
        <v>301.125</v>
      </c>
      <c r="AB60" s="53">
        <v>0.71061946902654871</v>
      </c>
      <c r="AC60" s="72">
        <v>122.625</v>
      </c>
      <c r="AD60" s="55">
        <v>0.28938053097345134</v>
      </c>
      <c r="AE60" s="73">
        <v>3</v>
      </c>
      <c r="AF60" s="57" t="s">
        <v>95</v>
      </c>
      <c r="AG60" s="58">
        <v>195</v>
      </c>
      <c r="AH60" s="58">
        <v>144</v>
      </c>
      <c r="AI60" s="58">
        <v>339</v>
      </c>
      <c r="AJ60" s="49">
        <v>84.75</v>
      </c>
      <c r="AK60" s="49">
        <v>423.75</v>
      </c>
      <c r="AL60" s="52">
        <v>42.375</v>
      </c>
      <c r="AM60" s="52">
        <v>228.75</v>
      </c>
      <c r="AN60" s="52">
        <v>271.125</v>
      </c>
      <c r="AO60" s="59">
        <v>0.63982300884955756</v>
      </c>
      <c r="AP60" s="60">
        <v>152.625</v>
      </c>
      <c r="AQ60" s="61">
        <v>0.36017699115044249</v>
      </c>
      <c r="AR60" s="60" t="s">
        <v>78</v>
      </c>
      <c r="AS60" s="62">
        <v>312</v>
      </c>
      <c r="AT60" s="62">
        <v>231</v>
      </c>
      <c r="AU60" s="62">
        <v>543</v>
      </c>
      <c r="AV60" s="62">
        <v>678.75</v>
      </c>
      <c r="AW60" s="47"/>
      <c r="AX60" s="64"/>
      <c r="AY60" s="64" t="s">
        <v>2850</v>
      </c>
      <c r="BA60" s="64"/>
      <c r="BB60" s="64"/>
      <c r="BC60" s="64"/>
      <c r="BD60" s="46"/>
      <c r="BE60" s="46" t="e">
        <v>#REF!</v>
      </c>
      <c r="BF60" s="46" t="s">
        <v>79</v>
      </c>
      <c r="BG60" s="65">
        <v>0.75</v>
      </c>
      <c r="BH60" s="66"/>
      <c r="BI60" s="63" t="s">
        <v>2851</v>
      </c>
    </row>
    <row r="61" spans="1:61" ht="25.5" x14ac:dyDescent="0.2">
      <c r="A61" s="45" t="s">
        <v>2852</v>
      </c>
      <c r="B61" s="46"/>
      <c r="C61" s="46" t="s">
        <v>2839</v>
      </c>
      <c r="D61" s="46" t="s">
        <v>1266</v>
      </c>
      <c r="E61" s="46" t="s">
        <v>2853</v>
      </c>
      <c r="F61" s="46" t="s">
        <v>68</v>
      </c>
      <c r="G61" s="46" t="s">
        <v>68</v>
      </c>
      <c r="H61" s="46" t="s">
        <v>68</v>
      </c>
      <c r="I61" s="46" t="s">
        <v>68</v>
      </c>
      <c r="J61" s="46" t="s">
        <v>71</v>
      </c>
      <c r="K61" s="47">
        <v>210</v>
      </c>
      <c r="L61" s="47">
        <f>100*(1.5*1.5)</f>
        <v>225</v>
      </c>
      <c r="M61" s="47">
        <v>435</v>
      </c>
      <c r="N61" s="46"/>
      <c r="O61" s="71" t="s">
        <v>68</v>
      </c>
      <c r="P61" s="64"/>
      <c r="Q61" s="46" t="s">
        <v>2565</v>
      </c>
      <c r="R61" s="46" t="s">
        <v>2776</v>
      </c>
      <c r="S61" s="49">
        <v>108.75</v>
      </c>
      <c r="T61" s="49">
        <v>543.75</v>
      </c>
      <c r="U61" s="28">
        <v>0.23103448275862068</v>
      </c>
      <c r="V61" s="28">
        <v>0.28620689655172415</v>
      </c>
      <c r="W61" s="74">
        <v>1.0714285714285714</v>
      </c>
      <c r="X61" s="52">
        <v>54.375</v>
      </c>
      <c r="Y61" s="52">
        <v>30</v>
      </c>
      <c r="Z61" s="52">
        <v>333.75</v>
      </c>
      <c r="AA61" s="52">
        <v>418.125</v>
      </c>
      <c r="AB61" s="53">
        <v>0.76896551724137929</v>
      </c>
      <c r="AC61" s="72">
        <v>125.625</v>
      </c>
      <c r="AD61" s="55">
        <v>0.23103448275862068</v>
      </c>
      <c r="AE61" s="73">
        <v>3</v>
      </c>
      <c r="AF61" s="57" t="s">
        <v>95</v>
      </c>
      <c r="AG61" s="58">
        <v>210</v>
      </c>
      <c r="AH61" s="58">
        <v>225</v>
      </c>
      <c r="AI61" s="58">
        <v>435</v>
      </c>
      <c r="AJ61" s="49">
        <v>108.75</v>
      </c>
      <c r="AK61" s="49">
        <v>543.75</v>
      </c>
      <c r="AL61" s="52">
        <v>54.375</v>
      </c>
      <c r="AM61" s="52">
        <v>333.75</v>
      </c>
      <c r="AN61" s="52">
        <v>388.125</v>
      </c>
      <c r="AO61" s="59">
        <v>0.71379310344827585</v>
      </c>
      <c r="AP61" s="60">
        <v>155.625</v>
      </c>
      <c r="AQ61" s="61">
        <v>0.28620689655172415</v>
      </c>
      <c r="AR61" s="60" t="s">
        <v>78</v>
      </c>
      <c r="AS61" s="62">
        <v>336</v>
      </c>
      <c r="AT61" s="62">
        <v>360</v>
      </c>
      <c r="AU61" s="62">
        <v>696</v>
      </c>
      <c r="AV61" s="62">
        <v>870</v>
      </c>
      <c r="AW61" s="47"/>
      <c r="AX61" s="64"/>
      <c r="AY61" s="64" t="s">
        <v>2854</v>
      </c>
      <c r="BA61" s="64"/>
      <c r="BB61" s="64"/>
      <c r="BC61" s="64"/>
      <c r="BD61" s="46"/>
      <c r="BE61" s="46" t="e">
        <v>#REF!</v>
      </c>
      <c r="BF61" s="46" t="s">
        <v>79</v>
      </c>
      <c r="BG61" s="65">
        <v>0.75</v>
      </c>
      <c r="BH61" s="66"/>
      <c r="BI61" s="63" t="s">
        <v>2855</v>
      </c>
    </row>
    <row r="62" spans="1:61" ht="25.5" x14ac:dyDescent="0.2">
      <c r="A62" s="45" t="s">
        <v>2856</v>
      </c>
      <c r="B62" s="46"/>
      <c r="C62" s="46" t="s">
        <v>2857</v>
      </c>
      <c r="D62" s="46" t="s">
        <v>1266</v>
      </c>
      <c r="E62" s="46" t="s">
        <v>2858</v>
      </c>
      <c r="F62" s="46" t="s">
        <v>68</v>
      </c>
      <c r="G62" s="46" t="s">
        <v>68</v>
      </c>
      <c r="H62" s="46" t="s">
        <v>68</v>
      </c>
      <c r="I62" s="46" t="s">
        <v>68</v>
      </c>
      <c r="J62" s="46" t="s">
        <v>71</v>
      </c>
      <c r="K62" s="47">
        <v>195</v>
      </c>
      <c r="L62" s="47">
        <f>100*(0.7*2.1)</f>
        <v>147</v>
      </c>
      <c r="M62" s="47">
        <v>342</v>
      </c>
      <c r="N62" s="46"/>
      <c r="O62" s="71" t="s">
        <v>68</v>
      </c>
      <c r="P62" s="64"/>
      <c r="Q62" s="46" t="s">
        <v>2565</v>
      </c>
      <c r="R62" s="46" t="s">
        <v>2776</v>
      </c>
      <c r="S62" s="49">
        <v>85.5</v>
      </c>
      <c r="T62" s="49">
        <v>427.5</v>
      </c>
      <c r="U62" s="28">
        <v>0.28596491228070176</v>
      </c>
      <c r="V62" s="67">
        <v>0.35614035087719298</v>
      </c>
      <c r="W62" s="51">
        <v>0.75384615384615383</v>
      </c>
      <c r="X62" s="52">
        <v>42.75</v>
      </c>
      <c r="Y62" s="52">
        <v>30</v>
      </c>
      <c r="Z62" s="52">
        <v>232.5</v>
      </c>
      <c r="AA62" s="52">
        <v>305.25</v>
      </c>
      <c r="AB62" s="53">
        <v>0.71403508771929824</v>
      </c>
      <c r="AC62" s="72">
        <v>122.25</v>
      </c>
      <c r="AD62" s="55">
        <v>0.28596491228070176</v>
      </c>
      <c r="AE62" s="73">
        <v>3</v>
      </c>
      <c r="AF62" s="57" t="s">
        <v>95</v>
      </c>
      <c r="AG62" s="58">
        <v>195</v>
      </c>
      <c r="AH62" s="58">
        <v>147</v>
      </c>
      <c r="AI62" s="58">
        <v>342</v>
      </c>
      <c r="AJ62" s="49">
        <v>85.5</v>
      </c>
      <c r="AK62" s="49">
        <v>427.5</v>
      </c>
      <c r="AL62" s="52">
        <v>42.75</v>
      </c>
      <c r="AM62" s="52">
        <v>232.5</v>
      </c>
      <c r="AN62" s="52">
        <v>275.25</v>
      </c>
      <c r="AO62" s="59">
        <v>0.64385964912280702</v>
      </c>
      <c r="AP62" s="60">
        <v>152.25</v>
      </c>
      <c r="AQ62" s="61">
        <v>0.35614035087719298</v>
      </c>
      <c r="AR62" s="60" t="s">
        <v>78</v>
      </c>
      <c r="AS62" s="62">
        <v>312</v>
      </c>
      <c r="AT62" s="62">
        <v>236</v>
      </c>
      <c r="AU62" s="62">
        <v>548</v>
      </c>
      <c r="AV62" s="62">
        <v>685</v>
      </c>
      <c r="AW62" s="47" t="s">
        <v>107</v>
      </c>
      <c r="AX62" s="64"/>
      <c r="AY62" s="64" t="s">
        <v>2859</v>
      </c>
      <c r="BA62" s="64"/>
      <c r="BB62" s="64"/>
      <c r="BC62" s="64"/>
      <c r="BD62" s="46"/>
      <c r="BE62" s="46" t="e">
        <v>#REF!</v>
      </c>
      <c r="BF62" s="46" t="s">
        <v>79</v>
      </c>
      <c r="BG62" s="65">
        <v>0.75</v>
      </c>
      <c r="BH62" s="66" t="s">
        <v>2860</v>
      </c>
      <c r="BI62" s="63" t="s">
        <v>2861</v>
      </c>
    </row>
    <row r="63" spans="1:61" ht="25.5" x14ac:dyDescent="0.2">
      <c r="A63" s="45" t="s">
        <v>2862</v>
      </c>
      <c r="B63" s="46"/>
      <c r="C63" s="46" t="s">
        <v>2857</v>
      </c>
      <c r="D63" s="46" t="s">
        <v>1266</v>
      </c>
      <c r="E63" s="46" t="s">
        <v>2863</v>
      </c>
      <c r="F63" s="46" t="s">
        <v>68</v>
      </c>
      <c r="G63" s="46" t="s">
        <v>68</v>
      </c>
      <c r="H63" s="46" t="s">
        <v>68</v>
      </c>
      <c r="I63" s="46" t="s">
        <v>68</v>
      </c>
      <c r="J63" s="46" t="s">
        <v>71</v>
      </c>
      <c r="K63" s="47">
        <v>200</v>
      </c>
      <c r="L63" s="47">
        <f>100*(0.8*2.1)</f>
        <v>168.00000000000003</v>
      </c>
      <c r="M63" s="47">
        <v>368</v>
      </c>
      <c r="N63" s="46"/>
      <c r="O63" s="71" t="s">
        <v>68</v>
      </c>
      <c r="P63" s="64"/>
      <c r="Q63" s="46" t="s">
        <v>2565</v>
      </c>
      <c r="R63" s="46" t="s">
        <v>2776</v>
      </c>
      <c r="S63" s="49">
        <v>92</v>
      </c>
      <c r="T63" s="49">
        <v>460</v>
      </c>
      <c r="U63" s="28">
        <v>0.26956521739130435</v>
      </c>
      <c r="V63" s="67">
        <v>0.33478260869565218</v>
      </c>
      <c r="W63" s="51">
        <v>0.84000000000000019</v>
      </c>
      <c r="X63" s="52">
        <v>46</v>
      </c>
      <c r="Y63" s="52">
        <v>30</v>
      </c>
      <c r="Z63" s="52">
        <v>260</v>
      </c>
      <c r="AA63" s="52">
        <v>336</v>
      </c>
      <c r="AB63" s="53">
        <v>0.73043478260869565</v>
      </c>
      <c r="AC63" s="72">
        <v>124</v>
      </c>
      <c r="AD63" s="55">
        <v>0.26956521739130435</v>
      </c>
      <c r="AE63" s="73">
        <v>3</v>
      </c>
      <c r="AF63" s="57" t="s">
        <v>95</v>
      </c>
      <c r="AG63" s="58">
        <v>200</v>
      </c>
      <c r="AH63" s="58">
        <v>168.00000000000003</v>
      </c>
      <c r="AI63" s="58">
        <v>368</v>
      </c>
      <c r="AJ63" s="49">
        <v>92</v>
      </c>
      <c r="AK63" s="49">
        <v>460</v>
      </c>
      <c r="AL63" s="52">
        <v>46</v>
      </c>
      <c r="AM63" s="52">
        <v>260</v>
      </c>
      <c r="AN63" s="52">
        <v>306</v>
      </c>
      <c r="AO63" s="59">
        <v>0.66521739130434787</v>
      </c>
      <c r="AP63" s="60">
        <v>154</v>
      </c>
      <c r="AQ63" s="61">
        <v>0.33478260869565218</v>
      </c>
      <c r="AR63" s="60" t="s">
        <v>78</v>
      </c>
      <c r="AS63" s="62">
        <v>320</v>
      </c>
      <c r="AT63" s="62">
        <v>269</v>
      </c>
      <c r="AU63" s="62">
        <v>589</v>
      </c>
      <c r="AV63" s="62">
        <v>736.25</v>
      </c>
      <c r="AW63" s="47"/>
      <c r="AX63" s="64"/>
      <c r="AY63" s="64" t="s">
        <v>2864</v>
      </c>
      <c r="BA63" s="64"/>
      <c r="BB63" s="64"/>
      <c r="BC63" s="64"/>
      <c r="BD63" s="46"/>
      <c r="BE63" s="46" t="e">
        <v>#REF!</v>
      </c>
      <c r="BF63" s="46" t="s">
        <v>79</v>
      </c>
      <c r="BG63" s="65">
        <v>0.75</v>
      </c>
      <c r="BH63" s="66"/>
      <c r="BI63" s="63" t="s">
        <v>2865</v>
      </c>
    </row>
    <row r="64" spans="1:61" ht="25.5" x14ac:dyDescent="0.2">
      <c r="A64" s="45" t="s">
        <v>2866</v>
      </c>
      <c r="B64" s="46"/>
      <c r="C64" s="46" t="s">
        <v>2857</v>
      </c>
      <c r="D64" s="46" t="s">
        <v>1266</v>
      </c>
      <c r="E64" s="46" t="s">
        <v>2867</v>
      </c>
      <c r="F64" s="46" t="s">
        <v>68</v>
      </c>
      <c r="G64" s="46" t="s">
        <v>68</v>
      </c>
      <c r="H64" s="46" t="s">
        <v>68</v>
      </c>
      <c r="I64" s="46" t="s">
        <v>68</v>
      </c>
      <c r="J64" s="46" t="s">
        <v>71</v>
      </c>
      <c r="K64" s="47">
        <v>210</v>
      </c>
      <c r="L64" s="47">
        <f>100*(0.9*2.1)</f>
        <v>189</v>
      </c>
      <c r="M64" s="47">
        <v>399</v>
      </c>
      <c r="N64" s="46"/>
      <c r="O64" s="71" t="s">
        <v>68</v>
      </c>
      <c r="P64" s="64"/>
      <c r="Q64" s="46" t="s">
        <v>2565</v>
      </c>
      <c r="R64" s="46" t="s">
        <v>2776</v>
      </c>
      <c r="S64" s="49">
        <v>99.75</v>
      </c>
      <c r="T64" s="49">
        <v>498.75</v>
      </c>
      <c r="U64" s="28">
        <v>0.26090225563909775</v>
      </c>
      <c r="V64" s="67">
        <v>0.32105263157894737</v>
      </c>
      <c r="W64" s="51">
        <v>0.9</v>
      </c>
      <c r="X64" s="52">
        <v>49.875</v>
      </c>
      <c r="Y64" s="52">
        <v>30</v>
      </c>
      <c r="Z64" s="52">
        <v>288.75</v>
      </c>
      <c r="AA64" s="52">
        <v>368.625</v>
      </c>
      <c r="AB64" s="53">
        <v>0.73909774436090225</v>
      </c>
      <c r="AC64" s="72">
        <v>130.125</v>
      </c>
      <c r="AD64" s="55">
        <v>0.26090225563909775</v>
      </c>
      <c r="AE64" s="73">
        <v>3</v>
      </c>
      <c r="AF64" s="57" t="s">
        <v>95</v>
      </c>
      <c r="AG64" s="58">
        <v>210</v>
      </c>
      <c r="AH64" s="58">
        <v>189</v>
      </c>
      <c r="AI64" s="58">
        <v>399</v>
      </c>
      <c r="AJ64" s="49">
        <v>99.75</v>
      </c>
      <c r="AK64" s="49">
        <v>498.75</v>
      </c>
      <c r="AL64" s="52">
        <v>49.875</v>
      </c>
      <c r="AM64" s="52">
        <v>288.75</v>
      </c>
      <c r="AN64" s="52">
        <v>338.625</v>
      </c>
      <c r="AO64" s="59">
        <v>0.67894736842105263</v>
      </c>
      <c r="AP64" s="60">
        <v>160.125</v>
      </c>
      <c r="AQ64" s="61">
        <v>0.32105263157894737</v>
      </c>
      <c r="AR64" s="60" t="s">
        <v>78</v>
      </c>
      <c r="AS64" s="62">
        <v>336</v>
      </c>
      <c r="AT64" s="62">
        <v>303</v>
      </c>
      <c r="AU64" s="62">
        <v>639</v>
      </c>
      <c r="AV64" s="62">
        <v>798.75</v>
      </c>
      <c r="AW64" s="47"/>
      <c r="AX64" s="64"/>
      <c r="AY64" s="64" t="s">
        <v>2868</v>
      </c>
      <c r="BA64" s="64"/>
      <c r="BB64" s="64"/>
      <c r="BC64" s="64"/>
      <c r="BD64" s="46"/>
      <c r="BE64" s="46" t="e">
        <v>#REF!</v>
      </c>
      <c r="BF64" s="46" t="s">
        <v>79</v>
      </c>
      <c r="BG64" s="65">
        <v>0.75</v>
      </c>
      <c r="BH64" s="66"/>
      <c r="BI64" s="63" t="s">
        <v>2869</v>
      </c>
    </row>
    <row r="65" spans="1:61" ht="25.5" x14ac:dyDescent="0.2">
      <c r="A65" s="45" t="s">
        <v>2870</v>
      </c>
      <c r="B65" s="46"/>
      <c r="C65" s="46" t="s">
        <v>2857</v>
      </c>
      <c r="D65" s="46" t="s">
        <v>1266</v>
      </c>
      <c r="E65" s="46" t="s">
        <v>2871</v>
      </c>
      <c r="F65" s="46" t="s">
        <v>68</v>
      </c>
      <c r="G65" s="46" t="s">
        <v>68</v>
      </c>
      <c r="H65" s="46" t="s">
        <v>68</v>
      </c>
      <c r="I65" s="46" t="s">
        <v>68</v>
      </c>
      <c r="J65" s="46" t="s">
        <v>71</v>
      </c>
      <c r="K65" s="47">
        <v>220</v>
      </c>
      <c r="L65" s="47">
        <f>100*(1*2.1)</f>
        <v>210</v>
      </c>
      <c r="M65" s="47">
        <v>430</v>
      </c>
      <c r="N65" s="46"/>
      <c r="O65" s="71" t="s">
        <v>68</v>
      </c>
      <c r="P65" s="64"/>
      <c r="Q65" s="46" t="s">
        <v>2565</v>
      </c>
      <c r="R65" s="46" t="s">
        <v>2776</v>
      </c>
      <c r="S65" s="49">
        <v>107.5</v>
      </c>
      <c r="T65" s="49">
        <v>537.5</v>
      </c>
      <c r="U65" s="28">
        <v>0.25348837209302327</v>
      </c>
      <c r="V65" s="67">
        <v>0.30930232558139537</v>
      </c>
      <c r="W65" s="51">
        <v>0.95454545454545459</v>
      </c>
      <c r="X65" s="52">
        <v>53.75</v>
      </c>
      <c r="Y65" s="52">
        <v>30</v>
      </c>
      <c r="Z65" s="52">
        <v>317.5</v>
      </c>
      <c r="AA65" s="52">
        <v>401.25</v>
      </c>
      <c r="AB65" s="53">
        <v>0.74651162790697678</v>
      </c>
      <c r="AC65" s="72">
        <v>136.25</v>
      </c>
      <c r="AD65" s="55">
        <v>0.25348837209302327</v>
      </c>
      <c r="AE65" s="73">
        <v>3</v>
      </c>
      <c r="AF65" s="57" t="s">
        <v>95</v>
      </c>
      <c r="AG65" s="58">
        <v>220</v>
      </c>
      <c r="AH65" s="58">
        <v>210</v>
      </c>
      <c r="AI65" s="58">
        <v>430</v>
      </c>
      <c r="AJ65" s="49">
        <v>107.5</v>
      </c>
      <c r="AK65" s="49">
        <v>537.5</v>
      </c>
      <c r="AL65" s="52">
        <v>53.75</v>
      </c>
      <c r="AM65" s="52">
        <v>317.5</v>
      </c>
      <c r="AN65" s="52">
        <v>371.25</v>
      </c>
      <c r="AO65" s="59">
        <v>0.69069767441860463</v>
      </c>
      <c r="AP65" s="60">
        <v>166.25</v>
      </c>
      <c r="AQ65" s="61">
        <v>0.30930232558139537</v>
      </c>
      <c r="AR65" s="60" t="s">
        <v>78</v>
      </c>
      <c r="AS65" s="62">
        <v>352</v>
      </c>
      <c r="AT65" s="62">
        <v>336</v>
      </c>
      <c r="AU65" s="62">
        <v>688</v>
      </c>
      <c r="AV65" s="62">
        <v>860</v>
      </c>
      <c r="AW65" s="47"/>
      <c r="AX65" s="64"/>
      <c r="AY65" s="64" t="s">
        <v>2872</v>
      </c>
      <c r="BA65" s="64"/>
      <c r="BB65" s="64"/>
      <c r="BC65" s="64"/>
      <c r="BD65" s="46"/>
      <c r="BE65" s="46" t="e">
        <v>#REF!</v>
      </c>
      <c r="BF65" s="46" t="s">
        <v>79</v>
      </c>
      <c r="BG65" s="65">
        <v>0.75</v>
      </c>
      <c r="BH65" s="66"/>
      <c r="BI65" s="63" t="s">
        <v>2873</v>
      </c>
    </row>
    <row r="66" spans="1:61" ht="25.5" x14ac:dyDescent="0.2">
      <c r="A66" s="45" t="s">
        <v>2874</v>
      </c>
      <c r="B66" s="46"/>
      <c r="C66" s="46" t="s">
        <v>2875</v>
      </c>
      <c r="D66" s="46" t="s">
        <v>1266</v>
      </c>
      <c r="E66" s="46" t="s">
        <v>68</v>
      </c>
      <c r="F66" s="46" t="s">
        <v>68</v>
      </c>
      <c r="G66" s="46" t="s">
        <v>68</v>
      </c>
      <c r="H66" s="46" t="s">
        <v>68</v>
      </c>
      <c r="I66" s="46" t="s">
        <v>68</v>
      </c>
      <c r="J66" s="46" t="s">
        <v>71</v>
      </c>
      <c r="K66" s="47">
        <v>140</v>
      </c>
      <c r="L66" s="47">
        <v>20</v>
      </c>
      <c r="M66" s="47">
        <v>160</v>
      </c>
      <c r="N66" s="46"/>
      <c r="O66" s="71" t="s">
        <v>68</v>
      </c>
      <c r="P66" s="64"/>
      <c r="Q66" s="46" t="s">
        <v>2565</v>
      </c>
      <c r="R66" s="46" t="s">
        <v>2776</v>
      </c>
      <c r="S66" s="49">
        <v>40</v>
      </c>
      <c r="T66" s="49">
        <v>200</v>
      </c>
      <c r="U66" s="67">
        <v>0.45</v>
      </c>
      <c r="V66" s="67">
        <v>0.52222222222222225</v>
      </c>
      <c r="W66" s="51">
        <v>0.14285714285714285</v>
      </c>
      <c r="X66" s="52">
        <v>20</v>
      </c>
      <c r="Y66" s="52">
        <v>30</v>
      </c>
      <c r="Z66" s="52">
        <v>60</v>
      </c>
      <c r="AA66" s="52">
        <v>110</v>
      </c>
      <c r="AB66" s="53">
        <v>0.55000000000000004</v>
      </c>
      <c r="AC66" s="54">
        <v>90</v>
      </c>
      <c r="AD66" s="55">
        <v>0.45</v>
      </c>
      <c r="AE66" s="56">
        <v>2</v>
      </c>
      <c r="AF66" s="57" t="s">
        <v>72</v>
      </c>
      <c r="AG66" s="58">
        <v>70</v>
      </c>
      <c r="AH66" s="58">
        <v>20</v>
      </c>
      <c r="AI66" s="58">
        <v>90</v>
      </c>
      <c r="AJ66" s="49">
        <v>22.5</v>
      </c>
      <c r="AK66" s="49">
        <v>112.5</v>
      </c>
      <c r="AL66" s="52">
        <v>11.25</v>
      </c>
      <c r="AM66" s="52">
        <v>42.5</v>
      </c>
      <c r="AN66" s="52">
        <v>53.75</v>
      </c>
      <c r="AO66" s="59">
        <v>0.4777777777777778</v>
      </c>
      <c r="AP66" s="60">
        <v>58.75</v>
      </c>
      <c r="AQ66" s="61">
        <v>0.52222222222222225</v>
      </c>
      <c r="AR66" s="60" t="s">
        <v>78</v>
      </c>
      <c r="AS66" s="62">
        <v>210</v>
      </c>
      <c r="AT66" s="62">
        <v>30</v>
      </c>
      <c r="AU66" s="62">
        <v>240</v>
      </c>
      <c r="AV66" s="62">
        <v>300</v>
      </c>
      <c r="AW66" s="47" t="s">
        <v>107</v>
      </c>
      <c r="AX66" s="64"/>
      <c r="AY66" s="64" t="s">
        <v>2876</v>
      </c>
      <c r="BA66" s="64"/>
      <c r="BB66" s="64"/>
      <c r="BC66" s="64"/>
      <c r="BD66" s="46"/>
      <c r="BE66" s="46" t="e">
        <v>#REF!</v>
      </c>
      <c r="BF66" s="46" t="s">
        <v>79</v>
      </c>
      <c r="BG66" s="65">
        <v>0.5</v>
      </c>
      <c r="BH66" s="66" t="s">
        <v>2877</v>
      </c>
      <c r="BI66" s="63" t="s">
        <v>2878</v>
      </c>
    </row>
    <row r="67" spans="1:61" ht="25.5" x14ac:dyDescent="0.2">
      <c r="A67" s="45" t="s">
        <v>2879</v>
      </c>
      <c r="B67" s="46"/>
      <c r="C67" s="46" t="s">
        <v>2880</v>
      </c>
      <c r="D67" s="46" t="s">
        <v>1266</v>
      </c>
      <c r="E67" s="46" t="s">
        <v>68</v>
      </c>
      <c r="F67" s="46" t="s">
        <v>68</v>
      </c>
      <c r="G67" s="46" t="s">
        <v>68</v>
      </c>
      <c r="H67" s="46" t="s">
        <v>68</v>
      </c>
      <c r="I67" s="46" t="s">
        <v>68</v>
      </c>
      <c r="J67" s="46" t="s">
        <v>71</v>
      </c>
      <c r="K67" s="47">
        <v>140</v>
      </c>
      <c r="L67" s="47">
        <v>20</v>
      </c>
      <c r="M67" s="47">
        <v>160</v>
      </c>
      <c r="N67" s="46"/>
      <c r="O67" s="71" t="s">
        <v>68</v>
      </c>
      <c r="P67" s="64"/>
      <c r="Q67" s="46" t="s">
        <v>2565</v>
      </c>
      <c r="R67" s="46" t="s">
        <v>2776</v>
      </c>
      <c r="S67" s="49">
        <v>40</v>
      </c>
      <c r="T67" s="49">
        <v>200</v>
      </c>
      <c r="U67" s="67">
        <v>0.45</v>
      </c>
      <c r="V67" s="67">
        <v>0.52222222222222225</v>
      </c>
      <c r="W67" s="51">
        <v>0.14285714285714285</v>
      </c>
      <c r="X67" s="52">
        <v>20</v>
      </c>
      <c r="Y67" s="52">
        <v>30</v>
      </c>
      <c r="Z67" s="52">
        <v>60</v>
      </c>
      <c r="AA67" s="52">
        <v>110</v>
      </c>
      <c r="AB67" s="53">
        <v>0.55000000000000004</v>
      </c>
      <c r="AC67" s="54">
        <v>90</v>
      </c>
      <c r="AD67" s="55">
        <v>0.45</v>
      </c>
      <c r="AE67" s="56">
        <v>2</v>
      </c>
      <c r="AF67" s="57" t="s">
        <v>72</v>
      </c>
      <c r="AG67" s="58">
        <v>70</v>
      </c>
      <c r="AH67" s="58">
        <v>20</v>
      </c>
      <c r="AI67" s="58">
        <v>90</v>
      </c>
      <c r="AJ67" s="49">
        <v>22.5</v>
      </c>
      <c r="AK67" s="49">
        <v>112.5</v>
      </c>
      <c r="AL67" s="52">
        <v>11.25</v>
      </c>
      <c r="AM67" s="52">
        <v>42.5</v>
      </c>
      <c r="AN67" s="52">
        <v>53.75</v>
      </c>
      <c r="AO67" s="59">
        <v>0.4777777777777778</v>
      </c>
      <c r="AP67" s="60">
        <v>58.75</v>
      </c>
      <c r="AQ67" s="61">
        <v>0.52222222222222225</v>
      </c>
      <c r="AR67" s="60" t="s">
        <v>78</v>
      </c>
      <c r="AS67" s="62">
        <v>210</v>
      </c>
      <c r="AT67" s="62">
        <v>30</v>
      </c>
      <c r="AU67" s="62">
        <v>240</v>
      </c>
      <c r="AV67" s="62">
        <v>300</v>
      </c>
      <c r="AW67" s="47" t="s">
        <v>107</v>
      </c>
      <c r="AX67" s="64"/>
      <c r="AY67" s="64" t="s">
        <v>2881</v>
      </c>
      <c r="BA67" s="64"/>
      <c r="BB67" s="64"/>
      <c r="BC67" s="64"/>
      <c r="BD67" s="46"/>
      <c r="BE67" s="46" t="e">
        <v>#REF!</v>
      </c>
      <c r="BF67" s="46" t="s">
        <v>79</v>
      </c>
      <c r="BG67" s="65">
        <v>0.5</v>
      </c>
      <c r="BH67" s="66" t="s">
        <v>2882</v>
      </c>
      <c r="BI67" s="63" t="s">
        <v>2883</v>
      </c>
    </row>
    <row r="68" spans="1:61" ht="25.5" x14ac:dyDescent="0.2">
      <c r="A68" s="45" t="s">
        <v>2884</v>
      </c>
      <c r="B68" s="46"/>
      <c r="C68" s="46" t="s">
        <v>2885</v>
      </c>
      <c r="D68" s="46" t="s">
        <v>1266</v>
      </c>
      <c r="E68" s="46" t="s">
        <v>2886</v>
      </c>
      <c r="F68" s="46" t="s">
        <v>68</v>
      </c>
      <c r="G68" s="46" t="s">
        <v>68</v>
      </c>
      <c r="H68" s="46" t="s">
        <v>68</v>
      </c>
      <c r="I68" s="46" t="s">
        <v>68</v>
      </c>
      <c r="J68" s="46" t="s">
        <v>71</v>
      </c>
      <c r="K68" s="47">
        <v>160</v>
      </c>
      <c r="L68" s="47">
        <v>20</v>
      </c>
      <c r="M68" s="47">
        <v>180</v>
      </c>
      <c r="N68" s="46"/>
      <c r="O68" s="71" t="s">
        <v>68</v>
      </c>
      <c r="P68" s="64"/>
      <c r="Q68" s="46" t="s">
        <v>2565</v>
      </c>
      <c r="R68" s="46" t="s">
        <v>2776</v>
      </c>
      <c r="S68" s="49">
        <v>45</v>
      </c>
      <c r="T68" s="49">
        <v>225</v>
      </c>
      <c r="U68" s="67">
        <v>0.4777777777777778</v>
      </c>
      <c r="V68" s="67">
        <v>0.54</v>
      </c>
      <c r="W68" s="51">
        <v>0.125</v>
      </c>
      <c r="X68" s="52">
        <v>22.5</v>
      </c>
      <c r="Y68" s="52">
        <v>30</v>
      </c>
      <c r="Z68" s="52">
        <v>65</v>
      </c>
      <c r="AA68" s="52">
        <v>117.5</v>
      </c>
      <c r="AB68" s="53">
        <v>0.52222222222222225</v>
      </c>
      <c r="AC68" s="54">
        <v>107.5</v>
      </c>
      <c r="AD68" s="55">
        <v>0.4777777777777778</v>
      </c>
      <c r="AE68" s="56">
        <v>2</v>
      </c>
      <c r="AF68" s="57" t="s">
        <v>72</v>
      </c>
      <c r="AG68" s="58">
        <v>80</v>
      </c>
      <c r="AH68" s="58">
        <v>20</v>
      </c>
      <c r="AI68" s="58">
        <v>100</v>
      </c>
      <c r="AJ68" s="49">
        <v>25</v>
      </c>
      <c r="AK68" s="49">
        <v>125</v>
      </c>
      <c r="AL68" s="52">
        <v>12.5</v>
      </c>
      <c r="AM68" s="52">
        <v>45</v>
      </c>
      <c r="AN68" s="52">
        <v>57.5</v>
      </c>
      <c r="AO68" s="59">
        <v>0.46</v>
      </c>
      <c r="AP68" s="60">
        <v>67.5</v>
      </c>
      <c r="AQ68" s="61">
        <v>0.54</v>
      </c>
      <c r="AR68" s="60" t="s">
        <v>78</v>
      </c>
      <c r="AS68" s="62">
        <v>240</v>
      </c>
      <c r="AT68" s="62">
        <v>30</v>
      </c>
      <c r="AU68" s="62">
        <v>270</v>
      </c>
      <c r="AV68" s="62">
        <v>337.5</v>
      </c>
      <c r="AW68" s="47" t="s">
        <v>107</v>
      </c>
      <c r="AX68" s="64"/>
      <c r="AY68" s="64" t="s">
        <v>2887</v>
      </c>
      <c r="BA68" s="64"/>
      <c r="BB68" s="64"/>
      <c r="BC68" s="64"/>
      <c r="BD68" s="46"/>
      <c r="BE68" s="46" t="e">
        <v>#REF!</v>
      </c>
      <c r="BF68" s="46" t="s">
        <v>79</v>
      </c>
      <c r="BG68" s="65">
        <v>0.75</v>
      </c>
      <c r="BH68" s="66" t="s">
        <v>2888</v>
      </c>
      <c r="BI68" s="63" t="s">
        <v>2889</v>
      </c>
    </row>
    <row r="69" spans="1:61" ht="25.5" x14ac:dyDescent="0.2">
      <c r="A69" s="45" t="s">
        <v>2890</v>
      </c>
      <c r="B69" s="46"/>
      <c r="C69" s="46" t="s">
        <v>2885</v>
      </c>
      <c r="D69" s="46" t="s">
        <v>1266</v>
      </c>
      <c r="E69" s="46" t="s">
        <v>2891</v>
      </c>
      <c r="F69" s="46" t="s">
        <v>68</v>
      </c>
      <c r="G69" s="46" t="s">
        <v>68</v>
      </c>
      <c r="H69" s="46" t="s">
        <v>68</v>
      </c>
      <c r="I69" s="46" t="s">
        <v>68</v>
      </c>
      <c r="J69" s="46" t="s">
        <v>71</v>
      </c>
      <c r="K69" s="47">
        <v>170</v>
      </c>
      <c r="L69" s="47">
        <v>170</v>
      </c>
      <c r="M69" s="47">
        <v>340</v>
      </c>
      <c r="N69" s="46"/>
      <c r="O69" s="71" t="s">
        <v>68</v>
      </c>
      <c r="P69" s="64"/>
      <c r="Q69" s="46" t="s">
        <v>2565</v>
      </c>
      <c r="R69" s="46" t="s">
        <v>2776</v>
      </c>
      <c r="S69" s="49">
        <v>85</v>
      </c>
      <c r="T69" s="49">
        <v>425</v>
      </c>
      <c r="U69" s="28">
        <v>0.22941176470588234</v>
      </c>
      <c r="V69" s="50">
        <v>0.16666666666666666</v>
      </c>
      <c r="W69" s="51">
        <v>1</v>
      </c>
      <c r="X69" s="52">
        <v>42.5</v>
      </c>
      <c r="Y69" s="52">
        <v>30</v>
      </c>
      <c r="Z69" s="52">
        <v>255</v>
      </c>
      <c r="AA69" s="52">
        <v>327.5</v>
      </c>
      <c r="AB69" s="53">
        <v>0.77058823529411768</v>
      </c>
      <c r="AC69" s="54">
        <v>97.5</v>
      </c>
      <c r="AD69" s="55">
        <v>0.22941176470588234</v>
      </c>
      <c r="AE69" s="56">
        <v>2</v>
      </c>
      <c r="AF69" s="57" t="s">
        <v>72</v>
      </c>
      <c r="AG69" s="58">
        <v>85</v>
      </c>
      <c r="AH69" s="58">
        <v>170</v>
      </c>
      <c r="AI69" s="58">
        <v>255</v>
      </c>
      <c r="AJ69" s="49">
        <v>63.75</v>
      </c>
      <c r="AK69" s="49">
        <v>318.75</v>
      </c>
      <c r="AL69" s="52">
        <v>31.875</v>
      </c>
      <c r="AM69" s="52">
        <v>233.75</v>
      </c>
      <c r="AN69" s="52">
        <v>265.625</v>
      </c>
      <c r="AO69" s="59">
        <v>0.83333333333333337</v>
      </c>
      <c r="AP69" s="60">
        <v>53.125</v>
      </c>
      <c r="AQ69" s="61">
        <v>0.16666666666666666</v>
      </c>
      <c r="AR69" s="60" t="s">
        <v>73</v>
      </c>
      <c r="AS69" s="62">
        <v>255</v>
      </c>
      <c r="AT69" s="62">
        <v>255</v>
      </c>
      <c r="AU69" s="62">
        <v>510</v>
      </c>
      <c r="AV69" s="62">
        <v>637.5</v>
      </c>
      <c r="AW69" s="47" t="s">
        <v>107</v>
      </c>
      <c r="AX69" s="64"/>
      <c r="AY69" s="64" t="s">
        <v>2892</v>
      </c>
      <c r="BA69" s="64"/>
      <c r="BB69" s="64"/>
      <c r="BC69" s="64"/>
      <c r="BD69" s="46"/>
      <c r="BE69" s="46" t="e">
        <v>#REF!</v>
      </c>
      <c r="BF69" s="46" t="s">
        <v>79</v>
      </c>
      <c r="BG69" s="65">
        <v>0.75</v>
      </c>
      <c r="BH69" s="66" t="s">
        <v>2893</v>
      </c>
      <c r="BI69" s="63" t="s">
        <v>2894</v>
      </c>
    </row>
    <row r="70" spans="1:61" ht="25.5" x14ac:dyDescent="0.2">
      <c r="A70" s="45" t="s">
        <v>2895</v>
      </c>
      <c r="B70" s="46"/>
      <c r="C70" s="46" t="s">
        <v>2896</v>
      </c>
      <c r="D70" s="46" t="s">
        <v>68</v>
      </c>
      <c r="E70" s="46" t="s">
        <v>68</v>
      </c>
      <c r="F70" s="46" t="s">
        <v>68</v>
      </c>
      <c r="G70" s="46" t="s">
        <v>68</v>
      </c>
      <c r="H70" s="46" t="s">
        <v>68</v>
      </c>
      <c r="I70" s="46" t="s">
        <v>445</v>
      </c>
      <c r="J70" s="46" t="s">
        <v>71</v>
      </c>
      <c r="K70" s="47">
        <v>150</v>
      </c>
      <c r="L70" s="47">
        <v>25</v>
      </c>
      <c r="M70" s="47">
        <v>175</v>
      </c>
      <c r="N70" s="46"/>
      <c r="O70" s="71" t="s">
        <v>68</v>
      </c>
      <c r="P70" s="64"/>
      <c r="Q70" s="46" t="s">
        <v>2565</v>
      </c>
      <c r="R70" s="46" t="s">
        <v>2776</v>
      </c>
      <c r="S70" s="49">
        <v>43.75</v>
      </c>
      <c r="T70" s="49">
        <v>218.75</v>
      </c>
      <c r="U70" s="67">
        <v>0.44857142857142857</v>
      </c>
      <c r="V70" s="67">
        <v>0.5</v>
      </c>
      <c r="W70" s="51">
        <v>0.16666666666666666</v>
      </c>
      <c r="X70" s="52">
        <v>21.875</v>
      </c>
      <c r="Y70" s="52">
        <v>30</v>
      </c>
      <c r="Z70" s="52">
        <v>68.75</v>
      </c>
      <c r="AA70" s="52">
        <v>120.625</v>
      </c>
      <c r="AB70" s="53">
        <v>0.55142857142857138</v>
      </c>
      <c r="AC70" s="54">
        <v>98.125</v>
      </c>
      <c r="AD70" s="55">
        <v>0.44857142857142857</v>
      </c>
      <c r="AE70" s="56">
        <v>2</v>
      </c>
      <c r="AF70" s="57" t="s">
        <v>72</v>
      </c>
      <c r="AG70" s="58">
        <v>75</v>
      </c>
      <c r="AH70" s="58">
        <v>25</v>
      </c>
      <c r="AI70" s="58">
        <v>100</v>
      </c>
      <c r="AJ70" s="49">
        <v>25</v>
      </c>
      <c r="AK70" s="49">
        <v>125</v>
      </c>
      <c r="AL70" s="52">
        <v>12.5</v>
      </c>
      <c r="AM70" s="52">
        <v>50</v>
      </c>
      <c r="AN70" s="52">
        <v>62.5</v>
      </c>
      <c r="AO70" s="59">
        <v>0.5</v>
      </c>
      <c r="AP70" s="60">
        <v>62.5</v>
      </c>
      <c r="AQ70" s="61">
        <v>0.5</v>
      </c>
      <c r="AR70" s="60" t="s">
        <v>78</v>
      </c>
      <c r="AS70" s="62">
        <v>225</v>
      </c>
      <c r="AT70" s="62">
        <v>38</v>
      </c>
      <c r="AU70" s="62">
        <v>263</v>
      </c>
      <c r="AV70" s="62">
        <v>328.75</v>
      </c>
      <c r="AW70" s="47" t="s">
        <v>107</v>
      </c>
      <c r="AX70" s="64"/>
      <c r="AY70" s="64" t="s">
        <v>2897</v>
      </c>
      <c r="BA70" s="64"/>
      <c r="BB70" s="64"/>
      <c r="BC70" s="64"/>
      <c r="BD70" s="46"/>
      <c r="BE70" s="46" t="e">
        <v>#REF!</v>
      </c>
      <c r="BF70" s="46" t="s">
        <v>79</v>
      </c>
      <c r="BG70" s="65">
        <v>0.5</v>
      </c>
      <c r="BH70" s="66" t="s">
        <v>2898</v>
      </c>
      <c r="BI70" s="63" t="s">
        <v>2899</v>
      </c>
    </row>
    <row r="71" spans="1:61" ht="25.5" x14ac:dyDescent="0.2">
      <c r="A71" s="45" t="s">
        <v>2900</v>
      </c>
      <c r="B71" s="46"/>
      <c r="C71" s="46" t="s">
        <v>2896</v>
      </c>
      <c r="D71" s="46" t="s">
        <v>68</v>
      </c>
      <c r="E71" s="46" t="s">
        <v>68</v>
      </c>
      <c r="F71" s="46" t="s">
        <v>68</v>
      </c>
      <c r="G71" s="46" t="s">
        <v>68</v>
      </c>
      <c r="H71" s="46" t="s">
        <v>68</v>
      </c>
      <c r="I71" s="46" t="s">
        <v>449</v>
      </c>
      <c r="J71" s="46" t="s">
        <v>71</v>
      </c>
      <c r="K71" s="47">
        <v>170</v>
      </c>
      <c r="L71" s="47">
        <v>60</v>
      </c>
      <c r="M71" s="47">
        <v>230</v>
      </c>
      <c r="N71" s="46"/>
      <c r="O71" s="71" t="s">
        <v>68</v>
      </c>
      <c r="P71" s="64"/>
      <c r="Q71" s="46" t="s">
        <v>2565</v>
      </c>
      <c r="R71" s="46" t="s">
        <v>2776</v>
      </c>
      <c r="S71" s="49">
        <v>57.5</v>
      </c>
      <c r="T71" s="49">
        <v>287.5</v>
      </c>
      <c r="U71" s="67">
        <v>0.38695652173913042</v>
      </c>
      <c r="V71" s="67">
        <v>0.36896551724137933</v>
      </c>
      <c r="W71" s="51">
        <v>0.35294117647058826</v>
      </c>
      <c r="X71" s="52">
        <v>28.75</v>
      </c>
      <c r="Y71" s="52">
        <v>30</v>
      </c>
      <c r="Z71" s="52">
        <v>117.5</v>
      </c>
      <c r="AA71" s="52">
        <v>176.25</v>
      </c>
      <c r="AB71" s="53">
        <v>0.61304347826086958</v>
      </c>
      <c r="AC71" s="54">
        <v>111.25</v>
      </c>
      <c r="AD71" s="55">
        <v>0.38695652173913042</v>
      </c>
      <c r="AE71" s="56">
        <v>2</v>
      </c>
      <c r="AF71" s="57" t="s">
        <v>72</v>
      </c>
      <c r="AG71" s="58">
        <v>85</v>
      </c>
      <c r="AH71" s="58">
        <v>60</v>
      </c>
      <c r="AI71" s="58">
        <v>145</v>
      </c>
      <c r="AJ71" s="49">
        <v>36.25</v>
      </c>
      <c r="AK71" s="49">
        <v>181.25</v>
      </c>
      <c r="AL71" s="52">
        <v>18.125</v>
      </c>
      <c r="AM71" s="52">
        <v>96.25</v>
      </c>
      <c r="AN71" s="52">
        <v>114.375</v>
      </c>
      <c r="AO71" s="59">
        <v>0.63103448275862073</v>
      </c>
      <c r="AP71" s="60">
        <v>66.875</v>
      </c>
      <c r="AQ71" s="61">
        <v>0.36896551724137933</v>
      </c>
      <c r="AR71" s="60" t="s">
        <v>78</v>
      </c>
      <c r="AS71" s="62">
        <v>255</v>
      </c>
      <c r="AT71" s="62">
        <v>90</v>
      </c>
      <c r="AU71" s="62">
        <v>345</v>
      </c>
      <c r="AV71" s="62">
        <v>431.25</v>
      </c>
      <c r="AW71" s="47" t="s">
        <v>107</v>
      </c>
      <c r="AX71" s="64"/>
      <c r="AY71" s="64" t="s">
        <v>2901</v>
      </c>
      <c r="BA71" s="64"/>
      <c r="BB71" s="64"/>
      <c r="BC71" s="64"/>
      <c r="BD71" s="46"/>
      <c r="BE71" s="46" t="e">
        <v>#REF!</v>
      </c>
      <c r="BF71" s="46" t="s">
        <v>79</v>
      </c>
      <c r="BG71" s="65">
        <v>0.5</v>
      </c>
      <c r="BH71" s="66" t="s">
        <v>2902</v>
      </c>
      <c r="BI71" s="63" t="s">
        <v>2903</v>
      </c>
    </row>
    <row r="72" spans="1:61" ht="25.5" x14ac:dyDescent="0.2">
      <c r="A72" s="45" t="s">
        <v>2904</v>
      </c>
      <c r="B72" s="46"/>
      <c r="C72" s="46" t="s">
        <v>2905</v>
      </c>
      <c r="D72" s="46" t="s">
        <v>1266</v>
      </c>
      <c r="E72" s="46" t="s">
        <v>68</v>
      </c>
      <c r="F72" s="46" t="s">
        <v>68</v>
      </c>
      <c r="G72" s="46" t="s">
        <v>68</v>
      </c>
      <c r="H72" s="46" t="s">
        <v>68</v>
      </c>
      <c r="I72" s="46" t="s">
        <v>68</v>
      </c>
      <c r="J72" s="46" t="s">
        <v>71</v>
      </c>
      <c r="K72" s="47">
        <v>290</v>
      </c>
      <c r="L72" s="47">
        <v>800</v>
      </c>
      <c r="M72" s="47">
        <v>1090</v>
      </c>
      <c r="N72" s="46"/>
      <c r="O72" s="71" t="s">
        <v>68</v>
      </c>
      <c r="P72" s="64"/>
      <c r="Q72" s="46" t="s">
        <v>2565</v>
      </c>
      <c r="R72" s="46" t="s">
        <v>2776</v>
      </c>
      <c r="S72" s="49">
        <v>272.5</v>
      </c>
      <c r="T72" s="49">
        <v>1362.5</v>
      </c>
      <c r="U72" s="50">
        <v>9.08256880733945E-2</v>
      </c>
      <c r="V72" s="50">
        <v>0.11284403669724771</v>
      </c>
      <c r="W72" s="77">
        <v>2.7586206896551726</v>
      </c>
      <c r="X72" s="52">
        <v>136.25</v>
      </c>
      <c r="Y72" s="52">
        <v>30</v>
      </c>
      <c r="Z72" s="52">
        <v>1072.5</v>
      </c>
      <c r="AA72" s="52">
        <v>1238.75</v>
      </c>
      <c r="AB72" s="53">
        <v>0.90917431192660547</v>
      </c>
      <c r="AC72" s="72">
        <v>123.75</v>
      </c>
      <c r="AD72" s="55">
        <v>9.08256880733945E-2</v>
      </c>
      <c r="AE72" s="73">
        <v>3</v>
      </c>
      <c r="AF72" s="57" t="s">
        <v>95</v>
      </c>
      <c r="AG72" s="58">
        <v>290</v>
      </c>
      <c r="AH72" s="58">
        <v>800</v>
      </c>
      <c r="AI72" s="58">
        <v>1090</v>
      </c>
      <c r="AJ72" s="49">
        <v>272.5</v>
      </c>
      <c r="AK72" s="49">
        <v>1362.5</v>
      </c>
      <c r="AL72" s="52">
        <v>136.25</v>
      </c>
      <c r="AM72" s="52">
        <v>1072.5</v>
      </c>
      <c r="AN72" s="52">
        <v>1208.75</v>
      </c>
      <c r="AO72" s="59">
        <v>0.88715596330275226</v>
      </c>
      <c r="AP72" s="60">
        <v>153.75</v>
      </c>
      <c r="AQ72" s="61">
        <v>0.11284403669724771</v>
      </c>
      <c r="AR72" s="60" t="s">
        <v>73</v>
      </c>
      <c r="AS72" s="62">
        <v>464</v>
      </c>
      <c r="AT72" s="62">
        <v>1280</v>
      </c>
      <c r="AU72" s="62">
        <v>1744</v>
      </c>
      <c r="AV72" s="62">
        <v>2180</v>
      </c>
      <c r="AW72" s="47" t="s">
        <v>107</v>
      </c>
      <c r="AX72" s="64"/>
      <c r="AY72" s="64" t="s">
        <v>2906</v>
      </c>
      <c r="BA72" s="64"/>
      <c r="BB72" s="64"/>
      <c r="BC72" s="64"/>
      <c r="BD72" s="46"/>
      <c r="BE72" s="46" t="e">
        <v>#REF!</v>
      </c>
      <c r="BF72" s="46" t="s">
        <v>75</v>
      </c>
      <c r="BG72" s="65">
        <v>1</v>
      </c>
      <c r="BH72" s="66" t="s">
        <v>2907</v>
      </c>
      <c r="BI72" s="63" t="s">
        <v>2908</v>
      </c>
    </row>
    <row r="73" spans="1:61" ht="25.5" x14ac:dyDescent="0.2">
      <c r="A73" s="45" t="s">
        <v>2909</v>
      </c>
      <c r="B73" s="46"/>
      <c r="C73" s="46" t="s">
        <v>2910</v>
      </c>
      <c r="D73" s="46" t="s">
        <v>1266</v>
      </c>
      <c r="E73" s="46" t="s">
        <v>68</v>
      </c>
      <c r="F73" s="46" t="s">
        <v>68</v>
      </c>
      <c r="G73" s="46" t="s">
        <v>68</v>
      </c>
      <c r="H73" s="46" t="s">
        <v>2648</v>
      </c>
      <c r="I73" s="46" t="s">
        <v>68</v>
      </c>
      <c r="J73" s="46" t="s">
        <v>71</v>
      </c>
      <c r="K73" s="47">
        <v>175</v>
      </c>
      <c r="L73" s="47">
        <v>50</v>
      </c>
      <c r="M73" s="47">
        <v>225</v>
      </c>
      <c r="N73" s="46"/>
      <c r="O73" s="71" t="s">
        <v>68</v>
      </c>
      <c r="P73" s="64"/>
      <c r="Q73" s="46" t="s">
        <v>2565</v>
      </c>
      <c r="R73" s="46" t="s">
        <v>2776</v>
      </c>
      <c r="S73" s="49">
        <v>56.25</v>
      </c>
      <c r="T73" s="49">
        <v>281.25</v>
      </c>
      <c r="U73" s="67">
        <v>0.41555555555555557</v>
      </c>
      <c r="V73" s="67">
        <v>0.40909090909090912</v>
      </c>
      <c r="W73" s="51">
        <v>0.2857142857142857</v>
      </c>
      <c r="X73" s="52">
        <v>28.125</v>
      </c>
      <c r="Y73" s="52">
        <v>30</v>
      </c>
      <c r="Z73" s="52">
        <v>106.25</v>
      </c>
      <c r="AA73" s="52">
        <v>164.375</v>
      </c>
      <c r="AB73" s="53">
        <v>0.58444444444444443</v>
      </c>
      <c r="AC73" s="54">
        <v>116.875</v>
      </c>
      <c r="AD73" s="55">
        <v>0.41555555555555557</v>
      </c>
      <c r="AE73" s="56">
        <v>2</v>
      </c>
      <c r="AF73" s="57" t="s">
        <v>72</v>
      </c>
      <c r="AG73" s="58">
        <v>87.5</v>
      </c>
      <c r="AH73" s="58">
        <v>50</v>
      </c>
      <c r="AI73" s="58">
        <v>137.5</v>
      </c>
      <c r="AJ73" s="49">
        <v>34.375</v>
      </c>
      <c r="AK73" s="49">
        <v>171.875</v>
      </c>
      <c r="AL73" s="52">
        <v>17.1875</v>
      </c>
      <c r="AM73" s="52">
        <v>84.375</v>
      </c>
      <c r="AN73" s="52">
        <v>101.5625</v>
      </c>
      <c r="AO73" s="59">
        <v>0.59090909090909094</v>
      </c>
      <c r="AP73" s="60">
        <v>70.3125</v>
      </c>
      <c r="AQ73" s="61">
        <v>0.40909090909090912</v>
      </c>
      <c r="AR73" s="60" t="s">
        <v>78</v>
      </c>
      <c r="AS73" s="62">
        <v>263</v>
      </c>
      <c r="AT73" s="62">
        <v>75</v>
      </c>
      <c r="AU73" s="62">
        <v>338</v>
      </c>
      <c r="AV73" s="62">
        <v>422.5</v>
      </c>
      <c r="AW73" s="47" t="s">
        <v>107</v>
      </c>
      <c r="AX73" s="64"/>
      <c r="AY73" s="64" t="s">
        <v>2911</v>
      </c>
      <c r="BA73" s="64"/>
      <c r="BB73" s="64"/>
      <c r="BC73" s="64"/>
      <c r="BD73" s="46"/>
      <c r="BE73" s="46" t="e">
        <v>#REF!</v>
      </c>
      <c r="BF73" s="46" t="s">
        <v>75</v>
      </c>
      <c r="BG73" s="65">
        <v>2</v>
      </c>
      <c r="BH73" s="66" t="s">
        <v>2912</v>
      </c>
      <c r="BI73" s="63" t="s">
        <v>2913</v>
      </c>
    </row>
    <row r="74" spans="1:61" ht="25.5" x14ac:dyDescent="0.2">
      <c r="A74" s="45" t="s">
        <v>2914</v>
      </c>
      <c r="B74" s="46"/>
      <c r="C74" s="46" t="s">
        <v>2915</v>
      </c>
      <c r="D74" s="46" t="s">
        <v>2916</v>
      </c>
      <c r="E74" s="46" t="s">
        <v>68</v>
      </c>
      <c r="F74" s="46" t="s">
        <v>68</v>
      </c>
      <c r="G74" s="46" t="s">
        <v>68</v>
      </c>
      <c r="H74" s="46" t="s">
        <v>68</v>
      </c>
      <c r="I74" s="46" t="s">
        <v>68</v>
      </c>
      <c r="J74" s="46" t="s">
        <v>71</v>
      </c>
      <c r="K74" s="47">
        <v>300</v>
      </c>
      <c r="L74" s="47">
        <v>650</v>
      </c>
      <c r="M74" s="47">
        <v>950</v>
      </c>
      <c r="N74" s="46"/>
      <c r="O74" s="71" t="s">
        <v>68</v>
      </c>
      <c r="P74" s="64"/>
      <c r="Q74" s="46" t="s">
        <v>2565</v>
      </c>
      <c r="R74" s="46" t="s">
        <v>2776</v>
      </c>
      <c r="S74" s="49">
        <v>237.5</v>
      </c>
      <c r="T74" s="49">
        <v>1187.5</v>
      </c>
      <c r="U74" s="50">
        <v>0.12736842105263158</v>
      </c>
      <c r="V74" s="50">
        <v>0.15263157894736842</v>
      </c>
      <c r="W74" s="77">
        <v>2.1666666666666665</v>
      </c>
      <c r="X74" s="52">
        <v>118.75</v>
      </c>
      <c r="Y74" s="52">
        <v>30</v>
      </c>
      <c r="Z74" s="52">
        <v>887.5</v>
      </c>
      <c r="AA74" s="52">
        <v>1036.25</v>
      </c>
      <c r="AB74" s="53">
        <v>0.87263157894736842</v>
      </c>
      <c r="AC74" s="72">
        <v>151.25</v>
      </c>
      <c r="AD74" s="55">
        <v>0.12736842105263158</v>
      </c>
      <c r="AE74" s="73">
        <v>3</v>
      </c>
      <c r="AF74" s="57" t="s">
        <v>95</v>
      </c>
      <c r="AG74" s="58">
        <v>300</v>
      </c>
      <c r="AH74" s="58">
        <v>650</v>
      </c>
      <c r="AI74" s="58">
        <v>950</v>
      </c>
      <c r="AJ74" s="49">
        <v>237.5</v>
      </c>
      <c r="AK74" s="49">
        <v>1187.5</v>
      </c>
      <c r="AL74" s="52">
        <v>118.75</v>
      </c>
      <c r="AM74" s="52">
        <v>887.5</v>
      </c>
      <c r="AN74" s="52">
        <v>1006.25</v>
      </c>
      <c r="AO74" s="59">
        <v>0.84736842105263155</v>
      </c>
      <c r="AP74" s="60">
        <v>181.25</v>
      </c>
      <c r="AQ74" s="61">
        <v>0.15263157894736842</v>
      </c>
      <c r="AR74" s="60" t="s">
        <v>73</v>
      </c>
      <c r="AS74" s="62">
        <v>480</v>
      </c>
      <c r="AT74" s="62">
        <v>1040</v>
      </c>
      <c r="AU74" s="62">
        <v>1520</v>
      </c>
      <c r="AV74" s="62">
        <v>1900</v>
      </c>
      <c r="AW74" s="47" t="s">
        <v>107</v>
      </c>
      <c r="AX74" s="64"/>
      <c r="AY74" s="64" t="s">
        <v>2917</v>
      </c>
      <c r="BA74" s="64"/>
      <c r="BB74" s="64"/>
      <c r="BC74" s="64"/>
      <c r="BD74" s="46"/>
      <c r="BE74" s="46" t="e">
        <v>#REF!</v>
      </c>
      <c r="BF74" s="46" t="s">
        <v>75</v>
      </c>
      <c r="BG74" s="65">
        <v>1</v>
      </c>
      <c r="BH74" s="66" t="s">
        <v>2918</v>
      </c>
      <c r="BI74" s="63" t="s">
        <v>2919</v>
      </c>
    </row>
    <row r="75" spans="1:61" ht="25.5" x14ac:dyDescent="0.2">
      <c r="A75" s="45" t="s">
        <v>2920</v>
      </c>
      <c r="B75" s="46"/>
      <c r="C75" s="46" t="s">
        <v>2921</v>
      </c>
      <c r="D75" s="46" t="s">
        <v>2922</v>
      </c>
      <c r="E75" s="46" t="s">
        <v>68</v>
      </c>
      <c r="F75" s="46" t="s">
        <v>68</v>
      </c>
      <c r="G75" s="46" t="s">
        <v>68</v>
      </c>
      <c r="H75" s="46" t="s">
        <v>68</v>
      </c>
      <c r="I75" s="46" t="s">
        <v>68</v>
      </c>
      <c r="J75" s="46" t="s">
        <v>71</v>
      </c>
      <c r="K75" s="47">
        <v>450</v>
      </c>
      <c r="L75" s="47">
        <v>1300</v>
      </c>
      <c r="M75" s="47">
        <v>1750</v>
      </c>
      <c r="N75" s="46"/>
      <c r="O75" s="71" t="s">
        <v>68</v>
      </c>
      <c r="P75" s="64"/>
      <c r="Q75" s="46" t="s">
        <v>2565</v>
      </c>
      <c r="R75" s="46" t="s">
        <v>2776</v>
      </c>
      <c r="S75" s="49">
        <v>437.5</v>
      </c>
      <c r="T75" s="49">
        <v>2187.5</v>
      </c>
      <c r="U75" s="50">
        <v>9.1999999999999998E-2</v>
      </c>
      <c r="V75" s="50">
        <v>0.10571428571428572</v>
      </c>
      <c r="W75" s="77">
        <v>2.8888888888888888</v>
      </c>
      <c r="X75" s="52">
        <v>218.75</v>
      </c>
      <c r="Y75" s="52">
        <v>30</v>
      </c>
      <c r="Z75" s="52">
        <v>1737.5</v>
      </c>
      <c r="AA75" s="52">
        <v>1986.25</v>
      </c>
      <c r="AB75" s="53">
        <v>0.90800000000000003</v>
      </c>
      <c r="AC75" s="72">
        <v>201.25</v>
      </c>
      <c r="AD75" s="55">
        <v>9.1999999999999998E-2</v>
      </c>
      <c r="AE75" s="73">
        <v>3</v>
      </c>
      <c r="AF75" s="57" t="s">
        <v>95</v>
      </c>
      <c r="AG75" s="58">
        <v>450</v>
      </c>
      <c r="AH75" s="58">
        <v>1300</v>
      </c>
      <c r="AI75" s="58">
        <v>1750</v>
      </c>
      <c r="AJ75" s="49">
        <v>437.5</v>
      </c>
      <c r="AK75" s="49">
        <v>2187.5</v>
      </c>
      <c r="AL75" s="52">
        <v>218.75</v>
      </c>
      <c r="AM75" s="52">
        <v>1737.5</v>
      </c>
      <c r="AN75" s="52">
        <v>1956.25</v>
      </c>
      <c r="AO75" s="59">
        <v>0.89428571428571424</v>
      </c>
      <c r="AP75" s="60">
        <v>231.25</v>
      </c>
      <c r="AQ75" s="61">
        <v>0.10571428571428572</v>
      </c>
      <c r="AR75" s="60" t="s">
        <v>73</v>
      </c>
      <c r="AS75" s="62">
        <v>720</v>
      </c>
      <c r="AT75" s="62">
        <v>2080</v>
      </c>
      <c r="AU75" s="62">
        <v>2800</v>
      </c>
      <c r="AV75" s="62">
        <v>3500</v>
      </c>
      <c r="AW75" s="47" t="s">
        <v>107</v>
      </c>
      <c r="AX75" s="64"/>
      <c r="AY75" s="64" t="s">
        <v>2923</v>
      </c>
      <c r="BA75" s="64"/>
      <c r="BB75" s="64"/>
      <c r="BC75" s="64"/>
      <c r="BD75" s="46"/>
      <c r="BE75" s="46" t="e">
        <v>#REF!</v>
      </c>
      <c r="BF75" s="46" t="s">
        <v>75</v>
      </c>
      <c r="BG75" s="65">
        <v>2</v>
      </c>
      <c r="BH75" s="66" t="s">
        <v>2924</v>
      </c>
      <c r="BI75" s="63" t="s">
        <v>2925</v>
      </c>
    </row>
    <row r="76" spans="1:61" ht="25.5" x14ac:dyDescent="0.2">
      <c r="A76" s="45" t="s">
        <v>2926</v>
      </c>
      <c r="B76" s="46"/>
      <c r="C76" s="46" t="s">
        <v>2927</v>
      </c>
      <c r="D76" s="46" t="s">
        <v>1289</v>
      </c>
      <c r="E76" s="46" t="s">
        <v>68</v>
      </c>
      <c r="F76" s="46" t="s">
        <v>68</v>
      </c>
      <c r="G76" s="46" t="s">
        <v>68</v>
      </c>
      <c r="H76" s="46" t="s">
        <v>2928</v>
      </c>
      <c r="I76" s="46" t="s">
        <v>68</v>
      </c>
      <c r="J76" s="46" t="s">
        <v>71</v>
      </c>
      <c r="K76" s="47">
        <v>215</v>
      </c>
      <c r="L76" s="47">
        <v>270</v>
      </c>
      <c r="M76" s="47">
        <v>485</v>
      </c>
      <c r="N76" s="46"/>
      <c r="O76" s="71" t="s">
        <v>68</v>
      </c>
      <c r="P76" s="64"/>
      <c r="Q76" s="46" t="s">
        <v>2565</v>
      </c>
      <c r="R76" s="46" t="s">
        <v>2776</v>
      </c>
      <c r="S76" s="49">
        <v>121.25</v>
      </c>
      <c r="T76" s="49">
        <v>606.25</v>
      </c>
      <c r="U76" s="28">
        <v>0.20515463917525772</v>
      </c>
      <c r="V76" s="28">
        <v>0.25463917525773194</v>
      </c>
      <c r="W76" s="74">
        <v>1.2558139534883721</v>
      </c>
      <c r="X76" s="52">
        <v>60.625</v>
      </c>
      <c r="Y76" s="52">
        <v>30</v>
      </c>
      <c r="Z76" s="52">
        <v>391.25</v>
      </c>
      <c r="AA76" s="52">
        <v>481.875</v>
      </c>
      <c r="AB76" s="53">
        <v>0.79484536082474222</v>
      </c>
      <c r="AC76" s="72">
        <v>124.375</v>
      </c>
      <c r="AD76" s="55">
        <v>0.20515463917525772</v>
      </c>
      <c r="AE76" s="73">
        <v>3</v>
      </c>
      <c r="AF76" s="57" t="s">
        <v>95</v>
      </c>
      <c r="AG76" s="58">
        <v>215</v>
      </c>
      <c r="AH76" s="58">
        <v>270</v>
      </c>
      <c r="AI76" s="58">
        <v>485</v>
      </c>
      <c r="AJ76" s="49">
        <v>121.25</v>
      </c>
      <c r="AK76" s="49">
        <v>606.25</v>
      </c>
      <c r="AL76" s="52">
        <v>60.625</v>
      </c>
      <c r="AM76" s="52">
        <v>391.25</v>
      </c>
      <c r="AN76" s="52">
        <v>451.875</v>
      </c>
      <c r="AO76" s="59">
        <v>0.74536082474226806</v>
      </c>
      <c r="AP76" s="60">
        <v>154.375</v>
      </c>
      <c r="AQ76" s="61">
        <v>0.25463917525773194</v>
      </c>
      <c r="AR76" s="60" t="s">
        <v>78</v>
      </c>
      <c r="AS76" s="62">
        <v>344</v>
      </c>
      <c r="AT76" s="62">
        <v>432</v>
      </c>
      <c r="AU76" s="62">
        <v>776</v>
      </c>
      <c r="AV76" s="62">
        <v>970</v>
      </c>
      <c r="AW76" s="47" t="s">
        <v>107</v>
      </c>
      <c r="AX76" s="64"/>
      <c r="AY76" s="64" t="s">
        <v>2929</v>
      </c>
      <c r="BA76" s="64"/>
      <c r="BB76" s="64"/>
      <c r="BC76" s="64"/>
      <c r="BD76" s="46"/>
      <c r="BE76" s="46" t="e">
        <v>#REF!</v>
      </c>
      <c r="BF76" s="46" t="s">
        <v>75</v>
      </c>
      <c r="BG76" s="65">
        <v>0.75</v>
      </c>
      <c r="BH76" s="66" t="s">
        <v>2930</v>
      </c>
      <c r="BI76" s="63" t="s">
        <v>2931</v>
      </c>
    </row>
    <row r="77" spans="1:61" ht="25.5" x14ac:dyDescent="0.2">
      <c r="A77" s="45" t="s">
        <v>2932</v>
      </c>
      <c r="B77" s="46"/>
      <c r="C77" s="46" t="s">
        <v>2927</v>
      </c>
      <c r="D77" s="46" t="s">
        <v>2933</v>
      </c>
      <c r="E77" s="46" t="s">
        <v>68</v>
      </c>
      <c r="F77" s="46" t="s">
        <v>68</v>
      </c>
      <c r="G77" s="46" t="s">
        <v>68</v>
      </c>
      <c r="H77" s="46" t="s">
        <v>2928</v>
      </c>
      <c r="I77" s="46" t="s">
        <v>68</v>
      </c>
      <c r="J77" s="46" t="s">
        <v>71</v>
      </c>
      <c r="K77" s="47">
        <v>270</v>
      </c>
      <c r="L77" s="47">
        <v>400</v>
      </c>
      <c r="M77" s="47">
        <v>670</v>
      </c>
      <c r="N77" s="46"/>
      <c r="O77" s="71" t="s">
        <v>68</v>
      </c>
      <c r="P77" s="64"/>
      <c r="Q77" s="46" t="s">
        <v>2565</v>
      </c>
      <c r="R77" s="46" t="s">
        <v>2776</v>
      </c>
      <c r="S77" s="49">
        <v>167.5</v>
      </c>
      <c r="T77" s="49">
        <v>837.5</v>
      </c>
      <c r="U77" s="50">
        <v>0.18656716417910449</v>
      </c>
      <c r="V77" s="28">
        <v>0.22238805970149253</v>
      </c>
      <c r="W77" s="74">
        <v>1.4814814814814814</v>
      </c>
      <c r="X77" s="52">
        <v>83.75</v>
      </c>
      <c r="Y77" s="52">
        <v>30</v>
      </c>
      <c r="Z77" s="52">
        <v>567.5</v>
      </c>
      <c r="AA77" s="52">
        <v>681.25</v>
      </c>
      <c r="AB77" s="53">
        <v>0.81343283582089554</v>
      </c>
      <c r="AC77" s="72">
        <v>156.25</v>
      </c>
      <c r="AD77" s="55">
        <v>0.18656716417910449</v>
      </c>
      <c r="AE77" s="73">
        <v>3</v>
      </c>
      <c r="AF77" s="57" t="s">
        <v>95</v>
      </c>
      <c r="AG77" s="58">
        <v>270</v>
      </c>
      <c r="AH77" s="58">
        <v>400</v>
      </c>
      <c r="AI77" s="58">
        <v>670</v>
      </c>
      <c r="AJ77" s="49">
        <v>167.5</v>
      </c>
      <c r="AK77" s="49">
        <v>837.5</v>
      </c>
      <c r="AL77" s="52">
        <v>83.75</v>
      </c>
      <c r="AM77" s="52">
        <v>567.5</v>
      </c>
      <c r="AN77" s="52">
        <v>651.25</v>
      </c>
      <c r="AO77" s="59">
        <v>0.77761194029850744</v>
      </c>
      <c r="AP77" s="60">
        <v>186.25</v>
      </c>
      <c r="AQ77" s="61">
        <v>0.22238805970149253</v>
      </c>
      <c r="AR77" s="60" t="s">
        <v>78</v>
      </c>
      <c r="AS77" s="62">
        <v>432</v>
      </c>
      <c r="AT77" s="62">
        <v>640</v>
      </c>
      <c r="AU77" s="62">
        <v>1072</v>
      </c>
      <c r="AV77" s="62">
        <v>1340</v>
      </c>
      <c r="AW77" s="47" t="s">
        <v>107</v>
      </c>
      <c r="AX77" s="64"/>
      <c r="AY77" s="64" t="s">
        <v>2934</v>
      </c>
      <c r="BA77" s="64"/>
      <c r="BB77" s="64"/>
      <c r="BC77" s="64"/>
      <c r="BD77" s="46"/>
      <c r="BE77" s="46" t="e">
        <v>#REF!</v>
      </c>
      <c r="BF77" s="46" t="s">
        <v>75</v>
      </c>
      <c r="BG77" s="65">
        <v>8</v>
      </c>
      <c r="BH77" s="66" t="s">
        <v>2935</v>
      </c>
      <c r="BI77" s="63" t="s">
        <v>2936</v>
      </c>
    </row>
    <row r="78" spans="1:61" ht="25.5" x14ac:dyDescent="0.2">
      <c r="A78" s="45" t="s">
        <v>2937</v>
      </c>
      <c r="B78" s="46"/>
      <c r="C78" s="46" t="s">
        <v>2938</v>
      </c>
      <c r="D78" s="46" t="s">
        <v>68</v>
      </c>
      <c r="E78" s="46" t="s">
        <v>68</v>
      </c>
      <c r="F78" s="46" t="s">
        <v>68</v>
      </c>
      <c r="G78" s="46" t="s">
        <v>68</v>
      </c>
      <c r="H78" s="46" t="s">
        <v>68</v>
      </c>
      <c r="I78" s="46" t="s">
        <v>68</v>
      </c>
      <c r="J78" s="46" t="s">
        <v>71</v>
      </c>
      <c r="K78" s="47">
        <v>170</v>
      </c>
      <c r="L78" s="47">
        <v>200</v>
      </c>
      <c r="M78" s="47">
        <v>370</v>
      </c>
      <c r="N78" s="46"/>
      <c r="O78" s="71" t="s">
        <v>68</v>
      </c>
      <c r="P78" s="64"/>
      <c r="Q78" s="46" t="s">
        <v>2565</v>
      </c>
      <c r="R78" s="46" t="s">
        <v>2776</v>
      </c>
      <c r="S78" s="49">
        <v>92.5</v>
      </c>
      <c r="T78" s="49">
        <v>462.5</v>
      </c>
      <c r="U78" s="28">
        <v>0.20270270270270271</v>
      </c>
      <c r="V78" s="50">
        <v>0.13859649122807016</v>
      </c>
      <c r="W78" s="74">
        <v>1.1764705882352942</v>
      </c>
      <c r="X78" s="52">
        <v>46.25</v>
      </c>
      <c r="Y78" s="52">
        <v>30</v>
      </c>
      <c r="Z78" s="52">
        <v>292.5</v>
      </c>
      <c r="AA78" s="52">
        <v>368.75</v>
      </c>
      <c r="AB78" s="53">
        <v>0.79729729729729726</v>
      </c>
      <c r="AC78" s="54">
        <v>93.75</v>
      </c>
      <c r="AD78" s="55">
        <v>0.20270270270270271</v>
      </c>
      <c r="AE78" s="56">
        <v>2</v>
      </c>
      <c r="AF78" s="57" t="s">
        <v>72</v>
      </c>
      <c r="AG78" s="58">
        <v>85</v>
      </c>
      <c r="AH78" s="58">
        <v>200</v>
      </c>
      <c r="AI78" s="58">
        <v>285</v>
      </c>
      <c r="AJ78" s="49">
        <v>71.25</v>
      </c>
      <c r="AK78" s="49">
        <v>356.25</v>
      </c>
      <c r="AL78" s="52">
        <v>35.625</v>
      </c>
      <c r="AM78" s="52">
        <v>271.25</v>
      </c>
      <c r="AN78" s="52">
        <v>306.875</v>
      </c>
      <c r="AO78" s="59">
        <v>0.86140350877192984</v>
      </c>
      <c r="AP78" s="60">
        <v>49.375</v>
      </c>
      <c r="AQ78" s="61">
        <v>0.13859649122807016</v>
      </c>
      <c r="AR78" s="60" t="s">
        <v>73</v>
      </c>
      <c r="AS78" s="62">
        <v>255</v>
      </c>
      <c r="AT78" s="62">
        <v>300</v>
      </c>
      <c r="AU78" s="62">
        <v>555</v>
      </c>
      <c r="AV78" s="62">
        <v>693.75</v>
      </c>
      <c r="AW78" s="47" t="s">
        <v>107</v>
      </c>
      <c r="AX78" s="64"/>
      <c r="AY78" s="64" t="s">
        <v>2939</v>
      </c>
      <c r="BA78" s="64"/>
      <c r="BB78" s="64"/>
      <c r="BC78" s="64"/>
      <c r="BD78" s="46"/>
      <c r="BE78" s="46" t="e">
        <v>#REF!</v>
      </c>
      <c r="BF78" s="46" t="s">
        <v>75</v>
      </c>
      <c r="BG78" s="65">
        <v>0.75</v>
      </c>
      <c r="BH78" s="66" t="s">
        <v>2940</v>
      </c>
      <c r="BI78" s="63" t="s">
        <v>2938</v>
      </c>
    </row>
    <row r="79" spans="1:61" ht="25.5" x14ac:dyDescent="0.2">
      <c r="A79" s="45" t="s">
        <v>2941</v>
      </c>
      <c r="B79" s="46"/>
      <c r="C79" s="46" t="s">
        <v>2942</v>
      </c>
      <c r="D79" s="46" t="s">
        <v>68</v>
      </c>
      <c r="E79" s="46" t="s">
        <v>68</v>
      </c>
      <c r="F79" s="46" t="s">
        <v>68</v>
      </c>
      <c r="G79" s="46" t="s">
        <v>68</v>
      </c>
      <c r="H79" s="46" t="s">
        <v>68</v>
      </c>
      <c r="I79" s="46" t="s">
        <v>68</v>
      </c>
      <c r="J79" s="46" t="s">
        <v>71</v>
      </c>
      <c r="K79" s="47">
        <v>150</v>
      </c>
      <c r="L79" s="47">
        <v>20</v>
      </c>
      <c r="M79" s="47">
        <v>170</v>
      </c>
      <c r="N79" s="46"/>
      <c r="O79" s="71" t="s">
        <v>68</v>
      </c>
      <c r="P79" s="64"/>
      <c r="Q79" s="46" t="s">
        <v>2565</v>
      </c>
      <c r="R79" s="46" t="s">
        <v>2776</v>
      </c>
      <c r="S79" s="49">
        <v>42.5</v>
      </c>
      <c r="T79" s="49">
        <v>212.5</v>
      </c>
      <c r="U79" s="67">
        <v>0.46470588235294119</v>
      </c>
      <c r="V79" s="67">
        <v>0.53157894736842104</v>
      </c>
      <c r="W79" s="51">
        <v>0.13333333333333333</v>
      </c>
      <c r="X79" s="52">
        <v>21.25</v>
      </c>
      <c r="Y79" s="52">
        <v>30</v>
      </c>
      <c r="Z79" s="52">
        <v>62.5</v>
      </c>
      <c r="AA79" s="52">
        <v>113.75</v>
      </c>
      <c r="AB79" s="53">
        <v>0.53529411764705881</v>
      </c>
      <c r="AC79" s="54">
        <v>98.75</v>
      </c>
      <c r="AD79" s="55">
        <v>0.46470588235294119</v>
      </c>
      <c r="AE79" s="56">
        <v>2</v>
      </c>
      <c r="AF79" s="57" t="s">
        <v>72</v>
      </c>
      <c r="AG79" s="58">
        <v>75</v>
      </c>
      <c r="AH79" s="58">
        <v>20</v>
      </c>
      <c r="AI79" s="58">
        <v>95</v>
      </c>
      <c r="AJ79" s="49">
        <v>23.75</v>
      </c>
      <c r="AK79" s="49">
        <v>118.75</v>
      </c>
      <c r="AL79" s="52">
        <v>11.875</v>
      </c>
      <c r="AM79" s="52">
        <v>43.75</v>
      </c>
      <c r="AN79" s="52">
        <v>55.625</v>
      </c>
      <c r="AO79" s="59">
        <v>0.46842105263157896</v>
      </c>
      <c r="AP79" s="60">
        <v>63.125</v>
      </c>
      <c r="AQ79" s="61">
        <v>0.53157894736842104</v>
      </c>
      <c r="AR79" s="60" t="s">
        <v>78</v>
      </c>
      <c r="AS79" s="62">
        <v>225</v>
      </c>
      <c r="AT79" s="62">
        <v>30</v>
      </c>
      <c r="AU79" s="62">
        <v>255</v>
      </c>
      <c r="AV79" s="62">
        <v>318.75</v>
      </c>
      <c r="AW79" s="47" t="s">
        <v>107</v>
      </c>
      <c r="AX79" s="64"/>
      <c r="AY79" s="64" t="s">
        <v>2943</v>
      </c>
      <c r="BA79" s="64"/>
      <c r="BB79" s="64"/>
      <c r="BC79" s="64"/>
      <c r="BD79" s="46"/>
      <c r="BE79" s="46" t="e">
        <v>#REF!</v>
      </c>
      <c r="BF79" s="46" t="s">
        <v>75</v>
      </c>
      <c r="BG79" s="65">
        <v>0.75</v>
      </c>
      <c r="BH79" s="66" t="s">
        <v>2944</v>
      </c>
      <c r="BI79" s="63" t="s">
        <v>2942</v>
      </c>
    </row>
    <row r="80" spans="1:61" ht="25.5" x14ac:dyDescent="0.2">
      <c r="A80" s="45" t="s">
        <v>2945</v>
      </c>
      <c r="B80" s="46"/>
      <c r="C80" s="46" t="s">
        <v>2946</v>
      </c>
      <c r="D80" s="46" t="s">
        <v>68</v>
      </c>
      <c r="E80" s="46" t="s">
        <v>68</v>
      </c>
      <c r="F80" s="46" t="s">
        <v>68</v>
      </c>
      <c r="G80" s="46" t="s">
        <v>68</v>
      </c>
      <c r="H80" s="46" t="s">
        <v>2947</v>
      </c>
      <c r="I80" s="46" t="s">
        <v>68</v>
      </c>
      <c r="J80" s="46" t="s">
        <v>71</v>
      </c>
      <c r="K80" s="47">
        <v>300</v>
      </c>
      <c r="L80" s="47">
        <v>100</v>
      </c>
      <c r="M80" s="47">
        <v>400</v>
      </c>
      <c r="N80" s="46"/>
      <c r="O80" s="71" t="s">
        <v>68</v>
      </c>
      <c r="P80" s="64"/>
      <c r="Q80" s="46" t="s">
        <v>2565</v>
      </c>
      <c r="R80" s="46" t="s">
        <v>2776</v>
      </c>
      <c r="S80" s="49">
        <v>100</v>
      </c>
      <c r="T80" s="49">
        <v>500</v>
      </c>
      <c r="U80" s="67">
        <v>0.44</v>
      </c>
      <c r="V80" s="67">
        <v>0.5</v>
      </c>
      <c r="W80" s="51">
        <v>0.33333333333333331</v>
      </c>
      <c r="X80" s="52">
        <v>50</v>
      </c>
      <c r="Y80" s="52">
        <v>30</v>
      </c>
      <c r="Z80" s="52">
        <v>200</v>
      </c>
      <c r="AA80" s="52">
        <v>280</v>
      </c>
      <c r="AB80" s="53">
        <v>0.56000000000000005</v>
      </c>
      <c r="AC80" s="72">
        <v>220</v>
      </c>
      <c r="AD80" s="55">
        <v>0.44</v>
      </c>
      <c r="AE80" s="73">
        <v>3</v>
      </c>
      <c r="AF80" s="57" t="s">
        <v>95</v>
      </c>
      <c r="AG80" s="58">
        <v>300</v>
      </c>
      <c r="AH80" s="58">
        <v>100</v>
      </c>
      <c r="AI80" s="58">
        <v>400</v>
      </c>
      <c r="AJ80" s="49">
        <v>100</v>
      </c>
      <c r="AK80" s="49">
        <v>500</v>
      </c>
      <c r="AL80" s="52">
        <v>50</v>
      </c>
      <c r="AM80" s="52">
        <v>200</v>
      </c>
      <c r="AN80" s="52">
        <v>250</v>
      </c>
      <c r="AO80" s="59">
        <v>0.5</v>
      </c>
      <c r="AP80" s="60">
        <v>250</v>
      </c>
      <c r="AQ80" s="61">
        <v>0.5</v>
      </c>
      <c r="AR80" s="60" t="s">
        <v>78</v>
      </c>
      <c r="AS80" s="62">
        <v>480</v>
      </c>
      <c r="AT80" s="62">
        <v>160</v>
      </c>
      <c r="AU80" s="62">
        <v>640</v>
      </c>
      <c r="AV80" s="62">
        <v>800</v>
      </c>
      <c r="AW80" s="47" t="s">
        <v>107</v>
      </c>
      <c r="AX80" s="64"/>
      <c r="AY80" s="64" t="s">
        <v>2948</v>
      </c>
      <c r="BA80" s="64"/>
      <c r="BB80" s="64"/>
      <c r="BC80" s="64"/>
      <c r="BD80" s="46"/>
      <c r="BE80" s="46" t="e">
        <v>#REF!</v>
      </c>
      <c r="BF80" s="46" t="s">
        <v>75</v>
      </c>
      <c r="BG80" s="65">
        <v>0.75</v>
      </c>
      <c r="BH80" s="66" t="s">
        <v>2949</v>
      </c>
      <c r="BI80" s="63" t="s">
        <v>2950</v>
      </c>
    </row>
    <row r="81" spans="1:61" ht="25.5" x14ac:dyDescent="0.2">
      <c r="A81" s="45" t="s">
        <v>2951</v>
      </c>
      <c r="B81" s="46"/>
      <c r="C81" s="46" t="s">
        <v>2952</v>
      </c>
      <c r="D81" s="46" t="s">
        <v>68</v>
      </c>
      <c r="E81" s="46" t="s">
        <v>68</v>
      </c>
      <c r="F81" s="46" t="s">
        <v>68</v>
      </c>
      <c r="G81" s="46" t="s">
        <v>68</v>
      </c>
      <c r="H81" s="46" t="s">
        <v>68</v>
      </c>
      <c r="I81" s="46" t="s">
        <v>68</v>
      </c>
      <c r="J81" s="46" t="s">
        <v>71</v>
      </c>
      <c r="K81" s="47">
        <v>185</v>
      </c>
      <c r="L81" s="47">
        <v>70</v>
      </c>
      <c r="M81" s="47">
        <v>255</v>
      </c>
      <c r="N81" s="46"/>
      <c r="O81" s="71" t="s">
        <v>68</v>
      </c>
      <c r="P81" s="64"/>
      <c r="Q81" s="46" t="s">
        <v>2565</v>
      </c>
      <c r="R81" s="46" t="s">
        <v>2776</v>
      </c>
      <c r="S81" s="49">
        <v>63.75</v>
      </c>
      <c r="T81" s="49">
        <v>318.75</v>
      </c>
      <c r="U81" s="67">
        <v>0.38627450980392158</v>
      </c>
      <c r="V81" s="67">
        <v>0.48039215686274511</v>
      </c>
      <c r="W81" s="51">
        <v>0.3783783783783784</v>
      </c>
      <c r="X81" s="52">
        <v>31.875</v>
      </c>
      <c r="Y81" s="52">
        <v>30</v>
      </c>
      <c r="Z81" s="52">
        <v>133.75</v>
      </c>
      <c r="AA81" s="52">
        <v>195.625</v>
      </c>
      <c r="AB81" s="53">
        <v>0.61372549019607847</v>
      </c>
      <c r="AC81" s="72">
        <v>123.125</v>
      </c>
      <c r="AD81" s="55">
        <v>0.38627450980392158</v>
      </c>
      <c r="AE81" s="73">
        <v>3</v>
      </c>
      <c r="AF81" s="57" t="s">
        <v>95</v>
      </c>
      <c r="AG81" s="58">
        <v>185</v>
      </c>
      <c r="AH81" s="58">
        <v>70</v>
      </c>
      <c r="AI81" s="58">
        <v>255</v>
      </c>
      <c r="AJ81" s="49">
        <v>63.75</v>
      </c>
      <c r="AK81" s="49">
        <v>318.75</v>
      </c>
      <c r="AL81" s="52">
        <v>31.875</v>
      </c>
      <c r="AM81" s="52">
        <v>133.75</v>
      </c>
      <c r="AN81" s="52">
        <v>165.625</v>
      </c>
      <c r="AO81" s="59">
        <v>0.51960784313725494</v>
      </c>
      <c r="AP81" s="60">
        <v>153.125</v>
      </c>
      <c r="AQ81" s="61">
        <v>0.48039215686274511</v>
      </c>
      <c r="AR81" s="60" t="s">
        <v>78</v>
      </c>
      <c r="AS81" s="62">
        <v>296</v>
      </c>
      <c r="AT81" s="62">
        <v>112</v>
      </c>
      <c r="AU81" s="62">
        <v>408</v>
      </c>
      <c r="AV81" s="62">
        <v>510</v>
      </c>
      <c r="AW81" s="47" t="s">
        <v>107</v>
      </c>
      <c r="AX81" s="64"/>
      <c r="AY81" s="64" t="s">
        <v>2953</v>
      </c>
      <c r="BA81" s="64"/>
      <c r="BB81" s="64"/>
      <c r="BC81" s="64"/>
      <c r="BD81" s="46"/>
      <c r="BE81" s="46" t="e">
        <v>#REF!</v>
      </c>
      <c r="BF81" s="46" t="s">
        <v>79</v>
      </c>
      <c r="BG81" s="65">
        <v>0.75</v>
      </c>
      <c r="BH81" s="66" t="s">
        <v>2954</v>
      </c>
      <c r="BI81" s="63" t="s">
        <v>2952</v>
      </c>
    </row>
    <row r="82" spans="1:61" ht="38.25" x14ac:dyDescent="0.2">
      <c r="A82" s="45" t="s">
        <v>2955</v>
      </c>
      <c r="B82" s="46"/>
      <c r="C82" s="46" t="s">
        <v>2956</v>
      </c>
      <c r="D82" s="46" t="s">
        <v>254</v>
      </c>
      <c r="E82" s="46" t="s">
        <v>2957</v>
      </c>
      <c r="F82" s="46" t="s">
        <v>68</v>
      </c>
      <c r="G82" s="46" t="s">
        <v>68</v>
      </c>
      <c r="H82" s="46" t="s">
        <v>68</v>
      </c>
      <c r="I82" s="46" t="s">
        <v>68</v>
      </c>
      <c r="J82" s="46" t="s">
        <v>71</v>
      </c>
      <c r="K82" s="47">
        <v>140</v>
      </c>
      <c r="L82" s="47">
        <v>50</v>
      </c>
      <c r="M82" s="47">
        <v>190</v>
      </c>
      <c r="N82" s="46"/>
      <c r="O82" s="71" t="s">
        <v>68</v>
      </c>
      <c r="P82" s="64"/>
      <c r="Q82" s="46" t="s">
        <v>2565</v>
      </c>
      <c r="R82" s="46" t="s">
        <v>2776</v>
      </c>
      <c r="S82" s="49">
        <v>47.5</v>
      </c>
      <c r="T82" s="49">
        <v>237.5</v>
      </c>
      <c r="U82" s="67">
        <v>0.36315789473684212</v>
      </c>
      <c r="V82" s="50">
        <v>0.18717948717948718</v>
      </c>
      <c r="W82" s="51">
        <v>0.35714285714285715</v>
      </c>
      <c r="X82" s="52">
        <v>23.75</v>
      </c>
      <c r="Y82" s="52">
        <v>30</v>
      </c>
      <c r="Z82" s="52">
        <v>97.5</v>
      </c>
      <c r="AA82" s="52">
        <v>151.25</v>
      </c>
      <c r="AB82" s="53">
        <v>0.63684210526315788</v>
      </c>
      <c r="AC82" s="68">
        <v>86.25</v>
      </c>
      <c r="AD82" s="55">
        <v>0.36315789473684212</v>
      </c>
      <c r="AE82" s="69">
        <v>1</v>
      </c>
      <c r="AF82" s="57" t="s">
        <v>77</v>
      </c>
      <c r="AG82" s="58">
        <v>28</v>
      </c>
      <c r="AH82" s="58">
        <v>50</v>
      </c>
      <c r="AI82" s="58">
        <v>78</v>
      </c>
      <c r="AJ82" s="49">
        <v>19.5</v>
      </c>
      <c r="AK82" s="49">
        <v>97.5</v>
      </c>
      <c r="AL82" s="52">
        <v>9.75</v>
      </c>
      <c r="AM82" s="52">
        <v>69.5</v>
      </c>
      <c r="AN82" s="52">
        <v>79.25</v>
      </c>
      <c r="AO82" s="59">
        <v>0.81282051282051282</v>
      </c>
      <c r="AP82" s="60">
        <v>18.25</v>
      </c>
      <c r="AQ82" s="61">
        <v>0.18717948717948718</v>
      </c>
      <c r="AR82" s="60" t="s">
        <v>73</v>
      </c>
      <c r="AS82" s="62">
        <v>182</v>
      </c>
      <c r="AT82" s="62">
        <v>65</v>
      </c>
      <c r="AU82" s="62">
        <v>247</v>
      </c>
      <c r="AV82" s="62">
        <v>308.75</v>
      </c>
      <c r="AW82" s="63" t="s">
        <v>74</v>
      </c>
      <c r="AX82" s="64"/>
      <c r="AY82" s="64" t="s">
        <v>2958</v>
      </c>
      <c r="BA82" s="64"/>
      <c r="BB82" s="64"/>
      <c r="BC82" s="64"/>
      <c r="BD82" s="46"/>
      <c r="BE82" s="46" t="e">
        <v>#REF!</v>
      </c>
      <c r="BF82" s="46" t="s">
        <v>79</v>
      </c>
      <c r="BG82" s="65">
        <v>0.25</v>
      </c>
      <c r="BH82" s="66"/>
      <c r="BI82" s="63" t="s">
        <v>2959</v>
      </c>
    </row>
    <row r="83" spans="1:61" ht="38.25" x14ac:dyDescent="0.2">
      <c r="A83" s="45" t="s">
        <v>2960</v>
      </c>
      <c r="B83" s="46"/>
      <c r="C83" s="46" t="s">
        <v>2961</v>
      </c>
      <c r="D83" s="46" t="s">
        <v>2962</v>
      </c>
      <c r="E83" s="46" t="s">
        <v>2963</v>
      </c>
      <c r="F83" s="46" t="s">
        <v>68</v>
      </c>
      <c r="G83" s="46" t="s">
        <v>68</v>
      </c>
      <c r="H83" s="46" t="s">
        <v>68</v>
      </c>
      <c r="I83" s="46" t="s">
        <v>68</v>
      </c>
      <c r="J83" s="46" t="s">
        <v>71</v>
      </c>
      <c r="K83" s="47">
        <v>150</v>
      </c>
      <c r="L83" s="47">
        <v>100</v>
      </c>
      <c r="M83" s="47">
        <v>250</v>
      </c>
      <c r="N83" s="46"/>
      <c r="O83" s="71" t="s">
        <v>68</v>
      </c>
      <c r="P83" s="64"/>
      <c r="Q83" s="46" t="s">
        <v>2565</v>
      </c>
      <c r="R83" s="46" t="s">
        <v>2776</v>
      </c>
      <c r="S83" s="49">
        <v>62.5</v>
      </c>
      <c r="T83" s="49">
        <v>312.5</v>
      </c>
      <c r="U83" s="28">
        <v>0.28399999999999997</v>
      </c>
      <c r="V83" s="28">
        <v>0.24285714285714285</v>
      </c>
      <c r="W83" s="51">
        <v>0.66666666666666663</v>
      </c>
      <c r="X83" s="52">
        <v>31.25</v>
      </c>
      <c r="Y83" s="52">
        <v>30</v>
      </c>
      <c r="Z83" s="52">
        <v>162.5</v>
      </c>
      <c r="AA83" s="52">
        <v>223.75</v>
      </c>
      <c r="AB83" s="53">
        <v>0.71599999999999997</v>
      </c>
      <c r="AC83" s="68">
        <v>88.75</v>
      </c>
      <c r="AD83" s="55">
        <v>0.28399999999999997</v>
      </c>
      <c r="AE83" s="56">
        <v>2</v>
      </c>
      <c r="AF83" s="57" t="s">
        <v>72</v>
      </c>
      <c r="AG83" s="58">
        <v>75</v>
      </c>
      <c r="AH83" s="58">
        <v>100</v>
      </c>
      <c r="AI83" s="58">
        <v>175</v>
      </c>
      <c r="AJ83" s="49">
        <v>43.75</v>
      </c>
      <c r="AK83" s="49">
        <v>218.75</v>
      </c>
      <c r="AL83" s="52">
        <v>21.875</v>
      </c>
      <c r="AM83" s="52">
        <v>143.75</v>
      </c>
      <c r="AN83" s="52">
        <v>165.625</v>
      </c>
      <c r="AO83" s="59">
        <v>0.75714285714285712</v>
      </c>
      <c r="AP83" s="60">
        <v>53.125</v>
      </c>
      <c r="AQ83" s="61">
        <v>0.24285714285714285</v>
      </c>
      <c r="AR83" s="60" t="s">
        <v>78</v>
      </c>
      <c r="AS83" s="62">
        <v>225</v>
      </c>
      <c r="AT83" s="62">
        <v>150</v>
      </c>
      <c r="AU83" s="62">
        <v>375</v>
      </c>
      <c r="AV83" s="62">
        <v>468.75</v>
      </c>
      <c r="AW83" s="63" t="s">
        <v>74</v>
      </c>
      <c r="AX83" s="64">
        <v>45166</v>
      </c>
      <c r="AY83" s="64" t="s">
        <v>2964</v>
      </c>
      <c r="BA83" s="64"/>
      <c r="BB83" s="64"/>
      <c r="BC83" s="64"/>
      <c r="BD83" s="70" t="s">
        <v>2965</v>
      </c>
      <c r="BE83" s="46" t="e">
        <v>#REF!</v>
      </c>
      <c r="BF83" s="46" t="s">
        <v>79</v>
      </c>
      <c r="BG83" s="65">
        <v>0.75</v>
      </c>
      <c r="BH83" s="66"/>
      <c r="BI83" s="63" t="s">
        <v>2966</v>
      </c>
    </row>
    <row r="84" spans="1:61" ht="38.25" x14ac:dyDescent="0.2">
      <c r="A84" s="45" t="s">
        <v>2967</v>
      </c>
      <c r="B84" s="46"/>
      <c r="C84" s="46" t="s">
        <v>2961</v>
      </c>
      <c r="D84" s="46" t="s">
        <v>2962</v>
      </c>
      <c r="E84" s="46" t="s">
        <v>2968</v>
      </c>
      <c r="F84" s="46" t="s">
        <v>68</v>
      </c>
      <c r="G84" s="46" t="s">
        <v>68</v>
      </c>
      <c r="H84" s="46" t="s">
        <v>68</v>
      </c>
      <c r="I84" s="46" t="s">
        <v>68</v>
      </c>
      <c r="J84" s="46" t="s">
        <v>71</v>
      </c>
      <c r="K84" s="47">
        <v>160</v>
      </c>
      <c r="L84" s="47">
        <v>150</v>
      </c>
      <c r="M84" s="47">
        <v>310</v>
      </c>
      <c r="N84" s="46"/>
      <c r="O84" s="71" t="s">
        <v>68</v>
      </c>
      <c r="P84" s="64"/>
      <c r="Q84" s="46" t="s">
        <v>2565</v>
      </c>
      <c r="R84" s="46" t="s">
        <v>2776</v>
      </c>
      <c r="S84" s="49">
        <v>77.5</v>
      </c>
      <c r="T84" s="49">
        <v>387.5</v>
      </c>
      <c r="U84" s="28">
        <v>0.23548387096774193</v>
      </c>
      <c r="V84" s="50">
        <v>0.17826086956521739</v>
      </c>
      <c r="W84" s="51">
        <v>0.9375</v>
      </c>
      <c r="X84" s="52">
        <v>38.75</v>
      </c>
      <c r="Y84" s="52">
        <v>30</v>
      </c>
      <c r="Z84" s="52">
        <v>227.5</v>
      </c>
      <c r="AA84" s="52">
        <v>296.25</v>
      </c>
      <c r="AB84" s="53">
        <v>0.76451612903225807</v>
      </c>
      <c r="AC84" s="54">
        <v>91.25</v>
      </c>
      <c r="AD84" s="55">
        <v>0.23548387096774193</v>
      </c>
      <c r="AE84" s="56">
        <v>2</v>
      </c>
      <c r="AF84" s="57" t="s">
        <v>72</v>
      </c>
      <c r="AG84" s="58">
        <v>80</v>
      </c>
      <c r="AH84" s="58">
        <v>150</v>
      </c>
      <c r="AI84" s="58">
        <v>230</v>
      </c>
      <c r="AJ84" s="49">
        <v>57.5</v>
      </c>
      <c r="AK84" s="49">
        <v>287.5</v>
      </c>
      <c r="AL84" s="52">
        <v>28.75</v>
      </c>
      <c r="AM84" s="52">
        <v>207.5</v>
      </c>
      <c r="AN84" s="52">
        <v>236.25</v>
      </c>
      <c r="AO84" s="59">
        <v>0.82173913043478264</v>
      </c>
      <c r="AP84" s="60">
        <v>51.25</v>
      </c>
      <c r="AQ84" s="61">
        <v>0.17826086956521739</v>
      </c>
      <c r="AR84" s="60" t="s">
        <v>73</v>
      </c>
      <c r="AS84" s="62">
        <v>240</v>
      </c>
      <c r="AT84" s="62">
        <v>225</v>
      </c>
      <c r="AU84" s="62">
        <v>465</v>
      </c>
      <c r="AV84" s="62">
        <v>581.25</v>
      </c>
      <c r="AW84" s="63" t="s">
        <v>74</v>
      </c>
      <c r="AX84" s="64">
        <v>45166</v>
      </c>
      <c r="AY84" s="64" t="s">
        <v>2969</v>
      </c>
      <c r="BA84" s="64"/>
      <c r="BB84" s="64"/>
      <c r="BC84" s="64"/>
      <c r="BD84" s="70" t="s">
        <v>2970</v>
      </c>
      <c r="BE84" s="46" t="e">
        <v>#REF!</v>
      </c>
      <c r="BF84" s="46" t="s">
        <v>79</v>
      </c>
      <c r="BG84" s="65">
        <v>0.75</v>
      </c>
      <c r="BH84" s="66"/>
      <c r="BI84" s="63" t="s">
        <v>2971</v>
      </c>
    </row>
    <row r="85" spans="1:61" ht="25.5" x14ac:dyDescent="0.2">
      <c r="A85" s="45" t="s">
        <v>2972</v>
      </c>
      <c r="B85" s="46"/>
      <c r="C85" s="46" t="s">
        <v>2961</v>
      </c>
      <c r="D85" s="46" t="s">
        <v>2973</v>
      </c>
      <c r="E85" s="46" t="s">
        <v>2963</v>
      </c>
      <c r="F85" s="46" t="s">
        <v>68</v>
      </c>
      <c r="G85" s="46" t="s">
        <v>68</v>
      </c>
      <c r="H85" s="46" t="s">
        <v>68</v>
      </c>
      <c r="I85" s="46" t="s">
        <v>68</v>
      </c>
      <c r="J85" s="46" t="s">
        <v>71</v>
      </c>
      <c r="K85" s="47">
        <v>200</v>
      </c>
      <c r="L85" s="47">
        <v>150</v>
      </c>
      <c r="M85" s="47">
        <v>350</v>
      </c>
      <c r="N85" s="46"/>
      <c r="O85" s="71" t="s">
        <v>68</v>
      </c>
      <c r="P85" s="64"/>
      <c r="Q85" s="46" t="s">
        <v>2565</v>
      </c>
      <c r="R85" s="46" t="s">
        <v>2776</v>
      </c>
      <c r="S85" s="49">
        <v>87.5</v>
      </c>
      <c r="T85" s="49">
        <v>437.5</v>
      </c>
      <c r="U85" s="28">
        <v>0.28857142857142859</v>
      </c>
      <c r="V85" s="28">
        <v>0.22</v>
      </c>
      <c r="W85" s="51">
        <v>0.75</v>
      </c>
      <c r="X85" s="52">
        <v>43.75</v>
      </c>
      <c r="Y85" s="52">
        <v>30</v>
      </c>
      <c r="Z85" s="52">
        <v>237.5</v>
      </c>
      <c r="AA85" s="52">
        <v>311.25</v>
      </c>
      <c r="AB85" s="53">
        <v>0.71142857142857141</v>
      </c>
      <c r="AC85" s="72">
        <v>126.25</v>
      </c>
      <c r="AD85" s="55">
        <v>0.28857142857142859</v>
      </c>
      <c r="AE85" s="56">
        <v>2</v>
      </c>
      <c r="AF85" s="57" t="s">
        <v>72</v>
      </c>
      <c r="AG85" s="58">
        <v>100</v>
      </c>
      <c r="AH85" s="58">
        <v>150</v>
      </c>
      <c r="AI85" s="58">
        <v>250</v>
      </c>
      <c r="AJ85" s="49">
        <v>62.5</v>
      </c>
      <c r="AK85" s="49">
        <v>312.5</v>
      </c>
      <c r="AL85" s="52">
        <v>31.25</v>
      </c>
      <c r="AM85" s="52">
        <v>212.5</v>
      </c>
      <c r="AN85" s="52">
        <v>243.75</v>
      </c>
      <c r="AO85" s="59">
        <v>0.78</v>
      </c>
      <c r="AP85" s="60">
        <v>68.75</v>
      </c>
      <c r="AQ85" s="61">
        <v>0.22</v>
      </c>
      <c r="AR85" s="60" t="s">
        <v>78</v>
      </c>
      <c r="AS85" s="62">
        <v>300</v>
      </c>
      <c r="AT85" s="62">
        <v>225</v>
      </c>
      <c r="AU85" s="62">
        <v>525</v>
      </c>
      <c r="AV85" s="62">
        <v>656.25</v>
      </c>
      <c r="AW85" s="63" t="s">
        <v>74</v>
      </c>
      <c r="AX85" s="64">
        <v>45166</v>
      </c>
      <c r="AY85" s="64" t="s">
        <v>2974</v>
      </c>
      <c r="BA85" s="64"/>
      <c r="BB85" s="64"/>
      <c r="BC85" s="64"/>
      <c r="BD85" s="70" t="s">
        <v>2975</v>
      </c>
      <c r="BE85" s="46" t="e">
        <v>#REF!</v>
      </c>
      <c r="BF85" s="46" t="s">
        <v>79</v>
      </c>
      <c r="BG85" s="65">
        <v>0.75</v>
      </c>
      <c r="BH85" s="66"/>
      <c r="BI85" s="63" t="s">
        <v>2976</v>
      </c>
    </row>
    <row r="86" spans="1:61" ht="25.5" x14ac:dyDescent="0.2">
      <c r="A86" s="45" t="s">
        <v>2977</v>
      </c>
      <c r="B86" s="46"/>
      <c r="C86" s="46" t="s">
        <v>2961</v>
      </c>
      <c r="D86" s="46" t="s">
        <v>2973</v>
      </c>
      <c r="E86" s="46" t="s">
        <v>2978</v>
      </c>
      <c r="F86" s="46" t="s">
        <v>68</v>
      </c>
      <c r="G86" s="46" t="s">
        <v>68</v>
      </c>
      <c r="H86" s="46" t="s">
        <v>68</v>
      </c>
      <c r="I86" s="46" t="s">
        <v>68</v>
      </c>
      <c r="J86" s="46" t="s">
        <v>71</v>
      </c>
      <c r="K86" s="47">
        <v>220</v>
      </c>
      <c r="L86" s="47">
        <v>230</v>
      </c>
      <c r="M86" s="47">
        <v>450</v>
      </c>
      <c r="N86" s="46"/>
      <c r="O86" s="71" t="s">
        <v>68</v>
      </c>
      <c r="P86" s="64"/>
      <c r="Q86" s="46" t="s">
        <v>2565</v>
      </c>
      <c r="R86" s="46" t="s">
        <v>2776</v>
      </c>
      <c r="S86" s="49">
        <v>112.5</v>
      </c>
      <c r="T86" s="49">
        <v>562.5</v>
      </c>
      <c r="U86" s="28">
        <v>0.23777777777777778</v>
      </c>
      <c r="V86" s="50">
        <v>0.1588235294117647</v>
      </c>
      <c r="W86" s="74">
        <v>1.0454545454545454</v>
      </c>
      <c r="X86" s="52">
        <v>56.25</v>
      </c>
      <c r="Y86" s="52">
        <v>30</v>
      </c>
      <c r="Z86" s="52">
        <v>342.5</v>
      </c>
      <c r="AA86" s="52">
        <v>428.75</v>
      </c>
      <c r="AB86" s="53">
        <v>0.76222222222222225</v>
      </c>
      <c r="AC86" s="72">
        <v>133.75</v>
      </c>
      <c r="AD86" s="55">
        <v>0.23777777777777778</v>
      </c>
      <c r="AE86" s="56">
        <v>2</v>
      </c>
      <c r="AF86" s="57" t="s">
        <v>72</v>
      </c>
      <c r="AG86" s="58">
        <v>110</v>
      </c>
      <c r="AH86" s="58">
        <v>230</v>
      </c>
      <c r="AI86" s="58">
        <v>340</v>
      </c>
      <c r="AJ86" s="49">
        <v>85</v>
      </c>
      <c r="AK86" s="49">
        <v>425</v>
      </c>
      <c r="AL86" s="52">
        <v>42.5</v>
      </c>
      <c r="AM86" s="52">
        <v>315</v>
      </c>
      <c r="AN86" s="52">
        <v>357.5</v>
      </c>
      <c r="AO86" s="59">
        <v>0.8411764705882353</v>
      </c>
      <c r="AP86" s="60">
        <v>67.5</v>
      </c>
      <c r="AQ86" s="61">
        <v>0.1588235294117647</v>
      </c>
      <c r="AR86" s="60" t="s">
        <v>73</v>
      </c>
      <c r="AS86" s="62">
        <v>330</v>
      </c>
      <c r="AT86" s="62">
        <v>345</v>
      </c>
      <c r="AU86" s="62">
        <v>675</v>
      </c>
      <c r="AV86" s="62">
        <v>843.75</v>
      </c>
      <c r="AW86" s="63" t="s">
        <v>74</v>
      </c>
      <c r="AX86" s="64">
        <v>45166</v>
      </c>
      <c r="AY86" s="64" t="s">
        <v>2979</v>
      </c>
      <c r="BA86" s="64"/>
      <c r="BB86" s="64"/>
      <c r="BC86" s="64"/>
      <c r="BD86" s="70" t="s">
        <v>2980</v>
      </c>
      <c r="BE86" s="46" t="e">
        <v>#REF!</v>
      </c>
      <c r="BF86" s="46" t="s">
        <v>79</v>
      </c>
      <c r="BG86" s="65">
        <v>0.75</v>
      </c>
      <c r="BH86" s="66"/>
      <c r="BI86" s="63" t="s">
        <v>2981</v>
      </c>
    </row>
    <row r="87" spans="1:61" ht="25.5" x14ac:dyDescent="0.2">
      <c r="A87" s="45" t="s">
        <v>2982</v>
      </c>
      <c r="B87" s="46"/>
      <c r="C87" s="46" t="s">
        <v>2983</v>
      </c>
      <c r="D87" s="46" t="s">
        <v>2968</v>
      </c>
      <c r="E87" s="46" t="s">
        <v>68</v>
      </c>
      <c r="F87" s="46" t="s">
        <v>68</v>
      </c>
      <c r="G87" s="46" t="s">
        <v>68</v>
      </c>
      <c r="H87" s="46" t="s">
        <v>68</v>
      </c>
      <c r="I87" s="46" t="s">
        <v>68</v>
      </c>
      <c r="J87" s="46" t="s">
        <v>71</v>
      </c>
      <c r="K87" s="47">
        <v>160</v>
      </c>
      <c r="L87" s="47">
        <v>100</v>
      </c>
      <c r="M87" s="47">
        <v>260</v>
      </c>
      <c r="N87" s="46"/>
      <c r="O87" s="71" t="s">
        <v>68</v>
      </c>
      <c r="P87" s="64"/>
      <c r="Q87" s="46" t="s">
        <v>2565</v>
      </c>
      <c r="R87" s="46" t="s">
        <v>2776</v>
      </c>
      <c r="S87" s="49">
        <v>65</v>
      </c>
      <c r="T87" s="49">
        <v>325</v>
      </c>
      <c r="U87" s="67">
        <v>0.3</v>
      </c>
      <c r="V87" s="28">
        <v>0.25555555555555554</v>
      </c>
      <c r="W87" s="51">
        <v>0.625</v>
      </c>
      <c r="X87" s="52">
        <v>32.5</v>
      </c>
      <c r="Y87" s="52">
        <v>30</v>
      </c>
      <c r="Z87" s="52">
        <v>165</v>
      </c>
      <c r="AA87" s="52">
        <v>227.5</v>
      </c>
      <c r="AB87" s="53">
        <v>0.7</v>
      </c>
      <c r="AC87" s="54">
        <v>97.5</v>
      </c>
      <c r="AD87" s="55">
        <v>0.3</v>
      </c>
      <c r="AE87" s="56">
        <v>2</v>
      </c>
      <c r="AF87" s="57" t="s">
        <v>72</v>
      </c>
      <c r="AG87" s="58">
        <v>80</v>
      </c>
      <c r="AH87" s="58">
        <v>100</v>
      </c>
      <c r="AI87" s="58">
        <v>180</v>
      </c>
      <c r="AJ87" s="49">
        <v>45</v>
      </c>
      <c r="AK87" s="49">
        <v>225</v>
      </c>
      <c r="AL87" s="52">
        <v>22.5</v>
      </c>
      <c r="AM87" s="52">
        <v>145</v>
      </c>
      <c r="AN87" s="52">
        <v>167.5</v>
      </c>
      <c r="AO87" s="59">
        <v>0.74444444444444446</v>
      </c>
      <c r="AP87" s="60">
        <v>57.5</v>
      </c>
      <c r="AQ87" s="61">
        <v>0.25555555555555554</v>
      </c>
      <c r="AR87" s="60" t="s">
        <v>78</v>
      </c>
      <c r="AS87" s="62">
        <v>240</v>
      </c>
      <c r="AT87" s="62">
        <v>150</v>
      </c>
      <c r="AU87" s="62">
        <v>390</v>
      </c>
      <c r="AV87" s="62">
        <v>487.5</v>
      </c>
      <c r="AW87" s="63" t="s">
        <v>74</v>
      </c>
      <c r="AX87" s="64">
        <v>45184</v>
      </c>
      <c r="AY87" s="64" t="s">
        <v>2984</v>
      </c>
      <c r="BA87" s="64"/>
      <c r="BB87" s="64"/>
      <c r="BC87" s="64"/>
      <c r="BD87" s="70" t="s">
        <v>2985</v>
      </c>
      <c r="BE87" s="46" t="e">
        <v>#REF!</v>
      </c>
      <c r="BF87" s="46" t="s">
        <v>79</v>
      </c>
      <c r="BG87" s="65">
        <v>1.25</v>
      </c>
      <c r="BH87" s="66"/>
      <c r="BI87" s="63" t="s">
        <v>2986</v>
      </c>
    </row>
    <row r="88" spans="1:61" ht="25.5" x14ac:dyDescent="0.2">
      <c r="A88" s="45" t="s">
        <v>2987</v>
      </c>
      <c r="B88" s="46"/>
      <c r="C88" s="46" t="s">
        <v>2988</v>
      </c>
      <c r="D88" s="46"/>
      <c r="E88" s="46"/>
      <c r="F88" s="46"/>
      <c r="G88" s="46"/>
      <c r="H88" s="46"/>
      <c r="I88" s="46"/>
      <c r="J88" s="46" t="s">
        <v>71</v>
      </c>
      <c r="K88" s="47">
        <v>140</v>
      </c>
      <c r="L88" s="47">
        <v>10</v>
      </c>
      <c r="M88" s="47">
        <v>150</v>
      </c>
      <c r="N88" s="46"/>
      <c r="O88" s="71" t="s">
        <v>68</v>
      </c>
      <c r="P88" s="64"/>
      <c r="Q88" s="46" t="s">
        <v>2565</v>
      </c>
      <c r="R88" s="46" t="s">
        <v>2776</v>
      </c>
      <c r="S88" s="49">
        <v>37.5</v>
      </c>
      <c r="T88" s="49">
        <v>187.5</v>
      </c>
      <c r="U88" s="67">
        <v>0.48666666666666669</v>
      </c>
      <c r="V88" s="67">
        <v>0.48947368421052634</v>
      </c>
      <c r="W88" s="51">
        <v>7.1428571428571425E-2</v>
      </c>
      <c r="X88" s="52">
        <v>18.75</v>
      </c>
      <c r="Y88" s="52">
        <v>30</v>
      </c>
      <c r="Z88" s="52">
        <v>47.5</v>
      </c>
      <c r="AA88" s="52">
        <v>96.25</v>
      </c>
      <c r="AB88" s="53">
        <v>0.51333333333333331</v>
      </c>
      <c r="AC88" s="54">
        <v>91.25</v>
      </c>
      <c r="AD88" s="55">
        <v>0.48666666666666669</v>
      </c>
      <c r="AE88" s="69">
        <v>1</v>
      </c>
      <c r="AF88" s="57" t="s">
        <v>77</v>
      </c>
      <c r="AG88" s="58">
        <v>28</v>
      </c>
      <c r="AH88" s="58">
        <v>10</v>
      </c>
      <c r="AI88" s="58">
        <v>38</v>
      </c>
      <c r="AJ88" s="49">
        <v>9.5</v>
      </c>
      <c r="AK88" s="49">
        <v>47.5</v>
      </c>
      <c r="AL88" s="52">
        <v>4.75</v>
      </c>
      <c r="AM88" s="52">
        <v>19.5</v>
      </c>
      <c r="AN88" s="52">
        <v>24.25</v>
      </c>
      <c r="AO88" s="59">
        <v>0.51052631578947372</v>
      </c>
      <c r="AP88" s="60">
        <v>23.25</v>
      </c>
      <c r="AQ88" s="61">
        <v>0.48947368421052634</v>
      </c>
      <c r="AR88" s="60" t="s">
        <v>78</v>
      </c>
      <c r="AS88" s="62">
        <v>182</v>
      </c>
      <c r="AT88" s="62">
        <v>13</v>
      </c>
      <c r="AU88" s="62">
        <v>195</v>
      </c>
      <c r="AV88" s="62">
        <v>243.75</v>
      </c>
      <c r="AW88" s="63" t="s">
        <v>74</v>
      </c>
      <c r="AX88" s="64">
        <v>45358</v>
      </c>
      <c r="AY88" s="64" t="s">
        <v>2989</v>
      </c>
      <c r="BA88" s="64"/>
      <c r="BB88" s="64"/>
      <c r="BC88" s="64"/>
      <c r="BD88" s="46"/>
      <c r="BE88" s="46" t="e">
        <v>#REF!</v>
      </c>
      <c r="BF88" s="46" t="s">
        <v>79</v>
      </c>
      <c r="BG88" s="65">
        <v>0.25</v>
      </c>
      <c r="BH88" s="66"/>
      <c r="BI88" s="63" t="s">
        <v>2988</v>
      </c>
    </row>
    <row r="89" spans="1:61" ht="12.75" x14ac:dyDescent="0.2">
      <c r="A89" s="34" t="s">
        <v>2990</v>
      </c>
      <c r="B89" s="35"/>
      <c r="C89" s="35"/>
      <c r="D89" s="35"/>
      <c r="E89" s="35"/>
      <c r="F89" s="35"/>
      <c r="G89" s="35"/>
      <c r="H89" s="35"/>
      <c r="I89" s="35"/>
      <c r="J89" s="35"/>
      <c r="K89" s="36"/>
      <c r="L89" s="36"/>
      <c r="M89" s="36" t="s">
        <v>68</v>
      </c>
      <c r="N89" s="35"/>
      <c r="O89" s="35" t="s">
        <v>68</v>
      </c>
      <c r="P89" s="37"/>
      <c r="Q89" s="38" t="s">
        <v>2565</v>
      </c>
      <c r="R89" s="38" t="s">
        <v>2991</v>
      </c>
      <c r="S89" s="36" t="s">
        <v>68</v>
      </c>
      <c r="T89" s="36" t="s">
        <v>68</v>
      </c>
      <c r="U89" s="39" t="s">
        <v>68</v>
      </c>
      <c r="V89" s="39" t="s">
        <v>68</v>
      </c>
      <c r="W89" s="40" t="s">
        <v>68</v>
      </c>
      <c r="X89" s="36" t="s">
        <v>68</v>
      </c>
      <c r="Y89" s="36" t="s">
        <v>68</v>
      </c>
      <c r="Z89" s="36" t="s">
        <v>68</v>
      </c>
      <c r="AA89" s="36" t="s">
        <v>68</v>
      </c>
      <c r="AB89" s="39" t="s">
        <v>68</v>
      </c>
      <c r="AC89" s="36" t="s">
        <v>68</v>
      </c>
      <c r="AD89" s="39" t="s">
        <v>68</v>
      </c>
      <c r="AE89" s="41"/>
      <c r="AF89" s="42" t="s">
        <v>68</v>
      </c>
      <c r="AG89" s="36" t="s">
        <v>68</v>
      </c>
      <c r="AH89" s="36" t="s">
        <v>68</v>
      </c>
      <c r="AI89" s="36" t="s">
        <v>68</v>
      </c>
      <c r="AJ89" s="36" t="s">
        <v>68</v>
      </c>
      <c r="AK89" s="36" t="s">
        <v>68</v>
      </c>
      <c r="AL89" s="36" t="s">
        <v>68</v>
      </c>
      <c r="AM89" s="36" t="s">
        <v>68</v>
      </c>
      <c r="AN89" s="36" t="s">
        <v>68</v>
      </c>
      <c r="AO89" s="43" t="s">
        <v>68</v>
      </c>
      <c r="AP89" s="36" t="s">
        <v>68</v>
      </c>
      <c r="AQ89" s="39" t="s">
        <v>68</v>
      </c>
      <c r="AR89" s="36" t="s">
        <v>68</v>
      </c>
      <c r="AS89" s="36" t="s">
        <v>68</v>
      </c>
      <c r="AT89" s="36" t="s">
        <v>68</v>
      </c>
      <c r="AU89" s="36" t="s">
        <v>68</v>
      </c>
      <c r="AV89" s="36" t="s">
        <v>68</v>
      </c>
      <c r="AW89" s="35"/>
      <c r="AX89" s="37"/>
      <c r="AY89" s="37" t="s">
        <v>68</v>
      </c>
      <c r="BA89" s="37"/>
      <c r="BB89" s="37"/>
      <c r="BC89" s="37"/>
      <c r="BD89" s="35"/>
      <c r="BE89" s="35" t="e">
        <v>#REF!</v>
      </c>
      <c r="BF89" s="35"/>
      <c r="BG89" s="44"/>
      <c r="BH89" s="35"/>
      <c r="BI89" s="35" t="s">
        <v>68</v>
      </c>
    </row>
    <row r="90" spans="1:61" ht="25.5" x14ac:dyDescent="0.2">
      <c r="A90" s="45" t="s">
        <v>2992</v>
      </c>
      <c r="B90" s="46"/>
      <c r="C90" s="46" t="s">
        <v>2993</v>
      </c>
      <c r="D90" s="46" t="s">
        <v>2994</v>
      </c>
      <c r="E90" s="46" t="s">
        <v>2995</v>
      </c>
      <c r="F90" s="46"/>
      <c r="G90" s="46"/>
      <c r="H90" s="46"/>
      <c r="I90" s="46"/>
      <c r="J90" s="46" t="s">
        <v>2996</v>
      </c>
      <c r="K90" s="47">
        <v>30</v>
      </c>
      <c r="L90" s="47">
        <f t="shared" ref="L90:L91" si="0">100+150</f>
        <v>250</v>
      </c>
      <c r="M90" s="47">
        <v>280</v>
      </c>
      <c r="N90" s="46"/>
      <c r="O90" s="71" t="s">
        <v>68</v>
      </c>
      <c r="P90" s="64"/>
      <c r="Q90" s="46" t="s">
        <v>2565</v>
      </c>
      <c r="R90" s="46" t="s">
        <v>2991</v>
      </c>
      <c r="S90" s="49">
        <v>70</v>
      </c>
      <c r="T90" s="49">
        <v>350</v>
      </c>
      <c r="U90" s="50">
        <v>5.3571428571428568E-2</v>
      </c>
      <c r="V90" s="78">
        <v>-1.4285714285714285E-2</v>
      </c>
      <c r="W90" s="77">
        <v>8.3333333333333339</v>
      </c>
      <c r="X90" s="52">
        <v>35</v>
      </c>
      <c r="Y90" s="52">
        <v>30</v>
      </c>
      <c r="Z90" s="52">
        <v>320</v>
      </c>
      <c r="AA90" s="52">
        <v>385</v>
      </c>
      <c r="AB90" s="53">
        <v>1.1000000000000001</v>
      </c>
      <c r="AC90" s="75">
        <v>18.75</v>
      </c>
      <c r="AD90" s="55">
        <v>5.3571428571428568E-2</v>
      </c>
      <c r="AE90" s="73">
        <v>4</v>
      </c>
      <c r="AF90" s="57" t="s">
        <v>95</v>
      </c>
      <c r="AG90" s="58">
        <v>30</v>
      </c>
      <c r="AH90" s="58">
        <v>250</v>
      </c>
      <c r="AI90" s="58">
        <v>280</v>
      </c>
      <c r="AJ90" s="49">
        <v>70</v>
      </c>
      <c r="AK90" s="49">
        <v>350</v>
      </c>
      <c r="AL90" s="52">
        <v>35</v>
      </c>
      <c r="AM90" s="52">
        <v>320</v>
      </c>
      <c r="AN90" s="52">
        <v>355</v>
      </c>
      <c r="AO90" s="59">
        <v>1.0142857142857142</v>
      </c>
      <c r="AP90" s="79">
        <v>-5</v>
      </c>
      <c r="AQ90" s="80">
        <v>-1.4285714285714285E-2</v>
      </c>
      <c r="AR90" s="60" t="s">
        <v>73</v>
      </c>
      <c r="AS90" s="62">
        <v>51</v>
      </c>
      <c r="AT90" s="62">
        <v>425</v>
      </c>
      <c r="AU90" s="62">
        <v>476</v>
      </c>
      <c r="AV90" s="62">
        <v>595</v>
      </c>
      <c r="AW90" s="63" t="s">
        <v>74</v>
      </c>
      <c r="AX90" s="64">
        <v>45205</v>
      </c>
      <c r="AY90" s="64" t="s">
        <v>2997</v>
      </c>
      <c r="BA90" s="64"/>
      <c r="BB90" s="64"/>
      <c r="BC90" s="64"/>
      <c r="BD90" s="46"/>
      <c r="BE90" s="46" t="e">
        <v>#REF!</v>
      </c>
      <c r="BF90" s="46" t="s">
        <v>75</v>
      </c>
      <c r="BG90" s="65">
        <v>4</v>
      </c>
      <c r="BH90" s="66"/>
      <c r="BI90" s="63" t="s">
        <v>2998</v>
      </c>
    </row>
    <row r="91" spans="1:61" ht="25.5" x14ac:dyDescent="0.2">
      <c r="A91" s="45" t="s">
        <v>2999</v>
      </c>
      <c r="B91" s="46"/>
      <c r="C91" s="46" t="s">
        <v>3000</v>
      </c>
      <c r="D91" s="46" t="s">
        <v>2994</v>
      </c>
      <c r="E91" s="46" t="s">
        <v>2995</v>
      </c>
      <c r="F91" s="46"/>
      <c r="G91" s="46"/>
      <c r="H91" s="46"/>
      <c r="I91" s="46"/>
      <c r="J91" s="46" t="s">
        <v>2996</v>
      </c>
      <c r="K91" s="47">
        <v>50</v>
      </c>
      <c r="L91" s="47">
        <f t="shared" si="0"/>
        <v>250</v>
      </c>
      <c r="M91" s="47">
        <v>300</v>
      </c>
      <c r="N91" s="46"/>
      <c r="O91" s="71" t="s">
        <v>68</v>
      </c>
      <c r="P91" s="64"/>
      <c r="Q91" s="46" t="s">
        <v>2565</v>
      </c>
      <c r="R91" s="46" t="s">
        <v>2991</v>
      </c>
      <c r="S91" s="49">
        <v>75</v>
      </c>
      <c r="T91" s="49">
        <v>375</v>
      </c>
      <c r="U91" s="50">
        <v>8.3333333333333329E-2</v>
      </c>
      <c r="V91" s="50">
        <v>3.3333333333333333E-2</v>
      </c>
      <c r="W91" s="77">
        <v>5</v>
      </c>
      <c r="X91" s="52">
        <v>37.5</v>
      </c>
      <c r="Y91" s="52">
        <v>30</v>
      </c>
      <c r="Z91" s="52">
        <v>325</v>
      </c>
      <c r="AA91" s="52">
        <v>392.5</v>
      </c>
      <c r="AB91" s="53">
        <v>1.0466666666666666</v>
      </c>
      <c r="AC91" s="75">
        <v>31.25</v>
      </c>
      <c r="AD91" s="55">
        <v>8.3333333333333329E-2</v>
      </c>
      <c r="AE91" s="73">
        <v>4</v>
      </c>
      <c r="AF91" s="57" t="s">
        <v>95</v>
      </c>
      <c r="AG91" s="58">
        <v>50</v>
      </c>
      <c r="AH91" s="58">
        <v>250</v>
      </c>
      <c r="AI91" s="58">
        <v>300</v>
      </c>
      <c r="AJ91" s="49">
        <v>75</v>
      </c>
      <c r="AK91" s="49">
        <v>375</v>
      </c>
      <c r="AL91" s="52">
        <v>37.5</v>
      </c>
      <c r="AM91" s="52">
        <v>325</v>
      </c>
      <c r="AN91" s="52">
        <v>362.5</v>
      </c>
      <c r="AO91" s="59">
        <v>0.96666666666666667</v>
      </c>
      <c r="AP91" s="60">
        <v>12.5</v>
      </c>
      <c r="AQ91" s="61">
        <v>3.3333333333333333E-2</v>
      </c>
      <c r="AR91" s="60" t="s">
        <v>73</v>
      </c>
      <c r="AS91" s="62">
        <v>85</v>
      </c>
      <c r="AT91" s="62">
        <v>425</v>
      </c>
      <c r="AU91" s="62">
        <v>510</v>
      </c>
      <c r="AV91" s="62">
        <v>637.5</v>
      </c>
      <c r="AW91" s="63" t="s">
        <v>74</v>
      </c>
      <c r="AX91" s="64">
        <v>45205</v>
      </c>
      <c r="AY91" s="64" t="s">
        <v>3001</v>
      </c>
      <c r="BA91" s="64"/>
      <c r="BB91" s="64"/>
      <c r="BC91" s="64"/>
      <c r="BD91" s="46"/>
      <c r="BE91" s="46" t="e">
        <v>#REF!</v>
      </c>
      <c r="BF91" s="46" t="s">
        <v>75</v>
      </c>
      <c r="BG91" s="65">
        <v>4</v>
      </c>
      <c r="BH91" s="66"/>
      <c r="BI91" s="63" t="s">
        <v>3002</v>
      </c>
    </row>
    <row r="92" spans="1:61" x14ac:dyDescent="0.2">
      <c r="A92" s="45" t="s">
        <v>3003</v>
      </c>
      <c r="B92" s="46"/>
      <c r="C92" s="46" t="s">
        <v>3004</v>
      </c>
      <c r="D92" s="46" t="s">
        <v>3005</v>
      </c>
      <c r="E92" s="46"/>
      <c r="F92" s="46"/>
      <c r="G92" s="46"/>
      <c r="H92" s="46"/>
      <c r="I92" s="46"/>
      <c r="J92" s="46" t="s">
        <v>2996</v>
      </c>
      <c r="K92" s="47">
        <v>30</v>
      </c>
      <c r="L92" s="47">
        <v>150</v>
      </c>
      <c r="M92" s="47">
        <v>180</v>
      </c>
      <c r="N92" s="46"/>
      <c r="O92" s="71" t="s">
        <v>68</v>
      </c>
      <c r="P92" s="64"/>
      <c r="Q92" s="46" t="s">
        <v>2565</v>
      </c>
      <c r="R92" s="46" t="s">
        <v>2991</v>
      </c>
      <c r="S92" s="49">
        <v>45</v>
      </c>
      <c r="T92" s="49">
        <v>225</v>
      </c>
      <c r="U92" s="50">
        <v>8.3333333333333329E-2</v>
      </c>
      <c r="V92" s="50">
        <v>3.3333333333333333E-2</v>
      </c>
      <c r="W92" s="77">
        <v>5</v>
      </c>
      <c r="X92" s="52">
        <v>22.5</v>
      </c>
      <c r="Y92" s="52">
        <v>30</v>
      </c>
      <c r="Z92" s="52">
        <v>195</v>
      </c>
      <c r="AA92" s="52">
        <v>247.5</v>
      </c>
      <c r="AB92" s="53">
        <v>1.1000000000000001</v>
      </c>
      <c r="AC92" s="75">
        <v>18.75</v>
      </c>
      <c r="AD92" s="55">
        <v>8.3333333333333329E-2</v>
      </c>
      <c r="AE92" s="73">
        <v>4</v>
      </c>
      <c r="AF92" s="57" t="s">
        <v>95</v>
      </c>
      <c r="AG92" s="58">
        <v>30</v>
      </c>
      <c r="AH92" s="58">
        <v>150</v>
      </c>
      <c r="AI92" s="58">
        <v>180</v>
      </c>
      <c r="AJ92" s="49">
        <v>45</v>
      </c>
      <c r="AK92" s="49">
        <v>225</v>
      </c>
      <c r="AL92" s="52">
        <v>22.5</v>
      </c>
      <c r="AM92" s="52">
        <v>195</v>
      </c>
      <c r="AN92" s="52">
        <v>217.5</v>
      </c>
      <c r="AO92" s="59">
        <v>0.96666666666666667</v>
      </c>
      <c r="AP92" s="60">
        <v>7.5</v>
      </c>
      <c r="AQ92" s="61">
        <v>3.3333333333333333E-2</v>
      </c>
      <c r="AR92" s="60" t="s">
        <v>73</v>
      </c>
      <c r="AS92" s="62">
        <v>51</v>
      </c>
      <c r="AT92" s="62">
        <v>255</v>
      </c>
      <c r="AU92" s="62">
        <v>306</v>
      </c>
      <c r="AV92" s="62">
        <v>382.5</v>
      </c>
      <c r="AW92" s="63" t="s">
        <v>74</v>
      </c>
      <c r="AX92" s="64">
        <v>45205</v>
      </c>
      <c r="AY92" s="64" t="s">
        <v>3006</v>
      </c>
      <c r="BA92" s="64"/>
      <c r="BB92" s="64"/>
      <c r="BC92" s="64"/>
      <c r="BD92" s="46"/>
      <c r="BE92" s="46" t="e">
        <v>#REF!</v>
      </c>
      <c r="BF92" s="46" t="s">
        <v>75</v>
      </c>
      <c r="BG92" s="65">
        <v>3</v>
      </c>
      <c r="BH92" s="66"/>
      <c r="BI92" s="63" t="s">
        <v>3007</v>
      </c>
    </row>
    <row r="93" spans="1:61" ht="12.75" hidden="1" x14ac:dyDescent="0.2">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row>
    <row r="94" spans="1:61" ht="12.75" hidden="1" x14ac:dyDescent="0.2">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row>
    <row r="95" spans="1:61" ht="12.75" hidden="1" x14ac:dyDescent="0.2">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row>
    <row r="96" spans="1:61" ht="12.75" hidden="1" x14ac:dyDescent="0.2">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row>
    <row r="97" spans="1:61" ht="12.75" hidden="1" x14ac:dyDescent="0.2">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row>
    <row r="98" spans="1:61" ht="12.75" hidden="1" x14ac:dyDescent="0.2">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row>
    <row r="99" spans="1:61" ht="12.75" hidden="1" x14ac:dyDescent="0.2">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row>
    <row r="100" spans="1:61" ht="12.75" hidden="1" x14ac:dyDescent="0.2">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row>
    <row r="101" spans="1:61" ht="12.75" hidden="1" x14ac:dyDescent="0.2">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row>
    <row r="102" spans="1:61" ht="12.75" hidden="1" x14ac:dyDescent="0.2">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row>
    <row r="103" spans="1:61" ht="12.75" hidden="1" x14ac:dyDescent="0.2">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row>
    <row r="104" spans="1:61" ht="12.75" hidden="1" x14ac:dyDescent="0.2">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row>
    <row r="105" spans="1:61" ht="12.75" hidden="1" x14ac:dyDescent="0.2">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row>
    <row r="106" spans="1:61" ht="12.75" hidden="1" x14ac:dyDescent="0.2">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row>
    <row r="107" spans="1:61" ht="12.75" hidden="1" x14ac:dyDescent="0.2">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row>
    <row r="108" spans="1:61" ht="12.75" hidden="1" x14ac:dyDescent="0.2">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row>
    <row r="109" spans="1:61" ht="12.75" hidden="1" x14ac:dyDescent="0.2">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row>
    <row r="110" spans="1:61" ht="12.75" hidden="1" x14ac:dyDescent="0.2">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row>
    <row r="111" spans="1:61" ht="12.75" hidden="1" x14ac:dyDescent="0.2">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row>
    <row r="112" spans="1:61" ht="12.75" hidden="1" x14ac:dyDescent="0.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row>
    <row r="113" spans="1:61" ht="12.75" hidden="1" x14ac:dyDescent="0.2">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row>
    <row r="114" spans="1:61" ht="12.75" hidden="1" x14ac:dyDescent="0.2">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row>
    <row r="115" spans="1:61" ht="12.75" hidden="1" x14ac:dyDescent="0.2">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row>
    <row r="116" spans="1:61" ht="12.75" hidden="1" x14ac:dyDescent="0.2">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row>
    <row r="117" spans="1:61" ht="12.75" hidden="1" x14ac:dyDescent="0.2">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row>
    <row r="118" spans="1:61" ht="12.75" hidden="1" x14ac:dyDescent="0.2">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row>
    <row r="119" spans="1:61" ht="12.75" hidden="1" x14ac:dyDescent="0.2">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row>
    <row r="120" spans="1:61" ht="12.75" hidden="1" x14ac:dyDescent="0.2">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row>
    <row r="121" spans="1:61" ht="12.75" hidden="1" x14ac:dyDescent="0.2">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row>
    <row r="122" spans="1:61" ht="12.75" hidden="1" x14ac:dyDescent="0.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row>
    <row r="123" spans="1:61" ht="12.75" hidden="1" x14ac:dyDescent="0.2">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row>
    <row r="124" spans="1:61" ht="12.75" hidden="1" x14ac:dyDescent="0.2">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row>
    <row r="125" spans="1:61" ht="12.75" hidden="1" x14ac:dyDescent="0.2">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row>
    <row r="126" spans="1:61" ht="12.75" hidden="1" x14ac:dyDescent="0.2">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row>
    <row r="127" spans="1:61" ht="12.75" hidden="1" x14ac:dyDescent="0.2">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row>
    <row r="128" spans="1:61" ht="12.75" hidden="1" x14ac:dyDescent="0.2">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row>
    <row r="129" spans="1:61" ht="12.75" hidden="1" x14ac:dyDescent="0.2">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row>
    <row r="130" spans="1:61" ht="12.75" hidden="1" x14ac:dyDescent="0.2">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row>
    <row r="131" spans="1:61" ht="12.75" hidden="1" x14ac:dyDescent="0.2">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row>
    <row r="132" spans="1:61" ht="12.75" hidden="1" x14ac:dyDescent="0.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row>
    <row r="133" spans="1:61" ht="12.75" hidden="1" x14ac:dyDescent="0.2">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row>
    <row r="134" spans="1:61" ht="12.75" hidden="1" x14ac:dyDescent="0.2">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row>
    <row r="135" spans="1:61" ht="12.75" hidden="1" x14ac:dyDescent="0.2">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row>
    <row r="136" spans="1:61" ht="12.75" hidden="1" x14ac:dyDescent="0.2">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row>
    <row r="137" spans="1:61" ht="12.75" hidden="1" x14ac:dyDescent="0.2">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row>
    <row r="138" spans="1:61" ht="12.75" hidden="1" x14ac:dyDescent="0.2">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row>
    <row r="139" spans="1:61" ht="12.75" hidden="1" x14ac:dyDescent="0.2">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row>
    <row r="140" spans="1:61" ht="12.75" hidden="1" x14ac:dyDescent="0.2">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row>
    <row r="141" spans="1:61" ht="12.75" hidden="1" x14ac:dyDescent="0.2">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row>
    <row r="142" spans="1:61" ht="12.75" hidden="1" x14ac:dyDescent="0.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row>
    <row r="143" spans="1:61" ht="12.75" hidden="1" x14ac:dyDescent="0.2">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row>
    <row r="144" spans="1:61" ht="12.75" hidden="1" x14ac:dyDescent="0.2">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row>
    <row r="145" spans="1:61" ht="12.75" hidden="1" x14ac:dyDescent="0.2">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row>
    <row r="146" spans="1:61" ht="12.75" hidden="1" x14ac:dyDescent="0.2">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row>
    <row r="147" spans="1:61" ht="12.75" hidden="1" x14ac:dyDescent="0.2">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row>
    <row r="148" spans="1:61" ht="12.75" hidden="1" x14ac:dyDescent="0.2">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row>
    <row r="149" spans="1:61" ht="12.75" hidden="1" x14ac:dyDescent="0.2">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row>
    <row r="150" spans="1:61" ht="12.75" hidden="1" x14ac:dyDescent="0.2">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row>
    <row r="151" spans="1:61" ht="12.75" hidden="1" x14ac:dyDescent="0.2">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row>
    <row r="152" spans="1:61" ht="12.75" hidden="1" x14ac:dyDescent="0.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row>
    <row r="153" spans="1:61" ht="12.75" hidden="1" x14ac:dyDescent="0.2">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row>
    <row r="154" spans="1:61" ht="12.75" hidden="1" x14ac:dyDescent="0.2">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row>
    <row r="155" spans="1:61" ht="12.75" hidden="1" x14ac:dyDescent="0.2">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row>
    <row r="156" spans="1:61" ht="12.75" hidden="1" x14ac:dyDescent="0.2">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row>
    <row r="157" spans="1:61" ht="12.75" hidden="1" x14ac:dyDescent="0.2">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row>
    <row r="158" spans="1:61" ht="12.75" hidden="1" x14ac:dyDescent="0.2">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row>
    <row r="159" spans="1:61" ht="12.75" hidden="1" x14ac:dyDescent="0.2">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row>
    <row r="160" spans="1:61" ht="12.75" hidden="1" x14ac:dyDescent="0.2">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row>
    <row r="161" spans="1:61" ht="12.75" hidden="1" x14ac:dyDescent="0.2">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row>
    <row r="162" spans="1:61" ht="12.75" hidden="1" x14ac:dyDescent="0.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row>
    <row r="163" spans="1:61" ht="12.75" hidden="1" x14ac:dyDescent="0.2">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row>
    <row r="164" spans="1:61" ht="12.75" hidden="1" x14ac:dyDescent="0.2">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row>
    <row r="165" spans="1:61" ht="12.75" hidden="1" x14ac:dyDescent="0.2">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row>
    <row r="166" spans="1:61" ht="12.75" hidden="1" x14ac:dyDescent="0.2">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row>
    <row r="167" spans="1:61" ht="12.75" hidden="1" x14ac:dyDescent="0.2">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row>
    <row r="168" spans="1:61" ht="12.75" hidden="1" x14ac:dyDescent="0.2">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row>
    <row r="169" spans="1:61" ht="12.75" hidden="1" x14ac:dyDescent="0.2">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row>
    <row r="170" spans="1:61" ht="12.75" hidden="1" x14ac:dyDescent="0.2">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row>
    <row r="171" spans="1:61" ht="12.75" hidden="1" x14ac:dyDescent="0.2">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row>
    <row r="172" spans="1:61" ht="12.75" hidden="1" x14ac:dyDescent="0.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row>
    <row r="173" spans="1:61" ht="12.75" hidden="1" x14ac:dyDescent="0.2">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row>
    <row r="174" spans="1:61" ht="12.75" hidden="1" x14ac:dyDescent="0.2">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row>
    <row r="175" spans="1:61" ht="12.75" hidden="1" x14ac:dyDescent="0.2">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row>
    <row r="176" spans="1:61" ht="12.75" hidden="1" x14ac:dyDescent="0.2">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row>
    <row r="177" spans="1:61" ht="12.75" hidden="1" x14ac:dyDescent="0.2">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row>
    <row r="178" spans="1:61" ht="12.75" hidden="1" x14ac:dyDescent="0.2">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row>
    <row r="179" spans="1:61" ht="12.75" hidden="1" x14ac:dyDescent="0.2">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row>
    <row r="180" spans="1:61" ht="12.75" hidden="1" x14ac:dyDescent="0.2">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row>
    <row r="181" spans="1:61" ht="12.75" hidden="1" x14ac:dyDescent="0.2">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row>
    <row r="182" spans="1:61" ht="12.75" hidden="1" x14ac:dyDescent="0.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row>
    <row r="183" spans="1:61" ht="12.75" hidden="1" x14ac:dyDescent="0.2">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row>
    <row r="184" spans="1:61" ht="12.75" hidden="1" x14ac:dyDescent="0.2">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row>
    <row r="185" spans="1:61" ht="12.75" hidden="1" x14ac:dyDescent="0.2">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row>
    <row r="186" spans="1:61" ht="12.75" hidden="1" x14ac:dyDescent="0.2">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row>
    <row r="187" spans="1:61" ht="12.75" hidden="1" x14ac:dyDescent="0.2">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row>
    <row r="188" spans="1:61" ht="12.75" hidden="1" x14ac:dyDescent="0.2">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row>
    <row r="189" spans="1:61" ht="12.75" hidden="1" x14ac:dyDescent="0.2">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row>
    <row r="190" spans="1:61" ht="12.75" hidden="1" x14ac:dyDescent="0.2">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row>
    <row r="191" spans="1:61" ht="12.75" hidden="1" x14ac:dyDescent="0.2">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row>
    <row r="192" spans="1:61" ht="12.75" hidden="1" x14ac:dyDescent="0.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row>
    <row r="193" spans="1:61" ht="12.75" hidden="1" x14ac:dyDescent="0.2">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row>
    <row r="194" spans="1:61" ht="12.75" hidden="1" x14ac:dyDescent="0.2">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row>
    <row r="195" spans="1:61" ht="12.75" hidden="1" x14ac:dyDescent="0.2">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row>
    <row r="196" spans="1:61" ht="12.75" hidden="1" x14ac:dyDescent="0.2">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row>
    <row r="197" spans="1:61" ht="12.75" hidden="1" x14ac:dyDescent="0.2">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row>
    <row r="198" spans="1:61" ht="12.75" hidden="1" x14ac:dyDescent="0.2">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row>
    <row r="199" spans="1:61" ht="12.75" hidden="1" x14ac:dyDescent="0.2">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row>
    <row r="200" spans="1:61" ht="12.75" hidden="1" x14ac:dyDescent="0.2">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row>
    <row r="201" spans="1:61" ht="12.75" hidden="1" x14ac:dyDescent="0.2">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row>
    <row r="202" spans="1:61" ht="12.75" hidden="1" x14ac:dyDescent="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row>
    <row r="203" spans="1:61" ht="12.75" hidden="1" x14ac:dyDescent="0.2">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row>
    <row r="204" spans="1:61" ht="12.75" hidden="1" x14ac:dyDescent="0.2">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row>
    <row r="205" spans="1:61" ht="12.75" hidden="1" x14ac:dyDescent="0.2">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row>
    <row r="206" spans="1:61" ht="12.75" hidden="1" x14ac:dyDescent="0.2">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row>
    <row r="207" spans="1:61" ht="12.75" hidden="1" x14ac:dyDescent="0.2">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row>
    <row r="208" spans="1:61" ht="12.75" hidden="1" x14ac:dyDescent="0.2">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row>
    <row r="209" spans="1:61" ht="12.75" hidden="1" x14ac:dyDescent="0.2">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row>
    <row r="210" spans="1:61" ht="12.75" hidden="1" x14ac:dyDescent="0.2">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row>
    <row r="211" spans="1:61" ht="12.75" hidden="1" x14ac:dyDescent="0.2">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row>
    <row r="212" spans="1:61" ht="12.75" hidden="1" x14ac:dyDescent="0.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row>
    <row r="213" spans="1:61" ht="12.75" hidden="1" x14ac:dyDescent="0.2">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row>
    <row r="214" spans="1:61" ht="12.75" hidden="1" x14ac:dyDescent="0.2">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row>
    <row r="215" spans="1:61" ht="12.75" hidden="1" x14ac:dyDescent="0.2">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row>
    <row r="216" spans="1:61" ht="12.75" hidden="1" x14ac:dyDescent="0.2">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row>
    <row r="217" spans="1:61" ht="12.75" hidden="1" x14ac:dyDescent="0.2">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row>
    <row r="218" spans="1:61" ht="12.75" hidden="1" x14ac:dyDescent="0.2">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row>
    <row r="219" spans="1:61" ht="12.75" hidden="1" x14ac:dyDescent="0.2">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row>
    <row r="220" spans="1:61" ht="12.75" hidden="1" x14ac:dyDescent="0.2">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row>
    <row r="221" spans="1:61" ht="12.75" hidden="1" x14ac:dyDescent="0.2">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row>
    <row r="222" spans="1:61" ht="12.75" hidden="1" x14ac:dyDescent="0.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row>
    <row r="223" spans="1:61" ht="12.75" hidden="1" x14ac:dyDescent="0.2">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row>
    <row r="224" spans="1:61" ht="12.75" hidden="1" x14ac:dyDescent="0.2">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row>
    <row r="225" spans="1:61" ht="12.75" hidden="1" x14ac:dyDescent="0.2">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row>
    <row r="226" spans="1:61" ht="12.75" hidden="1" x14ac:dyDescent="0.2">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row>
    <row r="227" spans="1:61" ht="12.75" hidden="1" x14ac:dyDescent="0.2">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row>
    <row r="228" spans="1:61" ht="12.75" hidden="1" x14ac:dyDescent="0.2">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row>
    <row r="229" spans="1:61" ht="12.75" hidden="1" x14ac:dyDescent="0.2">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row>
    <row r="230" spans="1:61" ht="12.75" hidden="1" x14ac:dyDescent="0.2">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row>
    <row r="231" spans="1:61" ht="12.75" hidden="1" x14ac:dyDescent="0.2">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row>
    <row r="232" spans="1:61" ht="12.75" hidden="1" x14ac:dyDescent="0.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row>
    <row r="233" spans="1:61" ht="12.75" hidden="1" x14ac:dyDescent="0.2">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row>
    <row r="234" spans="1:61" ht="12.75" hidden="1" x14ac:dyDescent="0.2">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row>
    <row r="235" spans="1:61" ht="12.75" hidden="1" x14ac:dyDescent="0.2">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row>
    <row r="236" spans="1:61" ht="12.75" hidden="1" x14ac:dyDescent="0.2">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row>
    <row r="237" spans="1:61" ht="12.75" hidden="1" x14ac:dyDescent="0.2">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row>
    <row r="238" spans="1:61" ht="12.75" hidden="1" x14ac:dyDescent="0.2">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row>
    <row r="239" spans="1:61" ht="12.75" hidden="1" x14ac:dyDescent="0.2">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row>
    <row r="240" spans="1:61" ht="12.75" hidden="1" x14ac:dyDescent="0.2">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row>
    <row r="241" spans="1:61" ht="12.75" hidden="1" x14ac:dyDescent="0.2">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row>
    <row r="242" spans="1:61" ht="12.75" hidden="1" x14ac:dyDescent="0.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row>
    <row r="243" spans="1:61" ht="12.75" hidden="1" x14ac:dyDescent="0.2">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row>
    <row r="244" spans="1:61" ht="12.75" hidden="1" x14ac:dyDescent="0.2">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row>
    <row r="245" spans="1:61" ht="12.75" hidden="1" x14ac:dyDescent="0.2">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row>
    <row r="246" spans="1:61" ht="12.75" hidden="1" x14ac:dyDescent="0.2">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row>
    <row r="247" spans="1:61" ht="12.75" hidden="1" x14ac:dyDescent="0.2">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row>
    <row r="248" spans="1:61" ht="12.75" hidden="1" x14ac:dyDescent="0.2">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row>
    <row r="249" spans="1:61" ht="12.75" hidden="1" x14ac:dyDescent="0.2">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row>
    <row r="250" spans="1:61" ht="12.75" hidden="1" x14ac:dyDescent="0.2">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row>
    <row r="251" spans="1:61" ht="12.75" hidden="1" x14ac:dyDescent="0.2">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row>
    <row r="252" spans="1:61" ht="12.75" hidden="1" x14ac:dyDescent="0.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row>
    <row r="253" spans="1:61" ht="12.75" hidden="1" x14ac:dyDescent="0.2">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row>
    <row r="254" spans="1:61" ht="12.75" hidden="1" x14ac:dyDescent="0.2">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row>
    <row r="255" spans="1:61" ht="12.75" hidden="1" x14ac:dyDescent="0.2">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row>
    <row r="256" spans="1:61" ht="12.75" hidden="1" x14ac:dyDescent="0.2">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row>
    <row r="257" spans="1:61" ht="12.75" hidden="1" x14ac:dyDescent="0.2">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row>
    <row r="258" spans="1:61" ht="12.75" hidden="1" x14ac:dyDescent="0.2">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row>
    <row r="259" spans="1:61" ht="12.75" hidden="1" x14ac:dyDescent="0.2">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row>
    <row r="260" spans="1:61" ht="12.75" hidden="1" x14ac:dyDescent="0.2">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row>
    <row r="261" spans="1:61" ht="12.75" hidden="1" x14ac:dyDescent="0.2">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row>
    <row r="262" spans="1:61" ht="12.75" hidden="1" x14ac:dyDescent="0.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row>
    <row r="263" spans="1:61" ht="12.75" hidden="1" x14ac:dyDescent="0.2">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row>
    <row r="264" spans="1:61" ht="12.75" hidden="1" x14ac:dyDescent="0.2">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row>
    <row r="265" spans="1:61" ht="12.75" hidden="1" x14ac:dyDescent="0.2">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row>
    <row r="266" spans="1:61" ht="12.75" hidden="1" x14ac:dyDescent="0.2">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row>
    <row r="267" spans="1:61" ht="12.75" hidden="1" x14ac:dyDescent="0.2">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row>
    <row r="268" spans="1:61" ht="12.75" hidden="1" x14ac:dyDescent="0.2">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row>
    <row r="269" spans="1:61" ht="12.75" hidden="1" x14ac:dyDescent="0.2">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row>
    <row r="270" spans="1:61" ht="12.75" hidden="1" x14ac:dyDescent="0.2">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row>
    <row r="271" spans="1:61" ht="12.75" hidden="1" x14ac:dyDescent="0.2">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row>
    <row r="272" spans="1:61" ht="12.75" hidden="1" x14ac:dyDescent="0.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row>
    <row r="273" spans="1:61" ht="12.75" hidden="1" x14ac:dyDescent="0.2">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row>
    <row r="274" spans="1:61" ht="12.75" hidden="1" x14ac:dyDescent="0.2">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row>
    <row r="275" spans="1:61" ht="12.75" hidden="1" x14ac:dyDescent="0.2">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row>
    <row r="276" spans="1:61" ht="12.75" hidden="1" x14ac:dyDescent="0.2">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row>
    <row r="277" spans="1:61" ht="12.75" hidden="1" x14ac:dyDescent="0.2">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row>
    <row r="278" spans="1:61" ht="12.75" hidden="1" x14ac:dyDescent="0.2">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row>
    <row r="279" spans="1:61" ht="12.75" hidden="1" x14ac:dyDescent="0.2">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row>
    <row r="280" spans="1:61" ht="12.75" hidden="1" x14ac:dyDescent="0.2">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row>
    <row r="281" spans="1:61" ht="12.75" hidden="1" x14ac:dyDescent="0.2">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row>
    <row r="282" spans="1:61" ht="12.75" hidden="1" x14ac:dyDescent="0.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row>
    <row r="283" spans="1:61" ht="12.75" hidden="1" x14ac:dyDescent="0.2">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row>
    <row r="284" spans="1:61" ht="12.75" hidden="1" x14ac:dyDescent="0.2">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row>
    <row r="285" spans="1:61" ht="12.75" hidden="1" x14ac:dyDescent="0.2">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row>
    <row r="286" spans="1:61" ht="12.75" hidden="1" x14ac:dyDescent="0.2">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row>
    <row r="287" spans="1:61" ht="12.75" hidden="1" x14ac:dyDescent="0.2">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row>
    <row r="288" spans="1:61" ht="12.75" hidden="1" x14ac:dyDescent="0.2">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row>
    <row r="289" spans="1:61" ht="12.75" hidden="1" x14ac:dyDescent="0.2">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row>
    <row r="290" spans="1:61" ht="12.75" hidden="1" x14ac:dyDescent="0.2">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row>
    <row r="291" spans="1:61" ht="12.75" hidden="1"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spans="1:61" ht="12.75" hidden="1"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spans="1:61" ht="12.75" hidden="1"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spans="1:61" ht="12.75" hidden="1"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spans="1:61" ht="12.75" hidden="1"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spans="1:61" ht="12.75" hidden="1"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spans="1:61" ht="12.75" hidden="1"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spans="1:61" ht="12.75" hidden="1"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spans="1:61" ht="12.75" hidden="1"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spans="1:61" ht="12.75" hidden="1"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spans="1:61" ht="12.75" hidden="1"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spans="1:61" ht="12.75" hidden="1"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spans="1:61" ht="12.75" hidden="1"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spans="1:61" ht="12.75" hidden="1"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spans="1:61" ht="12.75" hidden="1"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spans="1:61" ht="12.75" hidden="1"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spans="1:61" ht="12.75" hidden="1"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spans="1:61" ht="12.75" hidden="1"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spans="1:61" ht="12.75" hidden="1"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spans="1:61" ht="12.75" hidden="1"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spans="1:61" ht="12.75" hidden="1"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spans="1:61" ht="12.75" hidden="1"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spans="1:61" ht="12.75" hidden="1"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spans="1:61" ht="12.75" hidden="1"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spans="1:61" ht="12.75" hidden="1"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spans="1:61" ht="12.75" hidden="1"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spans="1:61" ht="12.75" hidden="1"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spans="1:61" ht="12.75" hidden="1"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spans="1:61" ht="12.75" hidden="1"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spans="1:61" ht="12.75" hidden="1"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spans="1:61" ht="12.75" hidden="1"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spans="1:61" ht="12.75" hidden="1"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spans="1:61" ht="12.75" hidden="1"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spans="1:61" ht="12.75" hidden="1"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spans="1:61" ht="12.75" hidden="1"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spans="1:61" ht="12.75" hidden="1"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spans="1:61" ht="12.75" hidden="1"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spans="1:61" ht="12.75" hidden="1"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spans="1:61" ht="12.75" hidden="1"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spans="1:61" ht="12.75" hidden="1"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spans="1:61" ht="12.75" hidden="1"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spans="1:61" ht="12.75" hidden="1"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spans="1:61" ht="12.75" hidden="1"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spans="1:61" ht="12.75" hidden="1"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spans="1:61" ht="12.75" hidden="1"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spans="1:61" ht="12.75" hidden="1"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spans="1:61" ht="12.75" hidden="1"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spans="1:61" ht="12.75" hidden="1"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spans="1:61" ht="12.75" hidden="1"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spans="1:61" ht="12.75" hidden="1"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spans="1:61" ht="12.75" hidden="1"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spans="1:61" ht="12.75" hidden="1"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spans="1:61" ht="12.75" hidden="1"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spans="1:61" ht="12.75" hidden="1"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spans="1:61" ht="12.75" hidden="1"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spans="1:61" ht="12.75" hidden="1"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spans="1:61" ht="12.75" hidden="1"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spans="1:61" ht="12.75" hidden="1"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spans="1:61" ht="12.75" hidden="1"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spans="1:61" ht="12.75" hidden="1"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spans="1:61" ht="12.75" hidden="1"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spans="1:61" ht="12.75" hidden="1"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spans="1:61" ht="12.75" hidden="1"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spans="1:61" ht="12.75" hidden="1"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spans="1:61" ht="12.75" hidden="1"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spans="1:61" ht="12.75" hidden="1"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spans="1:61" ht="12.75" hidden="1"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spans="1:61" ht="12.75" hidden="1"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spans="1:61" ht="12.75" hidden="1"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spans="1:61" ht="12.75" hidden="1"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spans="1:61" ht="12.75" hidden="1"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spans="1:61" ht="12.75" hidden="1"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spans="1:61" ht="12.75" hidden="1"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spans="1:61" ht="12.75" hidden="1"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spans="1:61" ht="12.75" hidden="1"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spans="1:61" ht="12.75" hidden="1"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spans="1:61" ht="12.75" hidden="1"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spans="1:61" ht="12.75" hidden="1"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spans="1:61" ht="12.75" hidden="1"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spans="1:61" ht="12.75" hidden="1"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spans="1:61" ht="12.75" hidden="1"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spans="1:61" ht="12.75" hidden="1"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spans="1:61" ht="12.75" hidden="1"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spans="1:61" ht="12.75" hidden="1"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spans="1:61" ht="12.75" hidden="1"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spans="1:61" ht="12.75" hidden="1"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spans="1:61" ht="12.75" hidden="1"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spans="1:61" ht="12.75" hidden="1"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spans="1:61" ht="12.75" hidden="1"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spans="1:61" ht="12.75" hidden="1"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spans="1:61" ht="12.75" hidden="1"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spans="1:61" ht="12.75" hidden="1"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spans="1:61" ht="12.75" hidden="1"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spans="1:61" ht="12.75" hidden="1"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spans="1:61" ht="12.75" hidden="1"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spans="1:61" ht="12.75" hidden="1"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spans="1:61" ht="12.75" hidden="1"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spans="1:61" ht="12.75" hidden="1"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spans="1:61" ht="12.75" hidden="1"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spans="1:61" ht="12.75" hidden="1"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spans="1:61" ht="12.75" hidden="1"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spans="1:61" ht="12.75" hidden="1"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spans="1:61" ht="12.75" hidden="1"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spans="1:61" ht="12.75" hidden="1"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spans="1:61" ht="12.75" hidden="1"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spans="1:61" ht="12.75" hidden="1"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spans="1:61" ht="12.75" hidden="1"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spans="1:61" ht="12.75" hidden="1"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spans="1:61" ht="12.75" hidden="1"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spans="1:61" ht="12.75" hidden="1"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spans="1:61" ht="12.75" hidden="1"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spans="1:61" ht="12.75" hidden="1"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spans="1:61" ht="12.75" hidden="1"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spans="1:61" ht="12.75" hidden="1"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spans="1:61" ht="12.75" hidden="1"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spans="1:61" ht="12.75" hidden="1"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spans="1:61" ht="12.75" hidden="1"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spans="1:61" ht="12.75" hidden="1"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spans="1:61" ht="12.75" hidden="1"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spans="1:61" ht="12.75" hidden="1"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spans="1:61" ht="12.75" hidden="1"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spans="1:61" ht="12.75" hidden="1"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spans="1:61" ht="12.75" hidden="1"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spans="1:61" ht="12.75" hidden="1"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spans="1:61" ht="12.75" hidden="1"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spans="1:61" ht="12.75" hidden="1"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spans="1:61" ht="12.75" hidden="1"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spans="1:61" ht="12.75" hidden="1"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spans="1:61" ht="12.75" hidden="1"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spans="1:61" ht="12.75" hidden="1"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spans="1:61" ht="12.75" hidden="1"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spans="1:61" ht="12.75" hidden="1"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spans="1:61" ht="12.75" hidden="1"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spans="1:61" ht="12.75" hidden="1"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spans="1:61" ht="12.75" hidden="1"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spans="1:61" ht="12.75" hidden="1"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spans="1:61" ht="12.75" hidden="1"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spans="1:61" ht="12.75" hidden="1"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spans="1:61" ht="12.75" hidden="1"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spans="1:61" ht="12.75" hidden="1"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spans="1:61" ht="12.75" hidden="1"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spans="1:61" ht="12.75" hidden="1"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spans="1:61" ht="12.75" hidden="1"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spans="1:61" ht="12.75" hidden="1"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spans="1:61" ht="12.75" hidden="1"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spans="1:61" ht="12.75" hidden="1"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spans="1:61" ht="12.75" hidden="1"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spans="1:61" ht="12.75" hidden="1"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spans="1:61" ht="12.75" hidden="1"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spans="1:61" ht="12.75" hidden="1"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spans="1:61" ht="12.75" hidden="1"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spans="1:61" ht="12.75" hidden="1"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spans="1:61" ht="12.75" hidden="1"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spans="1:61" ht="12.75" hidden="1"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spans="1:61" ht="12.75" hidden="1"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spans="1:61" ht="12.75" hidden="1"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spans="1:61" ht="12.75" hidden="1"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spans="1:61" ht="12.75" hidden="1"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spans="1:61" ht="12.75" hidden="1"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spans="1:61" ht="12.75" hidden="1"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spans="1:61" ht="12.75" hidden="1"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spans="1:61" ht="12.75" hidden="1"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spans="1:61" ht="12.75" hidden="1"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spans="1:61" ht="12.75" hidden="1"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spans="1:61" ht="12.75" hidden="1"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spans="1:61" ht="12.75" hidden="1"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spans="1:61" ht="12.75" hidden="1"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spans="1:61" ht="12.75" hidden="1"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spans="1:61" ht="12.75" hidden="1"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spans="1:61" ht="12.75" hidden="1"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spans="1:61" ht="12.75" hidden="1"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spans="1:61" ht="12.75" hidden="1"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spans="1:61" ht="12.75" hidden="1"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spans="1:61" ht="12.75" hidden="1"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spans="1:61" ht="12.75" hidden="1"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spans="1:61" ht="12.75" hidden="1"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spans="1:61" ht="12.75" hidden="1"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spans="1:61" ht="12.75" hidden="1"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spans="1:61" ht="12.75" hidden="1"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spans="1:61" ht="12.75" hidden="1"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spans="1:61" ht="12.75" hidden="1"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spans="1:61" ht="12.75" hidden="1"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spans="1:61" ht="12.75" hidden="1"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spans="1:61" ht="12.75" hidden="1"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spans="1:61" ht="12.75" hidden="1"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spans="1:61" ht="12.75" hidden="1"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spans="1:61" ht="12.75" hidden="1"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spans="1:61" ht="12.75" hidden="1"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spans="1:61" ht="12.75" hidden="1"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spans="1:61" ht="12.75" hidden="1"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spans="1:61" ht="12.75" hidden="1"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spans="1:61" ht="12.75" hidden="1"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spans="1:61" ht="12.75" hidden="1"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spans="1:61" ht="12.75" hidden="1"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spans="1:61" ht="12.75" hidden="1"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spans="1:61" ht="12.75" hidden="1"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spans="1:61" ht="12.75" hidden="1"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spans="1:61" ht="12.75" hidden="1"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spans="1:61" ht="12.75" hidden="1"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spans="1:61" ht="12.75" hidden="1"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spans="1:61" ht="12.75" hidden="1"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spans="1:61" ht="12.75" hidden="1"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spans="1:61" ht="12.75" hidden="1"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spans="1:61" ht="12.75" hidden="1"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spans="1:61" ht="12.75" hidden="1"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spans="1:61" ht="12.75" hidden="1"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spans="1:61" ht="12.75" hidden="1"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spans="1:61" ht="12.75" hidden="1"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spans="1:61" ht="12.75" hidden="1"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spans="1:61" ht="12.75" hidden="1"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spans="1:61" ht="12.75" hidden="1"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spans="1:61" ht="12.75" hidden="1"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spans="1:61" ht="12.75" hidden="1"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spans="1:61" ht="12.75" hidden="1"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spans="1:61" ht="12.75" hidden="1"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spans="1:61" ht="12.75" hidden="1"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spans="1:61" ht="12.75" hidden="1"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spans="1:61" ht="12.75" hidden="1"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spans="1:61" ht="12.75" hidden="1"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spans="1:61" ht="12.75" hidden="1"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spans="1:61" ht="12.75" hidden="1"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spans="1:61" ht="12.75" hidden="1"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spans="1:61" ht="12.75" hidden="1"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spans="1:61" ht="12.75" hidden="1"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spans="1:61" ht="12.75" hidden="1"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spans="1:61" ht="12.75" hidden="1"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spans="1:61" ht="12.75" hidden="1"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spans="1:61" ht="12.75" hidden="1"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spans="1:61" ht="12.75" hidden="1"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spans="1:61" ht="12.75" hidden="1"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spans="1:61" ht="12.75" hidden="1"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spans="1:61" ht="12.75" hidden="1"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spans="1:61" ht="12.75" hidden="1"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spans="1:61" ht="12.75" hidden="1"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spans="1:61" ht="12.75" hidden="1"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spans="1:61" ht="12.75" hidden="1"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spans="1:61" ht="12.75" hidden="1"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spans="1:61" ht="12.75" hidden="1"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spans="1:61" ht="12.75" hidden="1"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spans="1:61" ht="12.75" hidden="1"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spans="1:61" ht="12.75" hidden="1"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spans="1:61" ht="12.75" hidden="1"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spans="1:61" ht="12.75" hidden="1"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spans="1:61" ht="12.75" hidden="1"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spans="1:61" ht="12.75" hidden="1"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spans="1:61" ht="12.75" hidden="1"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spans="1:61" ht="12.75" hidden="1"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spans="1:61" ht="12.75" hidden="1"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spans="1:61" ht="12.75" hidden="1"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spans="1:61" ht="12.75" hidden="1"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spans="1:61" ht="12.75" hidden="1"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spans="1:61" ht="12.75" hidden="1"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spans="1:61" ht="12.75" hidden="1"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spans="1:61" ht="12.75" hidden="1"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spans="1:61" ht="12.75" hidden="1"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spans="1:61" ht="12.75" hidden="1"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spans="1:61" ht="12.75" hidden="1"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spans="1:61" ht="12.75" hidden="1"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spans="1:61" ht="12.75" hidden="1"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spans="1:61" ht="12.75" hidden="1"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spans="1:61" ht="12.75" hidden="1"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spans="1:61" ht="12.75" hidden="1"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spans="1:61" ht="12.75" hidden="1"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spans="1:61" ht="12.75" hidden="1"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spans="1:61" ht="12.75" hidden="1"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spans="1:61" ht="12.75" hidden="1"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spans="1:61" ht="12.75" hidden="1"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spans="1:61" ht="12.75" hidden="1"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spans="1:61" ht="12.75" hidden="1"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spans="1:61" ht="12.75" hidden="1"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spans="1:61" ht="12.75" hidden="1"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spans="1:61" ht="12.75" hidden="1"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spans="1:61" ht="12.75" hidden="1"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spans="1:61" ht="12.75" hidden="1"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spans="1:61" ht="12.75" hidden="1"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spans="1:61" ht="12.75" hidden="1"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spans="1:61" ht="12.75" hidden="1"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spans="1:61" ht="12.75" hidden="1"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spans="1:61" ht="12.75" hidden="1"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spans="1:61" ht="12.75" hidden="1"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spans="1:61" ht="12.75" hidden="1"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spans="1:61" ht="12.75" hidden="1"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spans="1:61" ht="12.75" hidden="1"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spans="1:61" ht="12.75" hidden="1"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spans="1:61" ht="12.75" hidden="1"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spans="1:61" ht="12.75" hidden="1"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spans="1:61" ht="12.75" hidden="1"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spans="1:61" ht="12.75" hidden="1"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spans="1:61" ht="12.75" hidden="1"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spans="1:61" ht="12.75" hidden="1"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spans="1:61" ht="12.75" hidden="1"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spans="1:61" ht="12.75" hidden="1"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spans="1:61" ht="12.75" hidden="1"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spans="1:61" ht="12.75" hidden="1"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spans="1:61" ht="12.75" hidden="1"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spans="1:61" ht="12.75" hidden="1"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spans="1:61" ht="12.75" hidden="1"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spans="1:61" ht="12.75" hidden="1"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spans="1:61" ht="12.75" hidden="1"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spans="1:61" ht="12.75" hidden="1"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spans="1:61" ht="12.75" hidden="1"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spans="1:61" ht="12.75" hidden="1"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spans="1:61" ht="12.75" hidden="1"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spans="1:61" ht="12.75" hidden="1"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spans="1:61" ht="12.75" hidden="1"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spans="1:61" ht="12.75" hidden="1"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spans="1:61" ht="12.75" hidden="1"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spans="1:61" ht="12.75" hidden="1"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spans="1:61" ht="12.75" hidden="1"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spans="1:61" ht="12.75" hidden="1"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spans="1:61" ht="12.75" hidden="1"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spans="1:61" ht="12.75" hidden="1"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spans="1:61" ht="12.75" hidden="1"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spans="1:61" ht="12.75" hidden="1"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spans="1:61" ht="12.75" hidden="1"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spans="1:61" ht="12.75" hidden="1"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spans="1:61" ht="12.75" hidden="1"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spans="1:61" ht="12.75" hidden="1"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spans="1:61" ht="12.75" hidden="1"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spans="1:61" ht="12.75" hidden="1"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spans="1:61" ht="12.75" hidden="1"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spans="1:61" ht="12.75" hidden="1"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spans="1:61" ht="12.75" hidden="1"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spans="1:61" ht="12.75" hidden="1"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spans="1:61" ht="12.75" hidden="1"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spans="1:61" ht="12.75" hidden="1"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spans="1:61" ht="12.75" hidden="1"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spans="1:61" ht="12.75" hidden="1"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spans="1:61" ht="12.75" hidden="1"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spans="1:61" ht="12.75" hidden="1"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spans="1:61" ht="12.75" hidden="1"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spans="1:61" ht="12.75" hidden="1"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spans="1:61" ht="12.75" hidden="1"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spans="1:61" ht="12.75" hidden="1"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spans="1:61" ht="12.75" hidden="1"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spans="1:61" ht="12.75" hidden="1"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spans="1:61" ht="12.75" hidden="1"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spans="1:61" ht="12.75" hidden="1"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spans="1:61" ht="12.75" hidden="1"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spans="1:61" ht="12.75" hidden="1"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spans="1:61" ht="12.75" hidden="1"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spans="1:61" ht="12.75" hidden="1"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spans="1:61" ht="12.75" hidden="1"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spans="1:61" ht="12.75" hidden="1"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spans="1:61" ht="12.75" hidden="1"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spans="1:61" ht="12.75" hidden="1"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spans="1:61" ht="12.75" hidden="1"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spans="1:61" ht="12.75" hidden="1"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spans="1:61" ht="12.75" hidden="1"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spans="1:61" ht="12.75" hidden="1"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spans="1:61" ht="12.75" hidden="1"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spans="1:61" ht="12.75" hidden="1"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spans="1:61" ht="12.75" hidden="1"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spans="1:61" ht="12.75" hidden="1"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spans="1:61" ht="12.75" hidden="1"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spans="1:61" ht="12.75" hidden="1"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spans="1:61" ht="12.75" hidden="1"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spans="1:61" ht="12.75" hidden="1"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spans="1:61" ht="12.75" hidden="1"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spans="1:61" ht="12.75" hidden="1"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spans="1:61" ht="12.75" hidden="1"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spans="1:61" ht="12.75" hidden="1"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spans="1:61" ht="12.75" hidden="1"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spans="1:61" ht="12.75" hidden="1"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spans="1:61" ht="12.75" hidden="1"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spans="1:61" ht="12.75" hidden="1"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spans="1:61" ht="12.75" hidden="1"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spans="1:61" ht="12.75" hidden="1"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spans="1:61" ht="12.75" hidden="1"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spans="1:61" ht="12.75" hidden="1"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spans="1:61" ht="12.75" hidden="1"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spans="1:61" ht="12.75" hidden="1"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spans="1:61" ht="12.75" hidden="1"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spans="1:61" ht="12.75" hidden="1"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spans="1:61" ht="12.75" hidden="1"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spans="1:61" ht="12.75" hidden="1"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spans="1:61" ht="12.75" hidden="1"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spans="1:61" ht="12.75" hidden="1"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spans="1:61" ht="12.75" hidden="1"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spans="1:61" ht="12.75" hidden="1"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spans="1:61" ht="12.75" hidden="1"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spans="1:61" ht="12.75" hidden="1"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spans="1:61" ht="12.75" hidden="1"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spans="1:61" ht="12.75" hidden="1"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spans="1:61" ht="12.75" hidden="1"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spans="1:61" ht="12.75" hidden="1"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spans="1:61" ht="12.75" hidden="1"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spans="1:61" ht="12.75" hidden="1"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spans="1:61" ht="12.75" hidden="1"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spans="1:61" ht="12.75" hidden="1"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spans="1:61" ht="12.75" hidden="1"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spans="1:61" ht="12.75" hidden="1"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spans="1:61" ht="12.75" hidden="1"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spans="1:61" ht="12.75" hidden="1"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spans="1:61" ht="12.75" hidden="1"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spans="1:61" ht="12.75" hidden="1"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spans="1:61" ht="12.75" hidden="1"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spans="1:61" ht="12.75" hidden="1"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spans="1:61" ht="12.75" hidden="1"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spans="1:61" ht="12.75" hidden="1"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spans="1:61" ht="12.75" hidden="1"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spans="1:61" ht="12.75" hidden="1"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spans="1:61" ht="12.75" hidden="1"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spans="1:61" ht="12.75" hidden="1"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spans="1:61" ht="12.75" hidden="1"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spans="1:61" ht="12.75" hidden="1"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spans="1:61" ht="12.75" hidden="1"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spans="1:61" ht="12.75" hidden="1"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spans="1:61" ht="12.75" hidden="1"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spans="1:61" ht="12.75" hidden="1"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spans="1:61" ht="12.75" hidden="1"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spans="1:61" ht="12.75" hidden="1"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spans="1:61" ht="12.75" hidden="1"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spans="1:61" ht="12.75" hidden="1"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spans="1:61" ht="12.75" hidden="1"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spans="1:61" ht="12.75" hidden="1"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spans="1:61" ht="12.75" hidden="1"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spans="1:61" ht="12.75" hidden="1"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spans="1:61" ht="12.75" hidden="1"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spans="1:61" ht="12.75" hidden="1"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spans="1:61" ht="12.75" hidden="1"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spans="1:61" ht="12.75" hidden="1"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spans="1:61" ht="12.75" hidden="1"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spans="1:61" ht="12.75" hidden="1"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spans="1:61" ht="12.75" hidden="1"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spans="1:61" ht="12.75" hidden="1"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spans="1:61" ht="12.75" hidden="1"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spans="1:61" ht="12.75" hidden="1"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spans="1:61" ht="12.75" hidden="1"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spans="1:61" ht="12.75" hidden="1"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spans="1:61" ht="12.75" hidden="1"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spans="1:61" ht="12.75" hidden="1"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spans="1:61" ht="12.75" hidden="1"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spans="1:61" ht="12.75" hidden="1"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spans="1:61" ht="12.75" hidden="1"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spans="1:61" ht="12.75" hidden="1"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spans="1:61" ht="12.75" hidden="1"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spans="1:61" ht="12.75" hidden="1"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spans="1:61" ht="12.75" hidden="1"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spans="1:61" ht="12.75" hidden="1"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spans="1:61" ht="12.75" hidden="1"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spans="1:61" ht="12.75" hidden="1"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spans="1:61" ht="12.75" hidden="1"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spans="1:61" ht="12.75" hidden="1"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spans="1:61" ht="12.75" hidden="1"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spans="1:61" ht="12.75" hidden="1"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spans="1:61" ht="12.75" hidden="1"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spans="1:61" ht="12.75" hidden="1"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spans="1:61" ht="12.75" hidden="1"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spans="1:61" ht="12.75" hidden="1"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spans="1:61" ht="12.75" hidden="1"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spans="1:61" ht="12.75" hidden="1"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spans="1:61" ht="12.75" hidden="1"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spans="1:61" ht="12.75" hidden="1"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spans="1:61" ht="12.75" hidden="1"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spans="1:61" ht="12.75" hidden="1"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spans="1:61" ht="12.75" hidden="1"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spans="1:61" ht="12.75" hidden="1"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spans="1:61" ht="12.75" hidden="1"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spans="1:61" ht="12.75" hidden="1"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spans="1:61" ht="12.75" hidden="1"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spans="1:61" ht="12.75" hidden="1"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spans="1:61" ht="12.75" hidden="1"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spans="1:61" ht="12.75" hidden="1"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spans="1:61" ht="12.75" hidden="1"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spans="1:61" ht="12.75" hidden="1"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spans="1:61" ht="12.75" hidden="1"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spans="1:61" ht="12.75" hidden="1"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spans="1:61" ht="12.75" hidden="1"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spans="1:61" ht="12.75" hidden="1"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spans="1:61" ht="12.75" hidden="1"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spans="1:61" ht="12.75" hidden="1"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spans="1:61" ht="12.75" hidden="1"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spans="1:61" ht="12.75" hidden="1"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spans="1:61" ht="12.75" hidden="1"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spans="1:61" ht="12.75" hidden="1"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spans="1:61" ht="12.75" hidden="1"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spans="1:61" ht="12.75" hidden="1"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spans="1:61" ht="12.75" hidden="1"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spans="1:61" ht="12.75" hidden="1"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spans="1:61" ht="12.75" hidden="1"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spans="1:61" ht="12.75" hidden="1"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spans="1:61" ht="12.75" hidden="1"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spans="1:61" ht="12.75" hidden="1"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spans="1:61" ht="12.75" hidden="1"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spans="1:61" ht="12.75" hidden="1"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spans="1:61" ht="12.75" hidden="1"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spans="1:61" ht="12.75" hidden="1"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spans="1:61" ht="12.75" hidden="1"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spans="1:61" ht="12.75" hidden="1"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spans="1:61" ht="12.75" hidden="1"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spans="1:61" ht="12.75" hidden="1"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spans="1:61" ht="12.75" hidden="1"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spans="1:61" ht="12.75" hidden="1"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spans="1:61" ht="12.75" hidden="1"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spans="1:61" ht="12.75" hidden="1"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spans="1:61" ht="12.75" hidden="1"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spans="1:61" ht="12.75" hidden="1"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spans="1:61" ht="12.75" hidden="1"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spans="1:61" ht="12.75" hidden="1"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spans="1:61" ht="12.75" hidden="1"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spans="1:61" ht="12.75" hidden="1"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spans="1:61" ht="12.75" hidden="1"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spans="1:61" ht="12.75" hidden="1"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spans="1:61" ht="12.75" hidden="1"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spans="1:61" ht="12.75" hidden="1"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spans="1:61" ht="12.75" hidden="1"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spans="1:61" ht="12.75" hidden="1"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spans="1:61" ht="12.75" hidden="1"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spans="1:61" ht="12.75" hidden="1"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spans="1:61" ht="12.75" hidden="1"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spans="1:61" ht="12.75" hidden="1"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spans="1:61" ht="12.75" hidden="1"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spans="1:61" ht="12.75" hidden="1"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spans="1:61" ht="12.75" hidden="1"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spans="1:61" ht="12.75" hidden="1"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spans="1:61" ht="12.75" hidden="1"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spans="1:61" ht="12.75" hidden="1"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spans="1:61" ht="12.75" hidden="1"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spans="1:61" ht="12.75" hidden="1"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spans="1:61" ht="12.75" hidden="1"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spans="1:61" ht="12.75" hidden="1"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spans="1:61" ht="12.75" hidden="1"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spans="1:61" ht="12.75" hidden="1"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spans="1:61" ht="12.75" hidden="1"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spans="1:61" ht="12.75" hidden="1"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spans="1:61" ht="12.75" hidden="1"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spans="1:61" ht="12.75" hidden="1"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spans="1:61" ht="12.75" hidden="1"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spans="1:61" ht="12.75" hidden="1"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spans="1:61" ht="12.75" hidden="1"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spans="1:61" ht="12.75" hidden="1"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spans="1:61" ht="12.75" hidden="1"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spans="1:61" ht="12.75" hidden="1"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spans="1:61" ht="12.75" hidden="1"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spans="1:61" ht="12.75" hidden="1"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spans="1:61" ht="12.75" hidden="1"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spans="1:61" ht="12.75" hidden="1"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spans="1:61" ht="12.75" hidden="1"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spans="1:61" ht="12.75" hidden="1"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spans="1:61" ht="12.75" hidden="1"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spans="1:61" ht="12.75" hidden="1"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spans="1:61" ht="12.75" hidden="1"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spans="1:61" ht="12.75" hidden="1"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spans="1:61" ht="12.75" hidden="1"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spans="1:61" ht="12.75" hidden="1"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spans="1:61" ht="12.75" hidden="1"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spans="1:61" ht="12.75" hidden="1"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spans="1:61" ht="12.75" hidden="1"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spans="1:61" ht="12.75" hidden="1"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spans="1:61" ht="12.75" hidden="1"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spans="1:61" ht="12.75" hidden="1"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spans="1:61" ht="12.75" hidden="1"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spans="1:61" ht="12.75" hidden="1"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spans="1:61" ht="12.75" hidden="1"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spans="1:61" ht="12.75" hidden="1"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spans="1:61" ht="12.75" hidden="1"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spans="1:61" ht="12.75" hidden="1"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spans="1:61" ht="12.75" hidden="1"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spans="1:61" ht="12.75" hidden="1"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spans="1:61" ht="12.75" hidden="1"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spans="1:61" ht="12.75" hidden="1"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spans="1:61" ht="12.75" hidden="1"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spans="1:61" ht="12.75" hidden="1"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spans="1:61" ht="12.75" hidden="1"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spans="1:61" ht="12.75" hidden="1"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spans="1:61" ht="12.75" hidden="1"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spans="1:61" ht="12.75" hidden="1"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spans="1:61" ht="12.75" hidden="1"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spans="1:61" ht="12.75" hidden="1"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spans="1:61" ht="12.75" hidden="1"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spans="1:61" ht="12.75" hidden="1"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spans="1:61" ht="12.75" hidden="1"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spans="1:61" ht="12.75" hidden="1"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spans="1:61" ht="12.75" hidden="1"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spans="1:61" ht="12.75" hidden="1"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spans="1:61" ht="12.75" hidden="1"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spans="1:61" ht="12.75" hidden="1"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spans="1:61" ht="12.75" hidden="1"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spans="1:61" ht="12.75" hidden="1"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spans="1:61" ht="12.75" hidden="1"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spans="1:61" ht="12.75" hidden="1"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spans="1:61" ht="12.75" hidden="1"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spans="1:61" ht="12.75" hidden="1"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spans="1:61" ht="12.75" hidden="1"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spans="1:61" ht="12.75" hidden="1"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spans="1:61" ht="12.75" hidden="1"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spans="1:61" ht="12.75" hidden="1"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spans="1:61" ht="12.75" hidden="1"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spans="1:61" ht="12.75" hidden="1"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spans="1:61" ht="12.75" hidden="1"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spans="1:61" ht="12.75" hidden="1"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spans="1:61" ht="12.75" hidden="1"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spans="1:61" ht="12.75" hidden="1"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spans="1:61" ht="12.75" hidden="1"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spans="1:61" ht="12.75" hidden="1"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spans="1:61" ht="12.75" hidden="1"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spans="1:61" ht="12.75" hidden="1"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spans="1:61" ht="12.75" hidden="1"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spans="1:61" ht="12.75" hidden="1"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spans="1:61" ht="12.75" hidden="1"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spans="1:61" ht="12.75" hidden="1"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spans="1:61" ht="12.75" hidden="1"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spans="1:61" ht="12.75" hidden="1"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spans="1:61" ht="12.75" hidden="1"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spans="1:61" ht="12.75" hidden="1"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spans="1:61" ht="12.75" hidden="1"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spans="1:61" ht="12.75" hidden="1"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spans="1:61" ht="12.75" hidden="1"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spans="1:61" ht="12.75" hidden="1"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spans="1:61" ht="12.75" hidden="1"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spans="1:61" ht="12.75" hidden="1"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spans="1:61" ht="12.75" hidden="1"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spans="1:61" ht="12.75" hidden="1"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spans="1:61" ht="12.75" hidden="1"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spans="1:61" ht="12.75" hidden="1"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spans="1:61" ht="12.75" hidden="1"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spans="1:61" ht="12.75" hidden="1"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spans="1:61" ht="12.75" hidden="1"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spans="1:61" ht="12.75" hidden="1"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spans="1:61" ht="12.75" hidden="1"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spans="1:61" ht="12.75" hidden="1"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spans="1:61" ht="12.75" hidden="1"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spans="1:61" ht="12.75" hidden="1"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spans="1:61" ht="12.75" hidden="1"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spans="1:61" ht="12.75" hidden="1"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spans="1:61" ht="12.75" hidden="1"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spans="1:61" ht="12.75" hidden="1"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spans="1:61" ht="12.75" hidden="1"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spans="1:61" ht="12.75" hidden="1"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spans="1:61" ht="12.75" hidden="1"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spans="1:61" ht="12.75" hidden="1"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spans="1:61" ht="12.75" hidden="1"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spans="1:61" ht="12.75" hidden="1"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spans="1:61" ht="12.75" hidden="1"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spans="1:61" ht="12.75" hidden="1"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spans="1:61" ht="12.75" hidden="1"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spans="1:61" ht="12.75" hidden="1"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spans="1:61" ht="12.75" hidden="1"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spans="1:61" ht="12.75" hidden="1"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spans="1:61" ht="12.75" hidden="1"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spans="1:61" ht="12.75" hidden="1"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spans="1:61" ht="12.75" hidden="1"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spans="1:61" ht="12.75" hidden="1"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spans="1:61" ht="12.75" hidden="1"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spans="1:61" ht="12.75" hidden="1"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spans="1:61" ht="12.75" hidden="1"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spans="1:61" ht="12.75" hidden="1"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spans="1:61" ht="12.75" hidden="1"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spans="1:61" ht="12.75" hidden="1"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spans="1:61" ht="12.75" hidden="1"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spans="1:61" ht="12.75" hidden="1"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spans="1:61" ht="12.75" hidden="1"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spans="1:61" ht="12.75" hidden="1"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spans="1:61" ht="12.75" hidden="1"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spans="1:61" ht="12.75" hidden="1"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spans="1:61" ht="12.75" hidden="1"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spans="1:61" ht="12.75" hidden="1"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spans="1:61" ht="12.75" hidden="1"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spans="1:61" ht="12.75" hidden="1"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spans="1:61" ht="12.75" hidden="1"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spans="1:61" ht="12.75" hidden="1"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spans="1:61" ht="12.75" hidden="1"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spans="1:61" ht="12.75" hidden="1"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spans="1:61" ht="12.75" hidden="1"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spans="1:61" ht="12.75" hidden="1"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spans="1:61" ht="12.75" hidden="1"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spans="1:61" ht="12.75" hidden="1"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spans="1:61" ht="12.75" hidden="1"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spans="1:61" ht="12.75" hidden="1"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spans="1:61" ht="12.75" hidden="1"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spans="1:61" ht="12.75" hidden="1"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spans="1:61" ht="12.75" hidden="1"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spans="1:61" ht="12.75" hidden="1"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spans="1:61" ht="12.75" hidden="1"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spans="1:61" ht="12.75" hidden="1"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spans="1:61" ht="12.75" hidden="1"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spans="1:61" ht="12.75" hidden="1"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spans="1:61" ht="12.75" hidden="1"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spans="1:61" ht="12.75" hidden="1"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spans="1:61" ht="12.75" hidden="1"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spans="1:61" ht="12.75" hidden="1"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spans="1:61" ht="12.75" hidden="1"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spans="1:61" ht="12.75" hidden="1"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spans="1:61" ht="12.75" hidden="1"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spans="1:61" ht="12.75" hidden="1"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spans="1:61" ht="12.75" hidden="1"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spans="1:61" ht="12.75" hidden="1"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spans="1:61" ht="12.75" hidden="1"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spans="1:61" ht="12.75" hidden="1"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spans="1:61" ht="12.75" hidden="1"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spans="1:61" ht="12.75" hidden="1"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spans="1:61" ht="12.75" hidden="1"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spans="1:61" ht="12.75" hidden="1"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spans="1:61" ht="12.75" hidden="1"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spans="1:61" ht="12.75" hidden="1"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spans="1:61" ht="12.75" hidden="1"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spans="1:61" ht="12.75" hidden="1"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spans="1:61" ht="12.75" hidden="1"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spans="1:61" ht="12.75" hidden="1"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spans="1:61" ht="12.75" hidden="1"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spans="1:61" ht="12.75" hidden="1"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spans="1:61" ht="12.75" hidden="1"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spans="1:61" ht="12.75" hidden="1"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spans="1:61" ht="12.75" hidden="1"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spans="1:61" ht="12.75" hidden="1"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spans="1:61" ht="12.75" hidden="1"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spans="1:61" ht="12.75" hidden="1"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spans="1:61" ht="12.75" hidden="1"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spans="1:61" ht="12.75" hidden="1"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row r="1001" spans="1:61" ht="12.75" hidden="1"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row>
    <row r="1002" spans="1:61" ht="12.75" hidden="1"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row>
    <row r="1003" spans="1:61" ht="12.75" hidden="1"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row>
    <row r="1004" spans="1:61" ht="12.75" hidden="1"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row>
    <row r="1005" spans="1:61" ht="12.75" hidden="1"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row>
    <row r="1006" spans="1:61" ht="12.75" hidden="1"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row>
    <row r="1007" spans="1:61" ht="12.75" hidden="1" x14ac:dyDescent="0.2">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row>
    <row r="1008" spans="1:61" ht="12.75" hidden="1" x14ac:dyDescent="0.2">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row>
    <row r="1009" spans="1:61" ht="12.75" hidden="1" x14ac:dyDescent="0.2">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row>
    <row r="1010" spans="1:61" ht="12.75" hidden="1" x14ac:dyDescent="0.2">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row>
    <row r="1011" spans="1:61" ht="12.75" hidden="1" x14ac:dyDescent="0.2">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row>
    <row r="1012" spans="1:61" ht="12.75" hidden="1" x14ac:dyDescent="0.2">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row>
    <row r="1013" spans="1:61" ht="12.75" hidden="1" x14ac:dyDescent="0.2">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row>
    <row r="1014" spans="1:61" ht="12.75" hidden="1" x14ac:dyDescent="0.2">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row>
    <row r="1015" spans="1:61" ht="12.75" hidden="1" x14ac:dyDescent="0.2">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row>
    <row r="1016" spans="1:61" ht="12.75" hidden="1" x14ac:dyDescent="0.2">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row>
    <row r="1017" spans="1:61" ht="12.75" hidden="1" x14ac:dyDescent="0.2">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row>
    <row r="1018" spans="1:61" ht="12.75" hidden="1" x14ac:dyDescent="0.2">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row>
    <row r="1019" spans="1:61" ht="12.75" hidden="1" x14ac:dyDescent="0.2">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row>
    <row r="1020" spans="1:61" ht="12.75" hidden="1" x14ac:dyDescent="0.2">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row>
    <row r="1021" spans="1:61" ht="12.75" hidden="1" x14ac:dyDescent="0.2">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row>
    <row r="1022" spans="1:61" ht="12.75" hidden="1" x14ac:dyDescent="0.2">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row>
    <row r="1023" spans="1:61" ht="12.75" hidden="1" x14ac:dyDescent="0.2">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row>
    <row r="1024" spans="1:61" ht="12.75" hidden="1" x14ac:dyDescent="0.2">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row>
    <row r="1025" spans="1:61" ht="12.75" hidden="1" x14ac:dyDescent="0.2">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row>
    <row r="1026" spans="1:61" ht="12.75" hidden="1" x14ac:dyDescent="0.2">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row>
    <row r="1027" spans="1:61" ht="12.75" hidden="1" x14ac:dyDescent="0.2">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row>
    <row r="1028" spans="1:61" ht="12.75" hidden="1" x14ac:dyDescent="0.2">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row>
    <row r="1029" spans="1:61" ht="12.75" hidden="1" x14ac:dyDescent="0.2">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row>
    <row r="1030" spans="1:61" ht="12.75" hidden="1" x14ac:dyDescent="0.2">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row>
    <row r="1031" spans="1:61" ht="12.75" hidden="1" x14ac:dyDescent="0.2">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row>
    <row r="1032" spans="1:61" ht="12.75" hidden="1" x14ac:dyDescent="0.2">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row>
    <row r="1033" spans="1:61" ht="12.75" hidden="1" x14ac:dyDescent="0.2">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row>
    <row r="1034" spans="1:61" ht="12.75" hidden="1" x14ac:dyDescent="0.2">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row>
    <row r="1035" spans="1:61" ht="12.75" hidden="1" x14ac:dyDescent="0.2">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row>
    <row r="1036" spans="1:61" ht="12.75" hidden="1" x14ac:dyDescent="0.2">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row>
    <row r="1037" spans="1:61" ht="12.75" hidden="1" x14ac:dyDescent="0.2">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row>
    <row r="1038" spans="1:61" ht="12.75" hidden="1" x14ac:dyDescent="0.2">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row>
    <row r="1039" spans="1:61" ht="12.75" hidden="1" x14ac:dyDescent="0.2">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row>
    <row r="1040" spans="1:61" ht="12.75" hidden="1" x14ac:dyDescent="0.2">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row>
    <row r="1041" spans="1:61" ht="12.75" hidden="1" x14ac:dyDescent="0.2">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row>
    <row r="1042" spans="1:61" ht="12.75" hidden="1" x14ac:dyDescent="0.2">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row>
    <row r="1043" spans="1:61" ht="12.75" hidden="1" x14ac:dyDescent="0.2">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row>
    <row r="1044" spans="1:61" ht="12.75" hidden="1" x14ac:dyDescent="0.2">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row>
    <row r="1045" spans="1:61" ht="12.75" hidden="1" x14ac:dyDescent="0.2">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row>
    <row r="1046" spans="1:61" ht="12.75" hidden="1" x14ac:dyDescent="0.2">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row>
    <row r="1047" spans="1:61" ht="12.75" hidden="1" x14ac:dyDescent="0.2">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row>
    <row r="1048" spans="1:61" ht="12.75" hidden="1" x14ac:dyDescent="0.2">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row>
    <row r="1049" spans="1:61" ht="12.75" hidden="1" x14ac:dyDescent="0.2">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row>
    <row r="1050" spans="1:61" ht="12.75" hidden="1" x14ac:dyDescent="0.2">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row>
    <row r="1051" spans="1:61" ht="12.75" hidden="1" x14ac:dyDescent="0.2">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row>
    <row r="1052" spans="1:61" ht="12.75" hidden="1" x14ac:dyDescent="0.2">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row>
    <row r="1053" spans="1:61" ht="12.75" hidden="1" x14ac:dyDescent="0.2">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row>
    <row r="1054" spans="1:61" ht="12.75" hidden="1" x14ac:dyDescent="0.2">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row>
    <row r="1055" spans="1:61" ht="12.75" hidden="1" x14ac:dyDescent="0.2">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row>
    <row r="1056" spans="1:61" ht="12.75" hidden="1" x14ac:dyDescent="0.2">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row>
    <row r="1057" spans="1:61" ht="12.75" hidden="1" x14ac:dyDescent="0.2">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row>
    <row r="1058" spans="1:61" ht="12.75" hidden="1" x14ac:dyDescent="0.2">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row>
    <row r="1059" spans="1:61" ht="12.75" hidden="1" x14ac:dyDescent="0.2">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row>
    <row r="1060" spans="1:61" ht="12.75" hidden="1" x14ac:dyDescent="0.2">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row>
    <row r="1061" spans="1:61" ht="12.75" hidden="1" x14ac:dyDescent="0.2">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row>
    <row r="1062" spans="1:61" ht="12.75" hidden="1" x14ac:dyDescent="0.2">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row>
    <row r="1063" spans="1:61" ht="12.75" hidden="1" x14ac:dyDescent="0.2">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row>
    <row r="1064" spans="1:61" ht="12.75" hidden="1" x14ac:dyDescent="0.2">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row>
    <row r="1065" spans="1:61" ht="12.75" hidden="1" x14ac:dyDescent="0.2">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row>
    <row r="1066" spans="1:61" ht="12.75" hidden="1" x14ac:dyDescent="0.2">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row>
    <row r="1067" spans="1:61" ht="12.75" hidden="1" x14ac:dyDescent="0.2">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row>
    <row r="1068" spans="1:61" ht="12.75" hidden="1" x14ac:dyDescent="0.2">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row>
    <row r="1069" spans="1:61" ht="12.75" hidden="1" x14ac:dyDescent="0.2">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row>
    <row r="1070" spans="1:61" ht="12.75" hidden="1" x14ac:dyDescent="0.2">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row>
    <row r="1071" spans="1:61" ht="12.75" hidden="1" x14ac:dyDescent="0.2">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row>
    <row r="1072" spans="1:61" ht="12.75" hidden="1" x14ac:dyDescent="0.2">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row>
    <row r="1073" spans="1:61" ht="12.75" hidden="1" x14ac:dyDescent="0.2">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row>
    <row r="1074" spans="1:61" ht="12.75" hidden="1" x14ac:dyDescent="0.2">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row>
    <row r="1075" spans="1:61" ht="12.75" hidden="1" x14ac:dyDescent="0.2">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row>
    <row r="1076" spans="1:61" ht="12.75" hidden="1" x14ac:dyDescent="0.2">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row>
    <row r="1077" spans="1:61" ht="12.75" hidden="1" x14ac:dyDescent="0.2">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row>
    <row r="1078" spans="1:61" ht="12.75" hidden="1" x14ac:dyDescent="0.2">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row>
    <row r="1079" spans="1:61" ht="12.75" hidden="1" x14ac:dyDescent="0.2">
      <c r="A1079" s="86"/>
      <c r="B1079" s="86"/>
      <c r="C1079" s="86"/>
      <c r="D1079" s="86"/>
      <c r="E1079" s="86"/>
      <c r="F1079" s="86"/>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6"/>
      <c r="AV1079" s="86"/>
      <c r="AW1079" s="86"/>
      <c r="AX1079" s="86"/>
      <c r="AY1079" s="86"/>
      <c r="AZ1079" s="86"/>
      <c r="BA1079" s="86"/>
      <c r="BB1079" s="86"/>
      <c r="BC1079" s="86"/>
      <c r="BD1079" s="86"/>
      <c r="BE1079" s="86"/>
      <c r="BF1079" s="86"/>
      <c r="BG1079" s="86"/>
      <c r="BH1079" s="86"/>
      <c r="BI1079" s="86"/>
    </row>
    <row r="1080" spans="1:61" ht="12.75" hidden="1" x14ac:dyDescent="0.2">
      <c r="A1080" s="86"/>
      <c r="B1080" s="86"/>
      <c r="C1080" s="86"/>
      <c r="D1080" s="86"/>
      <c r="E1080" s="86"/>
      <c r="F1080" s="86"/>
      <c r="G1080" s="86"/>
      <c r="H1080" s="86"/>
      <c r="I1080" s="86"/>
      <c r="J1080" s="86"/>
      <c r="K1080" s="86"/>
      <c r="L1080" s="86"/>
      <c r="M1080" s="86"/>
      <c r="N1080" s="86"/>
      <c r="O1080" s="86"/>
      <c r="P1080" s="86"/>
      <c r="Q1080" s="86"/>
      <c r="R1080" s="86"/>
      <c r="S1080" s="86"/>
      <c r="T1080" s="86"/>
      <c r="U1080" s="86"/>
      <c r="V1080" s="86"/>
      <c r="W1080" s="86"/>
      <c r="X1080" s="86"/>
      <c r="Y1080" s="86"/>
      <c r="Z1080" s="86"/>
      <c r="AA1080" s="86"/>
      <c r="AB1080" s="86"/>
      <c r="AC1080" s="86"/>
      <c r="AD1080" s="86"/>
      <c r="AE1080" s="86"/>
      <c r="AF1080" s="86"/>
      <c r="AG1080" s="86"/>
      <c r="AH1080" s="86"/>
      <c r="AI1080" s="86"/>
      <c r="AJ1080" s="86"/>
      <c r="AK1080" s="86"/>
      <c r="AL1080" s="86"/>
      <c r="AM1080" s="86"/>
      <c r="AN1080" s="86"/>
      <c r="AO1080" s="86"/>
      <c r="AP1080" s="86"/>
      <c r="AQ1080" s="86"/>
      <c r="AR1080" s="86"/>
      <c r="AS1080" s="86"/>
      <c r="AT1080" s="86"/>
      <c r="AU1080" s="86"/>
      <c r="AV1080" s="86"/>
      <c r="AW1080" s="86"/>
      <c r="AX1080" s="86"/>
      <c r="AY1080" s="86"/>
      <c r="AZ1080" s="86"/>
      <c r="BA1080" s="86"/>
      <c r="BB1080" s="86"/>
      <c r="BC1080" s="86"/>
      <c r="BD1080" s="86"/>
      <c r="BE1080" s="86"/>
      <c r="BF1080" s="86"/>
      <c r="BG1080" s="86"/>
      <c r="BH1080" s="86"/>
      <c r="BI1080" s="86"/>
    </row>
    <row r="1081" spans="1:61" ht="12.75" hidden="1" x14ac:dyDescent="0.2">
      <c r="A1081" s="86"/>
      <c r="B1081" s="86"/>
      <c r="C1081" s="86"/>
      <c r="D1081" s="86"/>
      <c r="E1081" s="86"/>
      <c r="F1081" s="86"/>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6"/>
      <c r="AV1081" s="86"/>
      <c r="AW1081" s="86"/>
      <c r="AX1081" s="86"/>
      <c r="AY1081" s="86"/>
      <c r="AZ1081" s="86"/>
      <c r="BA1081" s="86"/>
      <c r="BB1081" s="86"/>
      <c r="BC1081" s="86"/>
      <c r="BD1081" s="86"/>
      <c r="BE1081" s="86"/>
      <c r="BF1081" s="86"/>
      <c r="BG1081" s="86"/>
      <c r="BH1081" s="86"/>
      <c r="BI1081" s="86"/>
    </row>
    <row r="1082" spans="1:61" ht="12.75" hidden="1" x14ac:dyDescent="0.2">
      <c r="A1082" s="86"/>
      <c r="B1082" s="86"/>
      <c r="C1082" s="86"/>
      <c r="D1082" s="86"/>
      <c r="E1082" s="86"/>
      <c r="F1082" s="86"/>
      <c r="G1082" s="86"/>
      <c r="H1082" s="86"/>
      <c r="I1082" s="86"/>
      <c r="J1082" s="86"/>
      <c r="K1082" s="86"/>
      <c r="L1082" s="86"/>
      <c r="M1082" s="86"/>
      <c r="N1082" s="86"/>
      <c r="O1082" s="86"/>
      <c r="P1082" s="86"/>
      <c r="Q1082" s="86"/>
      <c r="R1082" s="86"/>
      <c r="S1082" s="86"/>
      <c r="T1082" s="86"/>
      <c r="U1082" s="86"/>
      <c r="V1082" s="86"/>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6"/>
      <c r="AV1082" s="86"/>
      <c r="AW1082" s="86"/>
      <c r="AX1082" s="86"/>
      <c r="AY1082" s="86"/>
      <c r="AZ1082" s="86"/>
      <c r="BA1082" s="86"/>
      <c r="BB1082" s="86"/>
      <c r="BC1082" s="86"/>
      <c r="BD1082" s="86"/>
      <c r="BE1082" s="86"/>
      <c r="BF1082" s="86"/>
      <c r="BG1082" s="86"/>
      <c r="BH1082" s="86"/>
      <c r="BI1082" s="86"/>
    </row>
  </sheetData>
  <hyperlinks>
    <hyperlink ref="BD22" r:id="rId1"/>
    <hyperlink ref="BD23" r:id="rId2"/>
    <hyperlink ref="BD24" r:id="rId3"/>
    <hyperlink ref="BD25" r:id="rId4"/>
    <hyperlink ref="BD26" r:id="rId5"/>
    <hyperlink ref="BD27" r:id="rId6"/>
    <hyperlink ref="BD28" r:id="rId7"/>
    <hyperlink ref="BD29" r:id="rId8"/>
    <hyperlink ref="BD30" r:id="rId9"/>
    <hyperlink ref="BD31" r:id="rId10"/>
    <hyperlink ref="BD32" r:id="rId11"/>
    <hyperlink ref="BD33" r:id="rId12"/>
    <hyperlink ref="BD34" r:id="rId13"/>
    <hyperlink ref="BD35" r:id="rId14"/>
    <hyperlink ref="BD36" r:id="rId15"/>
    <hyperlink ref="BD37" r:id="rId16"/>
    <hyperlink ref="BD38" r:id="rId17"/>
    <hyperlink ref="BD39" r:id="rId18"/>
    <hyperlink ref="BD40" r:id="rId19"/>
    <hyperlink ref="BD41" r:id="rId20"/>
    <hyperlink ref="BD43" r:id="rId21"/>
    <hyperlink ref="BD52" r:id="rId22"/>
    <hyperlink ref="BD83" r:id="rId23"/>
    <hyperlink ref="BD84" r:id="rId24"/>
    <hyperlink ref="BD85" r:id="rId25"/>
    <hyperlink ref="BD86" r:id="rId26"/>
    <hyperlink ref="BD87" r:id="rId27"/>
  </hyperlinks>
  <pageMargins left="0.511811024" right="0.511811024" top="0.78740157499999996" bottom="0.78740157499999996" header="0.31496062000000002" footer="0.31496062000000002"/>
  <legacyDrawing r:id="rId2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71"/>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26.4257812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38.42578125" customWidth="1"/>
    <col min="15" max="15" width="39.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0" width="12.5703125" hidden="1"/>
    <col min="51" max="51" width="47.5703125" hidden="1" customWidth="1"/>
    <col min="52"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19.85546875" hidden="1" customWidth="1"/>
    <col min="61" max="61" width="38.57031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3008</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3009</v>
      </c>
      <c r="AZ1" s="21"/>
      <c r="BA1" s="9" t="s">
        <v>60</v>
      </c>
      <c r="BB1" s="9" t="s">
        <v>3010</v>
      </c>
      <c r="BC1" s="9" t="s">
        <v>3011</v>
      </c>
      <c r="BD1" s="9" t="s">
        <v>61</v>
      </c>
      <c r="BE1" s="9" t="s">
        <v>62</v>
      </c>
      <c r="BF1" s="9" t="s">
        <v>63</v>
      </c>
      <c r="BG1" s="22" t="s">
        <v>64</v>
      </c>
      <c r="BH1" s="9" t="s">
        <v>65</v>
      </c>
      <c r="BI1" s="9" t="s">
        <v>66</v>
      </c>
    </row>
    <row r="2" spans="1:61" ht="25.5" hidden="1" x14ac:dyDescent="0.2">
      <c r="A2" s="23" t="s">
        <v>3012</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3013</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3012</v>
      </c>
      <c r="BF2" s="24"/>
      <c r="BG2" s="33"/>
      <c r="BH2" s="27" t="s">
        <v>3014</v>
      </c>
      <c r="BI2" s="24" t="s">
        <v>68</v>
      </c>
    </row>
    <row r="3" spans="1:61" ht="25.5" hidden="1" x14ac:dyDescent="0.2">
      <c r="A3" s="34" t="s">
        <v>3015</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3013</v>
      </c>
      <c r="R3" s="38" t="s">
        <v>3016</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3017</v>
      </c>
      <c r="BI3" s="35" t="s">
        <v>68</v>
      </c>
    </row>
    <row r="4" spans="1:61" ht="25.5" x14ac:dyDescent="0.2">
      <c r="A4" s="45" t="s">
        <v>3018</v>
      </c>
      <c r="B4" s="46"/>
      <c r="C4" s="46" t="s">
        <v>3019</v>
      </c>
      <c r="D4" s="46" t="s">
        <v>3020</v>
      </c>
      <c r="E4" s="46" t="s">
        <v>68</v>
      </c>
      <c r="F4" s="46" t="s">
        <v>68</v>
      </c>
      <c r="G4" s="46" t="s">
        <v>68</v>
      </c>
      <c r="H4" s="46" t="s">
        <v>68</v>
      </c>
      <c r="I4" s="46" t="s">
        <v>68</v>
      </c>
      <c r="J4" s="46" t="s">
        <v>71</v>
      </c>
      <c r="K4" s="47">
        <v>150</v>
      </c>
      <c r="L4" s="47">
        <v>20</v>
      </c>
      <c r="M4" s="47">
        <v>170</v>
      </c>
      <c r="N4" s="46"/>
      <c r="O4" s="71" t="s">
        <v>68</v>
      </c>
      <c r="P4" s="64"/>
      <c r="Q4" s="46" t="s">
        <v>3013</v>
      </c>
      <c r="R4" s="46" t="s">
        <v>3016</v>
      </c>
      <c r="S4" s="49">
        <v>42.5</v>
      </c>
      <c r="T4" s="49">
        <v>212.5</v>
      </c>
      <c r="U4" s="67">
        <v>0.46470588235294119</v>
      </c>
      <c r="V4" s="67">
        <v>0.53157894736842104</v>
      </c>
      <c r="W4" s="51">
        <v>0.13333333333333333</v>
      </c>
      <c r="X4" s="52">
        <v>21.25</v>
      </c>
      <c r="Y4" s="52">
        <v>30</v>
      </c>
      <c r="Z4" s="52">
        <v>62.5</v>
      </c>
      <c r="AA4" s="52">
        <v>113.75</v>
      </c>
      <c r="AB4" s="53">
        <v>0.53529411764705881</v>
      </c>
      <c r="AC4" s="54">
        <v>98.75</v>
      </c>
      <c r="AD4" s="55">
        <v>0.46470588235294119</v>
      </c>
      <c r="AE4" s="56">
        <v>2</v>
      </c>
      <c r="AF4" s="57" t="s">
        <v>72</v>
      </c>
      <c r="AG4" s="58">
        <v>75</v>
      </c>
      <c r="AH4" s="58">
        <v>20</v>
      </c>
      <c r="AI4" s="58">
        <v>95</v>
      </c>
      <c r="AJ4" s="49">
        <v>23.75</v>
      </c>
      <c r="AK4" s="49">
        <v>118.75</v>
      </c>
      <c r="AL4" s="52">
        <v>11.875</v>
      </c>
      <c r="AM4" s="52">
        <v>43.75</v>
      </c>
      <c r="AN4" s="52">
        <v>55.625</v>
      </c>
      <c r="AO4" s="59">
        <v>0.46842105263157896</v>
      </c>
      <c r="AP4" s="60">
        <v>63.125</v>
      </c>
      <c r="AQ4" s="61">
        <v>0.53157894736842104</v>
      </c>
      <c r="AR4" s="60" t="s">
        <v>78</v>
      </c>
      <c r="AS4" s="62">
        <v>225</v>
      </c>
      <c r="AT4" s="62">
        <v>30</v>
      </c>
      <c r="AU4" s="62">
        <v>255</v>
      </c>
      <c r="AV4" s="62">
        <v>318.75</v>
      </c>
      <c r="AW4" s="47" t="s">
        <v>74</v>
      </c>
      <c r="AX4" s="64"/>
      <c r="AY4" s="64" t="s">
        <v>3021</v>
      </c>
      <c r="BA4" s="64"/>
      <c r="BB4" s="64"/>
      <c r="BC4" s="64"/>
      <c r="BD4" s="46"/>
      <c r="BE4" s="46" t="e">
        <v>#REF!</v>
      </c>
      <c r="BF4" s="46" t="s">
        <v>79</v>
      </c>
      <c r="BG4" s="65">
        <v>0.75</v>
      </c>
      <c r="BH4" s="66" t="s">
        <v>3022</v>
      </c>
      <c r="BI4" s="63" t="s">
        <v>3023</v>
      </c>
    </row>
    <row r="5" spans="1:61" ht="38.25" x14ac:dyDescent="0.2">
      <c r="A5" s="45" t="s">
        <v>3024</v>
      </c>
      <c r="B5" s="46"/>
      <c r="C5" s="46" t="s">
        <v>3025</v>
      </c>
      <c r="D5" s="46" t="s">
        <v>3026</v>
      </c>
      <c r="E5" s="46" t="s">
        <v>3027</v>
      </c>
      <c r="F5" s="46" t="s">
        <v>3028</v>
      </c>
      <c r="G5" s="46" t="s">
        <v>3029</v>
      </c>
      <c r="H5" s="46"/>
      <c r="I5" s="46" t="s">
        <v>454</v>
      </c>
      <c r="J5" s="46" t="s">
        <v>71</v>
      </c>
      <c r="K5" s="47">
        <v>320</v>
      </c>
      <c r="L5" s="47">
        <f>210+160</f>
        <v>370</v>
      </c>
      <c r="M5" s="47">
        <v>690</v>
      </c>
      <c r="N5" s="46"/>
      <c r="O5" s="71" t="s">
        <v>68</v>
      </c>
      <c r="P5" s="64"/>
      <c r="Q5" s="46" t="s">
        <v>3013</v>
      </c>
      <c r="R5" s="46" t="s">
        <v>3016</v>
      </c>
      <c r="S5" s="49">
        <v>172.5</v>
      </c>
      <c r="T5" s="49">
        <v>862.5</v>
      </c>
      <c r="U5" s="28">
        <v>0.23623188405797102</v>
      </c>
      <c r="V5" s="28">
        <v>0.27101449275362322</v>
      </c>
      <c r="W5" s="74">
        <v>1.15625</v>
      </c>
      <c r="X5" s="52">
        <v>86.25</v>
      </c>
      <c r="Y5" s="52">
        <v>30</v>
      </c>
      <c r="Z5" s="52">
        <v>542.5</v>
      </c>
      <c r="AA5" s="52">
        <v>658.75</v>
      </c>
      <c r="AB5" s="53">
        <v>0.76376811594202898</v>
      </c>
      <c r="AC5" s="72">
        <v>203.75</v>
      </c>
      <c r="AD5" s="55">
        <v>0.23623188405797102</v>
      </c>
      <c r="AE5" s="73">
        <v>4</v>
      </c>
      <c r="AF5" s="57" t="s">
        <v>95</v>
      </c>
      <c r="AG5" s="58">
        <v>320</v>
      </c>
      <c r="AH5" s="58">
        <v>370</v>
      </c>
      <c r="AI5" s="58">
        <v>690</v>
      </c>
      <c r="AJ5" s="49">
        <v>172.5</v>
      </c>
      <c r="AK5" s="49">
        <v>862.5</v>
      </c>
      <c r="AL5" s="52">
        <v>86.25</v>
      </c>
      <c r="AM5" s="52">
        <v>542.5</v>
      </c>
      <c r="AN5" s="52">
        <v>628.75</v>
      </c>
      <c r="AO5" s="59">
        <v>0.72898550724637678</v>
      </c>
      <c r="AP5" s="60">
        <v>233.75</v>
      </c>
      <c r="AQ5" s="61">
        <v>0.27101449275362322</v>
      </c>
      <c r="AR5" s="60" t="s">
        <v>78</v>
      </c>
      <c r="AS5" s="62">
        <v>544</v>
      </c>
      <c r="AT5" s="62">
        <v>629</v>
      </c>
      <c r="AU5" s="62">
        <v>1173</v>
      </c>
      <c r="AV5" s="62">
        <v>1466.25</v>
      </c>
      <c r="AW5" s="47" t="s">
        <v>74</v>
      </c>
      <c r="AX5" s="64">
        <v>45140</v>
      </c>
      <c r="AY5" s="64" t="s">
        <v>3030</v>
      </c>
      <c r="BA5" s="64"/>
      <c r="BB5" s="64"/>
      <c r="BC5" s="64"/>
      <c r="BD5" s="70" t="s">
        <v>3031</v>
      </c>
      <c r="BE5" s="46" t="e">
        <v>#REF!</v>
      </c>
      <c r="BF5" s="46" t="s">
        <v>75</v>
      </c>
      <c r="BG5" s="65">
        <v>3</v>
      </c>
      <c r="BH5" s="66" t="s">
        <v>3032</v>
      </c>
      <c r="BI5" s="63" t="s">
        <v>3033</v>
      </c>
    </row>
    <row r="6" spans="1:61" ht="38.25" x14ac:dyDescent="0.2">
      <c r="A6" s="45" t="s">
        <v>3034</v>
      </c>
      <c r="B6" s="46"/>
      <c r="C6" s="46" t="s">
        <v>3025</v>
      </c>
      <c r="D6" s="46" t="s">
        <v>3026</v>
      </c>
      <c r="E6" s="46" t="s">
        <v>3027</v>
      </c>
      <c r="F6" s="46" t="s">
        <v>3028</v>
      </c>
      <c r="G6" s="46" t="s">
        <v>3029</v>
      </c>
      <c r="H6" s="46"/>
      <c r="I6" s="46" t="s">
        <v>445</v>
      </c>
      <c r="J6" s="46" t="s">
        <v>71</v>
      </c>
      <c r="K6" s="47">
        <v>350</v>
      </c>
      <c r="L6" s="47">
        <f>340+160</f>
        <v>500</v>
      </c>
      <c r="M6" s="47">
        <v>850</v>
      </c>
      <c r="N6" s="46"/>
      <c r="O6" s="71" t="s">
        <v>68</v>
      </c>
      <c r="P6" s="64"/>
      <c r="Q6" s="46" t="s">
        <v>3013</v>
      </c>
      <c r="R6" s="46" t="s">
        <v>3016</v>
      </c>
      <c r="S6" s="49">
        <v>212.5</v>
      </c>
      <c r="T6" s="49">
        <v>1062.5</v>
      </c>
      <c r="U6" s="28">
        <v>0.20117647058823529</v>
      </c>
      <c r="V6" s="28">
        <v>0.22941176470588234</v>
      </c>
      <c r="W6" s="74">
        <v>1.4285714285714286</v>
      </c>
      <c r="X6" s="52">
        <v>106.25</v>
      </c>
      <c r="Y6" s="52">
        <v>30</v>
      </c>
      <c r="Z6" s="52">
        <v>712.5</v>
      </c>
      <c r="AA6" s="52">
        <v>848.75</v>
      </c>
      <c r="AB6" s="53">
        <v>0.79882352941176471</v>
      </c>
      <c r="AC6" s="72">
        <v>213.75</v>
      </c>
      <c r="AD6" s="55">
        <v>0.20117647058823529</v>
      </c>
      <c r="AE6" s="73">
        <v>4</v>
      </c>
      <c r="AF6" s="57" t="s">
        <v>95</v>
      </c>
      <c r="AG6" s="58">
        <v>350</v>
      </c>
      <c r="AH6" s="58">
        <v>500</v>
      </c>
      <c r="AI6" s="58">
        <v>850</v>
      </c>
      <c r="AJ6" s="49">
        <v>212.5</v>
      </c>
      <c r="AK6" s="49">
        <v>1062.5</v>
      </c>
      <c r="AL6" s="52">
        <v>106.25</v>
      </c>
      <c r="AM6" s="52">
        <v>712.5</v>
      </c>
      <c r="AN6" s="52">
        <v>818.75</v>
      </c>
      <c r="AO6" s="59">
        <v>0.77058823529411768</v>
      </c>
      <c r="AP6" s="60">
        <v>243.75</v>
      </c>
      <c r="AQ6" s="61">
        <v>0.22941176470588234</v>
      </c>
      <c r="AR6" s="60" t="s">
        <v>78</v>
      </c>
      <c r="AS6" s="62">
        <v>595</v>
      </c>
      <c r="AT6" s="62">
        <v>850</v>
      </c>
      <c r="AU6" s="62">
        <v>1445</v>
      </c>
      <c r="AV6" s="62">
        <v>1806.25</v>
      </c>
      <c r="AW6" s="47" t="s">
        <v>74</v>
      </c>
      <c r="AX6" s="64">
        <v>45140</v>
      </c>
      <c r="AY6" s="64" t="s">
        <v>3035</v>
      </c>
      <c r="BA6" s="64"/>
      <c r="BB6" s="64"/>
      <c r="BC6" s="64"/>
      <c r="BD6" s="70" t="s">
        <v>3036</v>
      </c>
      <c r="BE6" s="46" t="e">
        <v>#REF!</v>
      </c>
      <c r="BF6" s="46" t="s">
        <v>75</v>
      </c>
      <c r="BG6" s="65">
        <v>3</v>
      </c>
      <c r="BH6" s="66"/>
      <c r="BI6" s="63" t="s">
        <v>3037</v>
      </c>
    </row>
    <row r="7" spans="1:61" ht="38.25" x14ac:dyDescent="0.2">
      <c r="A7" s="45" t="s">
        <v>3038</v>
      </c>
      <c r="B7" s="46"/>
      <c r="C7" s="46" t="s">
        <v>3039</v>
      </c>
      <c r="D7" s="46" t="s">
        <v>3026</v>
      </c>
      <c r="E7" s="46" t="s">
        <v>3027</v>
      </c>
      <c r="F7" s="46" t="s">
        <v>3028</v>
      </c>
      <c r="G7" s="46" t="s">
        <v>3029</v>
      </c>
      <c r="H7" s="46"/>
      <c r="I7" s="46" t="s">
        <v>454</v>
      </c>
      <c r="J7" s="46" t="s">
        <v>71</v>
      </c>
      <c r="K7" s="47">
        <v>450</v>
      </c>
      <c r="L7" s="47">
        <f>960+160</f>
        <v>1120</v>
      </c>
      <c r="M7" s="47">
        <v>1570</v>
      </c>
      <c r="N7" s="46"/>
      <c r="O7" s="71" t="s">
        <v>68</v>
      </c>
      <c r="P7" s="64"/>
      <c r="Q7" s="46" t="s">
        <v>3013</v>
      </c>
      <c r="R7" s="46" t="s">
        <v>3016</v>
      </c>
      <c r="S7" s="49">
        <v>392.5</v>
      </c>
      <c r="T7" s="49">
        <v>1962.5</v>
      </c>
      <c r="U7" s="50">
        <v>0.11401273885350319</v>
      </c>
      <c r="V7" s="50">
        <v>0.12929936305732484</v>
      </c>
      <c r="W7" s="77">
        <v>2.4888888888888889</v>
      </c>
      <c r="X7" s="52">
        <v>196.25</v>
      </c>
      <c r="Y7" s="52">
        <v>30</v>
      </c>
      <c r="Z7" s="52">
        <v>1512.5</v>
      </c>
      <c r="AA7" s="52">
        <v>1738.75</v>
      </c>
      <c r="AB7" s="53">
        <v>0.88598726114649684</v>
      </c>
      <c r="AC7" s="72">
        <v>223.75</v>
      </c>
      <c r="AD7" s="55">
        <v>0.11401273885350319</v>
      </c>
      <c r="AE7" s="73">
        <v>4</v>
      </c>
      <c r="AF7" s="57" t="s">
        <v>95</v>
      </c>
      <c r="AG7" s="58">
        <v>450</v>
      </c>
      <c r="AH7" s="58">
        <v>1120</v>
      </c>
      <c r="AI7" s="58">
        <v>1570</v>
      </c>
      <c r="AJ7" s="49">
        <v>392.5</v>
      </c>
      <c r="AK7" s="49">
        <v>1962.5</v>
      </c>
      <c r="AL7" s="52">
        <v>196.25</v>
      </c>
      <c r="AM7" s="52">
        <v>1512.5</v>
      </c>
      <c r="AN7" s="52">
        <v>1708.75</v>
      </c>
      <c r="AO7" s="59">
        <v>0.87070063694267519</v>
      </c>
      <c r="AP7" s="60">
        <v>253.75</v>
      </c>
      <c r="AQ7" s="61">
        <v>0.12929936305732484</v>
      </c>
      <c r="AR7" s="60" t="s">
        <v>73</v>
      </c>
      <c r="AS7" s="62">
        <v>765</v>
      </c>
      <c r="AT7" s="62">
        <v>1904</v>
      </c>
      <c r="AU7" s="62">
        <v>2669</v>
      </c>
      <c r="AV7" s="62">
        <v>3336.25</v>
      </c>
      <c r="AW7" s="47" t="s">
        <v>74</v>
      </c>
      <c r="AX7" s="64">
        <v>45149</v>
      </c>
      <c r="AY7" s="64" t="s">
        <v>3040</v>
      </c>
      <c r="BA7" s="64"/>
      <c r="BB7" s="64"/>
      <c r="BC7" s="64"/>
      <c r="BD7" s="70" t="s">
        <v>3041</v>
      </c>
      <c r="BE7" s="46" t="e">
        <v>#REF!</v>
      </c>
      <c r="BF7" s="46" t="s">
        <v>75</v>
      </c>
      <c r="BG7" s="65">
        <v>3</v>
      </c>
      <c r="BH7" s="66" t="s">
        <v>3042</v>
      </c>
      <c r="BI7" s="63" t="s">
        <v>3043</v>
      </c>
    </row>
    <row r="8" spans="1:61" ht="51" x14ac:dyDescent="0.2">
      <c r="A8" s="45" t="s">
        <v>3044</v>
      </c>
      <c r="B8" s="46"/>
      <c r="C8" s="46" t="s">
        <v>3039</v>
      </c>
      <c r="D8" s="46" t="s">
        <v>3026</v>
      </c>
      <c r="E8" s="46" t="s">
        <v>3045</v>
      </c>
      <c r="F8" s="46" t="s">
        <v>3028</v>
      </c>
      <c r="G8" s="46" t="s">
        <v>3029</v>
      </c>
      <c r="H8" s="46"/>
      <c r="I8" s="46" t="s">
        <v>445</v>
      </c>
      <c r="J8" s="46" t="s">
        <v>71</v>
      </c>
      <c r="K8" s="47">
        <v>500</v>
      </c>
      <c r="L8" s="47">
        <f>1300+160</f>
        <v>1460</v>
      </c>
      <c r="M8" s="47">
        <v>1960</v>
      </c>
      <c r="N8" s="46"/>
      <c r="O8" s="71" t="s">
        <v>68</v>
      </c>
      <c r="P8" s="64"/>
      <c r="Q8" s="46" t="s">
        <v>3013</v>
      </c>
      <c r="R8" s="46" t="s">
        <v>3016</v>
      </c>
      <c r="S8" s="49">
        <v>490</v>
      </c>
      <c r="T8" s="49">
        <v>2450</v>
      </c>
      <c r="U8" s="50">
        <v>9.1836734693877556E-2</v>
      </c>
      <c r="V8" s="50">
        <v>0.10408163265306122</v>
      </c>
      <c r="W8" s="77">
        <v>2.92</v>
      </c>
      <c r="X8" s="52">
        <v>245</v>
      </c>
      <c r="Y8" s="52">
        <v>30</v>
      </c>
      <c r="Z8" s="52">
        <v>1950</v>
      </c>
      <c r="AA8" s="52">
        <v>2225</v>
      </c>
      <c r="AB8" s="53">
        <v>0.90816326530612246</v>
      </c>
      <c r="AC8" s="72">
        <v>225</v>
      </c>
      <c r="AD8" s="55">
        <v>9.1836734693877556E-2</v>
      </c>
      <c r="AE8" s="73">
        <v>4</v>
      </c>
      <c r="AF8" s="57" t="s">
        <v>95</v>
      </c>
      <c r="AG8" s="58">
        <v>500</v>
      </c>
      <c r="AH8" s="58">
        <v>1460</v>
      </c>
      <c r="AI8" s="58">
        <v>1960</v>
      </c>
      <c r="AJ8" s="49">
        <v>490</v>
      </c>
      <c r="AK8" s="49">
        <v>2450</v>
      </c>
      <c r="AL8" s="52">
        <v>245</v>
      </c>
      <c r="AM8" s="52">
        <v>1950</v>
      </c>
      <c r="AN8" s="52">
        <v>2195</v>
      </c>
      <c r="AO8" s="59">
        <v>0.89591836734693875</v>
      </c>
      <c r="AP8" s="60">
        <v>255</v>
      </c>
      <c r="AQ8" s="61">
        <v>0.10408163265306122</v>
      </c>
      <c r="AR8" s="60" t="s">
        <v>73</v>
      </c>
      <c r="AS8" s="62">
        <v>850</v>
      </c>
      <c r="AT8" s="62">
        <v>2482</v>
      </c>
      <c r="AU8" s="62">
        <v>3332</v>
      </c>
      <c r="AV8" s="62">
        <v>4165</v>
      </c>
      <c r="AW8" s="47" t="s">
        <v>74</v>
      </c>
      <c r="AX8" s="64">
        <v>45149</v>
      </c>
      <c r="AY8" s="64" t="s">
        <v>3046</v>
      </c>
      <c r="BA8" s="64"/>
      <c r="BB8" s="64"/>
      <c r="BC8" s="64"/>
      <c r="BD8" s="70" t="s">
        <v>3047</v>
      </c>
      <c r="BE8" s="46" t="e">
        <v>#REF!</v>
      </c>
      <c r="BF8" s="46" t="s">
        <v>75</v>
      </c>
      <c r="BG8" s="65">
        <v>3</v>
      </c>
      <c r="BH8" s="66" t="s">
        <v>3048</v>
      </c>
      <c r="BI8" s="63" t="s">
        <v>3049</v>
      </c>
    </row>
    <row r="9" spans="1:61" ht="76.5" x14ac:dyDescent="0.2">
      <c r="A9" s="45" t="s">
        <v>3050</v>
      </c>
      <c r="B9" s="46"/>
      <c r="C9" s="46" t="s">
        <v>3039</v>
      </c>
      <c r="D9" s="46" t="s">
        <v>3026</v>
      </c>
      <c r="E9" s="46" t="s">
        <v>3051</v>
      </c>
      <c r="F9" s="46" t="s">
        <v>3028</v>
      </c>
      <c r="G9" s="46" t="s">
        <v>3029</v>
      </c>
      <c r="H9" s="46"/>
      <c r="I9" s="46" t="s">
        <v>999</v>
      </c>
      <c r="J9" s="46" t="s">
        <v>71</v>
      </c>
      <c r="K9" s="47">
        <v>600</v>
      </c>
      <c r="L9" s="47">
        <f>2000+160</f>
        <v>2160</v>
      </c>
      <c r="M9" s="47">
        <v>2760</v>
      </c>
      <c r="N9" s="46"/>
      <c r="O9" s="71" t="s">
        <v>68</v>
      </c>
      <c r="P9" s="64"/>
      <c r="Q9" s="46" t="s">
        <v>3013</v>
      </c>
      <c r="R9" s="46" t="s">
        <v>3016</v>
      </c>
      <c r="S9" s="49">
        <v>690</v>
      </c>
      <c r="T9" s="49">
        <v>3450</v>
      </c>
      <c r="U9" s="50">
        <v>6.5217391304347824E-2</v>
      </c>
      <c r="V9" s="50">
        <v>7.3913043478260873E-2</v>
      </c>
      <c r="W9" s="77">
        <v>3.6</v>
      </c>
      <c r="X9" s="52">
        <v>345</v>
      </c>
      <c r="Y9" s="52">
        <v>30</v>
      </c>
      <c r="Z9" s="52">
        <v>2850</v>
      </c>
      <c r="AA9" s="52">
        <v>3225</v>
      </c>
      <c r="AB9" s="53">
        <v>0.93478260869565222</v>
      </c>
      <c r="AC9" s="72">
        <v>225</v>
      </c>
      <c r="AD9" s="55">
        <v>6.5217391304347824E-2</v>
      </c>
      <c r="AE9" s="73">
        <v>4</v>
      </c>
      <c r="AF9" s="57" t="s">
        <v>95</v>
      </c>
      <c r="AG9" s="58">
        <v>600</v>
      </c>
      <c r="AH9" s="58">
        <v>2160</v>
      </c>
      <c r="AI9" s="58">
        <v>2760</v>
      </c>
      <c r="AJ9" s="49">
        <v>690</v>
      </c>
      <c r="AK9" s="49">
        <v>3450</v>
      </c>
      <c r="AL9" s="52">
        <v>345</v>
      </c>
      <c r="AM9" s="52">
        <v>2850</v>
      </c>
      <c r="AN9" s="52">
        <v>3195</v>
      </c>
      <c r="AO9" s="59">
        <v>0.92608695652173911</v>
      </c>
      <c r="AP9" s="60">
        <v>255</v>
      </c>
      <c r="AQ9" s="61">
        <v>7.3913043478260873E-2</v>
      </c>
      <c r="AR9" s="60" t="s">
        <v>73</v>
      </c>
      <c r="AS9" s="62">
        <v>1020</v>
      </c>
      <c r="AT9" s="62">
        <v>3672</v>
      </c>
      <c r="AU9" s="62">
        <v>4692</v>
      </c>
      <c r="AV9" s="62">
        <v>5865</v>
      </c>
      <c r="AW9" s="47" t="s">
        <v>74</v>
      </c>
      <c r="AX9" s="64">
        <v>45149</v>
      </c>
      <c r="AY9" s="64" t="s">
        <v>3052</v>
      </c>
      <c r="BA9" s="64"/>
      <c r="BB9" s="64"/>
      <c r="BC9" s="64"/>
      <c r="BD9" s="70" t="s">
        <v>3053</v>
      </c>
      <c r="BE9" s="46" t="e">
        <v>#REF!</v>
      </c>
      <c r="BF9" s="46" t="s">
        <v>75</v>
      </c>
      <c r="BG9" s="65">
        <v>3</v>
      </c>
      <c r="BH9" s="66" t="s">
        <v>3054</v>
      </c>
      <c r="BI9" s="63" t="s">
        <v>3055</v>
      </c>
    </row>
    <row r="10" spans="1:61" ht="51" x14ac:dyDescent="0.2">
      <c r="A10" s="45" t="s">
        <v>3056</v>
      </c>
      <c r="B10" s="46"/>
      <c r="C10" s="46" t="s">
        <v>3025</v>
      </c>
      <c r="D10" s="46" t="s">
        <v>3026</v>
      </c>
      <c r="E10" s="46" t="s">
        <v>3027</v>
      </c>
      <c r="F10" s="46" t="s">
        <v>3057</v>
      </c>
      <c r="G10" s="46" t="s">
        <v>3029</v>
      </c>
      <c r="H10" s="46"/>
      <c r="I10" s="46" t="s">
        <v>454</v>
      </c>
      <c r="J10" s="46" t="s">
        <v>71</v>
      </c>
      <c r="K10" s="47">
        <v>320</v>
      </c>
      <c r="L10" s="47">
        <f>210+320</f>
        <v>530</v>
      </c>
      <c r="M10" s="47">
        <v>850</v>
      </c>
      <c r="N10" s="46"/>
      <c r="O10" s="71" t="s">
        <v>68</v>
      </c>
      <c r="P10" s="64"/>
      <c r="Q10" s="46" t="s">
        <v>3013</v>
      </c>
      <c r="R10" s="46" t="s">
        <v>3016</v>
      </c>
      <c r="S10" s="49">
        <v>212.5</v>
      </c>
      <c r="T10" s="49">
        <v>1062.5</v>
      </c>
      <c r="U10" s="50">
        <v>0.17294117647058824</v>
      </c>
      <c r="V10" s="28">
        <v>0.20117647058823529</v>
      </c>
      <c r="W10" s="77">
        <v>1.65625</v>
      </c>
      <c r="X10" s="52">
        <v>106.25</v>
      </c>
      <c r="Y10" s="52">
        <v>30</v>
      </c>
      <c r="Z10" s="52">
        <v>742.5</v>
      </c>
      <c r="AA10" s="52">
        <v>878.75</v>
      </c>
      <c r="AB10" s="53">
        <v>0.82705882352941174</v>
      </c>
      <c r="AC10" s="72">
        <v>183.75</v>
      </c>
      <c r="AD10" s="55">
        <v>0.17294117647058824</v>
      </c>
      <c r="AE10" s="73">
        <v>4</v>
      </c>
      <c r="AF10" s="57" t="s">
        <v>95</v>
      </c>
      <c r="AG10" s="58">
        <v>320</v>
      </c>
      <c r="AH10" s="58">
        <v>530</v>
      </c>
      <c r="AI10" s="58">
        <v>850</v>
      </c>
      <c r="AJ10" s="49">
        <v>212.5</v>
      </c>
      <c r="AK10" s="49">
        <v>1062.5</v>
      </c>
      <c r="AL10" s="52">
        <v>106.25</v>
      </c>
      <c r="AM10" s="52">
        <v>742.5</v>
      </c>
      <c r="AN10" s="52">
        <v>848.75</v>
      </c>
      <c r="AO10" s="59">
        <v>0.79882352941176471</v>
      </c>
      <c r="AP10" s="60">
        <v>213.75</v>
      </c>
      <c r="AQ10" s="61">
        <v>0.20117647058823529</v>
      </c>
      <c r="AR10" s="60" t="s">
        <v>78</v>
      </c>
      <c r="AS10" s="62">
        <v>544</v>
      </c>
      <c r="AT10" s="62">
        <v>901</v>
      </c>
      <c r="AU10" s="62">
        <v>1445</v>
      </c>
      <c r="AV10" s="62">
        <v>1806.25</v>
      </c>
      <c r="AW10" s="47" t="s">
        <v>74</v>
      </c>
      <c r="AX10" s="64">
        <v>45278</v>
      </c>
      <c r="AY10" s="64" t="s">
        <v>3058</v>
      </c>
      <c r="BA10" s="64"/>
      <c r="BB10" s="64"/>
      <c r="BC10" s="64"/>
      <c r="BD10" s="70" t="s">
        <v>3031</v>
      </c>
      <c r="BE10" s="46" t="e">
        <v>#REF!</v>
      </c>
      <c r="BF10" s="46" t="s">
        <v>75</v>
      </c>
      <c r="BG10" s="65">
        <v>3</v>
      </c>
      <c r="BH10" s="66"/>
      <c r="BI10" s="63" t="s">
        <v>3059</v>
      </c>
    </row>
    <row r="11" spans="1:61" ht="51" x14ac:dyDescent="0.2">
      <c r="A11" s="45" t="s">
        <v>3060</v>
      </c>
      <c r="B11" s="46"/>
      <c r="C11" s="46" t="s">
        <v>3025</v>
      </c>
      <c r="D11" s="46" t="s">
        <v>3026</v>
      </c>
      <c r="E11" s="46" t="s">
        <v>3045</v>
      </c>
      <c r="F11" s="46" t="s">
        <v>3057</v>
      </c>
      <c r="G11" s="46" t="s">
        <v>3029</v>
      </c>
      <c r="H11" s="46"/>
      <c r="I11" s="46" t="s">
        <v>445</v>
      </c>
      <c r="J11" s="46" t="s">
        <v>71</v>
      </c>
      <c r="K11" s="47">
        <v>350</v>
      </c>
      <c r="L11" s="47">
        <f>340+320</f>
        <v>660</v>
      </c>
      <c r="M11" s="47">
        <v>1010</v>
      </c>
      <c r="N11" s="46"/>
      <c r="O11" s="71" t="s">
        <v>68</v>
      </c>
      <c r="P11" s="64"/>
      <c r="Q11" s="46" t="s">
        <v>3013</v>
      </c>
      <c r="R11" s="46" t="s">
        <v>3016</v>
      </c>
      <c r="S11" s="49">
        <v>252.5</v>
      </c>
      <c r="T11" s="49">
        <v>1262.5</v>
      </c>
      <c r="U11" s="50">
        <v>0.15346534653465346</v>
      </c>
      <c r="V11" s="50">
        <v>0.17722772277227722</v>
      </c>
      <c r="W11" s="77">
        <v>1.8857142857142857</v>
      </c>
      <c r="X11" s="52">
        <v>126.25</v>
      </c>
      <c r="Y11" s="52">
        <v>30</v>
      </c>
      <c r="Z11" s="52">
        <v>912.5</v>
      </c>
      <c r="AA11" s="52">
        <v>1068.75</v>
      </c>
      <c r="AB11" s="53">
        <v>0.84653465346534651</v>
      </c>
      <c r="AC11" s="72">
        <v>193.75</v>
      </c>
      <c r="AD11" s="55">
        <v>0.15346534653465346</v>
      </c>
      <c r="AE11" s="73">
        <v>4</v>
      </c>
      <c r="AF11" s="57" t="s">
        <v>95</v>
      </c>
      <c r="AG11" s="58">
        <v>350</v>
      </c>
      <c r="AH11" s="58">
        <v>660</v>
      </c>
      <c r="AI11" s="58">
        <v>1010</v>
      </c>
      <c r="AJ11" s="49">
        <v>252.5</v>
      </c>
      <c r="AK11" s="49">
        <v>1262.5</v>
      </c>
      <c r="AL11" s="52">
        <v>126.25</v>
      </c>
      <c r="AM11" s="52">
        <v>912.5</v>
      </c>
      <c r="AN11" s="52">
        <v>1038.75</v>
      </c>
      <c r="AO11" s="59">
        <v>0.82277227722772273</v>
      </c>
      <c r="AP11" s="60">
        <v>223.75</v>
      </c>
      <c r="AQ11" s="61">
        <v>0.17722772277227722</v>
      </c>
      <c r="AR11" s="60" t="s">
        <v>73</v>
      </c>
      <c r="AS11" s="62">
        <v>595</v>
      </c>
      <c r="AT11" s="62">
        <v>1122</v>
      </c>
      <c r="AU11" s="62">
        <v>1717</v>
      </c>
      <c r="AV11" s="62">
        <v>2146.25</v>
      </c>
      <c r="AW11" s="47" t="s">
        <v>74</v>
      </c>
      <c r="AX11" s="64">
        <v>45278</v>
      </c>
      <c r="AY11" s="64" t="s">
        <v>3061</v>
      </c>
      <c r="BA11" s="64"/>
      <c r="BB11" s="64"/>
      <c r="BC11" s="64"/>
      <c r="BD11" s="70" t="s">
        <v>3036</v>
      </c>
      <c r="BE11" s="46" t="e">
        <v>#REF!</v>
      </c>
      <c r="BF11" s="46" t="s">
        <v>75</v>
      </c>
      <c r="BG11" s="65">
        <v>3</v>
      </c>
      <c r="BH11" s="66"/>
      <c r="BI11" s="63" t="s">
        <v>3062</v>
      </c>
    </row>
    <row r="12" spans="1:61" ht="51" x14ac:dyDescent="0.2">
      <c r="A12" s="45" t="s">
        <v>3063</v>
      </c>
      <c r="B12" s="46"/>
      <c r="C12" s="46" t="s">
        <v>3039</v>
      </c>
      <c r="D12" s="46" t="s">
        <v>3026</v>
      </c>
      <c r="E12" s="46" t="s">
        <v>3027</v>
      </c>
      <c r="F12" s="46" t="s">
        <v>3057</v>
      </c>
      <c r="G12" s="46" t="s">
        <v>3029</v>
      </c>
      <c r="H12" s="46"/>
      <c r="I12" s="46" t="s">
        <v>454</v>
      </c>
      <c r="J12" s="46" t="s">
        <v>71</v>
      </c>
      <c r="K12" s="47">
        <v>450</v>
      </c>
      <c r="L12" s="47">
        <f>960+320</f>
        <v>1280</v>
      </c>
      <c r="M12" s="47">
        <v>1730</v>
      </c>
      <c r="N12" s="46"/>
      <c r="O12" s="71" t="s">
        <v>68</v>
      </c>
      <c r="P12" s="64"/>
      <c r="Q12" s="46" t="s">
        <v>3013</v>
      </c>
      <c r="R12" s="46" t="s">
        <v>3016</v>
      </c>
      <c r="S12" s="49">
        <v>432.5</v>
      </c>
      <c r="T12" s="49">
        <v>2162.5</v>
      </c>
      <c r="U12" s="50">
        <v>9.4219653179190746E-2</v>
      </c>
      <c r="V12" s="50">
        <v>0.10809248554913295</v>
      </c>
      <c r="W12" s="77">
        <v>2.8444444444444446</v>
      </c>
      <c r="X12" s="52">
        <v>216.25</v>
      </c>
      <c r="Y12" s="52">
        <v>30</v>
      </c>
      <c r="Z12" s="52">
        <v>1712.5</v>
      </c>
      <c r="AA12" s="52">
        <v>1958.75</v>
      </c>
      <c r="AB12" s="53">
        <v>0.90578034682080921</v>
      </c>
      <c r="AC12" s="72">
        <v>203.75</v>
      </c>
      <c r="AD12" s="55">
        <v>9.4219653179190746E-2</v>
      </c>
      <c r="AE12" s="73">
        <v>4</v>
      </c>
      <c r="AF12" s="57" t="s">
        <v>95</v>
      </c>
      <c r="AG12" s="58">
        <v>450</v>
      </c>
      <c r="AH12" s="58">
        <v>1280</v>
      </c>
      <c r="AI12" s="58">
        <v>1730</v>
      </c>
      <c r="AJ12" s="49">
        <v>432.5</v>
      </c>
      <c r="AK12" s="49">
        <v>2162.5</v>
      </c>
      <c r="AL12" s="52">
        <v>216.25</v>
      </c>
      <c r="AM12" s="52">
        <v>1712.5</v>
      </c>
      <c r="AN12" s="52">
        <v>1928.75</v>
      </c>
      <c r="AO12" s="59">
        <v>0.89190751445086702</v>
      </c>
      <c r="AP12" s="60">
        <v>233.75</v>
      </c>
      <c r="AQ12" s="61">
        <v>0.10809248554913295</v>
      </c>
      <c r="AR12" s="60" t="s">
        <v>73</v>
      </c>
      <c r="AS12" s="62">
        <v>765</v>
      </c>
      <c r="AT12" s="62">
        <v>2176</v>
      </c>
      <c r="AU12" s="62">
        <v>2941</v>
      </c>
      <c r="AV12" s="62">
        <v>3676.25</v>
      </c>
      <c r="AW12" s="47" t="s">
        <v>74</v>
      </c>
      <c r="AX12" s="64">
        <v>45278</v>
      </c>
      <c r="AY12" s="64" t="s">
        <v>3064</v>
      </c>
      <c r="BA12" s="64"/>
      <c r="BB12" s="64"/>
      <c r="BC12" s="64"/>
      <c r="BD12" s="70" t="s">
        <v>3041</v>
      </c>
      <c r="BE12" s="46" t="e">
        <v>#REF!</v>
      </c>
      <c r="BF12" s="46" t="s">
        <v>75</v>
      </c>
      <c r="BG12" s="65">
        <v>3</v>
      </c>
      <c r="BH12" s="66"/>
      <c r="BI12" s="63" t="s">
        <v>3065</v>
      </c>
    </row>
    <row r="13" spans="1:61" ht="51" x14ac:dyDescent="0.2">
      <c r="A13" s="45" t="s">
        <v>3066</v>
      </c>
      <c r="B13" s="46"/>
      <c r="C13" s="46" t="s">
        <v>3039</v>
      </c>
      <c r="D13" s="46" t="s">
        <v>3026</v>
      </c>
      <c r="E13" s="46" t="s">
        <v>3045</v>
      </c>
      <c r="F13" s="46" t="s">
        <v>3057</v>
      </c>
      <c r="G13" s="46" t="s">
        <v>3029</v>
      </c>
      <c r="H13" s="46"/>
      <c r="I13" s="46" t="s">
        <v>445</v>
      </c>
      <c r="J13" s="46" t="s">
        <v>71</v>
      </c>
      <c r="K13" s="47">
        <v>500</v>
      </c>
      <c r="L13" s="47">
        <f>1300+320</f>
        <v>1620</v>
      </c>
      <c r="M13" s="47">
        <v>2120</v>
      </c>
      <c r="N13" s="46"/>
      <c r="O13" s="71" t="s">
        <v>68</v>
      </c>
      <c r="P13" s="64"/>
      <c r="Q13" s="46" t="s">
        <v>3013</v>
      </c>
      <c r="R13" s="46" t="s">
        <v>3016</v>
      </c>
      <c r="S13" s="49">
        <v>530</v>
      </c>
      <c r="T13" s="49">
        <v>2650</v>
      </c>
      <c r="U13" s="50">
        <v>7.7358490566037733E-2</v>
      </c>
      <c r="V13" s="50">
        <v>8.8679245283018862E-2</v>
      </c>
      <c r="W13" s="77">
        <v>3.24</v>
      </c>
      <c r="X13" s="52">
        <v>265</v>
      </c>
      <c r="Y13" s="52">
        <v>30</v>
      </c>
      <c r="Z13" s="52">
        <v>2150</v>
      </c>
      <c r="AA13" s="52">
        <v>2445</v>
      </c>
      <c r="AB13" s="53">
        <v>0.92264150943396228</v>
      </c>
      <c r="AC13" s="72">
        <v>205</v>
      </c>
      <c r="AD13" s="55">
        <v>7.7358490566037733E-2</v>
      </c>
      <c r="AE13" s="73">
        <v>4</v>
      </c>
      <c r="AF13" s="57" t="s">
        <v>95</v>
      </c>
      <c r="AG13" s="58">
        <v>500</v>
      </c>
      <c r="AH13" s="58">
        <v>1620</v>
      </c>
      <c r="AI13" s="58">
        <v>2120</v>
      </c>
      <c r="AJ13" s="49">
        <v>530</v>
      </c>
      <c r="AK13" s="49">
        <v>2650</v>
      </c>
      <c r="AL13" s="52">
        <v>265</v>
      </c>
      <c r="AM13" s="52">
        <v>2150</v>
      </c>
      <c r="AN13" s="52">
        <v>2415</v>
      </c>
      <c r="AO13" s="59">
        <v>0.91132075471698115</v>
      </c>
      <c r="AP13" s="60">
        <v>235</v>
      </c>
      <c r="AQ13" s="61">
        <v>8.8679245283018862E-2</v>
      </c>
      <c r="AR13" s="60" t="s">
        <v>73</v>
      </c>
      <c r="AS13" s="62">
        <v>850</v>
      </c>
      <c r="AT13" s="62">
        <v>2754</v>
      </c>
      <c r="AU13" s="62">
        <v>3604</v>
      </c>
      <c r="AV13" s="62">
        <v>4505</v>
      </c>
      <c r="AW13" s="47" t="s">
        <v>74</v>
      </c>
      <c r="AX13" s="64">
        <v>45278</v>
      </c>
      <c r="AY13" s="64" t="s">
        <v>3067</v>
      </c>
      <c r="BA13" s="64"/>
      <c r="BB13" s="64"/>
      <c r="BC13" s="64"/>
      <c r="BD13" s="70" t="s">
        <v>3047</v>
      </c>
      <c r="BE13" s="46" t="e">
        <v>#REF!</v>
      </c>
      <c r="BF13" s="46" t="s">
        <v>75</v>
      </c>
      <c r="BG13" s="65">
        <v>3</v>
      </c>
      <c r="BH13" s="66"/>
      <c r="BI13" s="63" t="s">
        <v>3068</v>
      </c>
    </row>
    <row r="14" spans="1:61" ht="76.5" x14ac:dyDescent="0.2">
      <c r="A14" s="45" t="s">
        <v>3069</v>
      </c>
      <c r="B14" s="46"/>
      <c r="C14" s="46" t="s">
        <v>3039</v>
      </c>
      <c r="D14" s="46" t="s">
        <v>3026</v>
      </c>
      <c r="E14" s="46" t="s">
        <v>3051</v>
      </c>
      <c r="F14" s="46" t="s">
        <v>3057</v>
      </c>
      <c r="G14" s="46" t="s">
        <v>3029</v>
      </c>
      <c r="H14" s="46"/>
      <c r="I14" s="46" t="s">
        <v>999</v>
      </c>
      <c r="J14" s="46" t="s">
        <v>71</v>
      </c>
      <c r="K14" s="47">
        <v>600</v>
      </c>
      <c r="L14" s="47">
        <f>2000+320</f>
        <v>2320</v>
      </c>
      <c r="M14" s="47">
        <v>2920</v>
      </c>
      <c r="N14" s="46"/>
      <c r="O14" s="71" t="s">
        <v>68</v>
      </c>
      <c r="P14" s="64"/>
      <c r="Q14" s="46" t="s">
        <v>3013</v>
      </c>
      <c r="R14" s="46" t="s">
        <v>3016</v>
      </c>
      <c r="S14" s="49">
        <v>730</v>
      </c>
      <c r="T14" s="49">
        <v>3650</v>
      </c>
      <c r="U14" s="50">
        <v>5.6164383561643834E-2</v>
      </c>
      <c r="V14" s="50">
        <v>6.4383561643835616E-2</v>
      </c>
      <c r="W14" s="77">
        <v>3.8666666666666667</v>
      </c>
      <c r="X14" s="52">
        <v>365</v>
      </c>
      <c r="Y14" s="52">
        <v>30</v>
      </c>
      <c r="Z14" s="52">
        <v>3050</v>
      </c>
      <c r="AA14" s="52">
        <v>3445</v>
      </c>
      <c r="AB14" s="53">
        <v>0.94383561643835612</v>
      </c>
      <c r="AC14" s="72">
        <v>205</v>
      </c>
      <c r="AD14" s="55">
        <v>5.6164383561643834E-2</v>
      </c>
      <c r="AE14" s="73">
        <v>4</v>
      </c>
      <c r="AF14" s="57" t="s">
        <v>95</v>
      </c>
      <c r="AG14" s="58">
        <v>600</v>
      </c>
      <c r="AH14" s="58">
        <v>2320</v>
      </c>
      <c r="AI14" s="58">
        <v>2920</v>
      </c>
      <c r="AJ14" s="49">
        <v>730</v>
      </c>
      <c r="AK14" s="49">
        <v>3650</v>
      </c>
      <c r="AL14" s="52">
        <v>365</v>
      </c>
      <c r="AM14" s="52">
        <v>3050</v>
      </c>
      <c r="AN14" s="52">
        <v>3415</v>
      </c>
      <c r="AO14" s="59">
        <v>0.93561643835616437</v>
      </c>
      <c r="AP14" s="60">
        <v>235</v>
      </c>
      <c r="AQ14" s="61">
        <v>6.4383561643835616E-2</v>
      </c>
      <c r="AR14" s="60" t="s">
        <v>73</v>
      </c>
      <c r="AS14" s="62">
        <v>1020</v>
      </c>
      <c r="AT14" s="62">
        <v>3944</v>
      </c>
      <c r="AU14" s="62">
        <v>4964</v>
      </c>
      <c r="AV14" s="62">
        <v>6205</v>
      </c>
      <c r="AW14" s="47" t="s">
        <v>74</v>
      </c>
      <c r="AX14" s="64">
        <v>45278</v>
      </c>
      <c r="AY14" s="64" t="s">
        <v>3070</v>
      </c>
      <c r="BA14" s="64"/>
      <c r="BB14" s="64"/>
      <c r="BC14" s="64"/>
      <c r="BD14" s="70" t="s">
        <v>3053</v>
      </c>
      <c r="BE14" s="46" t="e">
        <v>#REF!</v>
      </c>
      <c r="BF14" s="46" t="s">
        <v>75</v>
      </c>
      <c r="BG14" s="65">
        <v>3</v>
      </c>
      <c r="BH14" s="66"/>
      <c r="BI14" s="63" t="s">
        <v>3071</v>
      </c>
    </row>
    <row r="15" spans="1:61" ht="25.5" x14ac:dyDescent="0.2">
      <c r="A15" s="45" t="s">
        <v>3072</v>
      </c>
      <c r="B15" s="46"/>
      <c r="C15" s="46" t="s">
        <v>3025</v>
      </c>
      <c r="D15" s="46" t="s">
        <v>3073</v>
      </c>
      <c r="E15" s="46" t="s">
        <v>720</v>
      </c>
      <c r="F15" s="46" t="s">
        <v>68</v>
      </c>
      <c r="G15" s="46" t="s">
        <v>68</v>
      </c>
      <c r="H15" s="46" t="s">
        <v>3074</v>
      </c>
      <c r="I15" s="46" t="s">
        <v>68</v>
      </c>
      <c r="J15" s="46" t="s">
        <v>71</v>
      </c>
      <c r="K15" s="47">
        <v>195</v>
      </c>
      <c r="L15" s="47">
        <v>250</v>
      </c>
      <c r="M15" s="47">
        <v>445</v>
      </c>
      <c r="N15" s="46"/>
      <c r="O15" s="71" t="s">
        <v>68</v>
      </c>
      <c r="P15" s="64"/>
      <c r="Q15" s="46" t="s">
        <v>3013</v>
      </c>
      <c r="R15" s="46" t="s">
        <v>3016</v>
      </c>
      <c r="S15" s="49">
        <v>111.25</v>
      </c>
      <c r="T15" s="49">
        <v>556.25</v>
      </c>
      <c r="U15" s="50">
        <v>0.19662921348314608</v>
      </c>
      <c r="V15" s="28">
        <v>0.25056179775280901</v>
      </c>
      <c r="W15" s="74">
        <v>1.2820512820512822</v>
      </c>
      <c r="X15" s="52">
        <v>55.625</v>
      </c>
      <c r="Y15" s="52">
        <v>30</v>
      </c>
      <c r="Z15" s="52">
        <v>361.25</v>
      </c>
      <c r="AA15" s="52">
        <v>446.875</v>
      </c>
      <c r="AB15" s="53">
        <v>0.8033707865168539</v>
      </c>
      <c r="AC15" s="54">
        <v>109.375</v>
      </c>
      <c r="AD15" s="55">
        <v>0.19662921348314608</v>
      </c>
      <c r="AE15" s="73">
        <v>3</v>
      </c>
      <c r="AF15" s="57" t="s">
        <v>95</v>
      </c>
      <c r="AG15" s="58">
        <v>195</v>
      </c>
      <c r="AH15" s="58">
        <v>250</v>
      </c>
      <c r="AI15" s="58">
        <v>445</v>
      </c>
      <c r="AJ15" s="49">
        <v>111.25</v>
      </c>
      <c r="AK15" s="49">
        <v>556.25</v>
      </c>
      <c r="AL15" s="52">
        <v>55.625</v>
      </c>
      <c r="AM15" s="52">
        <v>361.25</v>
      </c>
      <c r="AN15" s="52">
        <v>416.875</v>
      </c>
      <c r="AO15" s="59">
        <v>0.74943820224719104</v>
      </c>
      <c r="AP15" s="60">
        <v>139.375</v>
      </c>
      <c r="AQ15" s="61">
        <v>0.25056179775280901</v>
      </c>
      <c r="AR15" s="60" t="s">
        <v>78</v>
      </c>
      <c r="AS15" s="62">
        <v>312</v>
      </c>
      <c r="AT15" s="62">
        <v>400</v>
      </c>
      <c r="AU15" s="62">
        <v>712</v>
      </c>
      <c r="AV15" s="62">
        <v>890</v>
      </c>
      <c r="AW15" s="47" t="s">
        <v>74</v>
      </c>
      <c r="AX15" s="64">
        <v>45278</v>
      </c>
      <c r="AY15" s="64" t="s">
        <v>3075</v>
      </c>
      <c r="BA15" s="64"/>
      <c r="BB15" s="64"/>
      <c r="BC15" s="64"/>
      <c r="BD15" s="70" t="s">
        <v>3076</v>
      </c>
      <c r="BE15" s="46" t="e">
        <v>#REF!</v>
      </c>
      <c r="BF15" s="46" t="s">
        <v>79</v>
      </c>
      <c r="BG15" s="65">
        <v>1.5</v>
      </c>
      <c r="BH15" s="66" t="s">
        <v>3077</v>
      </c>
      <c r="BI15" s="63" t="s">
        <v>3078</v>
      </c>
    </row>
    <row r="16" spans="1:61" ht="25.5" x14ac:dyDescent="0.2">
      <c r="A16" s="45" t="s">
        <v>3079</v>
      </c>
      <c r="B16" s="46"/>
      <c r="C16" s="46" t="s">
        <v>3080</v>
      </c>
      <c r="D16" s="46" t="s">
        <v>3081</v>
      </c>
      <c r="E16" s="46" t="s">
        <v>3082</v>
      </c>
      <c r="F16" s="46" t="s">
        <v>68</v>
      </c>
      <c r="G16" s="46" t="s">
        <v>68</v>
      </c>
      <c r="H16" s="46" t="s">
        <v>68</v>
      </c>
      <c r="I16" s="46" t="s">
        <v>68</v>
      </c>
      <c r="J16" s="46" t="s">
        <v>71</v>
      </c>
      <c r="K16" s="47">
        <v>150</v>
      </c>
      <c r="L16" s="47">
        <v>50</v>
      </c>
      <c r="M16" s="47">
        <v>200</v>
      </c>
      <c r="N16" s="46"/>
      <c r="O16" s="71" t="s">
        <v>68</v>
      </c>
      <c r="P16" s="64"/>
      <c r="Q16" s="46" t="s">
        <v>3013</v>
      </c>
      <c r="R16" s="46" t="s">
        <v>3016</v>
      </c>
      <c r="S16" s="49">
        <v>50</v>
      </c>
      <c r="T16" s="49">
        <v>250</v>
      </c>
      <c r="U16" s="67">
        <v>0.38</v>
      </c>
      <c r="V16" s="67">
        <v>0.5</v>
      </c>
      <c r="W16" s="51">
        <v>0.33333333333333331</v>
      </c>
      <c r="X16" s="52">
        <v>25</v>
      </c>
      <c r="Y16" s="52">
        <v>30</v>
      </c>
      <c r="Z16" s="52">
        <v>100</v>
      </c>
      <c r="AA16" s="52">
        <v>155</v>
      </c>
      <c r="AB16" s="53">
        <v>0.62</v>
      </c>
      <c r="AC16" s="54">
        <v>95</v>
      </c>
      <c r="AD16" s="55">
        <v>0.38</v>
      </c>
      <c r="AE16" s="73">
        <v>3</v>
      </c>
      <c r="AF16" s="57" t="s">
        <v>95</v>
      </c>
      <c r="AG16" s="58">
        <v>150</v>
      </c>
      <c r="AH16" s="58">
        <v>50</v>
      </c>
      <c r="AI16" s="58">
        <v>200</v>
      </c>
      <c r="AJ16" s="49">
        <v>50</v>
      </c>
      <c r="AK16" s="49">
        <v>250</v>
      </c>
      <c r="AL16" s="52">
        <v>25</v>
      </c>
      <c r="AM16" s="52">
        <v>100</v>
      </c>
      <c r="AN16" s="52">
        <v>125</v>
      </c>
      <c r="AO16" s="59">
        <v>0.5</v>
      </c>
      <c r="AP16" s="60">
        <v>125</v>
      </c>
      <c r="AQ16" s="61">
        <v>0.5</v>
      </c>
      <c r="AR16" s="60" t="s">
        <v>78</v>
      </c>
      <c r="AS16" s="62">
        <v>240</v>
      </c>
      <c r="AT16" s="62">
        <v>80</v>
      </c>
      <c r="AU16" s="62">
        <v>320</v>
      </c>
      <c r="AV16" s="62">
        <v>400</v>
      </c>
      <c r="AW16" s="47" t="s">
        <v>74</v>
      </c>
      <c r="AX16" s="64">
        <v>45278</v>
      </c>
      <c r="AY16" s="64" t="s">
        <v>3083</v>
      </c>
      <c r="BA16" s="64"/>
      <c r="BB16" s="64"/>
      <c r="BC16" s="64"/>
      <c r="BD16" s="46"/>
      <c r="BE16" s="46" t="e">
        <v>#REF!</v>
      </c>
      <c r="BF16" s="46" t="s">
        <v>79</v>
      </c>
      <c r="BG16" s="65">
        <v>1</v>
      </c>
      <c r="BH16" s="66" t="s">
        <v>3084</v>
      </c>
      <c r="BI16" s="63" t="s">
        <v>3085</v>
      </c>
    </row>
    <row r="17" spans="1:61" ht="25.5" x14ac:dyDescent="0.2">
      <c r="A17" s="45" t="s">
        <v>3086</v>
      </c>
      <c r="B17" s="46"/>
      <c r="C17" s="46" t="s">
        <v>3080</v>
      </c>
      <c r="D17" s="46" t="s">
        <v>3081</v>
      </c>
      <c r="E17" s="46" t="s">
        <v>3087</v>
      </c>
      <c r="F17" s="46"/>
      <c r="G17" s="46"/>
      <c r="H17" s="46"/>
      <c r="I17" s="46"/>
      <c r="J17" s="46" t="s">
        <v>71</v>
      </c>
      <c r="K17" s="47">
        <v>300</v>
      </c>
      <c r="L17" s="47">
        <v>100</v>
      </c>
      <c r="M17" s="47">
        <v>400</v>
      </c>
      <c r="N17" s="46"/>
      <c r="O17" s="71" t="s">
        <v>68</v>
      </c>
      <c r="P17" s="64"/>
      <c r="Q17" s="46" t="s">
        <v>3013</v>
      </c>
      <c r="R17" s="46" t="s">
        <v>3016</v>
      </c>
      <c r="S17" s="49">
        <v>100</v>
      </c>
      <c r="T17" s="49">
        <v>500</v>
      </c>
      <c r="U17" s="67">
        <v>0.44</v>
      </c>
      <c r="V17" s="67">
        <v>0.5</v>
      </c>
      <c r="W17" s="51">
        <v>0.33333333333333331</v>
      </c>
      <c r="X17" s="52">
        <v>50</v>
      </c>
      <c r="Y17" s="52">
        <v>30</v>
      </c>
      <c r="Z17" s="52">
        <v>200</v>
      </c>
      <c r="AA17" s="52">
        <v>280</v>
      </c>
      <c r="AB17" s="53">
        <v>0.56000000000000005</v>
      </c>
      <c r="AC17" s="72">
        <v>220</v>
      </c>
      <c r="AD17" s="55">
        <v>0.44</v>
      </c>
      <c r="AE17" s="73">
        <v>3</v>
      </c>
      <c r="AF17" s="57" t="s">
        <v>95</v>
      </c>
      <c r="AG17" s="58">
        <v>300</v>
      </c>
      <c r="AH17" s="58">
        <v>100</v>
      </c>
      <c r="AI17" s="58">
        <v>400</v>
      </c>
      <c r="AJ17" s="49">
        <v>100</v>
      </c>
      <c r="AK17" s="49">
        <v>500</v>
      </c>
      <c r="AL17" s="52">
        <v>50</v>
      </c>
      <c r="AM17" s="52">
        <v>200</v>
      </c>
      <c r="AN17" s="52">
        <v>250</v>
      </c>
      <c r="AO17" s="59">
        <v>0.5</v>
      </c>
      <c r="AP17" s="60">
        <v>250</v>
      </c>
      <c r="AQ17" s="61">
        <v>0.5</v>
      </c>
      <c r="AR17" s="60" t="s">
        <v>78</v>
      </c>
      <c r="AS17" s="62">
        <v>480</v>
      </c>
      <c r="AT17" s="62">
        <v>160</v>
      </c>
      <c r="AU17" s="62">
        <v>640</v>
      </c>
      <c r="AV17" s="62">
        <v>800</v>
      </c>
      <c r="AW17" s="47" t="s">
        <v>74</v>
      </c>
      <c r="AX17" s="64">
        <v>45316</v>
      </c>
      <c r="AY17" s="64" t="s">
        <v>3088</v>
      </c>
      <c r="BA17" s="64"/>
      <c r="BB17" s="64"/>
      <c r="BC17" s="64"/>
      <c r="BD17" s="46"/>
      <c r="BE17" s="46" t="e">
        <v>#REF!</v>
      </c>
      <c r="BF17" s="46" t="s">
        <v>79</v>
      </c>
      <c r="BG17" s="65">
        <v>1</v>
      </c>
      <c r="BH17" s="66"/>
      <c r="BI17" s="63" t="s">
        <v>3089</v>
      </c>
    </row>
    <row r="18" spans="1:61" ht="51" x14ac:dyDescent="0.2">
      <c r="A18" s="45" t="s">
        <v>3090</v>
      </c>
      <c r="B18" s="46"/>
      <c r="C18" s="46" t="s">
        <v>3091</v>
      </c>
      <c r="D18" s="46" t="s">
        <v>3092</v>
      </c>
      <c r="E18" s="46" t="s">
        <v>3093</v>
      </c>
      <c r="F18" s="46" t="s">
        <v>2657</v>
      </c>
      <c r="G18" s="46" t="s">
        <v>68</v>
      </c>
      <c r="H18" s="46" t="s">
        <v>68</v>
      </c>
      <c r="I18" s="46" t="s">
        <v>68</v>
      </c>
      <c r="J18" s="46" t="s">
        <v>71</v>
      </c>
      <c r="K18" s="47">
        <v>600</v>
      </c>
      <c r="L18" s="47">
        <f>150+80+200</f>
        <v>430</v>
      </c>
      <c r="M18" s="47">
        <v>1030</v>
      </c>
      <c r="N18" s="46"/>
      <c r="O18" s="71" t="s">
        <v>68</v>
      </c>
      <c r="P18" s="64"/>
      <c r="Q18" s="46" t="s">
        <v>3013</v>
      </c>
      <c r="R18" s="46" t="s">
        <v>3016</v>
      </c>
      <c r="S18" s="49">
        <v>257.5</v>
      </c>
      <c r="T18" s="49">
        <v>1287.5</v>
      </c>
      <c r="U18" s="67">
        <v>0.34271844660194173</v>
      </c>
      <c r="V18" s="67">
        <v>0.36601941747572814</v>
      </c>
      <c r="W18" s="51">
        <v>0.71666666666666667</v>
      </c>
      <c r="X18" s="52">
        <v>128.75</v>
      </c>
      <c r="Y18" s="52">
        <v>30</v>
      </c>
      <c r="Z18" s="52">
        <v>687.5</v>
      </c>
      <c r="AA18" s="52">
        <v>846.25</v>
      </c>
      <c r="AB18" s="53">
        <v>0.65728155339805827</v>
      </c>
      <c r="AC18" s="72">
        <v>441.25</v>
      </c>
      <c r="AD18" s="55">
        <v>0.34271844660194173</v>
      </c>
      <c r="AE18" s="73">
        <v>4</v>
      </c>
      <c r="AF18" s="57" t="s">
        <v>95</v>
      </c>
      <c r="AG18" s="58">
        <v>600</v>
      </c>
      <c r="AH18" s="58">
        <v>430</v>
      </c>
      <c r="AI18" s="58">
        <v>1030</v>
      </c>
      <c r="AJ18" s="49">
        <v>257.5</v>
      </c>
      <c r="AK18" s="49">
        <v>1287.5</v>
      </c>
      <c r="AL18" s="52">
        <v>128.75</v>
      </c>
      <c r="AM18" s="52">
        <v>687.5</v>
      </c>
      <c r="AN18" s="52">
        <v>816.25</v>
      </c>
      <c r="AO18" s="59">
        <v>0.63398058252427181</v>
      </c>
      <c r="AP18" s="60">
        <v>471.25</v>
      </c>
      <c r="AQ18" s="61">
        <v>0.36601941747572814</v>
      </c>
      <c r="AR18" s="60" t="s">
        <v>78</v>
      </c>
      <c r="AS18" s="62">
        <v>1020</v>
      </c>
      <c r="AT18" s="62">
        <v>731</v>
      </c>
      <c r="AU18" s="62">
        <v>1751</v>
      </c>
      <c r="AV18" s="62">
        <v>2188.75</v>
      </c>
      <c r="AW18" s="47" t="s">
        <v>74</v>
      </c>
      <c r="AX18" s="64">
        <v>45194</v>
      </c>
      <c r="AY18" s="64" t="s">
        <v>3094</v>
      </c>
      <c r="BA18" s="64"/>
      <c r="BB18" s="64"/>
      <c r="BC18" s="64"/>
      <c r="BD18" s="70" t="s">
        <v>3095</v>
      </c>
      <c r="BE18" s="46" t="e">
        <v>#REF!</v>
      </c>
      <c r="BF18" s="46" t="s">
        <v>75</v>
      </c>
      <c r="BG18" s="65">
        <v>6</v>
      </c>
      <c r="BH18" s="66"/>
      <c r="BI18" s="63" t="s">
        <v>3096</v>
      </c>
    </row>
    <row r="19" spans="1:61" ht="51" x14ac:dyDescent="0.2">
      <c r="A19" s="45" t="s">
        <v>3097</v>
      </c>
      <c r="B19" s="46"/>
      <c r="C19" s="46" t="s">
        <v>3091</v>
      </c>
      <c r="D19" s="46" t="s">
        <v>3092</v>
      </c>
      <c r="E19" s="46" t="s">
        <v>3093</v>
      </c>
      <c r="F19" s="46" t="s">
        <v>337</v>
      </c>
      <c r="G19" s="46" t="s">
        <v>68</v>
      </c>
      <c r="H19" s="46" t="s">
        <v>68</v>
      </c>
      <c r="I19" s="46" t="s">
        <v>68</v>
      </c>
      <c r="J19" s="46" t="s">
        <v>71</v>
      </c>
      <c r="K19" s="47">
        <v>600</v>
      </c>
      <c r="L19" s="47">
        <f>150+80+400</f>
        <v>630</v>
      </c>
      <c r="M19" s="47">
        <v>1230</v>
      </c>
      <c r="N19" s="46"/>
      <c r="O19" s="71" t="s">
        <v>68</v>
      </c>
      <c r="P19" s="64"/>
      <c r="Q19" s="46" t="s">
        <v>3013</v>
      </c>
      <c r="R19" s="46" t="s">
        <v>3016</v>
      </c>
      <c r="S19" s="49">
        <v>307.5</v>
      </c>
      <c r="T19" s="49">
        <v>1537.5</v>
      </c>
      <c r="U19" s="28">
        <v>0.27073170731707319</v>
      </c>
      <c r="V19" s="28">
        <v>0.29024390243902437</v>
      </c>
      <c r="W19" s="74">
        <v>1.05</v>
      </c>
      <c r="X19" s="52">
        <v>153.75</v>
      </c>
      <c r="Y19" s="52">
        <v>30</v>
      </c>
      <c r="Z19" s="52">
        <v>937.5</v>
      </c>
      <c r="AA19" s="52">
        <v>1121.25</v>
      </c>
      <c r="AB19" s="53">
        <v>0.72926829268292681</v>
      </c>
      <c r="AC19" s="72">
        <v>416.25</v>
      </c>
      <c r="AD19" s="55">
        <v>0.27073170731707319</v>
      </c>
      <c r="AE19" s="73">
        <v>4</v>
      </c>
      <c r="AF19" s="57" t="s">
        <v>95</v>
      </c>
      <c r="AG19" s="58">
        <v>600</v>
      </c>
      <c r="AH19" s="58">
        <v>630</v>
      </c>
      <c r="AI19" s="58">
        <v>1230</v>
      </c>
      <c r="AJ19" s="49">
        <v>307.5</v>
      </c>
      <c r="AK19" s="49">
        <v>1537.5</v>
      </c>
      <c r="AL19" s="52">
        <v>153.75</v>
      </c>
      <c r="AM19" s="52">
        <v>937.5</v>
      </c>
      <c r="AN19" s="52">
        <v>1091.25</v>
      </c>
      <c r="AO19" s="59">
        <v>0.70975609756097557</v>
      </c>
      <c r="AP19" s="60">
        <v>446.25</v>
      </c>
      <c r="AQ19" s="61">
        <v>0.29024390243902437</v>
      </c>
      <c r="AR19" s="60" t="s">
        <v>78</v>
      </c>
      <c r="AS19" s="62">
        <v>1020</v>
      </c>
      <c r="AT19" s="62">
        <v>1071</v>
      </c>
      <c r="AU19" s="62">
        <v>2091</v>
      </c>
      <c r="AV19" s="62">
        <v>2613.75</v>
      </c>
      <c r="AW19" s="47" t="s">
        <v>74</v>
      </c>
      <c r="AX19" s="64">
        <v>45278</v>
      </c>
      <c r="AY19" s="64" t="s">
        <v>3098</v>
      </c>
      <c r="BA19" s="64"/>
      <c r="BB19" s="64"/>
      <c r="BC19" s="64"/>
      <c r="BD19" s="70" t="s">
        <v>3095</v>
      </c>
      <c r="BE19" s="46" t="e">
        <v>#REF!</v>
      </c>
      <c r="BF19" s="46" t="s">
        <v>75</v>
      </c>
      <c r="BG19" s="65">
        <v>6</v>
      </c>
      <c r="BH19" s="66"/>
      <c r="BI19" s="63" t="s">
        <v>3099</v>
      </c>
    </row>
    <row r="20" spans="1:61" ht="51" x14ac:dyDescent="0.2">
      <c r="A20" s="45" t="s">
        <v>3100</v>
      </c>
      <c r="B20" s="46"/>
      <c r="C20" s="46" t="s">
        <v>3091</v>
      </c>
      <c r="D20" s="46" t="s">
        <v>3092</v>
      </c>
      <c r="E20" s="46" t="s">
        <v>3093</v>
      </c>
      <c r="F20" s="46" t="s">
        <v>135</v>
      </c>
      <c r="G20" s="46" t="s">
        <v>68</v>
      </c>
      <c r="H20" s="46" t="s">
        <v>68</v>
      </c>
      <c r="I20" s="46" t="s">
        <v>68</v>
      </c>
      <c r="J20" s="46" t="s">
        <v>71</v>
      </c>
      <c r="K20" s="47">
        <v>600</v>
      </c>
      <c r="L20" s="47">
        <f>150+80+600</f>
        <v>830</v>
      </c>
      <c r="M20" s="47">
        <v>1430</v>
      </c>
      <c r="N20" s="46"/>
      <c r="O20" s="71" t="s">
        <v>68</v>
      </c>
      <c r="P20" s="64"/>
      <c r="Q20" s="46" t="s">
        <v>3013</v>
      </c>
      <c r="R20" s="46" t="s">
        <v>3016</v>
      </c>
      <c r="S20" s="49">
        <v>357.5</v>
      </c>
      <c r="T20" s="49">
        <v>1787.5</v>
      </c>
      <c r="U20" s="28">
        <v>0.21888111888111889</v>
      </c>
      <c r="V20" s="28">
        <v>0.23566433566433567</v>
      </c>
      <c r="W20" s="74">
        <v>1.3833333333333333</v>
      </c>
      <c r="X20" s="52">
        <v>178.75</v>
      </c>
      <c r="Y20" s="52">
        <v>30</v>
      </c>
      <c r="Z20" s="52">
        <v>1187.5</v>
      </c>
      <c r="AA20" s="52">
        <v>1396.25</v>
      </c>
      <c r="AB20" s="53">
        <v>0.78111888111888117</v>
      </c>
      <c r="AC20" s="72">
        <v>391.25</v>
      </c>
      <c r="AD20" s="55">
        <v>0.21888111888111889</v>
      </c>
      <c r="AE20" s="73">
        <v>4</v>
      </c>
      <c r="AF20" s="57" t="s">
        <v>95</v>
      </c>
      <c r="AG20" s="58">
        <v>600</v>
      </c>
      <c r="AH20" s="58">
        <v>830</v>
      </c>
      <c r="AI20" s="58">
        <v>1430</v>
      </c>
      <c r="AJ20" s="49">
        <v>357.5</v>
      </c>
      <c r="AK20" s="49">
        <v>1787.5</v>
      </c>
      <c r="AL20" s="52">
        <v>178.75</v>
      </c>
      <c r="AM20" s="52">
        <v>1187.5</v>
      </c>
      <c r="AN20" s="52">
        <v>1366.25</v>
      </c>
      <c r="AO20" s="59">
        <v>0.76433566433566436</v>
      </c>
      <c r="AP20" s="60">
        <v>421.25</v>
      </c>
      <c r="AQ20" s="61">
        <v>0.23566433566433567</v>
      </c>
      <c r="AR20" s="60" t="s">
        <v>78</v>
      </c>
      <c r="AS20" s="62">
        <v>1020</v>
      </c>
      <c r="AT20" s="62">
        <v>1411</v>
      </c>
      <c r="AU20" s="62">
        <v>2431</v>
      </c>
      <c r="AV20" s="62">
        <v>3038.75</v>
      </c>
      <c r="AW20" s="47" t="s">
        <v>74</v>
      </c>
      <c r="AX20" s="64">
        <v>45278</v>
      </c>
      <c r="AY20" s="64" t="s">
        <v>3101</v>
      </c>
      <c r="BA20" s="64"/>
      <c r="BB20" s="64"/>
      <c r="BC20" s="64"/>
      <c r="BD20" s="70" t="s">
        <v>3095</v>
      </c>
      <c r="BE20" s="46" t="e">
        <v>#REF!</v>
      </c>
      <c r="BF20" s="46" t="s">
        <v>75</v>
      </c>
      <c r="BG20" s="65">
        <v>6</v>
      </c>
      <c r="BH20" s="66"/>
      <c r="BI20" s="63" t="s">
        <v>3102</v>
      </c>
    </row>
    <row r="21" spans="1:61" ht="25.5" x14ac:dyDescent="0.2">
      <c r="A21" s="45" t="s">
        <v>3103</v>
      </c>
      <c r="B21" s="46"/>
      <c r="C21" s="46" t="s">
        <v>3104</v>
      </c>
      <c r="D21" s="46" t="s">
        <v>3092</v>
      </c>
      <c r="E21" s="46" t="s">
        <v>68</v>
      </c>
      <c r="F21" s="46" t="s">
        <v>68</v>
      </c>
      <c r="G21" s="46" t="s">
        <v>68</v>
      </c>
      <c r="H21" s="46" t="s">
        <v>68</v>
      </c>
      <c r="I21" s="46" t="s">
        <v>68</v>
      </c>
      <c r="J21" s="46" t="s">
        <v>71</v>
      </c>
      <c r="K21" s="47">
        <v>150</v>
      </c>
      <c r="L21" s="47">
        <f>60+80</f>
        <v>140</v>
      </c>
      <c r="M21" s="47">
        <v>290</v>
      </c>
      <c r="N21" s="46"/>
      <c r="O21" s="71" t="s">
        <v>68</v>
      </c>
      <c r="P21" s="64"/>
      <c r="Q21" s="46" t="s">
        <v>3013</v>
      </c>
      <c r="R21" s="46" t="s">
        <v>3016</v>
      </c>
      <c r="S21" s="49">
        <v>72.5</v>
      </c>
      <c r="T21" s="49">
        <v>362.5</v>
      </c>
      <c r="U21" s="28">
        <v>0.23103448275862068</v>
      </c>
      <c r="V21" s="50">
        <v>0.17906976744186046</v>
      </c>
      <c r="W21" s="51">
        <v>0.93333333333333335</v>
      </c>
      <c r="X21" s="52">
        <v>36.25</v>
      </c>
      <c r="Y21" s="52">
        <v>30</v>
      </c>
      <c r="Z21" s="52">
        <v>212.5</v>
      </c>
      <c r="AA21" s="52">
        <v>278.75</v>
      </c>
      <c r="AB21" s="53">
        <v>0.76896551724137929</v>
      </c>
      <c r="AC21" s="68">
        <v>83.75</v>
      </c>
      <c r="AD21" s="55">
        <v>0.23103448275862068</v>
      </c>
      <c r="AE21" s="56">
        <v>2</v>
      </c>
      <c r="AF21" s="57" t="s">
        <v>72</v>
      </c>
      <c r="AG21" s="58">
        <v>75</v>
      </c>
      <c r="AH21" s="58">
        <v>140</v>
      </c>
      <c r="AI21" s="58">
        <v>215</v>
      </c>
      <c r="AJ21" s="49">
        <v>53.75</v>
      </c>
      <c r="AK21" s="49">
        <v>268.75</v>
      </c>
      <c r="AL21" s="52">
        <v>26.875</v>
      </c>
      <c r="AM21" s="52">
        <v>193.75</v>
      </c>
      <c r="AN21" s="52">
        <v>220.625</v>
      </c>
      <c r="AO21" s="59">
        <v>0.82093023255813957</v>
      </c>
      <c r="AP21" s="60">
        <v>48.125</v>
      </c>
      <c r="AQ21" s="61">
        <v>0.17906976744186046</v>
      </c>
      <c r="AR21" s="60" t="s">
        <v>73</v>
      </c>
      <c r="AS21" s="62">
        <v>225</v>
      </c>
      <c r="AT21" s="62">
        <v>210</v>
      </c>
      <c r="AU21" s="62">
        <v>435</v>
      </c>
      <c r="AV21" s="62">
        <v>543.75</v>
      </c>
      <c r="AW21" s="47" t="s">
        <v>74</v>
      </c>
      <c r="AX21" s="64">
        <v>45194</v>
      </c>
      <c r="AY21" s="64" t="s">
        <v>3105</v>
      </c>
      <c r="BA21" s="64"/>
      <c r="BB21" s="64"/>
      <c r="BC21" s="64"/>
      <c r="BD21" s="70" t="s">
        <v>3106</v>
      </c>
      <c r="BE21" s="46" t="e">
        <v>#REF!</v>
      </c>
      <c r="BF21" s="46" t="s">
        <v>79</v>
      </c>
      <c r="BG21" s="65">
        <v>0.75</v>
      </c>
      <c r="BH21" s="66"/>
      <c r="BI21" s="63" t="s">
        <v>3107</v>
      </c>
    </row>
    <row r="22" spans="1:61" ht="51" x14ac:dyDescent="0.2">
      <c r="A22" s="45" t="s">
        <v>3108</v>
      </c>
      <c r="B22" s="46"/>
      <c r="C22" s="46" t="s">
        <v>3109</v>
      </c>
      <c r="D22" s="46" t="s">
        <v>2916</v>
      </c>
      <c r="E22" s="46" t="s">
        <v>3027</v>
      </c>
      <c r="F22" s="46" t="s">
        <v>3110</v>
      </c>
      <c r="G22" s="46"/>
      <c r="H22" s="46"/>
      <c r="I22" s="46" t="s">
        <v>445</v>
      </c>
      <c r="J22" s="46" t="s">
        <v>71</v>
      </c>
      <c r="K22" s="47">
        <v>600</v>
      </c>
      <c r="L22" s="47">
        <f>1400+160</f>
        <v>1560</v>
      </c>
      <c r="M22" s="47">
        <v>2160</v>
      </c>
      <c r="N22" s="46"/>
      <c r="O22" s="71" t="s">
        <v>68</v>
      </c>
      <c r="P22" s="64"/>
      <c r="Q22" s="46" t="s">
        <v>3013</v>
      </c>
      <c r="R22" s="46" t="s">
        <v>3016</v>
      </c>
      <c r="S22" s="49">
        <v>540</v>
      </c>
      <c r="T22" s="49">
        <v>2700</v>
      </c>
      <c r="U22" s="50">
        <v>0.1111111111111111</v>
      </c>
      <c r="V22" s="50">
        <v>0.12222222222222222</v>
      </c>
      <c r="W22" s="77">
        <v>2.6</v>
      </c>
      <c r="X22" s="52">
        <v>270</v>
      </c>
      <c r="Y22" s="52">
        <v>30</v>
      </c>
      <c r="Z22" s="52">
        <v>2100</v>
      </c>
      <c r="AA22" s="52">
        <v>2400</v>
      </c>
      <c r="AB22" s="53">
        <v>0.88888888888888884</v>
      </c>
      <c r="AC22" s="72">
        <v>300</v>
      </c>
      <c r="AD22" s="55">
        <v>0.1111111111111111</v>
      </c>
      <c r="AE22" s="73">
        <v>4</v>
      </c>
      <c r="AF22" s="57" t="s">
        <v>95</v>
      </c>
      <c r="AG22" s="58">
        <v>600</v>
      </c>
      <c r="AH22" s="58">
        <v>1560</v>
      </c>
      <c r="AI22" s="58">
        <v>2160</v>
      </c>
      <c r="AJ22" s="49">
        <v>540</v>
      </c>
      <c r="AK22" s="49">
        <v>2700</v>
      </c>
      <c r="AL22" s="52">
        <v>270</v>
      </c>
      <c r="AM22" s="52">
        <v>2100</v>
      </c>
      <c r="AN22" s="52">
        <v>2370</v>
      </c>
      <c r="AO22" s="59">
        <v>0.87777777777777777</v>
      </c>
      <c r="AP22" s="60">
        <v>330</v>
      </c>
      <c r="AQ22" s="61">
        <v>0.12222222222222222</v>
      </c>
      <c r="AR22" s="60" t="s">
        <v>73</v>
      </c>
      <c r="AS22" s="62">
        <v>1020</v>
      </c>
      <c r="AT22" s="62">
        <v>2652</v>
      </c>
      <c r="AU22" s="62">
        <v>3672</v>
      </c>
      <c r="AV22" s="62">
        <v>4590</v>
      </c>
      <c r="AW22" s="47" t="s">
        <v>74</v>
      </c>
      <c r="AX22" s="64">
        <v>45278</v>
      </c>
      <c r="AY22" s="64" t="s">
        <v>3111</v>
      </c>
      <c r="BA22" s="64"/>
      <c r="BB22" s="64"/>
      <c r="BC22" s="64"/>
      <c r="BD22" s="70" t="s">
        <v>3112</v>
      </c>
      <c r="BE22" s="46" t="e">
        <v>#REF!</v>
      </c>
      <c r="BF22" s="46" t="s">
        <v>75</v>
      </c>
      <c r="BG22" s="65">
        <v>8</v>
      </c>
      <c r="BH22" s="66"/>
      <c r="BI22" s="63" t="s">
        <v>3113</v>
      </c>
    </row>
    <row r="23" spans="1:61" ht="63.75" x14ac:dyDescent="0.2">
      <c r="A23" s="45" t="s">
        <v>3114</v>
      </c>
      <c r="B23" s="46"/>
      <c r="C23" s="46" t="s">
        <v>3109</v>
      </c>
      <c r="D23" s="46" t="s">
        <v>3115</v>
      </c>
      <c r="E23" s="46" t="s">
        <v>3027</v>
      </c>
      <c r="F23" s="46" t="s">
        <v>3116</v>
      </c>
      <c r="G23" s="46" t="s">
        <v>2657</v>
      </c>
      <c r="H23" s="46"/>
      <c r="I23" s="46" t="s">
        <v>454</v>
      </c>
      <c r="J23" s="46" t="s">
        <v>71</v>
      </c>
      <c r="K23" s="47">
        <v>600</v>
      </c>
      <c r="L23" s="47">
        <f>600+160+200</f>
        <v>960</v>
      </c>
      <c r="M23" s="47">
        <v>1560</v>
      </c>
      <c r="N23" s="46"/>
      <c r="O23" s="71" t="s">
        <v>68</v>
      </c>
      <c r="P23" s="64"/>
      <c r="Q23" s="46" t="s">
        <v>3013</v>
      </c>
      <c r="R23" s="46" t="s">
        <v>3016</v>
      </c>
      <c r="S23" s="49">
        <v>390</v>
      </c>
      <c r="T23" s="49">
        <v>1950</v>
      </c>
      <c r="U23" s="50">
        <v>0.19230769230769232</v>
      </c>
      <c r="V23" s="28">
        <v>0.2076923076923077</v>
      </c>
      <c r="W23" s="77">
        <v>1.6</v>
      </c>
      <c r="X23" s="52">
        <v>195</v>
      </c>
      <c r="Y23" s="52">
        <v>30</v>
      </c>
      <c r="Z23" s="52">
        <v>1350</v>
      </c>
      <c r="AA23" s="52">
        <v>1575</v>
      </c>
      <c r="AB23" s="53">
        <v>0.80769230769230771</v>
      </c>
      <c r="AC23" s="72">
        <v>375</v>
      </c>
      <c r="AD23" s="55">
        <v>0.19230769230769232</v>
      </c>
      <c r="AE23" s="73">
        <v>4</v>
      </c>
      <c r="AF23" s="57" t="s">
        <v>95</v>
      </c>
      <c r="AG23" s="58">
        <v>600</v>
      </c>
      <c r="AH23" s="58">
        <v>960</v>
      </c>
      <c r="AI23" s="58">
        <v>1560</v>
      </c>
      <c r="AJ23" s="49">
        <v>390</v>
      </c>
      <c r="AK23" s="49">
        <v>1950</v>
      </c>
      <c r="AL23" s="52">
        <v>195</v>
      </c>
      <c r="AM23" s="52">
        <v>1350</v>
      </c>
      <c r="AN23" s="52">
        <v>1545</v>
      </c>
      <c r="AO23" s="59">
        <v>0.79230769230769227</v>
      </c>
      <c r="AP23" s="60">
        <v>405</v>
      </c>
      <c r="AQ23" s="61">
        <v>0.2076923076923077</v>
      </c>
      <c r="AR23" s="60" t="s">
        <v>78</v>
      </c>
      <c r="AS23" s="62">
        <v>1020</v>
      </c>
      <c r="AT23" s="62">
        <v>1632</v>
      </c>
      <c r="AU23" s="62">
        <v>2652</v>
      </c>
      <c r="AV23" s="62">
        <v>3315</v>
      </c>
      <c r="AW23" s="47" t="s">
        <v>74</v>
      </c>
      <c r="AX23" s="64">
        <v>45278</v>
      </c>
      <c r="AY23" s="64" t="s">
        <v>3117</v>
      </c>
      <c r="BA23" s="64"/>
      <c r="BB23" s="64"/>
      <c r="BC23" s="64"/>
      <c r="BD23" s="70" t="s">
        <v>3118</v>
      </c>
      <c r="BE23" s="46" t="e">
        <v>#REF!</v>
      </c>
      <c r="BF23" s="46" t="s">
        <v>75</v>
      </c>
      <c r="BG23" s="65">
        <v>6</v>
      </c>
      <c r="BH23" s="66"/>
      <c r="BI23" s="63" t="s">
        <v>3119</v>
      </c>
    </row>
    <row r="24" spans="1:61" ht="63.75" x14ac:dyDescent="0.2">
      <c r="A24" s="45" t="s">
        <v>3120</v>
      </c>
      <c r="B24" s="46"/>
      <c r="C24" s="46" t="s">
        <v>3109</v>
      </c>
      <c r="D24" s="46" t="s">
        <v>3115</v>
      </c>
      <c r="E24" s="46" t="s">
        <v>3027</v>
      </c>
      <c r="F24" s="46" t="s">
        <v>3116</v>
      </c>
      <c r="G24" s="46" t="s">
        <v>2657</v>
      </c>
      <c r="H24" s="46"/>
      <c r="I24" s="46" t="s">
        <v>445</v>
      </c>
      <c r="J24" s="46" t="s">
        <v>71</v>
      </c>
      <c r="K24" s="47">
        <v>600</v>
      </c>
      <c r="L24" s="47">
        <f>1100+160+200</f>
        <v>1460</v>
      </c>
      <c r="M24" s="47">
        <v>2060</v>
      </c>
      <c r="N24" s="46"/>
      <c r="O24" s="71" t="s">
        <v>68</v>
      </c>
      <c r="P24" s="64"/>
      <c r="Q24" s="46" t="s">
        <v>3013</v>
      </c>
      <c r="R24" s="46" t="s">
        <v>3016</v>
      </c>
      <c r="S24" s="49">
        <v>515</v>
      </c>
      <c r="T24" s="49">
        <v>2575</v>
      </c>
      <c r="U24" s="50">
        <v>0.12135922330097088</v>
      </c>
      <c r="V24" s="50">
        <v>0.13300970873786408</v>
      </c>
      <c r="W24" s="77">
        <v>2.4333333333333331</v>
      </c>
      <c r="X24" s="52">
        <v>257.5</v>
      </c>
      <c r="Y24" s="52">
        <v>30</v>
      </c>
      <c r="Z24" s="52">
        <v>1975</v>
      </c>
      <c r="AA24" s="52">
        <v>2262.5</v>
      </c>
      <c r="AB24" s="53">
        <v>0.87864077669902918</v>
      </c>
      <c r="AC24" s="72">
        <v>312.5</v>
      </c>
      <c r="AD24" s="55">
        <v>0.12135922330097088</v>
      </c>
      <c r="AE24" s="73">
        <v>4</v>
      </c>
      <c r="AF24" s="57" t="s">
        <v>95</v>
      </c>
      <c r="AG24" s="58">
        <v>600</v>
      </c>
      <c r="AH24" s="58">
        <v>1460</v>
      </c>
      <c r="AI24" s="58">
        <v>2060</v>
      </c>
      <c r="AJ24" s="49">
        <v>515</v>
      </c>
      <c r="AK24" s="49">
        <v>2575</v>
      </c>
      <c r="AL24" s="52">
        <v>257.5</v>
      </c>
      <c r="AM24" s="52">
        <v>1975</v>
      </c>
      <c r="AN24" s="52">
        <v>2232.5</v>
      </c>
      <c r="AO24" s="59">
        <v>0.86699029126213589</v>
      </c>
      <c r="AP24" s="60">
        <v>342.5</v>
      </c>
      <c r="AQ24" s="61">
        <v>0.13300970873786408</v>
      </c>
      <c r="AR24" s="60" t="s">
        <v>73</v>
      </c>
      <c r="AS24" s="62">
        <v>1020</v>
      </c>
      <c r="AT24" s="62">
        <v>2482</v>
      </c>
      <c r="AU24" s="62">
        <v>3502</v>
      </c>
      <c r="AV24" s="62">
        <v>4377.5</v>
      </c>
      <c r="AW24" s="47" t="s">
        <v>74</v>
      </c>
      <c r="AX24" s="64">
        <v>45278</v>
      </c>
      <c r="AY24" s="64" t="s">
        <v>3121</v>
      </c>
      <c r="BA24" s="64"/>
      <c r="BB24" s="64"/>
      <c r="BC24" s="64"/>
      <c r="BD24" s="70" t="s">
        <v>3122</v>
      </c>
      <c r="BE24" s="46" t="e">
        <v>#REF!</v>
      </c>
      <c r="BF24" s="46" t="s">
        <v>75</v>
      </c>
      <c r="BG24" s="65">
        <v>6</v>
      </c>
      <c r="BH24" s="66"/>
      <c r="BI24" s="63" t="s">
        <v>3123</v>
      </c>
    </row>
    <row r="25" spans="1:61" ht="63.75" x14ac:dyDescent="0.2">
      <c r="A25" s="45" t="s">
        <v>3124</v>
      </c>
      <c r="B25" s="46"/>
      <c r="C25" s="46" t="s">
        <v>3109</v>
      </c>
      <c r="D25" s="46" t="s">
        <v>3115</v>
      </c>
      <c r="E25" s="46" t="s">
        <v>3027</v>
      </c>
      <c r="F25" s="46" t="s">
        <v>3125</v>
      </c>
      <c r="G25" s="46" t="s">
        <v>2657</v>
      </c>
      <c r="H25" s="46"/>
      <c r="I25" s="46" t="s">
        <v>999</v>
      </c>
      <c r="J25" s="46" t="s">
        <v>71</v>
      </c>
      <c r="K25" s="47">
        <v>700</v>
      </c>
      <c r="L25" s="47">
        <f>2300+250</f>
        <v>2550</v>
      </c>
      <c r="M25" s="47">
        <v>3250</v>
      </c>
      <c r="N25" s="46"/>
      <c r="O25" s="71" t="s">
        <v>68</v>
      </c>
      <c r="P25" s="64"/>
      <c r="Q25" s="46" t="s">
        <v>3013</v>
      </c>
      <c r="R25" s="46" t="s">
        <v>3016</v>
      </c>
      <c r="S25" s="49">
        <v>812.5</v>
      </c>
      <c r="T25" s="49">
        <v>4062.5</v>
      </c>
      <c r="U25" s="50">
        <v>6.4923076923076917E-2</v>
      </c>
      <c r="V25" s="50">
        <v>7.2307692307692309E-2</v>
      </c>
      <c r="W25" s="77">
        <v>3.6428571428571428</v>
      </c>
      <c r="X25" s="52">
        <v>406.25</v>
      </c>
      <c r="Y25" s="52">
        <v>30</v>
      </c>
      <c r="Z25" s="52">
        <v>3362.5</v>
      </c>
      <c r="AA25" s="52">
        <v>3798.75</v>
      </c>
      <c r="AB25" s="53">
        <v>0.93507692307692303</v>
      </c>
      <c r="AC25" s="72">
        <v>263.75</v>
      </c>
      <c r="AD25" s="55">
        <v>6.4923076923076917E-2</v>
      </c>
      <c r="AE25" s="73">
        <v>4</v>
      </c>
      <c r="AF25" s="57" t="s">
        <v>95</v>
      </c>
      <c r="AG25" s="58">
        <v>700</v>
      </c>
      <c r="AH25" s="58">
        <v>2550</v>
      </c>
      <c r="AI25" s="58">
        <v>3250</v>
      </c>
      <c r="AJ25" s="49">
        <v>812.5</v>
      </c>
      <c r="AK25" s="49">
        <v>4062.5</v>
      </c>
      <c r="AL25" s="52">
        <v>406.25</v>
      </c>
      <c r="AM25" s="52">
        <v>3362.5</v>
      </c>
      <c r="AN25" s="52">
        <v>3768.75</v>
      </c>
      <c r="AO25" s="59">
        <v>0.9276923076923077</v>
      </c>
      <c r="AP25" s="60">
        <v>293.75</v>
      </c>
      <c r="AQ25" s="61">
        <v>7.2307692307692309E-2</v>
      </c>
      <c r="AR25" s="60" t="s">
        <v>73</v>
      </c>
      <c r="AS25" s="62">
        <v>1190</v>
      </c>
      <c r="AT25" s="62">
        <v>4335</v>
      </c>
      <c r="AU25" s="62">
        <v>5525</v>
      </c>
      <c r="AV25" s="62">
        <v>6906.25</v>
      </c>
      <c r="AW25" s="47" t="s">
        <v>74</v>
      </c>
      <c r="AX25" s="64">
        <v>45278</v>
      </c>
      <c r="AY25" s="64" t="s">
        <v>3126</v>
      </c>
      <c r="BA25" s="64"/>
      <c r="BB25" s="64"/>
      <c r="BC25" s="64"/>
      <c r="BD25" s="70" t="s">
        <v>3127</v>
      </c>
      <c r="BE25" s="46" t="e">
        <v>#REF!</v>
      </c>
      <c r="BF25" s="46" t="s">
        <v>75</v>
      </c>
      <c r="BG25" s="65">
        <v>6</v>
      </c>
      <c r="BH25" s="66"/>
      <c r="BI25" s="63" t="s">
        <v>3128</v>
      </c>
    </row>
    <row r="26" spans="1:61" ht="63.75" x14ac:dyDescent="0.2">
      <c r="A26" s="45" t="s">
        <v>3129</v>
      </c>
      <c r="B26" s="46"/>
      <c r="C26" s="46" t="s">
        <v>3130</v>
      </c>
      <c r="D26" s="46" t="s">
        <v>3115</v>
      </c>
      <c r="E26" s="46" t="s">
        <v>3027</v>
      </c>
      <c r="F26" s="46" t="s">
        <v>3116</v>
      </c>
      <c r="G26" s="46" t="s">
        <v>2657</v>
      </c>
      <c r="H26" s="46"/>
      <c r="I26" s="46" t="s">
        <v>454</v>
      </c>
      <c r="J26" s="46" t="s">
        <v>71</v>
      </c>
      <c r="K26" s="47">
        <v>600</v>
      </c>
      <c r="L26" s="47">
        <f>1500+160+200</f>
        <v>1860</v>
      </c>
      <c r="M26" s="47">
        <v>2460</v>
      </c>
      <c r="N26" s="46"/>
      <c r="O26" s="71" t="s">
        <v>68</v>
      </c>
      <c r="P26" s="64"/>
      <c r="Q26" s="46" t="s">
        <v>3013</v>
      </c>
      <c r="R26" s="46" t="s">
        <v>3016</v>
      </c>
      <c r="S26" s="49">
        <v>615</v>
      </c>
      <c r="T26" s="49">
        <v>3075</v>
      </c>
      <c r="U26" s="50">
        <v>8.5365853658536592E-2</v>
      </c>
      <c r="V26" s="50">
        <v>9.5121951219512196E-2</v>
      </c>
      <c r="W26" s="77">
        <v>3.1</v>
      </c>
      <c r="X26" s="52">
        <v>307.5</v>
      </c>
      <c r="Y26" s="52">
        <v>30</v>
      </c>
      <c r="Z26" s="52">
        <v>2475</v>
      </c>
      <c r="AA26" s="52">
        <v>2812.5</v>
      </c>
      <c r="AB26" s="53">
        <v>0.91463414634146345</v>
      </c>
      <c r="AC26" s="72">
        <v>262.5</v>
      </c>
      <c r="AD26" s="55">
        <v>8.5365853658536592E-2</v>
      </c>
      <c r="AE26" s="73">
        <v>4</v>
      </c>
      <c r="AF26" s="57" t="s">
        <v>95</v>
      </c>
      <c r="AG26" s="58">
        <v>600</v>
      </c>
      <c r="AH26" s="58">
        <v>1860</v>
      </c>
      <c r="AI26" s="58">
        <v>2460</v>
      </c>
      <c r="AJ26" s="49">
        <v>615</v>
      </c>
      <c r="AK26" s="49">
        <v>3075</v>
      </c>
      <c r="AL26" s="52">
        <v>307.5</v>
      </c>
      <c r="AM26" s="52">
        <v>2475</v>
      </c>
      <c r="AN26" s="52">
        <v>2782.5</v>
      </c>
      <c r="AO26" s="59">
        <v>0.90487804878048783</v>
      </c>
      <c r="AP26" s="60">
        <v>292.5</v>
      </c>
      <c r="AQ26" s="61">
        <v>9.5121951219512196E-2</v>
      </c>
      <c r="AR26" s="60" t="s">
        <v>73</v>
      </c>
      <c r="AS26" s="62">
        <v>1020</v>
      </c>
      <c r="AT26" s="62">
        <v>3162</v>
      </c>
      <c r="AU26" s="62">
        <v>4182</v>
      </c>
      <c r="AV26" s="62">
        <v>5227.5</v>
      </c>
      <c r="AW26" s="47" t="s">
        <v>74</v>
      </c>
      <c r="AX26" s="64">
        <v>45278</v>
      </c>
      <c r="AY26" s="64" t="s">
        <v>3131</v>
      </c>
      <c r="BA26" s="64"/>
      <c r="BB26" s="64"/>
      <c r="BC26" s="64"/>
      <c r="BD26" s="70" t="s">
        <v>3132</v>
      </c>
      <c r="BE26" s="46" t="e">
        <v>#REF!</v>
      </c>
      <c r="BF26" s="46" t="s">
        <v>75</v>
      </c>
      <c r="BG26" s="65">
        <v>6</v>
      </c>
      <c r="BH26" s="66"/>
      <c r="BI26" s="63" t="s">
        <v>3133</v>
      </c>
    </row>
    <row r="27" spans="1:61" ht="63.75" x14ac:dyDescent="0.2">
      <c r="A27" s="45" t="s">
        <v>3134</v>
      </c>
      <c r="B27" s="46"/>
      <c r="C27" s="46" t="s">
        <v>3130</v>
      </c>
      <c r="D27" s="46" t="s">
        <v>3115</v>
      </c>
      <c r="E27" s="46" t="s">
        <v>3045</v>
      </c>
      <c r="F27" s="46" t="s">
        <v>3116</v>
      </c>
      <c r="G27" s="46" t="s">
        <v>2657</v>
      </c>
      <c r="H27" s="46"/>
      <c r="I27" s="46" t="s">
        <v>445</v>
      </c>
      <c r="J27" s="46" t="s">
        <v>71</v>
      </c>
      <c r="K27" s="47">
        <v>700</v>
      </c>
      <c r="L27" s="47">
        <f>1700+160+200</f>
        <v>2060</v>
      </c>
      <c r="M27" s="47">
        <v>2760</v>
      </c>
      <c r="N27" s="46"/>
      <c r="O27" s="71" t="s">
        <v>68</v>
      </c>
      <c r="P27" s="64"/>
      <c r="Q27" s="46" t="s">
        <v>3013</v>
      </c>
      <c r="R27" s="46" t="s">
        <v>3016</v>
      </c>
      <c r="S27" s="49">
        <v>690</v>
      </c>
      <c r="T27" s="49">
        <v>3450</v>
      </c>
      <c r="U27" s="50">
        <v>9.420289855072464E-2</v>
      </c>
      <c r="V27" s="50">
        <v>0.10289855072463767</v>
      </c>
      <c r="W27" s="77">
        <v>2.9428571428571431</v>
      </c>
      <c r="X27" s="52">
        <v>345</v>
      </c>
      <c r="Y27" s="52">
        <v>30</v>
      </c>
      <c r="Z27" s="52">
        <v>2750</v>
      </c>
      <c r="AA27" s="52">
        <v>3125</v>
      </c>
      <c r="AB27" s="53">
        <v>0.90579710144927539</v>
      </c>
      <c r="AC27" s="72">
        <v>325</v>
      </c>
      <c r="AD27" s="55">
        <v>9.420289855072464E-2</v>
      </c>
      <c r="AE27" s="73">
        <v>4</v>
      </c>
      <c r="AF27" s="57" t="s">
        <v>95</v>
      </c>
      <c r="AG27" s="58">
        <v>700</v>
      </c>
      <c r="AH27" s="58">
        <v>2060</v>
      </c>
      <c r="AI27" s="58">
        <v>2760</v>
      </c>
      <c r="AJ27" s="49">
        <v>690</v>
      </c>
      <c r="AK27" s="49">
        <v>3450</v>
      </c>
      <c r="AL27" s="52">
        <v>345</v>
      </c>
      <c r="AM27" s="52">
        <v>2750</v>
      </c>
      <c r="AN27" s="52">
        <v>3095</v>
      </c>
      <c r="AO27" s="59">
        <v>0.89710144927536228</v>
      </c>
      <c r="AP27" s="60">
        <v>355</v>
      </c>
      <c r="AQ27" s="61">
        <v>0.10289855072463767</v>
      </c>
      <c r="AR27" s="60" t="s">
        <v>73</v>
      </c>
      <c r="AS27" s="62">
        <v>1190</v>
      </c>
      <c r="AT27" s="62">
        <v>3502</v>
      </c>
      <c r="AU27" s="62">
        <v>4692</v>
      </c>
      <c r="AV27" s="62">
        <v>5865</v>
      </c>
      <c r="AW27" s="47" t="s">
        <v>74</v>
      </c>
      <c r="AX27" s="64">
        <v>45278</v>
      </c>
      <c r="AY27" s="64" t="s">
        <v>3135</v>
      </c>
      <c r="BA27" s="64"/>
      <c r="BB27" s="64"/>
      <c r="BC27" s="64"/>
      <c r="BD27" s="70" t="s">
        <v>3136</v>
      </c>
      <c r="BE27" s="46" t="e">
        <v>#REF!</v>
      </c>
      <c r="BF27" s="46" t="s">
        <v>75</v>
      </c>
      <c r="BG27" s="65">
        <v>6</v>
      </c>
      <c r="BH27" s="66"/>
      <c r="BI27" s="63" t="s">
        <v>3137</v>
      </c>
    </row>
    <row r="28" spans="1:61" ht="63.75" x14ac:dyDescent="0.2">
      <c r="A28" s="45" t="s">
        <v>3138</v>
      </c>
      <c r="B28" s="46"/>
      <c r="C28" s="46" t="s">
        <v>3130</v>
      </c>
      <c r="D28" s="46" t="s">
        <v>3115</v>
      </c>
      <c r="E28" s="46" t="s">
        <v>3045</v>
      </c>
      <c r="F28" s="46" t="s">
        <v>3125</v>
      </c>
      <c r="G28" s="46" t="s">
        <v>2657</v>
      </c>
      <c r="H28" s="46"/>
      <c r="I28" s="46" t="s">
        <v>999</v>
      </c>
      <c r="J28" s="46" t="s">
        <v>71</v>
      </c>
      <c r="K28" s="47">
        <v>800</v>
      </c>
      <c r="L28" s="47">
        <f>2150+250</f>
        <v>2400</v>
      </c>
      <c r="M28" s="47">
        <v>3200</v>
      </c>
      <c r="N28" s="46"/>
      <c r="O28" s="71" t="s">
        <v>68</v>
      </c>
      <c r="P28" s="64"/>
      <c r="Q28" s="46" t="s">
        <v>3013</v>
      </c>
      <c r="R28" s="46" t="s">
        <v>3016</v>
      </c>
      <c r="S28" s="49">
        <v>800</v>
      </c>
      <c r="T28" s="49">
        <v>4000</v>
      </c>
      <c r="U28" s="50">
        <v>9.2499999999999999E-2</v>
      </c>
      <c r="V28" s="50">
        <v>0.1</v>
      </c>
      <c r="W28" s="77">
        <v>3</v>
      </c>
      <c r="X28" s="52">
        <v>400</v>
      </c>
      <c r="Y28" s="52">
        <v>30</v>
      </c>
      <c r="Z28" s="52">
        <v>3200</v>
      </c>
      <c r="AA28" s="52">
        <v>3630</v>
      </c>
      <c r="AB28" s="53">
        <v>0.90749999999999997</v>
      </c>
      <c r="AC28" s="72">
        <v>370</v>
      </c>
      <c r="AD28" s="55">
        <v>9.2499999999999999E-2</v>
      </c>
      <c r="AE28" s="73">
        <v>4</v>
      </c>
      <c r="AF28" s="57" t="s">
        <v>95</v>
      </c>
      <c r="AG28" s="58">
        <v>800</v>
      </c>
      <c r="AH28" s="58">
        <v>2400</v>
      </c>
      <c r="AI28" s="58">
        <v>3200</v>
      </c>
      <c r="AJ28" s="49">
        <v>800</v>
      </c>
      <c r="AK28" s="49">
        <v>4000</v>
      </c>
      <c r="AL28" s="52">
        <v>400</v>
      </c>
      <c r="AM28" s="52">
        <v>3200</v>
      </c>
      <c r="AN28" s="52">
        <v>3600</v>
      </c>
      <c r="AO28" s="59">
        <v>0.9</v>
      </c>
      <c r="AP28" s="60">
        <v>400</v>
      </c>
      <c r="AQ28" s="61">
        <v>0.1</v>
      </c>
      <c r="AR28" s="60" t="s">
        <v>73</v>
      </c>
      <c r="AS28" s="62">
        <v>1360</v>
      </c>
      <c r="AT28" s="62">
        <v>4080</v>
      </c>
      <c r="AU28" s="62">
        <v>5440</v>
      </c>
      <c r="AV28" s="62">
        <v>6800</v>
      </c>
      <c r="AW28" s="47" t="s">
        <v>74</v>
      </c>
      <c r="AX28" s="64">
        <v>45278</v>
      </c>
      <c r="AY28" s="64" t="s">
        <v>3139</v>
      </c>
      <c r="BA28" s="64"/>
      <c r="BB28" s="64"/>
      <c r="BC28" s="64"/>
      <c r="BD28" s="70" t="s">
        <v>3140</v>
      </c>
      <c r="BE28" s="46" t="e">
        <v>#REF!</v>
      </c>
      <c r="BF28" s="46" t="s">
        <v>75</v>
      </c>
      <c r="BG28" s="65">
        <v>6</v>
      </c>
      <c r="BH28" s="66"/>
      <c r="BI28" s="63" t="s">
        <v>3141</v>
      </c>
    </row>
    <row r="29" spans="1:61" ht="63.75" x14ac:dyDescent="0.2">
      <c r="A29" s="45" t="s">
        <v>3142</v>
      </c>
      <c r="B29" s="46"/>
      <c r="C29" s="46" t="s">
        <v>3130</v>
      </c>
      <c r="D29" s="46" t="s">
        <v>3115</v>
      </c>
      <c r="E29" s="46" t="s">
        <v>3051</v>
      </c>
      <c r="F29" s="46" t="s">
        <v>3116</v>
      </c>
      <c r="G29" s="46" t="s">
        <v>2657</v>
      </c>
      <c r="H29" s="46"/>
      <c r="I29" s="46" t="s">
        <v>999</v>
      </c>
      <c r="J29" s="46" t="s">
        <v>71</v>
      </c>
      <c r="K29" s="47">
        <v>800</v>
      </c>
      <c r="L29" s="47">
        <f>2200+160+200</f>
        <v>2560</v>
      </c>
      <c r="M29" s="47">
        <v>3360</v>
      </c>
      <c r="N29" s="46"/>
      <c r="O29" s="71" t="s">
        <v>68</v>
      </c>
      <c r="P29" s="64"/>
      <c r="Q29" s="46" t="s">
        <v>3013</v>
      </c>
      <c r="R29" s="46" t="s">
        <v>3016</v>
      </c>
      <c r="S29" s="49">
        <v>840</v>
      </c>
      <c r="T29" s="49">
        <v>4200</v>
      </c>
      <c r="U29" s="50">
        <v>8.3333333333333329E-2</v>
      </c>
      <c r="V29" s="50">
        <v>9.0476190476190474E-2</v>
      </c>
      <c r="W29" s="77">
        <v>3.2</v>
      </c>
      <c r="X29" s="52">
        <v>420</v>
      </c>
      <c r="Y29" s="52">
        <v>30</v>
      </c>
      <c r="Z29" s="52">
        <v>3400</v>
      </c>
      <c r="AA29" s="52">
        <v>3850</v>
      </c>
      <c r="AB29" s="53">
        <v>0.91666666666666663</v>
      </c>
      <c r="AC29" s="72">
        <v>350</v>
      </c>
      <c r="AD29" s="55">
        <v>8.3333333333333329E-2</v>
      </c>
      <c r="AE29" s="73">
        <v>4</v>
      </c>
      <c r="AF29" s="57" t="s">
        <v>95</v>
      </c>
      <c r="AG29" s="58">
        <v>800</v>
      </c>
      <c r="AH29" s="58">
        <v>2560</v>
      </c>
      <c r="AI29" s="58">
        <v>3360</v>
      </c>
      <c r="AJ29" s="49">
        <v>840</v>
      </c>
      <c r="AK29" s="49">
        <v>4200</v>
      </c>
      <c r="AL29" s="52">
        <v>420</v>
      </c>
      <c r="AM29" s="52">
        <v>3400</v>
      </c>
      <c r="AN29" s="52">
        <v>3820</v>
      </c>
      <c r="AO29" s="59">
        <v>0.90952380952380951</v>
      </c>
      <c r="AP29" s="60">
        <v>380</v>
      </c>
      <c r="AQ29" s="61">
        <v>9.0476190476190474E-2</v>
      </c>
      <c r="AR29" s="60" t="s">
        <v>73</v>
      </c>
      <c r="AS29" s="62">
        <v>1360</v>
      </c>
      <c r="AT29" s="62">
        <v>4352</v>
      </c>
      <c r="AU29" s="62">
        <v>5712</v>
      </c>
      <c r="AV29" s="62">
        <v>7140</v>
      </c>
      <c r="AW29" s="47" t="s">
        <v>74</v>
      </c>
      <c r="AX29" s="64">
        <v>45278</v>
      </c>
      <c r="AY29" s="64" t="s">
        <v>3143</v>
      </c>
      <c r="BA29" s="64"/>
      <c r="BB29" s="64"/>
      <c r="BC29" s="64"/>
      <c r="BD29" s="70" t="s">
        <v>3144</v>
      </c>
      <c r="BE29" s="46" t="e">
        <v>#REF!</v>
      </c>
      <c r="BF29" s="46" t="s">
        <v>75</v>
      </c>
      <c r="BG29" s="65">
        <v>6</v>
      </c>
      <c r="BH29" s="66"/>
      <c r="BI29" s="63" t="s">
        <v>3145</v>
      </c>
    </row>
    <row r="30" spans="1:61" ht="63.75" x14ac:dyDescent="0.2">
      <c r="A30" s="45" t="s">
        <v>3146</v>
      </c>
      <c r="B30" s="46"/>
      <c r="C30" s="46" t="s">
        <v>3109</v>
      </c>
      <c r="D30" s="46" t="s">
        <v>3115</v>
      </c>
      <c r="E30" s="46" t="s">
        <v>3027</v>
      </c>
      <c r="F30" s="46" t="s">
        <v>3116</v>
      </c>
      <c r="G30" s="46" t="s">
        <v>337</v>
      </c>
      <c r="H30" s="46"/>
      <c r="I30" s="46" t="s">
        <v>454</v>
      </c>
      <c r="J30" s="46" t="s">
        <v>71</v>
      </c>
      <c r="K30" s="47">
        <v>600</v>
      </c>
      <c r="L30" s="47">
        <f>600+160+400</f>
        <v>1160</v>
      </c>
      <c r="M30" s="47">
        <v>1760</v>
      </c>
      <c r="N30" s="46"/>
      <c r="O30" s="71" t="s">
        <v>68</v>
      </c>
      <c r="P30" s="64"/>
      <c r="Q30" s="46" t="s">
        <v>3013</v>
      </c>
      <c r="R30" s="46" t="s">
        <v>3016</v>
      </c>
      <c r="S30" s="49">
        <v>440</v>
      </c>
      <c r="T30" s="49">
        <v>2200</v>
      </c>
      <c r="U30" s="50">
        <v>0.15909090909090909</v>
      </c>
      <c r="V30" s="50">
        <v>0.17272727272727273</v>
      </c>
      <c r="W30" s="77">
        <v>1.9333333333333333</v>
      </c>
      <c r="X30" s="52">
        <v>220</v>
      </c>
      <c r="Y30" s="52">
        <v>30</v>
      </c>
      <c r="Z30" s="52">
        <v>1600</v>
      </c>
      <c r="AA30" s="52">
        <v>1850</v>
      </c>
      <c r="AB30" s="53">
        <v>0.84090909090909094</v>
      </c>
      <c r="AC30" s="72">
        <v>350</v>
      </c>
      <c r="AD30" s="55">
        <v>0.15909090909090909</v>
      </c>
      <c r="AE30" s="73">
        <v>4</v>
      </c>
      <c r="AF30" s="57" t="s">
        <v>95</v>
      </c>
      <c r="AG30" s="58">
        <v>600</v>
      </c>
      <c r="AH30" s="58">
        <v>1160</v>
      </c>
      <c r="AI30" s="58">
        <v>1760</v>
      </c>
      <c r="AJ30" s="49">
        <v>440</v>
      </c>
      <c r="AK30" s="49">
        <v>2200</v>
      </c>
      <c r="AL30" s="52">
        <v>220</v>
      </c>
      <c r="AM30" s="52">
        <v>1600</v>
      </c>
      <c r="AN30" s="52">
        <v>1820</v>
      </c>
      <c r="AO30" s="59">
        <v>0.82727272727272727</v>
      </c>
      <c r="AP30" s="60">
        <v>380</v>
      </c>
      <c r="AQ30" s="61">
        <v>0.17272727272727273</v>
      </c>
      <c r="AR30" s="60" t="s">
        <v>73</v>
      </c>
      <c r="AS30" s="62">
        <v>1020</v>
      </c>
      <c r="AT30" s="62">
        <v>1972</v>
      </c>
      <c r="AU30" s="62">
        <v>2992</v>
      </c>
      <c r="AV30" s="62">
        <v>3740</v>
      </c>
      <c r="AW30" s="47" t="s">
        <v>74</v>
      </c>
      <c r="AX30" s="64">
        <v>45278</v>
      </c>
      <c r="AY30" s="64" t="s">
        <v>3147</v>
      </c>
      <c r="BA30" s="64"/>
      <c r="BB30" s="64"/>
      <c r="BC30" s="64"/>
      <c r="BD30" s="70" t="s">
        <v>3118</v>
      </c>
      <c r="BE30" s="46" t="e">
        <v>#REF!</v>
      </c>
      <c r="BF30" s="46" t="s">
        <v>75</v>
      </c>
      <c r="BG30" s="65">
        <v>6</v>
      </c>
      <c r="BH30" s="66"/>
      <c r="BI30" s="63" t="s">
        <v>3148</v>
      </c>
    </row>
    <row r="31" spans="1:61" ht="63.75" x14ac:dyDescent="0.2">
      <c r="A31" s="45" t="s">
        <v>3149</v>
      </c>
      <c r="B31" s="46"/>
      <c r="C31" s="46" t="s">
        <v>3109</v>
      </c>
      <c r="D31" s="46" t="s">
        <v>3115</v>
      </c>
      <c r="E31" s="46" t="s">
        <v>3027</v>
      </c>
      <c r="F31" s="46" t="s">
        <v>3116</v>
      </c>
      <c r="G31" s="46" t="s">
        <v>337</v>
      </c>
      <c r="H31" s="46"/>
      <c r="I31" s="46" t="s">
        <v>445</v>
      </c>
      <c r="J31" s="46" t="s">
        <v>71</v>
      </c>
      <c r="K31" s="47">
        <v>600</v>
      </c>
      <c r="L31" s="47">
        <f>1100+160+400</f>
        <v>1660</v>
      </c>
      <c r="M31" s="47">
        <v>2260</v>
      </c>
      <c r="N31" s="46"/>
      <c r="O31" s="71" t="s">
        <v>68</v>
      </c>
      <c r="P31" s="64"/>
      <c r="Q31" s="46" t="s">
        <v>3013</v>
      </c>
      <c r="R31" s="46" t="s">
        <v>3016</v>
      </c>
      <c r="S31" s="49">
        <v>565</v>
      </c>
      <c r="T31" s="49">
        <v>2825</v>
      </c>
      <c r="U31" s="50">
        <v>0.10176991150442478</v>
      </c>
      <c r="V31" s="50">
        <v>0.11238938053097346</v>
      </c>
      <c r="W31" s="77">
        <v>2.7666666666666666</v>
      </c>
      <c r="X31" s="52">
        <v>282.5</v>
      </c>
      <c r="Y31" s="52">
        <v>30</v>
      </c>
      <c r="Z31" s="52">
        <v>2225</v>
      </c>
      <c r="AA31" s="52">
        <v>2537.5</v>
      </c>
      <c r="AB31" s="53">
        <v>0.89823008849557517</v>
      </c>
      <c r="AC31" s="72">
        <v>287.5</v>
      </c>
      <c r="AD31" s="55">
        <v>0.10176991150442478</v>
      </c>
      <c r="AE31" s="73">
        <v>4</v>
      </c>
      <c r="AF31" s="57" t="s">
        <v>95</v>
      </c>
      <c r="AG31" s="58">
        <v>600</v>
      </c>
      <c r="AH31" s="58">
        <v>1660</v>
      </c>
      <c r="AI31" s="58">
        <v>2260</v>
      </c>
      <c r="AJ31" s="49">
        <v>565</v>
      </c>
      <c r="AK31" s="49">
        <v>2825</v>
      </c>
      <c r="AL31" s="52">
        <v>282.5</v>
      </c>
      <c r="AM31" s="52">
        <v>2225</v>
      </c>
      <c r="AN31" s="52">
        <v>2507.5</v>
      </c>
      <c r="AO31" s="59">
        <v>0.88761061946902653</v>
      </c>
      <c r="AP31" s="60">
        <v>317.5</v>
      </c>
      <c r="AQ31" s="61">
        <v>0.11238938053097346</v>
      </c>
      <c r="AR31" s="60" t="s">
        <v>73</v>
      </c>
      <c r="AS31" s="62">
        <v>1020</v>
      </c>
      <c r="AT31" s="62">
        <v>2822</v>
      </c>
      <c r="AU31" s="62">
        <v>3842</v>
      </c>
      <c r="AV31" s="62">
        <v>4802.5</v>
      </c>
      <c r="AW31" s="47" t="s">
        <v>74</v>
      </c>
      <c r="AX31" s="64">
        <v>45278</v>
      </c>
      <c r="AY31" s="64" t="s">
        <v>3150</v>
      </c>
      <c r="BA31" s="64"/>
      <c r="BB31" s="64"/>
      <c r="BC31" s="64"/>
      <c r="BD31" s="70" t="s">
        <v>3122</v>
      </c>
      <c r="BE31" s="46" t="e">
        <v>#REF!</v>
      </c>
      <c r="BF31" s="46" t="s">
        <v>75</v>
      </c>
      <c r="BG31" s="65">
        <v>6</v>
      </c>
      <c r="BH31" s="66"/>
      <c r="BI31" s="63" t="s">
        <v>3151</v>
      </c>
    </row>
    <row r="32" spans="1:61" ht="63.75" x14ac:dyDescent="0.2">
      <c r="A32" s="45" t="s">
        <v>3152</v>
      </c>
      <c r="B32" s="46"/>
      <c r="C32" s="46" t="s">
        <v>3109</v>
      </c>
      <c r="D32" s="46" t="s">
        <v>3115</v>
      </c>
      <c r="E32" s="46" t="s">
        <v>3027</v>
      </c>
      <c r="F32" s="46" t="s">
        <v>3125</v>
      </c>
      <c r="G32" s="46" t="s">
        <v>337</v>
      </c>
      <c r="H32" s="46"/>
      <c r="I32" s="46" t="s">
        <v>999</v>
      </c>
      <c r="J32" s="46" t="s">
        <v>71</v>
      </c>
      <c r="K32" s="47">
        <v>700</v>
      </c>
      <c r="L32" s="47">
        <f>2300+500</f>
        <v>2800</v>
      </c>
      <c r="M32" s="47">
        <v>3500</v>
      </c>
      <c r="N32" s="46"/>
      <c r="O32" s="71" t="s">
        <v>68</v>
      </c>
      <c r="P32" s="64"/>
      <c r="Q32" s="46" t="s">
        <v>3013</v>
      </c>
      <c r="R32" s="46" t="s">
        <v>3016</v>
      </c>
      <c r="S32" s="49">
        <v>875</v>
      </c>
      <c r="T32" s="49">
        <v>4375</v>
      </c>
      <c r="U32" s="50">
        <v>5.3142857142857144E-2</v>
      </c>
      <c r="V32" s="50">
        <v>0.06</v>
      </c>
      <c r="W32" s="77">
        <v>4</v>
      </c>
      <c r="X32" s="52">
        <v>437.5</v>
      </c>
      <c r="Y32" s="52">
        <v>30</v>
      </c>
      <c r="Z32" s="52">
        <v>3675</v>
      </c>
      <c r="AA32" s="52">
        <v>4142.5</v>
      </c>
      <c r="AB32" s="53">
        <v>0.94685714285714284</v>
      </c>
      <c r="AC32" s="72">
        <v>232.5</v>
      </c>
      <c r="AD32" s="55">
        <v>5.3142857142857144E-2</v>
      </c>
      <c r="AE32" s="73">
        <v>4</v>
      </c>
      <c r="AF32" s="57" t="s">
        <v>95</v>
      </c>
      <c r="AG32" s="58">
        <v>700</v>
      </c>
      <c r="AH32" s="58">
        <v>2800</v>
      </c>
      <c r="AI32" s="58">
        <v>3500</v>
      </c>
      <c r="AJ32" s="49">
        <v>875</v>
      </c>
      <c r="AK32" s="49">
        <v>4375</v>
      </c>
      <c r="AL32" s="52">
        <v>437.5</v>
      </c>
      <c r="AM32" s="52">
        <v>3675</v>
      </c>
      <c r="AN32" s="52">
        <v>4112.5</v>
      </c>
      <c r="AO32" s="59">
        <v>0.94</v>
      </c>
      <c r="AP32" s="60">
        <v>262.5</v>
      </c>
      <c r="AQ32" s="61">
        <v>0.06</v>
      </c>
      <c r="AR32" s="60" t="s">
        <v>73</v>
      </c>
      <c r="AS32" s="62">
        <v>1190</v>
      </c>
      <c r="AT32" s="62">
        <v>4760</v>
      </c>
      <c r="AU32" s="62">
        <v>5950</v>
      </c>
      <c r="AV32" s="62">
        <v>7437.5</v>
      </c>
      <c r="AW32" s="47" t="s">
        <v>74</v>
      </c>
      <c r="AX32" s="64">
        <v>45278</v>
      </c>
      <c r="AY32" s="64" t="s">
        <v>3153</v>
      </c>
      <c r="BA32" s="64"/>
      <c r="BB32" s="64"/>
      <c r="BC32" s="64"/>
      <c r="BD32" s="70" t="s">
        <v>3127</v>
      </c>
      <c r="BE32" s="46" t="e">
        <v>#REF!</v>
      </c>
      <c r="BF32" s="46" t="s">
        <v>75</v>
      </c>
      <c r="BG32" s="65">
        <v>6</v>
      </c>
      <c r="BH32" s="66"/>
      <c r="BI32" s="63" t="s">
        <v>3154</v>
      </c>
    </row>
    <row r="33" spans="1:61" ht="63.75" x14ac:dyDescent="0.2">
      <c r="A33" s="45" t="s">
        <v>3155</v>
      </c>
      <c r="B33" s="46"/>
      <c r="C33" s="46" t="s">
        <v>3130</v>
      </c>
      <c r="D33" s="46" t="s">
        <v>3115</v>
      </c>
      <c r="E33" s="46" t="s">
        <v>3027</v>
      </c>
      <c r="F33" s="46" t="s">
        <v>3116</v>
      </c>
      <c r="G33" s="46" t="s">
        <v>337</v>
      </c>
      <c r="H33" s="46"/>
      <c r="I33" s="46" t="s">
        <v>454</v>
      </c>
      <c r="J33" s="46" t="s">
        <v>71</v>
      </c>
      <c r="K33" s="47">
        <v>600</v>
      </c>
      <c r="L33" s="47">
        <f>1500+160+400</f>
        <v>2060</v>
      </c>
      <c r="M33" s="47">
        <v>2660</v>
      </c>
      <c r="N33" s="46"/>
      <c r="O33" s="71" t="s">
        <v>68</v>
      </c>
      <c r="P33" s="64"/>
      <c r="Q33" s="46" t="s">
        <v>3013</v>
      </c>
      <c r="R33" s="46" t="s">
        <v>3016</v>
      </c>
      <c r="S33" s="49">
        <v>665</v>
      </c>
      <c r="T33" s="49">
        <v>3325</v>
      </c>
      <c r="U33" s="50">
        <v>7.1428571428571425E-2</v>
      </c>
      <c r="V33" s="50">
        <v>8.045112781954887E-2</v>
      </c>
      <c r="W33" s="77">
        <v>3.4333333333333331</v>
      </c>
      <c r="X33" s="52">
        <v>332.5</v>
      </c>
      <c r="Y33" s="52">
        <v>30</v>
      </c>
      <c r="Z33" s="52">
        <v>2725</v>
      </c>
      <c r="AA33" s="52">
        <v>3087.5</v>
      </c>
      <c r="AB33" s="53">
        <v>0.9285714285714286</v>
      </c>
      <c r="AC33" s="72">
        <v>237.5</v>
      </c>
      <c r="AD33" s="55">
        <v>7.1428571428571425E-2</v>
      </c>
      <c r="AE33" s="73">
        <v>4</v>
      </c>
      <c r="AF33" s="57" t="s">
        <v>95</v>
      </c>
      <c r="AG33" s="58">
        <v>600</v>
      </c>
      <c r="AH33" s="58">
        <v>2060</v>
      </c>
      <c r="AI33" s="58">
        <v>2660</v>
      </c>
      <c r="AJ33" s="49">
        <v>665</v>
      </c>
      <c r="AK33" s="49">
        <v>3325</v>
      </c>
      <c r="AL33" s="52">
        <v>332.5</v>
      </c>
      <c r="AM33" s="52">
        <v>2725</v>
      </c>
      <c r="AN33" s="52">
        <v>3057.5</v>
      </c>
      <c r="AO33" s="59">
        <v>0.91954887218045112</v>
      </c>
      <c r="AP33" s="60">
        <v>267.5</v>
      </c>
      <c r="AQ33" s="61">
        <v>8.045112781954887E-2</v>
      </c>
      <c r="AR33" s="60" t="s">
        <v>73</v>
      </c>
      <c r="AS33" s="62">
        <v>1020</v>
      </c>
      <c r="AT33" s="62">
        <v>3502</v>
      </c>
      <c r="AU33" s="62">
        <v>4522</v>
      </c>
      <c r="AV33" s="62">
        <v>5652.5</v>
      </c>
      <c r="AW33" s="47" t="s">
        <v>74</v>
      </c>
      <c r="AX33" s="64">
        <v>45278</v>
      </c>
      <c r="AY33" s="64" t="s">
        <v>3156</v>
      </c>
      <c r="BA33" s="64"/>
      <c r="BB33" s="64"/>
      <c r="BC33" s="64"/>
      <c r="BD33" s="70" t="s">
        <v>3132</v>
      </c>
      <c r="BE33" s="46" t="e">
        <v>#REF!</v>
      </c>
      <c r="BF33" s="46" t="s">
        <v>75</v>
      </c>
      <c r="BG33" s="65">
        <v>6</v>
      </c>
      <c r="BH33" s="66"/>
      <c r="BI33" s="63" t="s">
        <v>3157</v>
      </c>
    </row>
    <row r="34" spans="1:61" ht="63.75" x14ac:dyDescent="0.2">
      <c r="A34" s="45" t="s">
        <v>3158</v>
      </c>
      <c r="B34" s="46"/>
      <c r="C34" s="46" t="s">
        <v>3130</v>
      </c>
      <c r="D34" s="46" t="s">
        <v>3115</v>
      </c>
      <c r="E34" s="46" t="s">
        <v>3045</v>
      </c>
      <c r="F34" s="46" t="s">
        <v>3116</v>
      </c>
      <c r="G34" s="46" t="s">
        <v>337</v>
      </c>
      <c r="H34" s="46"/>
      <c r="I34" s="46" t="s">
        <v>445</v>
      </c>
      <c r="J34" s="46" t="s">
        <v>71</v>
      </c>
      <c r="K34" s="47">
        <v>700</v>
      </c>
      <c r="L34" s="47">
        <f>1700+160+400</f>
        <v>2260</v>
      </c>
      <c r="M34" s="47">
        <v>2960</v>
      </c>
      <c r="N34" s="46"/>
      <c r="O34" s="71" t="s">
        <v>68</v>
      </c>
      <c r="P34" s="64"/>
      <c r="Q34" s="46" t="s">
        <v>3013</v>
      </c>
      <c r="R34" s="46" t="s">
        <v>3016</v>
      </c>
      <c r="S34" s="49">
        <v>740</v>
      </c>
      <c r="T34" s="49">
        <v>3700</v>
      </c>
      <c r="U34" s="50">
        <v>8.1081081081081086E-2</v>
      </c>
      <c r="V34" s="50">
        <v>8.9189189189189194E-2</v>
      </c>
      <c r="W34" s="77">
        <v>3.2285714285714286</v>
      </c>
      <c r="X34" s="52">
        <v>370</v>
      </c>
      <c r="Y34" s="52">
        <v>30</v>
      </c>
      <c r="Z34" s="52">
        <v>3000</v>
      </c>
      <c r="AA34" s="52">
        <v>3400</v>
      </c>
      <c r="AB34" s="53">
        <v>0.91891891891891897</v>
      </c>
      <c r="AC34" s="72">
        <v>300</v>
      </c>
      <c r="AD34" s="55">
        <v>8.1081081081081086E-2</v>
      </c>
      <c r="AE34" s="73">
        <v>4</v>
      </c>
      <c r="AF34" s="57" t="s">
        <v>95</v>
      </c>
      <c r="AG34" s="58">
        <v>700</v>
      </c>
      <c r="AH34" s="58">
        <v>2260</v>
      </c>
      <c r="AI34" s="58">
        <v>2960</v>
      </c>
      <c r="AJ34" s="49">
        <v>740</v>
      </c>
      <c r="AK34" s="49">
        <v>3700</v>
      </c>
      <c r="AL34" s="52">
        <v>370</v>
      </c>
      <c r="AM34" s="52">
        <v>3000</v>
      </c>
      <c r="AN34" s="52">
        <v>3370</v>
      </c>
      <c r="AO34" s="59">
        <v>0.91081081081081083</v>
      </c>
      <c r="AP34" s="60">
        <v>330</v>
      </c>
      <c r="AQ34" s="61">
        <v>8.9189189189189194E-2</v>
      </c>
      <c r="AR34" s="60" t="s">
        <v>73</v>
      </c>
      <c r="AS34" s="62">
        <v>1190</v>
      </c>
      <c r="AT34" s="62">
        <v>3842</v>
      </c>
      <c r="AU34" s="62">
        <v>5032</v>
      </c>
      <c r="AV34" s="62">
        <v>6290</v>
      </c>
      <c r="AW34" s="47" t="s">
        <v>74</v>
      </c>
      <c r="AX34" s="64">
        <v>45278</v>
      </c>
      <c r="AY34" s="64" t="s">
        <v>3159</v>
      </c>
      <c r="BA34" s="64"/>
      <c r="BB34" s="64"/>
      <c r="BC34" s="64"/>
      <c r="BD34" s="70" t="s">
        <v>3136</v>
      </c>
      <c r="BE34" s="46" t="e">
        <v>#REF!</v>
      </c>
      <c r="BF34" s="46" t="s">
        <v>75</v>
      </c>
      <c r="BG34" s="65">
        <v>6</v>
      </c>
      <c r="BH34" s="66"/>
      <c r="BI34" s="63" t="s">
        <v>3160</v>
      </c>
    </row>
    <row r="35" spans="1:61" ht="76.5" x14ac:dyDescent="0.2">
      <c r="A35" s="45" t="s">
        <v>3161</v>
      </c>
      <c r="B35" s="46"/>
      <c r="C35" s="46" t="s">
        <v>3130</v>
      </c>
      <c r="D35" s="46" t="s">
        <v>3115</v>
      </c>
      <c r="E35" s="46" t="s">
        <v>3045</v>
      </c>
      <c r="F35" s="46" t="s">
        <v>3125</v>
      </c>
      <c r="G35" s="46" t="s">
        <v>337</v>
      </c>
      <c r="H35" s="46"/>
      <c r="I35" s="46" t="s">
        <v>999</v>
      </c>
      <c r="J35" s="46" t="s">
        <v>71</v>
      </c>
      <c r="K35" s="47">
        <v>800</v>
      </c>
      <c r="L35" s="47">
        <f>2150+500</f>
        <v>2650</v>
      </c>
      <c r="M35" s="47">
        <v>3450</v>
      </c>
      <c r="N35" s="46"/>
      <c r="O35" s="71" t="s">
        <v>68</v>
      </c>
      <c r="P35" s="64"/>
      <c r="Q35" s="46" t="s">
        <v>3013</v>
      </c>
      <c r="R35" s="46" t="s">
        <v>3016</v>
      </c>
      <c r="S35" s="49">
        <v>862.5</v>
      </c>
      <c r="T35" s="49">
        <v>4312.5</v>
      </c>
      <c r="U35" s="50">
        <v>7.855072463768116E-2</v>
      </c>
      <c r="V35" s="50">
        <v>8.5507246376811591E-2</v>
      </c>
      <c r="W35" s="77">
        <v>3.3125</v>
      </c>
      <c r="X35" s="52">
        <v>431.25</v>
      </c>
      <c r="Y35" s="52">
        <v>30</v>
      </c>
      <c r="Z35" s="52">
        <v>3512.5</v>
      </c>
      <c r="AA35" s="52">
        <v>3973.75</v>
      </c>
      <c r="AB35" s="53">
        <v>0.9214492753623188</v>
      </c>
      <c r="AC35" s="72">
        <v>338.75</v>
      </c>
      <c r="AD35" s="55">
        <v>7.855072463768116E-2</v>
      </c>
      <c r="AE35" s="73">
        <v>4</v>
      </c>
      <c r="AF35" s="57" t="s">
        <v>95</v>
      </c>
      <c r="AG35" s="58">
        <v>800</v>
      </c>
      <c r="AH35" s="58">
        <v>2650</v>
      </c>
      <c r="AI35" s="58">
        <v>3450</v>
      </c>
      <c r="AJ35" s="49">
        <v>862.5</v>
      </c>
      <c r="AK35" s="49">
        <v>4312.5</v>
      </c>
      <c r="AL35" s="52">
        <v>431.25</v>
      </c>
      <c r="AM35" s="52">
        <v>3512.5</v>
      </c>
      <c r="AN35" s="52">
        <v>3943.75</v>
      </c>
      <c r="AO35" s="59">
        <v>0.91449275362318838</v>
      </c>
      <c r="AP35" s="60">
        <v>368.75</v>
      </c>
      <c r="AQ35" s="61">
        <v>8.5507246376811591E-2</v>
      </c>
      <c r="AR35" s="60" t="s">
        <v>73</v>
      </c>
      <c r="AS35" s="62">
        <v>1360</v>
      </c>
      <c r="AT35" s="62">
        <v>4505</v>
      </c>
      <c r="AU35" s="62">
        <v>5865</v>
      </c>
      <c r="AV35" s="62">
        <v>7331.25</v>
      </c>
      <c r="AW35" s="47" t="s">
        <v>74</v>
      </c>
      <c r="AX35" s="64">
        <v>45278</v>
      </c>
      <c r="AY35" s="64" t="s">
        <v>3162</v>
      </c>
      <c r="BA35" s="64"/>
      <c r="BB35" s="64"/>
      <c r="BC35" s="64"/>
      <c r="BD35" s="70" t="s">
        <v>3140</v>
      </c>
      <c r="BE35" s="46" t="e">
        <v>#REF!</v>
      </c>
      <c r="BF35" s="46" t="s">
        <v>75</v>
      </c>
      <c r="BG35" s="65">
        <v>6</v>
      </c>
      <c r="BH35" s="66"/>
      <c r="BI35" s="63" t="s">
        <v>3163</v>
      </c>
    </row>
    <row r="36" spans="1:61" ht="76.5" x14ac:dyDescent="0.2">
      <c r="A36" s="45" t="s">
        <v>3164</v>
      </c>
      <c r="B36" s="46"/>
      <c r="C36" s="46" t="s">
        <v>3130</v>
      </c>
      <c r="D36" s="46" t="s">
        <v>3115</v>
      </c>
      <c r="E36" s="46" t="s">
        <v>3051</v>
      </c>
      <c r="F36" s="46" t="s">
        <v>3116</v>
      </c>
      <c r="G36" s="46" t="s">
        <v>337</v>
      </c>
      <c r="H36" s="46"/>
      <c r="I36" s="46" t="s">
        <v>999</v>
      </c>
      <c r="J36" s="46" t="s">
        <v>71</v>
      </c>
      <c r="K36" s="47">
        <v>800</v>
      </c>
      <c r="L36" s="47">
        <f>2200+160+400</f>
        <v>2760</v>
      </c>
      <c r="M36" s="47">
        <v>3560</v>
      </c>
      <c r="N36" s="46"/>
      <c r="O36" s="71" t="s">
        <v>68</v>
      </c>
      <c r="P36" s="64"/>
      <c r="Q36" s="46" t="s">
        <v>3013</v>
      </c>
      <c r="R36" s="46" t="s">
        <v>3016</v>
      </c>
      <c r="S36" s="49">
        <v>890</v>
      </c>
      <c r="T36" s="49">
        <v>4450</v>
      </c>
      <c r="U36" s="50">
        <v>7.3033707865168537E-2</v>
      </c>
      <c r="V36" s="50">
        <v>7.9775280898876408E-2</v>
      </c>
      <c r="W36" s="77">
        <v>3.45</v>
      </c>
      <c r="X36" s="52">
        <v>445</v>
      </c>
      <c r="Y36" s="52">
        <v>30</v>
      </c>
      <c r="Z36" s="52">
        <v>3650</v>
      </c>
      <c r="AA36" s="52">
        <v>4125</v>
      </c>
      <c r="AB36" s="53">
        <v>0.9269662921348315</v>
      </c>
      <c r="AC36" s="72">
        <v>325</v>
      </c>
      <c r="AD36" s="55">
        <v>7.3033707865168537E-2</v>
      </c>
      <c r="AE36" s="73">
        <v>4</v>
      </c>
      <c r="AF36" s="57" t="s">
        <v>95</v>
      </c>
      <c r="AG36" s="58">
        <v>800</v>
      </c>
      <c r="AH36" s="58">
        <v>2760</v>
      </c>
      <c r="AI36" s="58">
        <v>3560</v>
      </c>
      <c r="AJ36" s="49">
        <v>890</v>
      </c>
      <c r="AK36" s="49">
        <v>4450</v>
      </c>
      <c r="AL36" s="52">
        <v>445</v>
      </c>
      <c r="AM36" s="52">
        <v>3650</v>
      </c>
      <c r="AN36" s="52">
        <v>4095</v>
      </c>
      <c r="AO36" s="59">
        <v>0.92022471910112358</v>
      </c>
      <c r="AP36" s="60">
        <v>355</v>
      </c>
      <c r="AQ36" s="61">
        <v>7.9775280898876408E-2</v>
      </c>
      <c r="AR36" s="60" t="s">
        <v>73</v>
      </c>
      <c r="AS36" s="62">
        <v>1360</v>
      </c>
      <c r="AT36" s="62">
        <v>4692</v>
      </c>
      <c r="AU36" s="62">
        <v>6052</v>
      </c>
      <c r="AV36" s="62">
        <v>7565</v>
      </c>
      <c r="AW36" s="47" t="s">
        <v>74</v>
      </c>
      <c r="AX36" s="64">
        <v>45278</v>
      </c>
      <c r="AY36" s="64" t="s">
        <v>3165</v>
      </c>
      <c r="BA36" s="64"/>
      <c r="BB36" s="64"/>
      <c r="BC36" s="64"/>
      <c r="BD36" s="70" t="s">
        <v>3144</v>
      </c>
      <c r="BE36" s="46" t="e">
        <v>#REF!</v>
      </c>
      <c r="BF36" s="46" t="s">
        <v>75</v>
      </c>
      <c r="BG36" s="65">
        <v>6</v>
      </c>
      <c r="BH36" s="66"/>
      <c r="BI36" s="63" t="s">
        <v>3166</v>
      </c>
    </row>
    <row r="37" spans="1:61" ht="63.75" x14ac:dyDescent="0.2">
      <c r="A37" s="45" t="s">
        <v>3167</v>
      </c>
      <c r="B37" s="46"/>
      <c r="C37" s="46" t="s">
        <v>3109</v>
      </c>
      <c r="D37" s="46" t="s">
        <v>3115</v>
      </c>
      <c r="E37" s="46" t="s">
        <v>3027</v>
      </c>
      <c r="F37" s="46" t="s">
        <v>3116</v>
      </c>
      <c r="G37" s="46" t="s">
        <v>135</v>
      </c>
      <c r="H37" s="46"/>
      <c r="I37" s="46" t="s">
        <v>454</v>
      </c>
      <c r="J37" s="46" t="s">
        <v>71</v>
      </c>
      <c r="K37" s="47">
        <v>600</v>
      </c>
      <c r="L37" s="47">
        <f>600+160+600</f>
        <v>1360</v>
      </c>
      <c r="M37" s="47">
        <v>1960</v>
      </c>
      <c r="N37" s="46"/>
      <c r="O37" s="71" t="s">
        <v>68</v>
      </c>
      <c r="P37" s="64"/>
      <c r="Q37" s="46" t="s">
        <v>3013</v>
      </c>
      <c r="R37" s="46" t="s">
        <v>3016</v>
      </c>
      <c r="S37" s="49">
        <v>490</v>
      </c>
      <c r="T37" s="49">
        <v>2450</v>
      </c>
      <c r="U37" s="50">
        <v>0.1326530612244898</v>
      </c>
      <c r="V37" s="50">
        <v>0.14489795918367346</v>
      </c>
      <c r="W37" s="77">
        <v>2.2666666666666666</v>
      </c>
      <c r="X37" s="52">
        <v>245</v>
      </c>
      <c r="Y37" s="52">
        <v>30</v>
      </c>
      <c r="Z37" s="52">
        <v>1850</v>
      </c>
      <c r="AA37" s="52">
        <v>2125</v>
      </c>
      <c r="AB37" s="53">
        <v>0.86734693877551017</v>
      </c>
      <c r="AC37" s="72">
        <v>325</v>
      </c>
      <c r="AD37" s="55">
        <v>0.1326530612244898</v>
      </c>
      <c r="AE37" s="73">
        <v>4</v>
      </c>
      <c r="AF37" s="57" t="s">
        <v>95</v>
      </c>
      <c r="AG37" s="58">
        <v>600</v>
      </c>
      <c r="AH37" s="58">
        <v>1360</v>
      </c>
      <c r="AI37" s="58">
        <v>1960</v>
      </c>
      <c r="AJ37" s="49">
        <v>490</v>
      </c>
      <c r="AK37" s="49">
        <v>2450</v>
      </c>
      <c r="AL37" s="52">
        <v>245</v>
      </c>
      <c r="AM37" s="52">
        <v>1850</v>
      </c>
      <c r="AN37" s="52">
        <v>2095</v>
      </c>
      <c r="AO37" s="59">
        <v>0.85510204081632657</v>
      </c>
      <c r="AP37" s="60">
        <v>355</v>
      </c>
      <c r="AQ37" s="61">
        <v>0.14489795918367346</v>
      </c>
      <c r="AR37" s="60" t="s">
        <v>73</v>
      </c>
      <c r="AS37" s="62">
        <v>1020</v>
      </c>
      <c r="AT37" s="62">
        <v>2312</v>
      </c>
      <c r="AU37" s="62">
        <v>3332</v>
      </c>
      <c r="AV37" s="62">
        <v>4165</v>
      </c>
      <c r="AW37" s="47" t="s">
        <v>74</v>
      </c>
      <c r="AX37" s="64">
        <v>45278</v>
      </c>
      <c r="AY37" s="64" t="s">
        <v>3168</v>
      </c>
      <c r="BA37" s="64"/>
      <c r="BB37" s="64"/>
      <c r="BC37" s="64"/>
      <c r="BD37" s="70" t="s">
        <v>3118</v>
      </c>
      <c r="BE37" s="46" t="e">
        <v>#REF!</v>
      </c>
      <c r="BF37" s="46" t="s">
        <v>75</v>
      </c>
      <c r="BG37" s="65">
        <v>6</v>
      </c>
      <c r="BH37" s="66"/>
      <c r="BI37" s="63" t="s">
        <v>3169</v>
      </c>
    </row>
    <row r="38" spans="1:61" ht="63.75" x14ac:dyDescent="0.2">
      <c r="A38" s="45" t="s">
        <v>3170</v>
      </c>
      <c r="B38" s="46"/>
      <c r="C38" s="46" t="s">
        <v>3109</v>
      </c>
      <c r="D38" s="46" t="s">
        <v>3115</v>
      </c>
      <c r="E38" s="46" t="s">
        <v>3027</v>
      </c>
      <c r="F38" s="46" t="s">
        <v>3116</v>
      </c>
      <c r="G38" s="46" t="s">
        <v>135</v>
      </c>
      <c r="H38" s="46"/>
      <c r="I38" s="46" t="s">
        <v>445</v>
      </c>
      <c r="J38" s="46" t="s">
        <v>71</v>
      </c>
      <c r="K38" s="47">
        <v>600</v>
      </c>
      <c r="L38" s="47">
        <f>1100+160+600</f>
        <v>1860</v>
      </c>
      <c r="M38" s="47">
        <v>2460</v>
      </c>
      <c r="N38" s="46"/>
      <c r="O38" s="71" t="s">
        <v>68</v>
      </c>
      <c r="P38" s="64"/>
      <c r="Q38" s="46" t="s">
        <v>3013</v>
      </c>
      <c r="R38" s="46" t="s">
        <v>3016</v>
      </c>
      <c r="S38" s="49">
        <v>615</v>
      </c>
      <c r="T38" s="49">
        <v>3075</v>
      </c>
      <c r="U38" s="50">
        <v>8.5365853658536592E-2</v>
      </c>
      <c r="V38" s="50">
        <v>9.5121951219512196E-2</v>
      </c>
      <c r="W38" s="77">
        <v>3.1</v>
      </c>
      <c r="X38" s="52">
        <v>307.5</v>
      </c>
      <c r="Y38" s="52">
        <v>30</v>
      </c>
      <c r="Z38" s="52">
        <v>2475</v>
      </c>
      <c r="AA38" s="52">
        <v>2812.5</v>
      </c>
      <c r="AB38" s="53">
        <v>0.91463414634146345</v>
      </c>
      <c r="AC38" s="72">
        <v>262.5</v>
      </c>
      <c r="AD38" s="55">
        <v>8.5365853658536592E-2</v>
      </c>
      <c r="AE38" s="73">
        <v>4</v>
      </c>
      <c r="AF38" s="57" t="s">
        <v>95</v>
      </c>
      <c r="AG38" s="58">
        <v>600</v>
      </c>
      <c r="AH38" s="58">
        <v>1860</v>
      </c>
      <c r="AI38" s="58">
        <v>2460</v>
      </c>
      <c r="AJ38" s="49">
        <v>615</v>
      </c>
      <c r="AK38" s="49">
        <v>3075</v>
      </c>
      <c r="AL38" s="52">
        <v>307.5</v>
      </c>
      <c r="AM38" s="52">
        <v>2475</v>
      </c>
      <c r="AN38" s="52">
        <v>2782.5</v>
      </c>
      <c r="AO38" s="59">
        <v>0.90487804878048783</v>
      </c>
      <c r="AP38" s="60">
        <v>292.5</v>
      </c>
      <c r="AQ38" s="61">
        <v>9.5121951219512196E-2</v>
      </c>
      <c r="AR38" s="60" t="s">
        <v>73</v>
      </c>
      <c r="AS38" s="62">
        <v>1020</v>
      </c>
      <c r="AT38" s="62">
        <v>3162</v>
      </c>
      <c r="AU38" s="62">
        <v>4182</v>
      </c>
      <c r="AV38" s="62">
        <v>5227.5</v>
      </c>
      <c r="AW38" s="47" t="s">
        <v>74</v>
      </c>
      <c r="AX38" s="64">
        <v>45278</v>
      </c>
      <c r="AY38" s="64" t="s">
        <v>3171</v>
      </c>
      <c r="BA38" s="64"/>
      <c r="BB38" s="64"/>
      <c r="BC38" s="64"/>
      <c r="BD38" s="70" t="s">
        <v>3122</v>
      </c>
      <c r="BE38" s="46" t="e">
        <v>#REF!</v>
      </c>
      <c r="BF38" s="46" t="s">
        <v>75</v>
      </c>
      <c r="BG38" s="65">
        <v>6</v>
      </c>
      <c r="BH38" s="66"/>
      <c r="BI38" s="63" t="s">
        <v>3172</v>
      </c>
    </row>
    <row r="39" spans="1:61" ht="63.75" x14ac:dyDescent="0.2">
      <c r="A39" s="45" t="s">
        <v>3173</v>
      </c>
      <c r="B39" s="46"/>
      <c r="C39" s="46" t="s">
        <v>3109</v>
      </c>
      <c r="D39" s="46" t="s">
        <v>3115</v>
      </c>
      <c r="E39" s="46" t="s">
        <v>3027</v>
      </c>
      <c r="F39" s="46" t="s">
        <v>3125</v>
      </c>
      <c r="G39" s="46" t="s">
        <v>135</v>
      </c>
      <c r="H39" s="46"/>
      <c r="I39" s="46" t="s">
        <v>999</v>
      </c>
      <c r="J39" s="46" t="s">
        <v>71</v>
      </c>
      <c r="K39" s="47">
        <v>700</v>
      </c>
      <c r="L39" s="47">
        <f>2200+750</f>
        <v>2950</v>
      </c>
      <c r="M39" s="47">
        <v>3650</v>
      </c>
      <c r="N39" s="46"/>
      <c r="O39" s="71" t="s">
        <v>68</v>
      </c>
      <c r="P39" s="64"/>
      <c r="Q39" s="46" t="s">
        <v>3013</v>
      </c>
      <c r="R39" s="46" t="s">
        <v>3016</v>
      </c>
      <c r="S39" s="49">
        <v>912.5</v>
      </c>
      <c r="T39" s="49">
        <v>4562.5</v>
      </c>
      <c r="U39" s="50">
        <v>4.6849315068493151E-2</v>
      </c>
      <c r="V39" s="50">
        <v>5.3424657534246578E-2</v>
      </c>
      <c r="W39" s="77">
        <v>4.2142857142857144</v>
      </c>
      <c r="X39" s="52">
        <v>456.25</v>
      </c>
      <c r="Y39" s="52">
        <v>30</v>
      </c>
      <c r="Z39" s="52">
        <v>3862.5</v>
      </c>
      <c r="AA39" s="52">
        <v>4348.75</v>
      </c>
      <c r="AB39" s="53">
        <v>0.9531506849315069</v>
      </c>
      <c r="AC39" s="72">
        <v>213.75</v>
      </c>
      <c r="AD39" s="55">
        <v>4.6849315068493151E-2</v>
      </c>
      <c r="AE39" s="73">
        <v>4</v>
      </c>
      <c r="AF39" s="57" t="s">
        <v>95</v>
      </c>
      <c r="AG39" s="58">
        <v>700</v>
      </c>
      <c r="AH39" s="58">
        <v>2950</v>
      </c>
      <c r="AI39" s="58">
        <v>3650</v>
      </c>
      <c r="AJ39" s="49">
        <v>912.5</v>
      </c>
      <c r="AK39" s="49">
        <v>4562.5</v>
      </c>
      <c r="AL39" s="52">
        <v>456.25</v>
      </c>
      <c r="AM39" s="52">
        <v>3862.5</v>
      </c>
      <c r="AN39" s="52">
        <v>4318.75</v>
      </c>
      <c r="AO39" s="59">
        <v>0.94657534246575348</v>
      </c>
      <c r="AP39" s="60">
        <v>243.75</v>
      </c>
      <c r="AQ39" s="61">
        <v>5.3424657534246578E-2</v>
      </c>
      <c r="AR39" s="60" t="s">
        <v>73</v>
      </c>
      <c r="AS39" s="62">
        <v>1190</v>
      </c>
      <c r="AT39" s="62">
        <v>5015</v>
      </c>
      <c r="AU39" s="62">
        <v>6205</v>
      </c>
      <c r="AV39" s="62">
        <v>7756.25</v>
      </c>
      <c r="AW39" s="47" t="s">
        <v>74</v>
      </c>
      <c r="AX39" s="64">
        <v>45278</v>
      </c>
      <c r="AY39" s="64" t="s">
        <v>3174</v>
      </c>
      <c r="BA39" s="64"/>
      <c r="BB39" s="64"/>
      <c r="BC39" s="64"/>
      <c r="BD39" s="70" t="s">
        <v>3127</v>
      </c>
      <c r="BE39" s="46" t="e">
        <v>#REF!</v>
      </c>
      <c r="BF39" s="46" t="s">
        <v>75</v>
      </c>
      <c r="BG39" s="65">
        <v>6</v>
      </c>
      <c r="BH39" s="66"/>
      <c r="BI39" s="63" t="s">
        <v>3175</v>
      </c>
    </row>
    <row r="40" spans="1:61" ht="63.75" x14ac:dyDescent="0.2">
      <c r="A40" s="45" t="s">
        <v>3176</v>
      </c>
      <c r="B40" s="46"/>
      <c r="C40" s="46" t="s">
        <v>3130</v>
      </c>
      <c r="D40" s="46" t="s">
        <v>3115</v>
      </c>
      <c r="E40" s="46" t="s">
        <v>3027</v>
      </c>
      <c r="F40" s="46" t="s">
        <v>3116</v>
      </c>
      <c r="G40" s="46" t="s">
        <v>135</v>
      </c>
      <c r="H40" s="46"/>
      <c r="I40" s="46" t="s">
        <v>454</v>
      </c>
      <c r="J40" s="46" t="s">
        <v>71</v>
      </c>
      <c r="K40" s="47">
        <v>600</v>
      </c>
      <c r="L40" s="47">
        <f>1500+160+600</f>
        <v>2260</v>
      </c>
      <c r="M40" s="47">
        <v>2860</v>
      </c>
      <c r="N40" s="46"/>
      <c r="O40" s="71" t="s">
        <v>68</v>
      </c>
      <c r="P40" s="64"/>
      <c r="Q40" s="46" t="s">
        <v>3013</v>
      </c>
      <c r="R40" s="46" t="s">
        <v>3016</v>
      </c>
      <c r="S40" s="49">
        <v>715</v>
      </c>
      <c r="T40" s="49">
        <v>3575</v>
      </c>
      <c r="U40" s="50">
        <v>5.944055944055944E-2</v>
      </c>
      <c r="V40" s="50">
        <v>6.7832167832167833E-2</v>
      </c>
      <c r="W40" s="77">
        <v>3.7666666666666666</v>
      </c>
      <c r="X40" s="52">
        <v>357.5</v>
      </c>
      <c r="Y40" s="52">
        <v>30</v>
      </c>
      <c r="Z40" s="52">
        <v>2975</v>
      </c>
      <c r="AA40" s="52">
        <v>3362.5</v>
      </c>
      <c r="AB40" s="53">
        <v>0.94055944055944052</v>
      </c>
      <c r="AC40" s="72">
        <v>212.5</v>
      </c>
      <c r="AD40" s="55">
        <v>5.944055944055944E-2</v>
      </c>
      <c r="AE40" s="73">
        <v>4</v>
      </c>
      <c r="AF40" s="57" t="s">
        <v>95</v>
      </c>
      <c r="AG40" s="58">
        <v>600</v>
      </c>
      <c r="AH40" s="58">
        <v>2260</v>
      </c>
      <c r="AI40" s="58">
        <v>2860</v>
      </c>
      <c r="AJ40" s="49">
        <v>715</v>
      </c>
      <c r="AK40" s="49">
        <v>3575</v>
      </c>
      <c r="AL40" s="52">
        <v>357.5</v>
      </c>
      <c r="AM40" s="52">
        <v>2975</v>
      </c>
      <c r="AN40" s="52">
        <v>3332.5</v>
      </c>
      <c r="AO40" s="59">
        <v>0.93216783216783217</v>
      </c>
      <c r="AP40" s="60">
        <v>242.5</v>
      </c>
      <c r="AQ40" s="61">
        <v>6.7832167832167833E-2</v>
      </c>
      <c r="AR40" s="60" t="s">
        <v>73</v>
      </c>
      <c r="AS40" s="62">
        <v>1020</v>
      </c>
      <c r="AT40" s="62">
        <v>3842</v>
      </c>
      <c r="AU40" s="62">
        <v>4862</v>
      </c>
      <c r="AV40" s="62">
        <v>6077.5</v>
      </c>
      <c r="AW40" s="47" t="s">
        <v>74</v>
      </c>
      <c r="AX40" s="64">
        <v>45278</v>
      </c>
      <c r="AY40" s="64" t="s">
        <v>3177</v>
      </c>
      <c r="BA40" s="64"/>
      <c r="BB40" s="64"/>
      <c r="BC40" s="64"/>
      <c r="BD40" s="70" t="s">
        <v>3132</v>
      </c>
      <c r="BE40" s="46" t="e">
        <v>#REF!</v>
      </c>
      <c r="BF40" s="46" t="s">
        <v>75</v>
      </c>
      <c r="BG40" s="65">
        <v>6</v>
      </c>
      <c r="BH40" s="66"/>
      <c r="BI40" s="63" t="s">
        <v>3178</v>
      </c>
    </row>
    <row r="41" spans="1:61" ht="63.75" x14ac:dyDescent="0.2">
      <c r="A41" s="45" t="s">
        <v>3179</v>
      </c>
      <c r="B41" s="46"/>
      <c r="C41" s="46" t="s">
        <v>3130</v>
      </c>
      <c r="D41" s="46" t="s">
        <v>3115</v>
      </c>
      <c r="E41" s="46" t="s">
        <v>3045</v>
      </c>
      <c r="F41" s="46" t="s">
        <v>3116</v>
      </c>
      <c r="G41" s="46" t="s">
        <v>135</v>
      </c>
      <c r="H41" s="46"/>
      <c r="I41" s="46" t="s">
        <v>445</v>
      </c>
      <c r="J41" s="46" t="s">
        <v>71</v>
      </c>
      <c r="K41" s="47">
        <v>700</v>
      </c>
      <c r="L41" s="47">
        <f>1700+160+600</f>
        <v>2460</v>
      </c>
      <c r="M41" s="47">
        <v>3160</v>
      </c>
      <c r="N41" s="46"/>
      <c r="O41" s="71" t="s">
        <v>68</v>
      </c>
      <c r="P41" s="64"/>
      <c r="Q41" s="46" t="s">
        <v>3013</v>
      </c>
      <c r="R41" s="46" t="s">
        <v>3016</v>
      </c>
      <c r="S41" s="49">
        <v>790</v>
      </c>
      <c r="T41" s="49">
        <v>3950</v>
      </c>
      <c r="U41" s="50">
        <v>6.9620253164556958E-2</v>
      </c>
      <c r="V41" s="50">
        <v>7.7215189873417717E-2</v>
      </c>
      <c r="W41" s="77">
        <v>3.5142857142857142</v>
      </c>
      <c r="X41" s="52">
        <v>395</v>
      </c>
      <c r="Y41" s="52">
        <v>30</v>
      </c>
      <c r="Z41" s="52">
        <v>3250</v>
      </c>
      <c r="AA41" s="52">
        <v>3675</v>
      </c>
      <c r="AB41" s="53">
        <v>0.930379746835443</v>
      </c>
      <c r="AC41" s="72">
        <v>275</v>
      </c>
      <c r="AD41" s="55">
        <v>6.9620253164556958E-2</v>
      </c>
      <c r="AE41" s="73">
        <v>4</v>
      </c>
      <c r="AF41" s="57" t="s">
        <v>95</v>
      </c>
      <c r="AG41" s="58">
        <v>700</v>
      </c>
      <c r="AH41" s="58">
        <v>2460</v>
      </c>
      <c r="AI41" s="58">
        <v>3160</v>
      </c>
      <c r="AJ41" s="49">
        <v>790</v>
      </c>
      <c r="AK41" s="49">
        <v>3950</v>
      </c>
      <c r="AL41" s="52">
        <v>395</v>
      </c>
      <c r="AM41" s="52">
        <v>3250</v>
      </c>
      <c r="AN41" s="52">
        <v>3645</v>
      </c>
      <c r="AO41" s="59">
        <v>0.92278481012658231</v>
      </c>
      <c r="AP41" s="60">
        <v>305</v>
      </c>
      <c r="AQ41" s="61">
        <v>7.7215189873417717E-2</v>
      </c>
      <c r="AR41" s="60" t="s">
        <v>73</v>
      </c>
      <c r="AS41" s="62">
        <v>1190</v>
      </c>
      <c r="AT41" s="62">
        <v>4182</v>
      </c>
      <c r="AU41" s="62">
        <v>5372</v>
      </c>
      <c r="AV41" s="62">
        <v>6715</v>
      </c>
      <c r="AW41" s="47" t="s">
        <v>74</v>
      </c>
      <c r="AX41" s="64">
        <v>45278</v>
      </c>
      <c r="AY41" s="64" t="s">
        <v>3180</v>
      </c>
      <c r="BA41" s="64"/>
      <c r="BB41" s="64"/>
      <c r="BC41" s="64"/>
      <c r="BD41" s="70" t="s">
        <v>3136</v>
      </c>
      <c r="BE41" s="46" t="e">
        <v>#REF!</v>
      </c>
      <c r="BF41" s="46" t="s">
        <v>75</v>
      </c>
      <c r="BG41" s="65">
        <v>6</v>
      </c>
      <c r="BH41" s="66"/>
      <c r="BI41" s="63" t="s">
        <v>3181</v>
      </c>
    </row>
    <row r="42" spans="1:61" ht="76.5" x14ac:dyDescent="0.2">
      <c r="A42" s="45" t="s">
        <v>3182</v>
      </c>
      <c r="B42" s="46"/>
      <c r="C42" s="46" t="s">
        <v>3130</v>
      </c>
      <c r="D42" s="46" t="s">
        <v>3115</v>
      </c>
      <c r="E42" s="46" t="s">
        <v>3045</v>
      </c>
      <c r="F42" s="46" t="s">
        <v>3125</v>
      </c>
      <c r="G42" s="46" t="s">
        <v>135</v>
      </c>
      <c r="H42" s="46"/>
      <c r="I42" s="46" t="s">
        <v>999</v>
      </c>
      <c r="J42" s="46" t="s">
        <v>71</v>
      </c>
      <c r="K42" s="47">
        <v>800</v>
      </c>
      <c r="L42" s="47">
        <f>2150+750</f>
        <v>2900</v>
      </c>
      <c r="M42" s="47">
        <v>3700</v>
      </c>
      <c r="N42" s="46"/>
      <c r="O42" s="71" t="s">
        <v>68</v>
      </c>
      <c r="P42" s="64"/>
      <c r="Q42" s="46" t="s">
        <v>3013</v>
      </c>
      <c r="R42" s="46" t="s">
        <v>3016</v>
      </c>
      <c r="S42" s="49">
        <v>925</v>
      </c>
      <c r="T42" s="49">
        <v>4625</v>
      </c>
      <c r="U42" s="50">
        <v>6.6486486486486487E-2</v>
      </c>
      <c r="V42" s="50">
        <v>7.2972972972972977E-2</v>
      </c>
      <c r="W42" s="77">
        <v>3.625</v>
      </c>
      <c r="X42" s="52">
        <v>462.5</v>
      </c>
      <c r="Y42" s="52">
        <v>30</v>
      </c>
      <c r="Z42" s="52">
        <v>3825</v>
      </c>
      <c r="AA42" s="52">
        <v>4317.5</v>
      </c>
      <c r="AB42" s="53">
        <v>0.93351351351351353</v>
      </c>
      <c r="AC42" s="72">
        <v>307.5</v>
      </c>
      <c r="AD42" s="55">
        <v>6.6486486486486487E-2</v>
      </c>
      <c r="AE42" s="73">
        <v>4</v>
      </c>
      <c r="AF42" s="57" t="s">
        <v>95</v>
      </c>
      <c r="AG42" s="58">
        <v>800</v>
      </c>
      <c r="AH42" s="58">
        <v>2900</v>
      </c>
      <c r="AI42" s="58">
        <v>3700</v>
      </c>
      <c r="AJ42" s="49">
        <v>925</v>
      </c>
      <c r="AK42" s="49">
        <v>4625</v>
      </c>
      <c r="AL42" s="52">
        <v>462.5</v>
      </c>
      <c r="AM42" s="52">
        <v>3825</v>
      </c>
      <c r="AN42" s="52">
        <v>4287.5</v>
      </c>
      <c r="AO42" s="59">
        <v>0.927027027027027</v>
      </c>
      <c r="AP42" s="60">
        <v>337.5</v>
      </c>
      <c r="AQ42" s="61">
        <v>7.2972972972972977E-2</v>
      </c>
      <c r="AR42" s="60" t="s">
        <v>73</v>
      </c>
      <c r="AS42" s="62">
        <v>1360</v>
      </c>
      <c r="AT42" s="62">
        <v>4930</v>
      </c>
      <c r="AU42" s="62">
        <v>6290</v>
      </c>
      <c r="AV42" s="62">
        <v>7862.5</v>
      </c>
      <c r="AW42" s="47" t="s">
        <v>74</v>
      </c>
      <c r="AX42" s="64">
        <v>45278</v>
      </c>
      <c r="AY42" s="64" t="s">
        <v>3183</v>
      </c>
      <c r="BA42" s="64"/>
      <c r="BB42" s="64"/>
      <c r="BC42" s="64"/>
      <c r="BD42" s="70" t="s">
        <v>3140</v>
      </c>
      <c r="BE42" s="46" t="e">
        <v>#REF!</v>
      </c>
      <c r="BF42" s="46" t="s">
        <v>75</v>
      </c>
      <c r="BG42" s="65">
        <v>6</v>
      </c>
      <c r="BH42" s="66"/>
      <c r="BI42" s="63" t="s">
        <v>3184</v>
      </c>
    </row>
    <row r="43" spans="1:61" ht="76.5" x14ac:dyDescent="0.2">
      <c r="A43" s="45" t="s">
        <v>3185</v>
      </c>
      <c r="B43" s="46"/>
      <c r="C43" s="46" t="s">
        <v>3130</v>
      </c>
      <c r="D43" s="46" t="s">
        <v>3115</v>
      </c>
      <c r="E43" s="46" t="s">
        <v>3051</v>
      </c>
      <c r="F43" s="46" t="s">
        <v>3116</v>
      </c>
      <c r="G43" s="46" t="s">
        <v>135</v>
      </c>
      <c r="H43" s="46"/>
      <c r="I43" s="46" t="s">
        <v>999</v>
      </c>
      <c r="J43" s="46" t="s">
        <v>71</v>
      </c>
      <c r="K43" s="47">
        <v>800</v>
      </c>
      <c r="L43" s="47">
        <f>2200+160+600</f>
        <v>2960</v>
      </c>
      <c r="M43" s="47">
        <v>3760</v>
      </c>
      <c r="N43" s="46"/>
      <c r="O43" s="71" t="s">
        <v>68</v>
      </c>
      <c r="P43" s="64"/>
      <c r="Q43" s="46" t="s">
        <v>3013</v>
      </c>
      <c r="R43" s="46" t="s">
        <v>3016</v>
      </c>
      <c r="S43" s="49">
        <v>940</v>
      </c>
      <c r="T43" s="49">
        <v>4700</v>
      </c>
      <c r="U43" s="50">
        <v>6.3829787234042548E-2</v>
      </c>
      <c r="V43" s="50">
        <v>7.0212765957446813E-2</v>
      </c>
      <c r="W43" s="77">
        <v>3.7</v>
      </c>
      <c r="X43" s="52">
        <v>470</v>
      </c>
      <c r="Y43" s="52">
        <v>30</v>
      </c>
      <c r="Z43" s="52">
        <v>3900</v>
      </c>
      <c r="AA43" s="52">
        <v>4400</v>
      </c>
      <c r="AB43" s="53">
        <v>0.93617021276595747</v>
      </c>
      <c r="AC43" s="72">
        <v>300</v>
      </c>
      <c r="AD43" s="55">
        <v>6.3829787234042548E-2</v>
      </c>
      <c r="AE43" s="73">
        <v>4</v>
      </c>
      <c r="AF43" s="57" t="s">
        <v>95</v>
      </c>
      <c r="AG43" s="58">
        <v>800</v>
      </c>
      <c r="AH43" s="58">
        <v>2960</v>
      </c>
      <c r="AI43" s="58">
        <v>3760</v>
      </c>
      <c r="AJ43" s="49">
        <v>940</v>
      </c>
      <c r="AK43" s="49">
        <v>4700</v>
      </c>
      <c r="AL43" s="52">
        <v>470</v>
      </c>
      <c r="AM43" s="52">
        <v>3900</v>
      </c>
      <c r="AN43" s="52">
        <v>4370</v>
      </c>
      <c r="AO43" s="59">
        <v>0.92978723404255315</v>
      </c>
      <c r="AP43" s="60">
        <v>330</v>
      </c>
      <c r="AQ43" s="61">
        <v>7.0212765957446813E-2</v>
      </c>
      <c r="AR43" s="60" t="s">
        <v>73</v>
      </c>
      <c r="AS43" s="62">
        <v>1360</v>
      </c>
      <c r="AT43" s="62">
        <v>5032</v>
      </c>
      <c r="AU43" s="62">
        <v>6392</v>
      </c>
      <c r="AV43" s="62">
        <v>7990</v>
      </c>
      <c r="AW43" s="47" t="s">
        <v>74</v>
      </c>
      <c r="AX43" s="64">
        <v>45278</v>
      </c>
      <c r="AY43" s="64" t="s">
        <v>3186</v>
      </c>
      <c r="BA43" s="64"/>
      <c r="BB43" s="64"/>
      <c r="BC43" s="64"/>
      <c r="BD43" s="70" t="s">
        <v>3144</v>
      </c>
      <c r="BE43" s="46" t="e">
        <v>#REF!</v>
      </c>
      <c r="BF43" s="46" t="s">
        <v>75</v>
      </c>
      <c r="BG43" s="65">
        <v>6</v>
      </c>
      <c r="BH43" s="66"/>
      <c r="BI43" s="63" t="s">
        <v>3187</v>
      </c>
    </row>
    <row r="44" spans="1:61" ht="216.75" x14ac:dyDescent="0.2">
      <c r="A44" s="45" t="s">
        <v>3188</v>
      </c>
      <c r="B44" s="46"/>
      <c r="C44" s="46" t="s">
        <v>3189</v>
      </c>
      <c r="D44" s="46" t="s">
        <v>2916</v>
      </c>
      <c r="E44" s="46" t="s">
        <v>2157</v>
      </c>
      <c r="F44" s="46" t="s">
        <v>3190</v>
      </c>
      <c r="G44" s="46"/>
      <c r="H44" s="46"/>
      <c r="I44" s="46"/>
      <c r="J44" s="46" t="s">
        <v>71</v>
      </c>
      <c r="K44" s="47">
        <v>160</v>
      </c>
      <c r="L44" s="47">
        <v>60</v>
      </c>
      <c r="M44" s="47">
        <v>220</v>
      </c>
      <c r="N44" s="46"/>
      <c r="O44" s="71" t="s">
        <v>68</v>
      </c>
      <c r="P44" s="64"/>
      <c r="Q44" s="46" t="s">
        <v>3013</v>
      </c>
      <c r="R44" s="46" t="s">
        <v>3016</v>
      </c>
      <c r="S44" s="49">
        <v>55</v>
      </c>
      <c r="T44" s="49">
        <v>275</v>
      </c>
      <c r="U44" s="67">
        <v>0.37272727272727274</v>
      </c>
      <c r="V44" s="67">
        <v>0.48181818181818181</v>
      </c>
      <c r="W44" s="51">
        <v>0.375</v>
      </c>
      <c r="X44" s="52">
        <v>27.5</v>
      </c>
      <c r="Y44" s="52">
        <v>30</v>
      </c>
      <c r="Z44" s="52">
        <v>115</v>
      </c>
      <c r="AA44" s="52">
        <v>172.5</v>
      </c>
      <c r="AB44" s="53">
        <v>0.62727272727272732</v>
      </c>
      <c r="AC44" s="54">
        <v>102.5</v>
      </c>
      <c r="AD44" s="55">
        <v>0.37272727272727274</v>
      </c>
      <c r="AE44" s="73">
        <v>3</v>
      </c>
      <c r="AF44" s="57" t="s">
        <v>95</v>
      </c>
      <c r="AG44" s="58">
        <v>160</v>
      </c>
      <c r="AH44" s="58">
        <v>60</v>
      </c>
      <c r="AI44" s="58">
        <v>220</v>
      </c>
      <c r="AJ44" s="49">
        <v>55</v>
      </c>
      <c r="AK44" s="49">
        <v>275</v>
      </c>
      <c r="AL44" s="52">
        <v>27.5</v>
      </c>
      <c r="AM44" s="52">
        <v>115</v>
      </c>
      <c r="AN44" s="52">
        <v>142.5</v>
      </c>
      <c r="AO44" s="59">
        <v>0.51818181818181819</v>
      </c>
      <c r="AP44" s="60">
        <v>132.5</v>
      </c>
      <c r="AQ44" s="61">
        <v>0.48181818181818181</v>
      </c>
      <c r="AR44" s="60" t="s">
        <v>78</v>
      </c>
      <c r="AS44" s="62">
        <v>256</v>
      </c>
      <c r="AT44" s="62">
        <v>96</v>
      </c>
      <c r="AU44" s="62">
        <v>352</v>
      </c>
      <c r="AV44" s="62">
        <v>440</v>
      </c>
      <c r="AW44" s="47" t="s">
        <v>74</v>
      </c>
      <c r="AX44" s="64">
        <v>45302</v>
      </c>
      <c r="AY44" s="64" t="s">
        <v>3191</v>
      </c>
      <c r="BA44" s="64"/>
      <c r="BB44" s="64"/>
      <c r="BC44" s="64"/>
      <c r="BD44" s="70" t="s">
        <v>3192</v>
      </c>
      <c r="BE44" s="46" t="e">
        <v>#REF!</v>
      </c>
      <c r="BF44" s="46" t="s">
        <v>79</v>
      </c>
      <c r="BG44" s="65">
        <v>0.75</v>
      </c>
      <c r="BH44" s="66"/>
      <c r="BI44" s="63" t="s">
        <v>3193</v>
      </c>
    </row>
    <row r="45" spans="1:61" ht="76.5" x14ac:dyDescent="0.2">
      <c r="A45" s="45" t="s">
        <v>3194</v>
      </c>
      <c r="B45" s="46"/>
      <c r="C45" s="46" t="s">
        <v>3195</v>
      </c>
      <c r="D45" s="46" t="s">
        <v>2916</v>
      </c>
      <c r="E45" s="46" t="s">
        <v>3196</v>
      </c>
      <c r="F45" s="46" t="s">
        <v>3190</v>
      </c>
      <c r="G45" s="46"/>
      <c r="H45" s="46"/>
      <c r="I45" s="46"/>
      <c r="J45" s="46" t="s">
        <v>71</v>
      </c>
      <c r="K45" s="47">
        <v>210</v>
      </c>
      <c r="L45" s="47">
        <v>90</v>
      </c>
      <c r="M45" s="47">
        <v>300</v>
      </c>
      <c r="N45" s="46"/>
      <c r="O45" s="71" t="s">
        <v>68</v>
      </c>
      <c r="P45" s="64"/>
      <c r="Q45" s="46" t="s">
        <v>3013</v>
      </c>
      <c r="R45" s="46" t="s">
        <v>3016</v>
      </c>
      <c r="S45" s="49">
        <v>75</v>
      </c>
      <c r="T45" s="49">
        <v>375</v>
      </c>
      <c r="U45" s="67">
        <v>0.38</v>
      </c>
      <c r="V45" s="67">
        <v>0.46</v>
      </c>
      <c r="W45" s="51">
        <v>0.42857142857142855</v>
      </c>
      <c r="X45" s="52">
        <v>37.5</v>
      </c>
      <c r="Y45" s="52">
        <v>30</v>
      </c>
      <c r="Z45" s="52">
        <v>165</v>
      </c>
      <c r="AA45" s="52">
        <v>232.5</v>
      </c>
      <c r="AB45" s="53">
        <v>0.62</v>
      </c>
      <c r="AC45" s="72">
        <v>142.5</v>
      </c>
      <c r="AD45" s="55">
        <v>0.38</v>
      </c>
      <c r="AE45" s="73">
        <v>3</v>
      </c>
      <c r="AF45" s="57" t="s">
        <v>95</v>
      </c>
      <c r="AG45" s="58">
        <v>210</v>
      </c>
      <c r="AH45" s="58">
        <v>90</v>
      </c>
      <c r="AI45" s="58">
        <v>300</v>
      </c>
      <c r="AJ45" s="49">
        <v>75</v>
      </c>
      <c r="AK45" s="49">
        <v>375</v>
      </c>
      <c r="AL45" s="52">
        <v>37.5</v>
      </c>
      <c r="AM45" s="52">
        <v>165</v>
      </c>
      <c r="AN45" s="52">
        <v>202.5</v>
      </c>
      <c r="AO45" s="59">
        <v>0.54</v>
      </c>
      <c r="AP45" s="60">
        <v>172.5</v>
      </c>
      <c r="AQ45" s="61">
        <v>0.46</v>
      </c>
      <c r="AR45" s="60" t="s">
        <v>78</v>
      </c>
      <c r="AS45" s="62">
        <v>336</v>
      </c>
      <c r="AT45" s="62">
        <v>144</v>
      </c>
      <c r="AU45" s="62">
        <v>480</v>
      </c>
      <c r="AV45" s="62">
        <v>600</v>
      </c>
      <c r="AW45" s="47" t="s">
        <v>74</v>
      </c>
      <c r="AX45" s="64">
        <v>45302</v>
      </c>
      <c r="AY45" s="64" t="s">
        <v>3197</v>
      </c>
      <c r="BA45" s="64"/>
      <c r="BB45" s="64"/>
      <c r="BC45" s="64"/>
      <c r="BD45" s="46"/>
      <c r="BE45" s="46" t="e">
        <v>#REF!</v>
      </c>
      <c r="BF45" s="46" t="s">
        <v>75</v>
      </c>
      <c r="BG45" s="65">
        <v>1</v>
      </c>
      <c r="BH45" s="66"/>
      <c r="BI45" s="63" t="s">
        <v>3198</v>
      </c>
    </row>
    <row r="46" spans="1:61" ht="102" x14ac:dyDescent="0.2">
      <c r="A46" s="45" t="s">
        <v>3199</v>
      </c>
      <c r="B46" s="46"/>
      <c r="C46" s="46" t="s">
        <v>3200</v>
      </c>
      <c r="D46" s="46" t="s">
        <v>2916</v>
      </c>
      <c r="E46" s="46" t="s">
        <v>3196</v>
      </c>
      <c r="F46" s="46" t="s">
        <v>3201</v>
      </c>
      <c r="G46" s="46"/>
      <c r="H46" s="46"/>
      <c r="I46" s="46"/>
      <c r="J46" s="46" t="s">
        <v>71</v>
      </c>
      <c r="K46" s="47">
        <v>260</v>
      </c>
      <c r="L46" s="47">
        <v>150</v>
      </c>
      <c r="M46" s="47">
        <v>410</v>
      </c>
      <c r="N46" s="46"/>
      <c r="O46" s="71" t="s">
        <v>68</v>
      </c>
      <c r="P46" s="64"/>
      <c r="Q46" s="46" t="s">
        <v>3013</v>
      </c>
      <c r="R46" s="46" t="s">
        <v>3016</v>
      </c>
      <c r="S46" s="49">
        <v>102.5</v>
      </c>
      <c r="T46" s="49">
        <v>512.5</v>
      </c>
      <c r="U46" s="67">
        <v>0.34878048780487803</v>
      </c>
      <c r="V46" s="67">
        <v>0.40731707317073168</v>
      </c>
      <c r="W46" s="51">
        <v>0.57692307692307687</v>
      </c>
      <c r="X46" s="52">
        <v>51.25</v>
      </c>
      <c r="Y46" s="52">
        <v>30</v>
      </c>
      <c r="Z46" s="52">
        <v>252.5</v>
      </c>
      <c r="AA46" s="52">
        <v>333.75</v>
      </c>
      <c r="AB46" s="53">
        <v>0.65121951219512197</v>
      </c>
      <c r="AC46" s="72">
        <v>178.75</v>
      </c>
      <c r="AD46" s="55">
        <v>0.34878048780487803</v>
      </c>
      <c r="AE46" s="73">
        <v>3</v>
      </c>
      <c r="AF46" s="57" t="s">
        <v>95</v>
      </c>
      <c r="AG46" s="58">
        <v>260</v>
      </c>
      <c r="AH46" s="58">
        <v>150</v>
      </c>
      <c r="AI46" s="58">
        <v>410</v>
      </c>
      <c r="AJ46" s="49">
        <v>102.5</v>
      </c>
      <c r="AK46" s="49">
        <v>512.5</v>
      </c>
      <c r="AL46" s="52">
        <v>51.25</v>
      </c>
      <c r="AM46" s="52">
        <v>252.5</v>
      </c>
      <c r="AN46" s="52">
        <v>303.75</v>
      </c>
      <c r="AO46" s="59">
        <v>0.59268292682926826</v>
      </c>
      <c r="AP46" s="60">
        <v>208.75</v>
      </c>
      <c r="AQ46" s="61">
        <v>0.40731707317073168</v>
      </c>
      <c r="AR46" s="60" t="s">
        <v>78</v>
      </c>
      <c r="AS46" s="62">
        <v>416</v>
      </c>
      <c r="AT46" s="62">
        <v>240</v>
      </c>
      <c r="AU46" s="62">
        <v>656</v>
      </c>
      <c r="AV46" s="62">
        <v>820</v>
      </c>
      <c r="AW46" s="47" t="s">
        <v>74</v>
      </c>
      <c r="AX46" s="64">
        <v>45302</v>
      </c>
      <c r="AY46" s="64" t="s">
        <v>3202</v>
      </c>
      <c r="BA46" s="64"/>
      <c r="BB46" s="64"/>
      <c r="BC46" s="64"/>
      <c r="BD46" s="46"/>
      <c r="BE46" s="46" t="e">
        <v>#REF!</v>
      </c>
      <c r="BF46" s="46" t="s">
        <v>75</v>
      </c>
      <c r="BG46" s="65">
        <v>2</v>
      </c>
      <c r="BH46" s="66"/>
      <c r="BI46" s="63" t="s">
        <v>3203</v>
      </c>
    </row>
    <row r="47" spans="1:61" ht="51" x14ac:dyDescent="0.2">
      <c r="A47" s="45" t="s">
        <v>3204</v>
      </c>
      <c r="B47" s="82"/>
      <c r="C47" s="82" t="s">
        <v>3025</v>
      </c>
      <c r="D47" s="46" t="s">
        <v>3026</v>
      </c>
      <c r="E47" s="46" t="s">
        <v>3027</v>
      </c>
      <c r="F47" s="46" t="s">
        <v>3205</v>
      </c>
      <c r="G47" s="46" t="s">
        <v>3029</v>
      </c>
      <c r="H47" s="46"/>
      <c r="I47" s="46" t="s">
        <v>449</v>
      </c>
      <c r="J47" s="46" t="s">
        <v>71</v>
      </c>
      <c r="K47" s="47">
        <v>400</v>
      </c>
      <c r="L47" s="47">
        <v>750</v>
      </c>
      <c r="M47" s="47">
        <v>1150</v>
      </c>
      <c r="N47" s="46"/>
      <c r="O47" s="71"/>
      <c r="P47" s="64"/>
      <c r="Q47" s="46" t="s">
        <v>3013</v>
      </c>
      <c r="R47" s="46" t="s">
        <v>3016</v>
      </c>
      <c r="S47" s="49">
        <v>287.5</v>
      </c>
      <c r="T47" s="49">
        <v>1437.5</v>
      </c>
      <c r="U47" s="50">
        <v>0.15739130434782608</v>
      </c>
      <c r="V47" s="50">
        <v>0.17826086956521739</v>
      </c>
      <c r="W47" s="77">
        <v>1.875</v>
      </c>
      <c r="X47" s="52">
        <v>143.75</v>
      </c>
      <c r="Y47" s="52">
        <v>30</v>
      </c>
      <c r="Z47" s="52">
        <v>1037.5</v>
      </c>
      <c r="AA47" s="52">
        <v>1211.25</v>
      </c>
      <c r="AB47" s="53">
        <v>0.84260869565217389</v>
      </c>
      <c r="AC47" s="72">
        <v>226.25</v>
      </c>
      <c r="AD47" s="55">
        <v>0.15739130434782608</v>
      </c>
      <c r="AE47" s="73">
        <v>3</v>
      </c>
      <c r="AF47" s="57" t="s">
        <v>95</v>
      </c>
      <c r="AG47" s="58">
        <v>400</v>
      </c>
      <c r="AH47" s="58">
        <v>750</v>
      </c>
      <c r="AI47" s="58">
        <v>1150</v>
      </c>
      <c r="AJ47" s="49">
        <v>287.5</v>
      </c>
      <c r="AK47" s="49">
        <v>1437.5</v>
      </c>
      <c r="AL47" s="52">
        <v>143.75</v>
      </c>
      <c r="AM47" s="52">
        <v>1037.5</v>
      </c>
      <c r="AN47" s="52">
        <v>1181.25</v>
      </c>
      <c r="AO47" s="59">
        <v>0.82173913043478264</v>
      </c>
      <c r="AP47" s="60">
        <v>256.25</v>
      </c>
      <c r="AQ47" s="61">
        <v>0.17826086956521739</v>
      </c>
      <c r="AR47" s="60" t="s">
        <v>73</v>
      </c>
      <c r="AS47" s="62">
        <v>640</v>
      </c>
      <c r="AT47" s="62">
        <v>1200</v>
      </c>
      <c r="AU47" s="62">
        <v>1840</v>
      </c>
      <c r="AV47" s="62">
        <v>2300</v>
      </c>
      <c r="AW47" s="63" t="s">
        <v>74</v>
      </c>
      <c r="AX47" s="64">
        <v>45435</v>
      </c>
      <c r="AY47" s="64" t="s">
        <v>3206</v>
      </c>
      <c r="BA47" s="64"/>
      <c r="BB47" s="64"/>
      <c r="BC47" s="64"/>
      <c r="BD47" s="70" t="s">
        <v>3207</v>
      </c>
      <c r="BE47" s="46" t="e">
        <v>#REF!</v>
      </c>
      <c r="BF47" s="46"/>
      <c r="BG47" s="65"/>
      <c r="BH47" s="66"/>
      <c r="BI47" s="63" t="s">
        <v>3208</v>
      </c>
    </row>
    <row r="48" spans="1:61" ht="25.5" x14ac:dyDescent="0.2">
      <c r="A48" s="34" t="s">
        <v>3209</v>
      </c>
      <c r="B48" s="35"/>
      <c r="C48" s="35" t="s">
        <v>68</v>
      </c>
      <c r="D48" s="35" t="s">
        <v>68</v>
      </c>
      <c r="E48" s="35" t="s">
        <v>68</v>
      </c>
      <c r="F48" s="35" t="s">
        <v>68</v>
      </c>
      <c r="G48" s="35" t="s">
        <v>68</v>
      </c>
      <c r="H48" s="35" t="s">
        <v>68</v>
      </c>
      <c r="I48" s="35" t="s">
        <v>68</v>
      </c>
      <c r="J48" s="35" t="s">
        <v>68</v>
      </c>
      <c r="K48" s="36" t="s">
        <v>68</v>
      </c>
      <c r="L48" s="36" t="s">
        <v>68</v>
      </c>
      <c r="M48" s="36" t="s">
        <v>68</v>
      </c>
      <c r="N48" s="35"/>
      <c r="O48" s="35" t="s">
        <v>68</v>
      </c>
      <c r="P48" s="37"/>
      <c r="Q48" s="38" t="s">
        <v>3013</v>
      </c>
      <c r="R48" s="38" t="s">
        <v>3210</v>
      </c>
      <c r="S48" s="36" t="s">
        <v>68</v>
      </c>
      <c r="T48" s="36" t="s">
        <v>68</v>
      </c>
      <c r="U48" s="39" t="s">
        <v>68</v>
      </c>
      <c r="V48" s="39" t="s">
        <v>68</v>
      </c>
      <c r="W48" s="40" t="s">
        <v>68</v>
      </c>
      <c r="X48" s="36" t="s">
        <v>68</v>
      </c>
      <c r="Y48" s="36" t="s">
        <v>68</v>
      </c>
      <c r="Z48" s="36" t="s">
        <v>68</v>
      </c>
      <c r="AA48" s="36" t="s">
        <v>68</v>
      </c>
      <c r="AB48" s="39" t="s">
        <v>68</v>
      </c>
      <c r="AC48" s="36" t="s">
        <v>68</v>
      </c>
      <c r="AD48" s="39" t="s">
        <v>68</v>
      </c>
      <c r="AE48" s="41"/>
      <c r="AF48" s="42" t="s">
        <v>68</v>
      </c>
      <c r="AG48" s="36" t="s">
        <v>68</v>
      </c>
      <c r="AH48" s="36" t="s">
        <v>68</v>
      </c>
      <c r="AI48" s="36" t="s">
        <v>68</v>
      </c>
      <c r="AJ48" s="36" t="s">
        <v>68</v>
      </c>
      <c r="AK48" s="36" t="s">
        <v>68</v>
      </c>
      <c r="AL48" s="36" t="s">
        <v>68</v>
      </c>
      <c r="AM48" s="36" t="s">
        <v>68</v>
      </c>
      <c r="AN48" s="36" t="s">
        <v>68</v>
      </c>
      <c r="AO48" s="43" t="s">
        <v>68</v>
      </c>
      <c r="AP48" s="36" t="s">
        <v>68</v>
      </c>
      <c r="AQ48" s="39" t="s">
        <v>68</v>
      </c>
      <c r="AR48" s="36" t="s">
        <v>68</v>
      </c>
      <c r="AS48" s="36" t="s">
        <v>68</v>
      </c>
      <c r="AT48" s="36" t="s">
        <v>68</v>
      </c>
      <c r="AU48" s="36" t="s">
        <v>68</v>
      </c>
      <c r="AV48" s="36" t="s">
        <v>68</v>
      </c>
      <c r="AW48" s="35"/>
      <c r="AX48" s="37"/>
      <c r="AY48" s="37" t="s">
        <v>68</v>
      </c>
      <c r="BA48" s="37"/>
      <c r="BB48" s="37"/>
      <c r="BC48" s="37"/>
      <c r="BD48" s="35"/>
      <c r="BE48" s="35" t="e">
        <v>#REF!</v>
      </c>
      <c r="BF48" s="35"/>
      <c r="BG48" s="44"/>
      <c r="BH48" s="38" t="s">
        <v>3211</v>
      </c>
      <c r="BI48" s="35" t="s">
        <v>68</v>
      </c>
    </row>
    <row r="49" spans="1:61" ht="25.5" x14ac:dyDescent="0.2">
      <c r="A49" s="45" t="s">
        <v>3212</v>
      </c>
      <c r="B49" s="46"/>
      <c r="C49" s="46" t="s">
        <v>3213</v>
      </c>
      <c r="D49" s="46" t="s">
        <v>3214</v>
      </c>
      <c r="E49" s="46" t="s">
        <v>68</v>
      </c>
      <c r="F49" s="46" t="s">
        <v>68</v>
      </c>
      <c r="G49" s="46" t="s">
        <v>68</v>
      </c>
      <c r="H49" s="46" t="s">
        <v>68</v>
      </c>
      <c r="I49" s="46" t="s">
        <v>454</v>
      </c>
      <c r="J49" s="46" t="s">
        <v>71</v>
      </c>
      <c r="K49" s="47">
        <v>140</v>
      </c>
      <c r="L49" s="47">
        <v>50</v>
      </c>
      <c r="M49" s="47">
        <v>190</v>
      </c>
      <c r="N49" s="46"/>
      <c r="O49" s="71" t="s">
        <v>68</v>
      </c>
      <c r="P49" s="64"/>
      <c r="Q49" s="46" t="s">
        <v>3013</v>
      </c>
      <c r="R49" s="46" t="s">
        <v>3210</v>
      </c>
      <c r="S49" s="49">
        <v>47.5</v>
      </c>
      <c r="T49" s="49">
        <v>237.5</v>
      </c>
      <c r="U49" s="67">
        <v>0.36315789473684212</v>
      </c>
      <c r="V49" s="50">
        <v>0.18717948717948718</v>
      </c>
      <c r="W49" s="51">
        <v>0.35714285714285715</v>
      </c>
      <c r="X49" s="52">
        <v>23.75</v>
      </c>
      <c r="Y49" s="52">
        <v>30</v>
      </c>
      <c r="Z49" s="52">
        <v>97.5</v>
      </c>
      <c r="AA49" s="52">
        <v>151.25</v>
      </c>
      <c r="AB49" s="53">
        <v>0.63684210526315788</v>
      </c>
      <c r="AC49" s="68">
        <v>86.25</v>
      </c>
      <c r="AD49" s="55">
        <v>0.36315789473684212</v>
      </c>
      <c r="AE49" s="69">
        <v>1</v>
      </c>
      <c r="AF49" s="57" t="s">
        <v>77</v>
      </c>
      <c r="AG49" s="58">
        <v>28</v>
      </c>
      <c r="AH49" s="58">
        <v>50</v>
      </c>
      <c r="AI49" s="58">
        <v>78</v>
      </c>
      <c r="AJ49" s="49">
        <v>19.5</v>
      </c>
      <c r="AK49" s="49">
        <v>97.5</v>
      </c>
      <c r="AL49" s="52">
        <v>9.75</v>
      </c>
      <c r="AM49" s="52">
        <v>69.5</v>
      </c>
      <c r="AN49" s="52">
        <v>79.25</v>
      </c>
      <c r="AO49" s="59">
        <v>0.81282051282051282</v>
      </c>
      <c r="AP49" s="60">
        <v>18.25</v>
      </c>
      <c r="AQ49" s="61">
        <v>0.18717948717948718</v>
      </c>
      <c r="AR49" s="60" t="s">
        <v>73</v>
      </c>
      <c r="AS49" s="62">
        <v>182</v>
      </c>
      <c r="AT49" s="62">
        <v>65</v>
      </c>
      <c r="AU49" s="62">
        <v>247</v>
      </c>
      <c r="AV49" s="62">
        <v>308.75</v>
      </c>
      <c r="AW49" s="47" t="s">
        <v>74</v>
      </c>
      <c r="AX49" s="64"/>
      <c r="AY49" s="64" t="s">
        <v>3215</v>
      </c>
      <c r="BA49" s="64"/>
      <c r="BB49" s="64"/>
      <c r="BC49" s="64"/>
      <c r="BD49" s="46"/>
      <c r="BE49" s="46" t="e">
        <v>#REF!</v>
      </c>
      <c r="BF49" s="46" t="s">
        <v>79</v>
      </c>
      <c r="BG49" s="65">
        <v>0.25</v>
      </c>
      <c r="BH49" s="66" t="s">
        <v>3216</v>
      </c>
      <c r="BI49" s="63" t="s">
        <v>3217</v>
      </c>
    </row>
    <row r="50" spans="1:61" ht="25.5" x14ac:dyDescent="0.2">
      <c r="A50" s="45" t="s">
        <v>3218</v>
      </c>
      <c r="B50" s="46"/>
      <c r="C50" s="46" t="s">
        <v>3213</v>
      </c>
      <c r="D50" s="46" t="s">
        <v>3219</v>
      </c>
      <c r="E50" s="46" t="s">
        <v>68</v>
      </c>
      <c r="F50" s="46" t="s">
        <v>68</v>
      </c>
      <c r="G50" s="46" t="s">
        <v>68</v>
      </c>
      <c r="H50" s="46" t="s">
        <v>68</v>
      </c>
      <c r="I50" s="46" t="s">
        <v>445</v>
      </c>
      <c r="J50" s="46" t="s">
        <v>71</v>
      </c>
      <c r="K50" s="47">
        <v>160</v>
      </c>
      <c r="L50" s="47">
        <v>150</v>
      </c>
      <c r="M50" s="47">
        <v>310</v>
      </c>
      <c r="N50" s="46"/>
      <c r="O50" s="71" t="s">
        <v>68</v>
      </c>
      <c r="P50" s="64"/>
      <c r="Q50" s="46" t="s">
        <v>3013</v>
      </c>
      <c r="R50" s="46" t="s">
        <v>3210</v>
      </c>
      <c r="S50" s="49">
        <v>77.5</v>
      </c>
      <c r="T50" s="49">
        <v>387.5</v>
      </c>
      <c r="U50" s="28">
        <v>0.23548387096774193</v>
      </c>
      <c r="V50" s="50">
        <v>0.17826086956521739</v>
      </c>
      <c r="W50" s="51">
        <v>0.9375</v>
      </c>
      <c r="X50" s="52">
        <v>38.75</v>
      </c>
      <c r="Y50" s="52">
        <v>30</v>
      </c>
      <c r="Z50" s="52">
        <v>227.5</v>
      </c>
      <c r="AA50" s="52">
        <v>296.25</v>
      </c>
      <c r="AB50" s="53">
        <v>0.76451612903225807</v>
      </c>
      <c r="AC50" s="54">
        <v>91.25</v>
      </c>
      <c r="AD50" s="55">
        <v>0.23548387096774193</v>
      </c>
      <c r="AE50" s="56">
        <v>2</v>
      </c>
      <c r="AF50" s="57" t="s">
        <v>72</v>
      </c>
      <c r="AG50" s="58">
        <v>80</v>
      </c>
      <c r="AH50" s="58">
        <v>150</v>
      </c>
      <c r="AI50" s="58">
        <v>230</v>
      </c>
      <c r="AJ50" s="49">
        <v>57.5</v>
      </c>
      <c r="AK50" s="49">
        <v>287.5</v>
      </c>
      <c r="AL50" s="52">
        <v>28.75</v>
      </c>
      <c r="AM50" s="52">
        <v>207.5</v>
      </c>
      <c r="AN50" s="52">
        <v>236.25</v>
      </c>
      <c r="AO50" s="59">
        <v>0.82173913043478264</v>
      </c>
      <c r="AP50" s="60">
        <v>51.25</v>
      </c>
      <c r="AQ50" s="61">
        <v>0.17826086956521739</v>
      </c>
      <c r="AR50" s="60" t="s">
        <v>73</v>
      </c>
      <c r="AS50" s="62">
        <v>240</v>
      </c>
      <c r="AT50" s="62">
        <v>225</v>
      </c>
      <c r="AU50" s="62">
        <v>465</v>
      </c>
      <c r="AV50" s="62">
        <v>581.25</v>
      </c>
      <c r="AW50" s="47" t="s">
        <v>74</v>
      </c>
      <c r="AX50" s="64"/>
      <c r="AY50" s="64" t="s">
        <v>3220</v>
      </c>
      <c r="BA50" s="64"/>
      <c r="BB50" s="64"/>
      <c r="BC50" s="64"/>
      <c r="BD50" s="46"/>
      <c r="BE50" s="46" t="e">
        <v>#REF!</v>
      </c>
      <c r="BF50" s="46" t="s">
        <v>79</v>
      </c>
      <c r="BG50" s="65">
        <v>0.25</v>
      </c>
      <c r="BH50" s="66" t="s">
        <v>3221</v>
      </c>
      <c r="BI50" s="63" t="s">
        <v>3222</v>
      </c>
    </row>
    <row r="51" spans="1:61" ht="25.5" x14ac:dyDescent="0.2">
      <c r="A51" s="45" t="s">
        <v>3223</v>
      </c>
      <c r="B51" s="46"/>
      <c r="C51" s="46" t="s">
        <v>3213</v>
      </c>
      <c r="D51" s="46" t="s">
        <v>1017</v>
      </c>
      <c r="E51" s="46" t="s">
        <v>68</v>
      </c>
      <c r="F51" s="46" t="s">
        <v>68</v>
      </c>
      <c r="G51" s="46" t="s">
        <v>68</v>
      </c>
      <c r="H51" s="46" t="s">
        <v>68</v>
      </c>
      <c r="I51" s="46" t="s">
        <v>999</v>
      </c>
      <c r="J51" s="46" t="s">
        <v>71</v>
      </c>
      <c r="K51" s="47">
        <v>180</v>
      </c>
      <c r="L51" s="47">
        <v>250</v>
      </c>
      <c r="M51" s="47">
        <v>430</v>
      </c>
      <c r="N51" s="46"/>
      <c r="O51" s="71" t="s">
        <v>68</v>
      </c>
      <c r="P51" s="64"/>
      <c r="Q51" s="46" t="s">
        <v>3013</v>
      </c>
      <c r="R51" s="46" t="s">
        <v>3210</v>
      </c>
      <c r="S51" s="49">
        <v>107.5</v>
      </c>
      <c r="T51" s="49">
        <v>537.5</v>
      </c>
      <c r="U51" s="50">
        <v>0.17906976744186046</v>
      </c>
      <c r="V51" s="50">
        <v>0.11176470588235295</v>
      </c>
      <c r="W51" s="74">
        <v>1.3888888888888888</v>
      </c>
      <c r="X51" s="52">
        <v>53.75</v>
      </c>
      <c r="Y51" s="52">
        <v>30</v>
      </c>
      <c r="Z51" s="52">
        <v>357.5</v>
      </c>
      <c r="AA51" s="52">
        <v>441.25</v>
      </c>
      <c r="AB51" s="53">
        <v>0.82093023255813957</v>
      </c>
      <c r="AC51" s="54">
        <v>96.25</v>
      </c>
      <c r="AD51" s="55">
        <v>0.17906976744186046</v>
      </c>
      <c r="AE51" s="56">
        <v>2</v>
      </c>
      <c r="AF51" s="57" t="s">
        <v>72</v>
      </c>
      <c r="AG51" s="58">
        <v>90</v>
      </c>
      <c r="AH51" s="58">
        <v>250</v>
      </c>
      <c r="AI51" s="58">
        <v>340</v>
      </c>
      <c r="AJ51" s="49">
        <v>85</v>
      </c>
      <c r="AK51" s="49">
        <v>425</v>
      </c>
      <c r="AL51" s="52">
        <v>42.5</v>
      </c>
      <c r="AM51" s="52">
        <v>335</v>
      </c>
      <c r="AN51" s="52">
        <v>377.5</v>
      </c>
      <c r="AO51" s="59">
        <v>0.88823529411764701</v>
      </c>
      <c r="AP51" s="60">
        <v>47.5</v>
      </c>
      <c r="AQ51" s="61">
        <v>0.11176470588235295</v>
      </c>
      <c r="AR51" s="60" t="s">
        <v>73</v>
      </c>
      <c r="AS51" s="62">
        <v>270</v>
      </c>
      <c r="AT51" s="62">
        <v>375</v>
      </c>
      <c r="AU51" s="62">
        <v>645</v>
      </c>
      <c r="AV51" s="62">
        <v>806.25</v>
      </c>
      <c r="AW51" s="47" t="s">
        <v>74</v>
      </c>
      <c r="AX51" s="64"/>
      <c r="AY51" s="64" t="s">
        <v>3224</v>
      </c>
      <c r="BA51" s="64"/>
      <c r="BB51" s="64"/>
      <c r="BC51" s="64"/>
      <c r="BD51" s="46"/>
      <c r="BE51" s="46" t="e">
        <v>#REF!</v>
      </c>
      <c r="BF51" s="46" t="s">
        <v>79</v>
      </c>
      <c r="BG51" s="65">
        <v>0.25</v>
      </c>
      <c r="BH51" s="66" t="s">
        <v>3225</v>
      </c>
      <c r="BI51" s="63" t="s">
        <v>3226</v>
      </c>
    </row>
    <row r="52" spans="1:61" ht="25.5" x14ac:dyDescent="0.2">
      <c r="A52" s="45" t="s">
        <v>3227</v>
      </c>
      <c r="B52" s="46"/>
      <c r="C52" s="46" t="s">
        <v>3228</v>
      </c>
      <c r="D52" s="46" t="s">
        <v>3229</v>
      </c>
      <c r="E52" s="46" t="s">
        <v>3230</v>
      </c>
      <c r="F52" s="46" t="s">
        <v>3231</v>
      </c>
      <c r="G52" s="46" t="s">
        <v>68</v>
      </c>
      <c r="H52" s="46" t="s">
        <v>68</v>
      </c>
      <c r="I52" s="46" t="s">
        <v>68</v>
      </c>
      <c r="J52" s="46" t="s">
        <v>71</v>
      </c>
      <c r="K52" s="47">
        <v>140</v>
      </c>
      <c r="L52" s="47">
        <v>50</v>
      </c>
      <c r="M52" s="47">
        <v>190</v>
      </c>
      <c r="N52" s="46"/>
      <c r="O52" s="71" t="s">
        <v>68</v>
      </c>
      <c r="P52" s="64"/>
      <c r="Q52" s="46" t="s">
        <v>3013</v>
      </c>
      <c r="R52" s="46" t="s">
        <v>3210</v>
      </c>
      <c r="S52" s="49">
        <v>47.5</v>
      </c>
      <c r="T52" s="49">
        <v>237.5</v>
      </c>
      <c r="U52" s="67">
        <v>0.36315789473684212</v>
      </c>
      <c r="V52" s="50">
        <v>0.18717948717948718</v>
      </c>
      <c r="W52" s="51">
        <v>0.35714285714285715</v>
      </c>
      <c r="X52" s="52">
        <v>23.75</v>
      </c>
      <c r="Y52" s="52">
        <v>30</v>
      </c>
      <c r="Z52" s="52">
        <v>97.5</v>
      </c>
      <c r="AA52" s="52">
        <v>151.25</v>
      </c>
      <c r="AB52" s="53">
        <v>0.63684210526315788</v>
      </c>
      <c r="AC52" s="68">
        <v>86.25</v>
      </c>
      <c r="AD52" s="55">
        <v>0.36315789473684212</v>
      </c>
      <c r="AE52" s="69">
        <v>1</v>
      </c>
      <c r="AF52" s="57" t="s">
        <v>77</v>
      </c>
      <c r="AG52" s="58">
        <v>28</v>
      </c>
      <c r="AH52" s="58">
        <v>50</v>
      </c>
      <c r="AI52" s="58">
        <v>78</v>
      </c>
      <c r="AJ52" s="49">
        <v>19.5</v>
      </c>
      <c r="AK52" s="49">
        <v>97.5</v>
      </c>
      <c r="AL52" s="52">
        <v>9.75</v>
      </c>
      <c r="AM52" s="52">
        <v>69.5</v>
      </c>
      <c r="AN52" s="52">
        <v>79.25</v>
      </c>
      <c r="AO52" s="59">
        <v>0.81282051282051282</v>
      </c>
      <c r="AP52" s="60">
        <v>18.25</v>
      </c>
      <c r="AQ52" s="61">
        <v>0.18717948717948718</v>
      </c>
      <c r="AR52" s="60" t="s">
        <v>73</v>
      </c>
      <c r="AS52" s="62">
        <v>182</v>
      </c>
      <c r="AT52" s="62">
        <v>65</v>
      </c>
      <c r="AU52" s="62">
        <v>247</v>
      </c>
      <c r="AV52" s="62">
        <v>308.75</v>
      </c>
      <c r="AW52" s="47" t="s">
        <v>74</v>
      </c>
      <c r="AX52" s="64"/>
      <c r="AY52" s="64" t="s">
        <v>3232</v>
      </c>
      <c r="BA52" s="64"/>
      <c r="BB52" s="64"/>
      <c r="BC52" s="64"/>
      <c r="BD52" s="46"/>
      <c r="BE52" s="46" t="e">
        <v>#REF!</v>
      </c>
      <c r="BF52" s="46" t="s">
        <v>79</v>
      </c>
      <c r="BG52" s="65">
        <v>0.5</v>
      </c>
      <c r="BH52" s="66" t="s">
        <v>3233</v>
      </c>
      <c r="BI52" s="63" t="s">
        <v>3234</v>
      </c>
    </row>
    <row r="53" spans="1:61" ht="25.5" x14ac:dyDescent="0.2">
      <c r="A53" s="45" t="s">
        <v>3235</v>
      </c>
      <c r="B53" s="46"/>
      <c r="C53" s="46" t="s">
        <v>3228</v>
      </c>
      <c r="D53" s="46" t="s">
        <v>3214</v>
      </c>
      <c r="E53" s="46" t="s">
        <v>3230</v>
      </c>
      <c r="F53" s="46" t="s">
        <v>3231</v>
      </c>
      <c r="G53" s="46" t="s">
        <v>68</v>
      </c>
      <c r="H53" s="46" t="s">
        <v>68</v>
      </c>
      <c r="I53" s="46" t="s">
        <v>68</v>
      </c>
      <c r="J53" s="46" t="s">
        <v>71</v>
      </c>
      <c r="K53" s="47">
        <v>140</v>
      </c>
      <c r="L53" s="47">
        <v>30</v>
      </c>
      <c r="M53" s="47">
        <v>170</v>
      </c>
      <c r="N53" s="46"/>
      <c r="O53" s="71" t="s">
        <v>68</v>
      </c>
      <c r="P53" s="64"/>
      <c r="Q53" s="46" t="s">
        <v>3013</v>
      </c>
      <c r="R53" s="46" t="s">
        <v>3210</v>
      </c>
      <c r="S53" s="49">
        <v>42.5</v>
      </c>
      <c r="T53" s="49">
        <v>212.5</v>
      </c>
      <c r="U53" s="67">
        <v>0.41764705882352943</v>
      </c>
      <c r="V53" s="28">
        <v>0.28620689655172415</v>
      </c>
      <c r="W53" s="51">
        <v>0.21428571428571427</v>
      </c>
      <c r="X53" s="52">
        <v>21.25</v>
      </c>
      <c r="Y53" s="52">
        <v>30</v>
      </c>
      <c r="Z53" s="52">
        <v>72.5</v>
      </c>
      <c r="AA53" s="52">
        <v>123.75</v>
      </c>
      <c r="AB53" s="53">
        <v>0.58235294117647063</v>
      </c>
      <c r="AC53" s="68">
        <v>88.75</v>
      </c>
      <c r="AD53" s="55">
        <v>0.41764705882352943</v>
      </c>
      <c r="AE53" s="69">
        <v>1</v>
      </c>
      <c r="AF53" s="57" t="s">
        <v>77</v>
      </c>
      <c r="AG53" s="58">
        <v>28</v>
      </c>
      <c r="AH53" s="58">
        <v>30</v>
      </c>
      <c r="AI53" s="58">
        <v>58</v>
      </c>
      <c r="AJ53" s="49">
        <v>14.5</v>
      </c>
      <c r="AK53" s="49">
        <v>72.5</v>
      </c>
      <c r="AL53" s="52">
        <v>7.25</v>
      </c>
      <c r="AM53" s="52">
        <v>44.5</v>
      </c>
      <c r="AN53" s="52">
        <v>51.75</v>
      </c>
      <c r="AO53" s="59">
        <v>0.71379310344827585</v>
      </c>
      <c r="AP53" s="60">
        <v>20.75</v>
      </c>
      <c r="AQ53" s="61">
        <v>0.28620689655172415</v>
      </c>
      <c r="AR53" s="60" t="s">
        <v>78</v>
      </c>
      <c r="AS53" s="62">
        <v>182</v>
      </c>
      <c r="AT53" s="62">
        <v>39</v>
      </c>
      <c r="AU53" s="62">
        <v>221</v>
      </c>
      <c r="AV53" s="62">
        <v>276.25</v>
      </c>
      <c r="AW53" s="47" t="s">
        <v>74</v>
      </c>
      <c r="AX53" s="64"/>
      <c r="AY53" s="64" t="s">
        <v>3236</v>
      </c>
      <c r="BA53" s="64"/>
      <c r="BB53" s="64"/>
      <c r="BC53" s="64"/>
      <c r="BD53" s="46"/>
      <c r="BE53" s="46" t="e">
        <v>#REF!</v>
      </c>
      <c r="BF53" s="46" t="s">
        <v>79</v>
      </c>
      <c r="BG53" s="65">
        <v>0.5</v>
      </c>
      <c r="BH53" s="66" t="s">
        <v>3237</v>
      </c>
      <c r="BI53" s="63" t="s">
        <v>3238</v>
      </c>
    </row>
    <row r="54" spans="1:61" ht="38.25" x14ac:dyDescent="0.2">
      <c r="A54" s="45" t="s">
        <v>3239</v>
      </c>
      <c r="B54" s="46"/>
      <c r="C54" s="46" t="s">
        <v>3240</v>
      </c>
      <c r="D54" s="46" t="s">
        <v>3241</v>
      </c>
      <c r="E54" s="46" t="s">
        <v>3230</v>
      </c>
      <c r="F54" s="46" t="s">
        <v>3231</v>
      </c>
      <c r="G54" s="46" t="s">
        <v>68</v>
      </c>
      <c r="H54" s="46" t="s">
        <v>68</v>
      </c>
      <c r="I54" s="46" t="s">
        <v>68</v>
      </c>
      <c r="J54" s="46" t="s">
        <v>71</v>
      </c>
      <c r="K54" s="47">
        <v>150</v>
      </c>
      <c r="L54" s="47">
        <v>70</v>
      </c>
      <c r="M54" s="47">
        <v>220</v>
      </c>
      <c r="N54" s="46"/>
      <c r="O54" s="71" t="s">
        <v>68</v>
      </c>
      <c r="P54" s="64"/>
      <c r="Q54" s="46" t="s">
        <v>3013</v>
      </c>
      <c r="R54" s="46" t="s">
        <v>3210</v>
      </c>
      <c r="S54" s="49">
        <v>55</v>
      </c>
      <c r="T54" s="49">
        <v>275</v>
      </c>
      <c r="U54" s="67">
        <v>0.33636363636363636</v>
      </c>
      <c r="V54" s="67">
        <v>0.31379310344827588</v>
      </c>
      <c r="W54" s="51">
        <v>0.46666666666666667</v>
      </c>
      <c r="X54" s="52">
        <v>27.5</v>
      </c>
      <c r="Y54" s="52">
        <v>30</v>
      </c>
      <c r="Z54" s="52">
        <v>125</v>
      </c>
      <c r="AA54" s="52">
        <v>182.5</v>
      </c>
      <c r="AB54" s="53">
        <v>0.66363636363636369</v>
      </c>
      <c r="AC54" s="54">
        <v>92.5</v>
      </c>
      <c r="AD54" s="55">
        <v>0.33636363636363636</v>
      </c>
      <c r="AE54" s="56">
        <v>2</v>
      </c>
      <c r="AF54" s="57" t="s">
        <v>72</v>
      </c>
      <c r="AG54" s="58">
        <v>75</v>
      </c>
      <c r="AH54" s="58">
        <v>70</v>
      </c>
      <c r="AI54" s="58">
        <v>145</v>
      </c>
      <c r="AJ54" s="49">
        <v>36.25</v>
      </c>
      <c r="AK54" s="49">
        <v>181.25</v>
      </c>
      <c r="AL54" s="52">
        <v>18.125</v>
      </c>
      <c r="AM54" s="52">
        <v>106.25</v>
      </c>
      <c r="AN54" s="52">
        <v>124.375</v>
      </c>
      <c r="AO54" s="59">
        <v>0.68620689655172418</v>
      </c>
      <c r="AP54" s="60">
        <v>56.875</v>
      </c>
      <c r="AQ54" s="61">
        <v>0.31379310344827588</v>
      </c>
      <c r="AR54" s="60" t="s">
        <v>78</v>
      </c>
      <c r="AS54" s="62">
        <v>225</v>
      </c>
      <c r="AT54" s="62">
        <v>105</v>
      </c>
      <c r="AU54" s="62">
        <v>330</v>
      </c>
      <c r="AV54" s="62">
        <v>412.5</v>
      </c>
      <c r="AW54" s="47" t="s">
        <v>74</v>
      </c>
      <c r="AX54" s="64"/>
      <c r="AY54" s="64" t="s">
        <v>3242</v>
      </c>
      <c r="BA54" s="64"/>
      <c r="BB54" s="64"/>
      <c r="BC54" s="64"/>
      <c r="BD54" s="70" t="s">
        <v>3243</v>
      </c>
      <c r="BE54" s="46" t="e">
        <v>#REF!</v>
      </c>
      <c r="BF54" s="46" t="s">
        <v>79</v>
      </c>
      <c r="BG54" s="65">
        <v>0.75</v>
      </c>
      <c r="BH54" s="66" t="s">
        <v>3244</v>
      </c>
      <c r="BI54" s="63" t="s">
        <v>3245</v>
      </c>
    </row>
    <row r="55" spans="1:61" ht="38.25" x14ac:dyDescent="0.2">
      <c r="A55" s="45" t="s">
        <v>3246</v>
      </c>
      <c r="B55" s="46"/>
      <c r="C55" s="46" t="s">
        <v>3240</v>
      </c>
      <c r="D55" s="46" t="s">
        <v>3247</v>
      </c>
      <c r="E55" s="46" t="s">
        <v>3230</v>
      </c>
      <c r="F55" s="46" t="s">
        <v>3231</v>
      </c>
      <c r="G55" s="46" t="s">
        <v>68</v>
      </c>
      <c r="H55" s="46" t="s">
        <v>68</v>
      </c>
      <c r="I55" s="46" t="s">
        <v>68</v>
      </c>
      <c r="J55" s="46" t="s">
        <v>71</v>
      </c>
      <c r="K55" s="47">
        <v>210</v>
      </c>
      <c r="L55" s="47">
        <v>300</v>
      </c>
      <c r="M55" s="47">
        <v>510</v>
      </c>
      <c r="N55" s="46"/>
      <c r="O55" s="71" t="s">
        <v>68</v>
      </c>
      <c r="P55" s="64"/>
      <c r="Q55" s="46" t="s">
        <v>3013</v>
      </c>
      <c r="R55" s="46" t="s">
        <v>3210</v>
      </c>
      <c r="S55" s="49">
        <v>127.5</v>
      </c>
      <c r="T55" s="49">
        <v>637.5</v>
      </c>
      <c r="U55" s="50">
        <v>0.18235294117647058</v>
      </c>
      <c r="V55" s="50">
        <v>0.10740740740740741</v>
      </c>
      <c r="W55" s="74">
        <v>1.4285714285714286</v>
      </c>
      <c r="X55" s="52">
        <v>63.75</v>
      </c>
      <c r="Y55" s="52">
        <v>30</v>
      </c>
      <c r="Z55" s="52">
        <v>427.5</v>
      </c>
      <c r="AA55" s="52">
        <v>521.25</v>
      </c>
      <c r="AB55" s="53">
        <v>0.81764705882352939</v>
      </c>
      <c r="AC55" s="54">
        <v>116.25</v>
      </c>
      <c r="AD55" s="55">
        <v>0.18235294117647058</v>
      </c>
      <c r="AE55" s="56">
        <v>2</v>
      </c>
      <c r="AF55" s="57" t="s">
        <v>72</v>
      </c>
      <c r="AG55" s="58">
        <v>105</v>
      </c>
      <c r="AH55" s="58">
        <v>300</v>
      </c>
      <c r="AI55" s="58">
        <v>405</v>
      </c>
      <c r="AJ55" s="49">
        <v>101.25</v>
      </c>
      <c r="AK55" s="49">
        <v>506.25</v>
      </c>
      <c r="AL55" s="52">
        <v>50.625</v>
      </c>
      <c r="AM55" s="52">
        <v>401.25</v>
      </c>
      <c r="AN55" s="52">
        <v>451.875</v>
      </c>
      <c r="AO55" s="59">
        <v>0.8925925925925926</v>
      </c>
      <c r="AP55" s="60">
        <v>54.375</v>
      </c>
      <c r="AQ55" s="61">
        <v>0.10740740740740741</v>
      </c>
      <c r="AR55" s="60" t="s">
        <v>73</v>
      </c>
      <c r="AS55" s="62">
        <v>315</v>
      </c>
      <c r="AT55" s="62">
        <v>450</v>
      </c>
      <c r="AU55" s="62">
        <v>765</v>
      </c>
      <c r="AV55" s="62">
        <v>956.25</v>
      </c>
      <c r="AW55" s="47" t="s">
        <v>74</v>
      </c>
      <c r="AX55" s="64"/>
      <c r="AY55" s="64" t="s">
        <v>3248</v>
      </c>
      <c r="BA55" s="64"/>
      <c r="BB55" s="64"/>
      <c r="BC55" s="64"/>
      <c r="BD55" s="70" t="s">
        <v>3249</v>
      </c>
      <c r="BE55" s="46" t="e">
        <v>#REF!</v>
      </c>
      <c r="BF55" s="46" t="s">
        <v>79</v>
      </c>
      <c r="BG55" s="65">
        <v>0.75</v>
      </c>
      <c r="BH55" s="66" t="s">
        <v>3250</v>
      </c>
      <c r="BI55" s="63" t="s">
        <v>3251</v>
      </c>
    </row>
    <row r="56" spans="1:61" ht="25.5" x14ac:dyDescent="0.2">
      <c r="A56" s="45" t="s">
        <v>3252</v>
      </c>
      <c r="B56" s="46"/>
      <c r="C56" s="46" t="s">
        <v>3253</v>
      </c>
      <c r="D56" s="46" t="s">
        <v>3214</v>
      </c>
      <c r="E56" s="46" t="s">
        <v>3230</v>
      </c>
      <c r="F56" s="46" t="s">
        <v>3231</v>
      </c>
      <c r="G56" s="46" t="s">
        <v>68</v>
      </c>
      <c r="H56" s="46" t="s">
        <v>68</v>
      </c>
      <c r="I56" s="46" t="s">
        <v>445</v>
      </c>
      <c r="J56" s="46" t="s">
        <v>71</v>
      </c>
      <c r="K56" s="47">
        <v>140</v>
      </c>
      <c r="L56" s="47">
        <v>40</v>
      </c>
      <c r="M56" s="47">
        <v>180</v>
      </c>
      <c r="N56" s="46"/>
      <c r="O56" s="71" t="s">
        <v>68</v>
      </c>
      <c r="P56" s="64"/>
      <c r="Q56" s="46" t="s">
        <v>3013</v>
      </c>
      <c r="R56" s="46" t="s">
        <v>3210</v>
      </c>
      <c r="S56" s="49">
        <v>45</v>
      </c>
      <c r="T56" s="49">
        <v>225</v>
      </c>
      <c r="U56" s="67">
        <v>0.3888888888888889</v>
      </c>
      <c r="V56" s="28">
        <v>0.22941176470588234</v>
      </c>
      <c r="W56" s="51">
        <v>0.2857142857142857</v>
      </c>
      <c r="X56" s="52">
        <v>22.5</v>
      </c>
      <c r="Y56" s="52">
        <v>30</v>
      </c>
      <c r="Z56" s="52">
        <v>85</v>
      </c>
      <c r="AA56" s="52">
        <v>137.5</v>
      </c>
      <c r="AB56" s="53">
        <v>0.61111111111111116</v>
      </c>
      <c r="AC56" s="68">
        <v>87.5</v>
      </c>
      <c r="AD56" s="55">
        <v>0.3888888888888889</v>
      </c>
      <c r="AE56" s="69">
        <v>1</v>
      </c>
      <c r="AF56" s="57" t="s">
        <v>77</v>
      </c>
      <c r="AG56" s="58">
        <v>28</v>
      </c>
      <c r="AH56" s="58">
        <v>40</v>
      </c>
      <c r="AI56" s="58">
        <v>68</v>
      </c>
      <c r="AJ56" s="49">
        <v>17</v>
      </c>
      <c r="AK56" s="49">
        <v>85</v>
      </c>
      <c r="AL56" s="52">
        <v>8.5</v>
      </c>
      <c r="AM56" s="52">
        <v>57</v>
      </c>
      <c r="AN56" s="52">
        <v>65.5</v>
      </c>
      <c r="AO56" s="59">
        <v>0.77058823529411768</v>
      </c>
      <c r="AP56" s="60">
        <v>19.5</v>
      </c>
      <c r="AQ56" s="61">
        <v>0.22941176470588234</v>
      </c>
      <c r="AR56" s="60" t="s">
        <v>78</v>
      </c>
      <c r="AS56" s="62">
        <v>182</v>
      </c>
      <c r="AT56" s="62">
        <v>52</v>
      </c>
      <c r="AU56" s="62">
        <v>234</v>
      </c>
      <c r="AV56" s="62">
        <v>292.5</v>
      </c>
      <c r="AW56" s="47" t="s">
        <v>74</v>
      </c>
      <c r="AX56" s="64"/>
      <c r="AY56" s="64" t="s">
        <v>3254</v>
      </c>
      <c r="BA56" s="64"/>
      <c r="BB56" s="64"/>
      <c r="BC56" s="64"/>
      <c r="BD56" s="70" t="s">
        <v>3255</v>
      </c>
      <c r="BE56" s="46" t="e">
        <v>#REF!</v>
      </c>
      <c r="BF56" s="46" t="s">
        <v>79</v>
      </c>
      <c r="BG56" s="65">
        <v>0.25</v>
      </c>
      <c r="BH56" s="66" t="s">
        <v>3256</v>
      </c>
      <c r="BI56" s="63" t="s">
        <v>3257</v>
      </c>
    </row>
    <row r="57" spans="1:61" ht="25.5" x14ac:dyDescent="0.2">
      <c r="A57" s="45" t="s">
        <v>3258</v>
      </c>
      <c r="B57" s="46"/>
      <c r="C57" s="46" t="s">
        <v>3253</v>
      </c>
      <c r="D57" s="46" t="s">
        <v>3219</v>
      </c>
      <c r="E57" s="46" t="s">
        <v>3230</v>
      </c>
      <c r="F57" s="46" t="s">
        <v>3231</v>
      </c>
      <c r="G57" s="46" t="s">
        <v>68</v>
      </c>
      <c r="H57" s="46" t="s">
        <v>68</v>
      </c>
      <c r="I57" s="46" t="s">
        <v>449</v>
      </c>
      <c r="J57" s="46" t="s">
        <v>71</v>
      </c>
      <c r="K57" s="47">
        <v>160</v>
      </c>
      <c r="L57" s="47">
        <v>70</v>
      </c>
      <c r="M57" s="47">
        <v>230</v>
      </c>
      <c r="N57" s="46"/>
      <c r="O57" s="71" t="s">
        <v>68</v>
      </c>
      <c r="P57" s="64"/>
      <c r="Q57" s="46" t="s">
        <v>3013</v>
      </c>
      <c r="R57" s="46" t="s">
        <v>3210</v>
      </c>
      <c r="S57" s="49">
        <v>57.5</v>
      </c>
      <c r="T57" s="49">
        <v>287.5</v>
      </c>
      <c r="U57" s="67">
        <v>0.35217391304347828</v>
      </c>
      <c r="V57" s="67">
        <v>0.32666666666666666</v>
      </c>
      <c r="W57" s="51">
        <v>0.4375</v>
      </c>
      <c r="X57" s="52">
        <v>28.75</v>
      </c>
      <c r="Y57" s="52">
        <v>30</v>
      </c>
      <c r="Z57" s="52">
        <v>127.5</v>
      </c>
      <c r="AA57" s="52">
        <v>186.25</v>
      </c>
      <c r="AB57" s="53">
        <v>0.64782608695652177</v>
      </c>
      <c r="AC57" s="54">
        <v>101.25</v>
      </c>
      <c r="AD57" s="55">
        <v>0.35217391304347828</v>
      </c>
      <c r="AE57" s="56">
        <v>2</v>
      </c>
      <c r="AF57" s="57" t="s">
        <v>72</v>
      </c>
      <c r="AG57" s="58">
        <v>80</v>
      </c>
      <c r="AH57" s="58">
        <v>70</v>
      </c>
      <c r="AI57" s="58">
        <v>150</v>
      </c>
      <c r="AJ57" s="49">
        <v>37.5</v>
      </c>
      <c r="AK57" s="49">
        <v>187.5</v>
      </c>
      <c r="AL57" s="52">
        <v>18.75</v>
      </c>
      <c r="AM57" s="52">
        <v>107.5</v>
      </c>
      <c r="AN57" s="52">
        <v>126.25</v>
      </c>
      <c r="AO57" s="59">
        <v>0.67333333333333334</v>
      </c>
      <c r="AP57" s="60">
        <v>61.25</v>
      </c>
      <c r="AQ57" s="61">
        <v>0.32666666666666666</v>
      </c>
      <c r="AR57" s="60" t="s">
        <v>78</v>
      </c>
      <c r="AS57" s="62">
        <v>240</v>
      </c>
      <c r="AT57" s="62">
        <v>105</v>
      </c>
      <c r="AU57" s="62">
        <v>345</v>
      </c>
      <c r="AV57" s="62">
        <v>431.25</v>
      </c>
      <c r="AW57" s="47" t="s">
        <v>74</v>
      </c>
      <c r="AX57" s="64"/>
      <c r="AY57" s="64" t="s">
        <v>3259</v>
      </c>
      <c r="BA57" s="64"/>
      <c r="BB57" s="64"/>
      <c r="BC57" s="64"/>
      <c r="BD57" s="70" t="s">
        <v>3260</v>
      </c>
      <c r="BE57" s="46" t="e">
        <v>#REF!</v>
      </c>
      <c r="BF57" s="46" t="s">
        <v>79</v>
      </c>
      <c r="BG57" s="65">
        <v>0.25</v>
      </c>
      <c r="BH57" s="66" t="s">
        <v>3261</v>
      </c>
      <c r="BI57" s="63" t="s">
        <v>3262</v>
      </c>
    </row>
    <row r="58" spans="1:61" ht="25.5" x14ac:dyDescent="0.2">
      <c r="A58" s="45" t="s">
        <v>3263</v>
      </c>
      <c r="B58" s="46"/>
      <c r="C58" s="46" t="s">
        <v>3264</v>
      </c>
      <c r="D58" s="46" t="s">
        <v>3230</v>
      </c>
      <c r="E58" s="46" t="s">
        <v>3231</v>
      </c>
      <c r="F58" s="46" t="s">
        <v>68</v>
      </c>
      <c r="G58" s="46" t="s">
        <v>68</v>
      </c>
      <c r="H58" s="46" t="s">
        <v>68</v>
      </c>
      <c r="I58" s="46" t="s">
        <v>68</v>
      </c>
      <c r="J58" s="46" t="s">
        <v>71</v>
      </c>
      <c r="K58" s="47">
        <v>140</v>
      </c>
      <c r="L58" s="47">
        <v>50</v>
      </c>
      <c r="M58" s="47">
        <v>190</v>
      </c>
      <c r="N58" s="46"/>
      <c r="O58" s="71" t="s">
        <v>68</v>
      </c>
      <c r="P58" s="64"/>
      <c r="Q58" s="46" t="s">
        <v>3013</v>
      </c>
      <c r="R58" s="46" t="s">
        <v>3210</v>
      </c>
      <c r="S58" s="49">
        <v>47.5</v>
      </c>
      <c r="T58" s="49">
        <v>237.5</v>
      </c>
      <c r="U58" s="67">
        <v>0.36315789473684212</v>
      </c>
      <c r="V58" s="50">
        <v>0.18717948717948718</v>
      </c>
      <c r="W58" s="51">
        <v>0.35714285714285715</v>
      </c>
      <c r="X58" s="52">
        <v>23.75</v>
      </c>
      <c r="Y58" s="52">
        <v>30</v>
      </c>
      <c r="Z58" s="52">
        <v>97.5</v>
      </c>
      <c r="AA58" s="52">
        <v>151.25</v>
      </c>
      <c r="AB58" s="53">
        <v>0.63684210526315788</v>
      </c>
      <c r="AC58" s="68">
        <v>86.25</v>
      </c>
      <c r="AD58" s="55">
        <v>0.36315789473684212</v>
      </c>
      <c r="AE58" s="69">
        <v>1</v>
      </c>
      <c r="AF58" s="57" t="s">
        <v>77</v>
      </c>
      <c r="AG58" s="58">
        <v>28</v>
      </c>
      <c r="AH58" s="58">
        <v>50</v>
      </c>
      <c r="AI58" s="58">
        <v>78</v>
      </c>
      <c r="AJ58" s="49">
        <v>19.5</v>
      </c>
      <c r="AK58" s="49">
        <v>97.5</v>
      </c>
      <c r="AL58" s="52">
        <v>9.75</v>
      </c>
      <c r="AM58" s="52">
        <v>69.5</v>
      </c>
      <c r="AN58" s="52">
        <v>79.25</v>
      </c>
      <c r="AO58" s="59">
        <v>0.81282051282051282</v>
      </c>
      <c r="AP58" s="60">
        <v>18.25</v>
      </c>
      <c r="AQ58" s="61">
        <v>0.18717948717948718</v>
      </c>
      <c r="AR58" s="60" t="s">
        <v>73</v>
      </c>
      <c r="AS58" s="62">
        <v>182</v>
      </c>
      <c r="AT58" s="62">
        <v>65</v>
      </c>
      <c r="AU58" s="62">
        <v>247</v>
      </c>
      <c r="AV58" s="62">
        <v>308.75</v>
      </c>
      <c r="AW58" s="47" t="s">
        <v>74</v>
      </c>
      <c r="AX58" s="64">
        <v>45044</v>
      </c>
      <c r="AY58" s="64" t="s">
        <v>3265</v>
      </c>
      <c r="BA58" s="64"/>
      <c r="BB58" s="64"/>
      <c r="BC58" s="64"/>
      <c r="BD58" s="70" t="s">
        <v>3266</v>
      </c>
      <c r="BE58" s="46" t="e">
        <v>#REF!</v>
      </c>
      <c r="BF58" s="46" t="s">
        <v>79</v>
      </c>
      <c r="BG58" s="65">
        <v>0.25</v>
      </c>
      <c r="BH58" s="66" t="s">
        <v>3267</v>
      </c>
      <c r="BI58" s="63" t="s">
        <v>3268</v>
      </c>
    </row>
    <row r="59" spans="1:61" ht="63.75" x14ac:dyDescent="0.2">
      <c r="A59" s="45" t="s">
        <v>3269</v>
      </c>
      <c r="B59" s="46"/>
      <c r="C59" s="46" t="s">
        <v>3270</v>
      </c>
      <c r="D59" s="46" t="s">
        <v>3271</v>
      </c>
      <c r="E59" s="46" t="s">
        <v>3272</v>
      </c>
      <c r="F59" s="46" t="s">
        <v>2157</v>
      </c>
      <c r="G59" s="46" t="s">
        <v>68</v>
      </c>
      <c r="H59" s="46" t="s">
        <v>68</v>
      </c>
      <c r="I59" s="46" t="s">
        <v>68</v>
      </c>
      <c r="J59" s="46" t="s">
        <v>71</v>
      </c>
      <c r="K59" s="47">
        <v>140</v>
      </c>
      <c r="L59" s="47">
        <v>30</v>
      </c>
      <c r="M59" s="47">
        <v>170</v>
      </c>
      <c r="N59" s="46"/>
      <c r="O59" s="71" t="s">
        <v>68</v>
      </c>
      <c r="P59" s="64"/>
      <c r="Q59" s="46" t="s">
        <v>3013</v>
      </c>
      <c r="R59" s="46" t="s">
        <v>3210</v>
      </c>
      <c r="S59" s="49">
        <v>42.5</v>
      </c>
      <c r="T59" s="49">
        <v>212.5</v>
      </c>
      <c r="U59" s="67">
        <v>0.41764705882352943</v>
      </c>
      <c r="V59" s="28">
        <v>0.28620689655172415</v>
      </c>
      <c r="W59" s="51">
        <v>0.21428571428571427</v>
      </c>
      <c r="X59" s="52">
        <v>21.25</v>
      </c>
      <c r="Y59" s="52">
        <v>30</v>
      </c>
      <c r="Z59" s="52">
        <v>72.5</v>
      </c>
      <c r="AA59" s="52">
        <v>123.75</v>
      </c>
      <c r="AB59" s="53">
        <v>0.58235294117647063</v>
      </c>
      <c r="AC59" s="68">
        <v>88.75</v>
      </c>
      <c r="AD59" s="55">
        <v>0.41764705882352943</v>
      </c>
      <c r="AE59" s="69">
        <v>1</v>
      </c>
      <c r="AF59" s="57" t="s">
        <v>77</v>
      </c>
      <c r="AG59" s="58">
        <v>28</v>
      </c>
      <c r="AH59" s="58">
        <v>30</v>
      </c>
      <c r="AI59" s="58">
        <v>58</v>
      </c>
      <c r="AJ59" s="49">
        <v>14.5</v>
      </c>
      <c r="AK59" s="49">
        <v>72.5</v>
      </c>
      <c r="AL59" s="52">
        <v>7.25</v>
      </c>
      <c r="AM59" s="52">
        <v>44.5</v>
      </c>
      <c r="AN59" s="52">
        <v>51.75</v>
      </c>
      <c r="AO59" s="59">
        <v>0.71379310344827585</v>
      </c>
      <c r="AP59" s="60">
        <v>20.75</v>
      </c>
      <c r="AQ59" s="61">
        <v>0.28620689655172415</v>
      </c>
      <c r="AR59" s="60" t="s">
        <v>78</v>
      </c>
      <c r="AS59" s="62">
        <v>182</v>
      </c>
      <c r="AT59" s="62">
        <v>39</v>
      </c>
      <c r="AU59" s="62">
        <v>221</v>
      </c>
      <c r="AV59" s="62">
        <v>276.25</v>
      </c>
      <c r="AW59" s="47" t="s">
        <v>74</v>
      </c>
      <c r="AX59" s="64">
        <v>45163</v>
      </c>
      <c r="AY59" s="64" t="s">
        <v>3273</v>
      </c>
      <c r="BA59" s="64"/>
      <c r="BB59" s="64"/>
      <c r="BC59" s="64"/>
      <c r="BD59" s="70" t="s">
        <v>3274</v>
      </c>
      <c r="BE59" s="46" t="e">
        <v>#REF!</v>
      </c>
      <c r="BF59" s="46" t="s">
        <v>79</v>
      </c>
      <c r="BG59" s="65">
        <v>0.75</v>
      </c>
      <c r="BH59" s="66"/>
      <c r="BI59" s="63" t="s">
        <v>3275</v>
      </c>
    </row>
    <row r="60" spans="1:61" ht="63.75" x14ac:dyDescent="0.2">
      <c r="A60" s="45" t="s">
        <v>3276</v>
      </c>
      <c r="B60" s="46"/>
      <c r="C60" s="46" t="s">
        <v>3277</v>
      </c>
      <c r="D60" s="46" t="s">
        <v>3271</v>
      </c>
      <c r="E60" s="46" t="s">
        <v>3278</v>
      </c>
      <c r="F60" s="46" t="s">
        <v>3279</v>
      </c>
      <c r="G60" s="46" t="s">
        <v>68</v>
      </c>
      <c r="H60" s="46" t="s">
        <v>68</v>
      </c>
      <c r="I60" s="46" t="s">
        <v>68</v>
      </c>
      <c r="J60" s="46" t="s">
        <v>71</v>
      </c>
      <c r="K60" s="47">
        <v>180</v>
      </c>
      <c r="L60" s="47">
        <v>100</v>
      </c>
      <c r="M60" s="47">
        <v>280</v>
      </c>
      <c r="N60" s="46"/>
      <c r="O60" s="71" t="s">
        <v>68</v>
      </c>
      <c r="P60" s="64"/>
      <c r="Q60" s="46" t="s">
        <v>3013</v>
      </c>
      <c r="R60" s="46" t="s">
        <v>3210</v>
      </c>
      <c r="S60" s="49">
        <v>70</v>
      </c>
      <c r="T60" s="49">
        <v>350</v>
      </c>
      <c r="U60" s="67">
        <v>0.32857142857142857</v>
      </c>
      <c r="V60" s="28">
        <v>0.27894736842105261</v>
      </c>
      <c r="W60" s="51">
        <v>0.55555555555555558</v>
      </c>
      <c r="X60" s="52">
        <v>35</v>
      </c>
      <c r="Y60" s="52">
        <v>30</v>
      </c>
      <c r="Z60" s="52">
        <v>170</v>
      </c>
      <c r="AA60" s="52">
        <v>235</v>
      </c>
      <c r="AB60" s="53">
        <v>0.67142857142857137</v>
      </c>
      <c r="AC60" s="54">
        <v>115</v>
      </c>
      <c r="AD60" s="55">
        <v>0.32857142857142857</v>
      </c>
      <c r="AE60" s="56">
        <v>2</v>
      </c>
      <c r="AF60" s="57" t="s">
        <v>72</v>
      </c>
      <c r="AG60" s="58">
        <v>90</v>
      </c>
      <c r="AH60" s="58">
        <v>100</v>
      </c>
      <c r="AI60" s="58">
        <v>190</v>
      </c>
      <c r="AJ60" s="49">
        <v>47.5</v>
      </c>
      <c r="AK60" s="49">
        <v>237.5</v>
      </c>
      <c r="AL60" s="52">
        <v>23.75</v>
      </c>
      <c r="AM60" s="52">
        <v>147.5</v>
      </c>
      <c r="AN60" s="52">
        <v>171.25</v>
      </c>
      <c r="AO60" s="59">
        <v>0.72105263157894739</v>
      </c>
      <c r="AP60" s="60">
        <v>66.25</v>
      </c>
      <c r="AQ60" s="61">
        <v>0.27894736842105261</v>
      </c>
      <c r="AR60" s="60" t="s">
        <v>78</v>
      </c>
      <c r="AS60" s="62">
        <v>270</v>
      </c>
      <c r="AT60" s="62">
        <v>150</v>
      </c>
      <c r="AU60" s="62">
        <v>420</v>
      </c>
      <c r="AV60" s="62">
        <v>525</v>
      </c>
      <c r="AW60" s="47" t="s">
        <v>74</v>
      </c>
      <c r="AX60" s="64">
        <v>45163</v>
      </c>
      <c r="AY60" s="64" t="s">
        <v>3280</v>
      </c>
      <c r="BA60" s="64"/>
      <c r="BB60" s="64"/>
      <c r="BC60" s="64"/>
      <c r="BD60" s="70" t="s">
        <v>3281</v>
      </c>
      <c r="BE60" s="46" t="e">
        <v>#REF!</v>
      </c>
      <c r="BF60" s="46" t="s">
        <v>79</v>
      </c>
      <c r="BG60" s="65">
        <v>0.75</v>
      </c>
      <c r="BH60" s="66"/>
      <c r="BI60" s="63" t="s">
        <v>3282</v>
      </c>
    </row>
    <row r="61" spans="1:61" ht="63.75" x14ac:dyDescent="0.2">
      <c r="A61" s="45" t="s">
        <v>3283</v>
      </c>
      <c r="B61" s="46"/>
      <c r="C61" s="46" t="s">
        <v>3277</v>
      </c>
      <c r="D61" s="46" t="s">
        <v>3271</v>
      </c>
      <c r="E61" s="46" t="s">
        <v>3284</v>
      </c>
      <c r="F61" s="46" t="s">
        <v>3279</v>
      </c>
      <c r="G61" s="46" t="s">
        <v>68</v>
      </c>
      <c r="H61" s="46" t="s">
        <v>68</v>
      </c>
      <c r="I61" s="46" t="s">
        <v>68</v>
      </c>
      <c r="J61" s="46" t="s">
        <v>71</v>
      </c>
      <c r="K61" s="47">
        <v>300</v>
      </c>
      <c r="L61" s="47">
        <v>200</v>
      </c>
      <c r="M61" s="47">
        <v>500</v>
      </c>
      <c r="N61" s="46"/>
      <c r="O61" s="71" t="s">
        <v>68</v>
      </c>
      <c r="P61" s="64"/>
      <c r="Q61" s="46" t="s">
        <v>3013</v>
      </c>
      <c r="R61" s="46" t="s">
        <v>3210</v>
      </c>
      <c r="S61" s="49">
        <v>125</v>
      </c>
      <c r="T61" s="49">
        <v>625</v>
      </c>
      <c r="U61" s="67">
        <v>0.33200000000000002</v>
      </c>
      <c r="V61" s="67">
        <v>0.38</v>
      </c>
      <c r="W61" s="51">
        <v>0.66666666666666663</v>
      </c>
      <c r="X61" s="52">
        <v>62.5</v>
      </c>
      <c r="Y61" s="52">
        <v>30</v>
      </c>
      <c r="Z61" s="52">
        <v>325</v>
      </c>
      <c r="AA61" s="52">
        <v>417.5</v>
      </c>
      <c r="AB61" s="53">
        <v>0.66800000000000004</v>
      </c>
      <c r="AC61" s="72">
        <v>207.5</v>
      </c>
      <c r="AD61" s="55">
        <v>0.33200000000000002</v>
      </c>
      <c r="AE61" s="73">
        <v>3</v>
      </c>
      <c r="AF61" s="57" t="s">
        <v>95</v>
      </c>
      <c r="AG61" s="58">
        <v>300</v>
      </c>
      <c r="AH61" s="58">
        <v>200</v>
      </c>
      <c r="AI61" s="58">
        <v>500</v>
      </c>
      <c r="AJ61" s="49">
        <v>125</v>
      </c>
      <c r="AK61" s="49">
        <v>625</v>
      </c>
      <c r="AL61" s="52">
        <v>62.5</v>
      </c>
      <c r="AM61" s="52">
        <v>325</v>
      </c>
      <c r="AN61" s="52">
        <v>387.5</v>
      </c>
      <c r="AO61" s="59">
        <v>0.62</v>
      </c>
      <c r="AP61" s="60">
        <v>237.5</v>
      </c>
      <c r="AQ61" s="61">
        <v>0.38</v>
      </c>
      <c r="AR61" s="60" t="s">
        <v>78</v>
      </c>
      <c r="AS61" s="62">
        <v>480</v>
      </c>
      <c r="AT61" s="62">
        <v>320</v>
      </c>
      <c r="AU61" s="62">
        <v>800</v>
      </c>
      <c r="AV61" s="62">
        <v>1000</v>
      </c>
      <c r="AW61" s="47" t="s">
        <v>74</v>
      </c>
      <c r="AX61" s="64">
        <v>45163</v>
      </c>
      <c r="AY61" s="64" t="s">
        <v>3285</v>
      </c>
      <c r="BA61" s="64"/>
      <c r="BB61" s="64"/>
      <c r="BC61" s="64"/>
      <c r="BD61" s="70" t="s">
        <v>3286</v>
      </c>
      <c r="BE61" s="46" t="e">
        <v>#REF!</v>
      </c>
      <c r="BF61" s="46" t="s">
        <v>79</v>
      </c>
      <c r="BG61" s="65">
        <v>0.75</v>
      </c>
      <c r="BH61" s="66"/>
      <c r="BI61" s="63" t="s">
        <v>3287</v>
      </c>
    </row>
    <row r="62" spans="1:61" ht="25.5" x14ac:dyDescent="0.2">
      <c r="A62" s="45" t="s">
        <v>3288</v>
      </c>
      <c r="B62" s="46"/>
      <c r="C62" s="46" t="s">
        <v>3289</v>
      </c>
      <c r="D62" s="46" t="s">
        <v>3290</v>
      </c>
      <c r="E62" s="46" t="s">
        <v>68</v>
      </c>
      <c r="F62" s="46" t="s">
        <v>68</v>
      </c>
      <c r="G62" s="46" t="s">
        <v>68</v>
      </c>
      <c r="H62" s="46" t="s">
        <v>68</v>
      </c>
      <c r="I62" s="46" t="s">
        <v>68</v>
      </c>
      <c r="J62" s="46" t="s">
        <v>71</v>
      </c>
      <c r="K62" s="47">
        <v>145</v>
      </c>
      <c r="L62" s="47">
        <v>0</v>
      </c>
      <c r="M62" s="47">
        <v>145</v>
      </c>
      <c r="N62" s="46"/>
      <c r="O62" s="71" t="s">
        <v>68</v>
      </c>
      <c r="P62" s="64"/>
      <c r="Q62" s="46" t="s">
        <v>3013</v>
      </c>
      <c r="R62" s="46" t="s">
        <v>3210</v>
      </c>
      <c r="S62" s="49">
        <v>36.25</v>
      </c>
      <c r="T62" s="49">
        <v>181.25</v>
      </c>
      <c r="U62" s="67">
        <v>0.53448275862068961</v>
      </c>
      <c r="V62" s="67">
        <v>0.7</v>
      </c>
      <c r="W62" s="51">
        <v>0</v>
      </c>
      <c r="X62" s="52">
        <v>18.125</v>
      </c>
      <c r="Y62" s="52">
        <v>30</v>
      </c>
      <c r="Z62" s="52">
        <v>36.25</v>
      </c>
      <c r="AA62" s="52">
        <v>84.375</v>
      </c>
      <c r="AB62" s="53">
        <v>0.46551724137931033</v>
      </c>
      <c r="AC62" s="54">
        <v>96.875</v>
      </c>
      <c r="AD62" s="55">
        <v>0.53448275862068961</v>
      </c>
      <c r="AE62" s="69">
        <v>1</v>
      </c>
      <c r="AF62" s="57" t="s">
        <v>77</v>
      </c>
      <c r="AG62" s="58">
        <v>29</v>
      </c>
      <c r="AH62" s="58">
        <v>0</v>
      </c>
      <c r="AI62" s="58">
        <v>29</v>
      </c>
      <c r="AJ62" s="49">
        <v>7.25</v>
      </c>
      <c r="AK62" s="49">
        <v>36.25</v>
      </c>
      <c r="AL62" s="52">
        <v>3.625</v>
      </c>
      <c r="AM62" s="52">
        <v>7.25</v>
      </c>
      <c r="AN62" s="52">
        <v>10.875</v>
      </c>
      <c r="AO62" s="59">
        <v>0.3</v>
      </c>
      <c r="AP62" s="60">
        <v>25.375</v>
      </c>
      <c r="AQ62" s="61">
        <v>0.7</v>
      </c>
      <c r="AR62" s="60" t="s">
        <v>78</v>
      </c>
      <c r="AS62" s="62">
        <v>189</v>
      </c>
      <c r="AT62" s="62">
        <v>0</v>
      </c>
      <c r="AU62" s="62">
        <v>189</v>
      </c>
      <c r="AV62" s="62">
        <v>236.25</v>
      </c>
      <c r="AW62" s="63" t="s">
        <v>74</v>
      </c>
      <c r="AX62" s="64">
        <v>45128</v>
      </c>
      <c r="AY62" s="64" t="s">
        <v>3291</v>
      </c>
      <c r="BA62" s="64"/>
      <c r="BB62" s="64"/>
      <c r="BC62" s="64"/>
      <c r="BD62" s="46"/>
      <c r="BE62" s="46" t="e">
        <v>#REF!</v>
      </c>
      <c r="BF62" s="46" t="s">
        <v>79</v>
      </c>
      <c r="BG62" s="65">
        <v>0.25</v>
      </c>
      <c r="BH62" s="66"/>
      <c r="BI62" s="63" t="s">
        <v>3292</v>
      </c>
    </row>
    <row r="63" spans="1:61" ht="127.5" x14ac:dyDescent="0.2">
      <c r="A63" s="45" t="s">
        <v>3293</v>
      </c>
      <c r="B63" s="46"/>
      <c r="C63" s="46" t="s">
        <v>3294</v>
      </c>
      <c r="D63" s="46" t="s">
        <v>3295</v>
      </c>
      <c r="E63" s="46"/>
      <c r="F63" s="46"/>
      <c r="G63" s="46"/>
      <c r="H63" s="46"/>
      <c r="I63" s="46"/>
      <c r="J63" s="46" t="s">
        <v>71</v>
      </c>
      <c r="K63" s="47">
        <v>145</v>
      </c>
      <c r="L63" s="47">
        <v>85</v>
      </c>
      <c r="M63" s="47">
        <v>230</v>
      </c>
      <c r="N63" s="46"/>
      <c r="O63" s="71" t="s">
        <v>68</v>
      </c>
      <c r="P63" s="64"/>
      <c r="Q63" s="46" t="s">
        <v>3013</v>
      </c>
      <c r="R63" s="46" t="s">
        <v>3210</v>
      </c>
      <c r="S63" s="49">
        <v>57.5</v>
      </c>
      <c r="T63" s="49">
        <v>287.5</v>
      </c>
      <c r="U63" s="67">
        <v>0.3</v>
      </c>
      <c r="V63" s="50">
        <v>0.10350877192982456</v>
      </c>
      <c r="W63" s="51">
        <v>0.58620689655172409</v>
      </c>
      <c r="X63" s="52">
        <v>28.75</v>
      </c>
      <c r="Y63" s="52">
        <v>30</v>
      </c>
      <c r="Z63" s="52">
        <v>142.5</v>
      </c>
      <c r="AA63" s="52">
        <v>201.25</v>
      </c>
      <c r="AB63" s="53">
        <v>0.7</v>
      </c>
      <c r="AC63" s="68">
        <v>86.25</v>
      </c>
      <c r="AD63" s="55">
        <v>0.3</v>
      </c>
      <c r="AE63" s="69">
        <v>1</v>
      </c>
      <c r="AF63" s="57" t="s">
        <v>77</v>
      </c>
      <c r="AG63" s="58">
        <v>29</v>
      </c>
      <c r="AH63" s="58">
        <v>85</v>
      </c>
      <c r="AI63" s="58">
        <v>114</v>
      </c>
      <c r="AJ63" s="49">
        <v>28.5</v>
      </c>
      <c r="AK63" s="49">
        <v>142.5</v>
      </c>
      <c r="AL63" s="52">
        <v>14.25</v>
      </c>
      <c r="AM63" s="52">
        <v>113.5</v>
      </c>
      <c r="AN63" s="52">
        <v>127.75</v>
      </c>
      <c r="AO63" s="59">
        <v>0.89649122807017545</v>
      </c>
      <c r="AP63" s="60">
        <v>14.75</v>
      </c>
      <c r="AQ63" s="61">
        <v>0.10350877192982456</v>
      </c>
      <c r="AR63" s="60" t="s">
        <v>73</v>
      </c>
      <c r="AS63" s="62">
        <v>189</v>
      </c>
      <c r="AT63" s="62">
        <v>111</v>
      </c>
      <c r="AU63" s="62">
        <v>300</v>
      </c>
      <c r="AV63" s="62">
        <v>375</v>
      </c>
      <c r="AW63" s="63" t="s">
        <v>74</v>
      </c>
      <c r="AX63" s="64">
        <v>45365</v>
      </c>
      <c r="AY63" s="64" t="s">
        <v>3296</v>
      </c>
      <c r="BA63" s="64"/>
      <c r="BB63" s="64"/>
      <c r="BC63" s="64"/>
      <c r="BD63" s="70" t="s">
        <v>3297</v>
      </c>
      <c r="BE63" s="46" t="e">
        <v>#REF!</v>
      </c>
      <c r="BF63" s="46" t="s">
        <v>79</v>
      </c>
      <c r="BG63" s="65">
        <v>0.5</v>
      </c>
      <c r="BH63" s="66"/>
      <c r="BI63" s="63" t="s">
        <v>3298</v>
      </c>
    </row>
    <row r="64" spans="1:61" ht="25.5" x14ac:dyDescent="0.2">
      <c r="A64" s="34" t="s">
        <v>3299</v>
      </c>
      <c r="B64" s="35"/>
      <c r="C64" s="35" t="s">
        <v>68</v>
      </c>
      <c r="D64" s="35" t="s">
        <v>68</v>
      </c>
      <c r="E64" s="35" t="s">
        <v>68</v>
      </c>
      <c r="F64" s="35" t="s">
        <v>68</v>
      </c>
      <c r="G64" s="35" t="s">
        <v>68</v>
      </c>
      <c r="H64" s="35" t="s">
        <v>68</v>
      </c>
      <c r="I64" s="35" t="s">
        <v>68</v>
      </c>
      <c r="J64" s="35" t="s">
        <v>68</v>
      </c>
      <c r="K64" s="36" t="s">
        <v>68</v>
      </c>
      <c r="L64" s="36" t="s">
        <v>68</v>
      </c>
      <c r="M64" s="36" t="s">
        <v>68</v>
      </c>
      <c r="N64" s="35"/>
      <c r="O64" s="35" t="s">
        <v>68</v>
      </c>
      <c r="P64" s="37"/>
      <c r="Q64" s="38" t="s">
        <v>3013</v>
      </c>
      <c r="R64" s="38" t="s">
        <v>3300</v>
      </c>
      <c r="S64" s="36" t="s">
        <v>68</v>
      </c>
      <c r="T64" s="36" t="s">
        <v>68</v>
      </c>
      <c r="U64" s="39" t="s">
        <v>68</v>
      </c>
      <c r="V64" s="39" t="s">
        <v>68</v>
      </c>
      <c r="W64" s="40" t="s">
        <v>68</v>
      </c>
      <c r="X64" s="36" t="s">
        <v>68</v>
      </c>
      <c r="Y64" s="36" t="s">
        <v>68</v>
      </c>
      <c r="Z64" s="36" t="s">
        <v>68</v>
      </c>
      <c r="AA64" s="36" t="s">
        <v>68</v>
      </c>
      <c r="AB64" s="39" t="s">
        <v>68</v>
      </c>
      <c r="AC64" s="36" t="s">
        <v>68</v>
      </c>
      <c r="AD64" s="39" t="s">
        <v>68</v>
      </c>
      <c r="AE64" s="41"/>
      <c r="AF64" s="42" t="s">
        <v>68</v>
      </c>
      <c r="AG64" s="36" t="s">
        <v>68</v>
      </c>
      <c r="AH64" s="36" t="s">
        <v>68</v>
      </c>
      <c r="AI64" s="36" t="s">
        <v>68</v>
      </c>
      <c r="AJ64" s="36" t="s">
        <v>68</v>
      </c>
      <c r="AK64" s="36" t="s">
        <v>68</v>
      </c>
      <c r="AL64" s="36" t="s">
        <v>68</v>
      </c>
      <c r="AM64" s="36" t="s">
        <v>68</v>
      </c>
      <c r="AN64" s="36" t="s">
        <v>68</v>
      </c>
      <c r="AO64" s="43" t="s">
        <v>68</v>
      </c>
      <c r="AP64" s="36" t="s">
        <v>68</v>
      </c>
      <c r="AQ64" s="39" t="s">
        <v>68</v>
      </c>
      <c r="AR64" s="36" t="s">
        <v>68</v>
      </c>
      <c r="AS64" s="36" t="s">
        <v>68</v>
      </c>
      <c r="AT64" s="36" t="s">
        <v>68</v>
      </c>
      <c r="AU64" s="36" t="s">
        <v>68</v>
      </c>
      <c r="AV64" s="36" t="s">
        <v>68</v>
      </c>
      <c r="AW64" s="35"/>
      <c r="AX64" s="37"/>
      <c r="AY64" s="37" t="s">
        <v>68</v>
      </c>
      <c r="BA64" s="37"/>
      <c r="BB64" s="37"/>
      <c r="BC64" s="37"/>
      <c r="BD64" s="35"/>
      <c r="BE64" s="35" t="e">
        <v>#REF!</v>
      </c>
      <c r="BF64" s="35"/>
      <c r="BG64" s="44"/>
      <c r="BH64" s="38" t="s">
        <v>3301</v>
      </c>
      <c r="BI64" s="35" t="s">
        <v>68</v>
      </c>
    </row>
    <row r="65" spans="1:61" ht="25.5" x14ac:dyDescent="0.2">
      <c r="A65" s="45" t="s">
        <v>3302</v>
      </c>
      <c r="B65" s="46"/>
      <c r="C65" s="46" t="s">
        <v>3303</v>
      </c>
      <c r="D65" s="46" t="s">
        <v>3230</v>
      </c>
      <c r="E65" s="46" t="s">
        <v>3231</v>
      </c>
      <c r="F65" s="46" t="s">
        <v>68</v>
      </c>
      <c r="G65" s="46" t="s">
        <v>68</v>
      </c>
      <c r="H65" s="46" t="s">
        <v>68</v>
      </c>
      <c r="I65" s="46" t="s">
        <v>68</v>
      </c>
      <c r="J65" s="46" t="s">
        <v>71</v>
      </c>
      <c r="K65" s="47">
        <v>150</v>
      </c>
      <c r="L65" s="47">
        <v>10</v>
      </c>
      <c r="M65" s="47">
        <v>160</v>
      </c>
      <c r="N65" s="46"/>
      <c r="O65" s="71" t="s">
        <v>68</v>
      </c>
      <c r="P65" s="64"/>
      <c r="Q65" s="46" t="s">
        <v>3013</v>
      </c>
      <c r="R65" s="46" t="s">
        <v>3300</v>
      </c>
      <c r="S65" s="49">
        <v>40</v>
      </c>
      <c r="T65" s="49">
        <v>200</v>
      </c>
      <c r="U65" s="67">
        <v>0.5</v>
      </c>
      <c r="V65" s="67">
        <v>0.60588235294117643</v>
      </c>
      <c r="W65" s="51">
        <v>6.6666666666666666E-2</v>
      </c>
      <c r="X65" s="52">
        <v>20</v>
      </c>
      <c r="Y65" s="52">
        <v>30</v>
      </c>
      <c r="Z65" s="52">
        <v>50</v>
      </c>
      <c r="AA65" s="52">
        <v>100</v>
      </c>
      <c r="AB65" s="53">
        <v>0.5</v>
      </c>
      <c r="AC65" s="54">
        <v>100</v>
      </c>
      <c r="AD65" s="55">
        <v>0.5</v>
      </c>
      <c r="AE65" s="56">
        <v>2</v>
      </c>
      <c r="AF65" s="57" t="s">
        <v>72</v>
      </c>
      <c r="AG65" s="58">
        <v>75</v>
      </c>
      <c r="AH65" s="58">
        <v>10</v>
      </c>
      <c r="AI65" s="58">
        <v>85</v>
      </c>
      <c r="AJ65" s="49">
        <v>21.25</v>
      </c>
      <c r="AK65" s="49">
        <v>106.25</v>
      </c>
      <c r="AL65" s="52">
        <v>10.625</v>
      </c>
      <c r="AM65" s="52">
        <v>31.25</v>
      </c>
      <c r="AN65" s="52">
        <v>41.875</v>
      </c>
      <c r="AO65" s="59">
        <v>0.39411764705882352</v>
      </c>
      <c r="AP65" s="60">
        <v>64.375</v>
      </c>
      <c r="AQ65" s="61">
        <v>0.60588235294117643</v>
      </c>
      <c r="AR65" s="60" t="s">
        <v>78</v>
      </c>
      <c r="AS65" s="62">
        <v>225</v>
      </c>
      <c r="AT65" s="62">
        <v>15</v>
      </c>
      <c r="AU65" s="62">
        <v>240</v>
      </c>
      <c r="AV65" s="62">
        <v>300</v>
      </c>
      <c r="AW65" s="47" t="s">
        <v>74</v>
      </c>
      <c r="AX65" s="64"/>
      <c r="AY65" s="64" t="s">
        <v>3304</v>
      </c>
      <c r="BA65" s="64"/>
      <c r="BB65" s="64"/>
      <c r="BC65" s="64"/>
      <c r="BD65" s="46"/>
      <c r="BE65" s="46" t="e">
        <v>#REF!</v>
      </c>
      <c r="BF65" s="46" t="s">
        <v>79</v>
      </c>
      <c r="BG65" s="65">
        <v>0.25</v>
      </c>
      <c r="BH65" s="66" t="s">
        <v>3305</v>
      </c>
      <c r="BI65" s="63" t="s">
        <v>3306</v>
      </c>
    </row>
    <row r="66" spans="1:61" ht="25.5" x14ac:dyDescent="0.2">
      <c r="A66" s="45" t="s">
        <v>3307</v>
      </c>
      <c r="B66" s="46"/>
      <c r="C66" s="46" t="s">
        <v>3308</v>
      </c>
      <c r="D66" s="46" t="s">
        <v>692</v>
      </c>
      <c r="E66" s="46" t="s">
        <v>3309</v>
      </c>
      <c r="F66" s="46" t="s">
        <v>3231</v>
      </c>
      <c r="G66" s="46" t="s">
        <v>68</v>
      </c>
      <c r="H66" s="46" t="s">
        <v>68</v>
      </c>
      <c r="I66" s="46" t="s">
        <v>454</v>
      </c>
      <c r="J66" s="46" t="s">
        <v>71</v>
      </c>
      <c r="K66" s="47">
        <v>150</v>
      </c>
      <c r="L66" s="47">
        <v>50</v>
      </c>
      <c r="M66" s="47">
        <v>200</v>
      </c>
      <c r="N66" s="46"/>
      <c r="O66" s="71" t="s">
        <v>68</v>
      </c>
      <c r="P66" s="64"/>
      <c r="Q66" s="46" t="s">
        <v>3013</v>
      </c>
      <c r="R66" s="46" t="s">
        <v>3300</v>
      </c>
      <c r="S66" s="49">
        <v>50</v>
      </c>
      <c r="T66" s="49">
        <v>250</v>
      </c>
      <c r="U66" s="67">
        <v>0.38</v>
      </c>
      <c r="V66" s="67">
        <v>0.38</v>
      </c>
      <c r="W66" s="51">
        <v>0.33333333333333331</v>
      </c>
      <c r="X66" s="52">
        <v>25</v>
      </c>
      <c r="Y66" s="52">
        <v>30</v>
      </c>
      <c r="Z66" s="52">
        <v>100</v>
      </c>
      <c r="AA66" s="52">
        <v>155</v>
      </c>
      <c r="AB66" s="53">
        <v>0.62</v>
      </c>
      <c r="AC66" s="54">
        <v>95</v>
      </c>
      <c r="AD66" s="55">
        <v>0.38</v>
      </c>
      <c r="AE66" s="56">
        <v>2</v>
      </c>
      <c r="AF66" s="57" t="s">
        <v>72</v>
      </c>
      <c r="AG66" s="58">
        <v>75</v>
      </c>
      <c r="AH66" s="58">
        <v>50</v>
      </c>
      <c r="AI66" s="58">
        <v>125</v>
      </c>
      <c r="AJ66" s="49">
        <v>31.25</v>
      </c>
      <c r="AK66" s="49">
        <v>156.25</v>
      </c>
      <c r="AL66" s="52">
        <v>15.625</v>
      </c>
      <c r="AM66" s="52">
        <v>81.25</v>
      </c>
      <c r="AN66" s="52">
        <v>96.875</v>
      </c>
      <c r="AO66" s="59">
        <v>0.62</v>
      </c>
      <c r="AP66" s="60">
        <v>59.375</v>
      </c>
      <c r="AQ66" s="61">
        <v>0.38</v>
      </c>
      <c r="AR66" s="60" t="s">
        <v>78</v>
      </c>
      <c r="AS66" s="62">
        <v>225</v>
      </c>
      <c r="AT66" s="62">
        <v>75</v>
      </c>
      <c r="AU66" s="62">
        <v>300</v>
      </c>
      <c r="AV66" s="62">
        <v>375</v>
      </c>
      <c r="AW66" s="47" t="s">
        <v>74</v>
      </c>
      <c r="AX66" s="64"/>
      <c r="AY66" s="64" t="s">
        <v>3310</v>
      </c>
      <c r="BA66" s="64"/>
      <c r="BB66" s="64"/>
      <c r="BC66" s="64"/>
      <c r="BD66" s="46"/>
      <c r="BE66" s="46" t="e">
        <v>#REF!</v>
      </c>
      <c r="BF66" s="46" t="s">
        <v>79</v>
      </c>
      <c r="BG66" s="65">
        <v>0.75</v>
      </c>
      <c r="BH66" s="66" t="s">
        <v>3311</v>
      </c>
      <c r="BI66" s="63" t="s">
        <v>3312</v>
      </c>
    </row>
    <row r="67" spans="1:61" ht="25.5" x14ac:dyDescent="0.2">
      <c r="A67" s="45" t="s">
        <v>3313</v>
      </c>
      <c r="B67" s="46"/>
      <c r="C67" s="46" t="s">
        <v>3308</v>
      </c>
      <c r="D67" s="46" t="s">
        <v>692</v>
      </c>
      <c r="E67" s="46" t="s">
        <v>3309</v>
      </c>
      <c r="F67" s="46" t="s">
        <v>3231</v>
      </c>
      <c r="G67" s="46" t="s">
        <v>68</v>
      </c>
      <c r="H67" s="46" t="s">
        <v>68</v>
      </c>
      <c r="I67" s="46" t="s">
        <v>445</v>
      </c>
      <c r="J67" s="46" t="s">
        <v>71</v>
      </c>
      <c r="K67" s="47">
        <v>160</v>
      </c>
      <c r="L67" s="47">
        <v>100</v>
      </c>
      <c r="M67" s="47">
        <v>260</v>
      </c>
      <c r="N67" s="46"/>
      <c r="O67" s="71" t="s">
        <v>68</v>
      </c>
      <c r="P67" s="64"/>
      <c r="Q67" s="46" t="s">
        <v>3013</v>
      </c>
      <c r="R67" s="46" t="s">
        <v>3300</v>
      </c>
      <c r="S67" s="49">
        <v>65</v>
      </c>
      <c r="T67" s="49">
        <v>325</v>
      </c>
      <c r="U67" s="67">
        <v>0.3</v>
      </c>
      <c r="V67" s="28">
        <v>0.25555555555555554</v>
      </c>
      <c r="W67" s="51">
        <v>0.625</v>
      </c>
      <c r="X67" s="52">
        <v>32.5</v>
      </c>
      <c r="Y67" s="52">
        <v>30</v>
      </c>
      <c r="Z67" s="52">
        <v>165</v>
      </c>
      <c r="AA67" s="52">
        <v>227.5</v>
      </c>
      <c r="AB67" s="53">
        <v>0.7</v>
      </c>
      <c r="AC67" s="54">
        <v>97.5</v>
      </c>
      <c r="AD67" s="55">
        <v>0.3</v>
      </c>
      <c r="AE67" s="56">
        <v>2</v>
      </c>
      <c r="AF67" s="57" t="s">
        <v>72</v>
      </c>
      <c r="AG67" s="58">
        <v>80</v>
      </c>
      <c r="AH67" s="58">
        <v>100</v>
      </c>
      <c r="AI67" s="58">
        <v>180</v>
      </c>
      <c r="AJ67" s="49">
        <v>45</v>
      </c>
      <c r="AK67" s="49">
        <v>225</v>
      </c>
      <c r="AL67" s="52">
        <v>22.5</v>
      </c>
      <c r="AM67" s="52">
        <v>145</v>
      </c>
      <c r="AN67" s="52">
        <v>167.5</v>
      </c>
      <c r="AO67" s="59">
        <v>0.74444444444444446</v>
      </c>
      <c r="AP67" s="60">
        <v>57.5</v>
      </c>
      <c r="AQ67" s="61">
        <v>0.25555555555555554</v>
      </c>
      <c r="AR67" s="60" t="s">
        <v>78</v>
      </c>
      <c r="AS67" s="62">
        <v>240</v>
      </c>
      <c r="AT67" s="62">
        <v>150</v>
      </c>
      <c r="AU67" s="62">
        <v>390</v>
      </c>
      <c r="AV67" s="62">
        <v>487.5</v>
      </c>
      <c r="AW67" s="47" t="s">
        <v>74</v>
      </c>
      <c r="AX67" s="64"/>
      <c r="AY67" s="64" t="s">
        <v>3314</v>
      </c>
      <c r="BA67" s="64"/>
      <c r="BB67" s="64"/>
      <c r="BC67" s="64"/>
      <c r="BD67" s="46"/>
      <c r="BE67" s="46" t="e">
        <v>#REF!</v>
      </c>
      <c r="BF67" s="46" t="s">
        <v>79</v>
      </c>
      <c r="BG67" s="65">
        <v>0.75</v>
      </c>
      <c r="BH67" s="66" t="s">
        <v>3315</v>
      </c>
      <c r="BI67" s="63" t="s">
        <v>3316</v>
      </c>
    </row>
    <row r="68" spans="1:61" ht="38.25" x14ac:dyDescent="0.2">
      <c r="A68" s="45" t="s">
        <v>3317</v>
      </c>
      <c r="B68" s="46"/>
      <c r="C68" s="46" t="s">
        <v>3308</v>
      </c>
      <c r="D68" s="46" t="s">
        <v>692</v>
      </c>
      <c r="E68" s="46" t="s">
        <v>3309</v>
      </c>
      <c r="F68" s="46" t="s">
        <v>3231</v>
      </c>
      <c r="G68" s="46" t="s">
        <v>68</v>
      </c>
      <c r="H68" s="46" t="s">
        <v>68</v>
      </c>
      <c r="I68" s="46" t="s">
        <v>999</v>
      </c>
      <c r="J68" s="46" t="s">
        <v>71</v>
      </c>
      <c r="K68" s="47">
        <v>200</v>
      </c>
      <c r="L68" s="47">
        <v>230</v>
      </c>
      <c r="M68" s="47">
        <v>430</v>
      </c>
      <c r="N68" s="46"/>
      <c r="O68" s="71" t="s">
        <v>68</v>
      </c>
      <c r="P68" s="64"/>
      <c r="Q68" s="46" t="s">
        <v>3013</v>
      </c>
      <c r="R68" s="46" t="s">
        <v>3300</v>
      </c>
      <c r="S68" s="49">
        <v>107.5</v>
      </c>
      <c r="T68" s="49">
        <v>537.5</v>
      </c>
      <c r="U68" s="28">
        <v>0.21627906976744185</v>
      </c>
      <c r="V68" s="50">
        <v>0.14242424242424243</v>
      </c>
      <c r="W68" s="74">
        <v>1.1499999999999999</v>
      </c>
      <c r="X68" s="52">
        <v>53.75</v>
      </c>
      <c r="Y68" s="52">
        <v>30</v>
      </c>
      <c r="Z68" s="52">
        <v>337.5</v>
      </c>
      <c r="AA68" s="52">
        <v>421.25</v>
      </c>
      <c r="AB68" s="53">
        <v>0.78372093023255818</v>
      </c>
      <c r="AC68" s="54">
        <v>116.25</v>
      </c>
      <c r="AD68" s="55">
        <v>0.21627906976744185</v>
      </c>
      <c r="AE68" s="56">
        <v>2</v>
      </c>
      <c r="AF68" s="57" t="s">
        <v>72</v>
      </c>
      <c r="AG68" s="58">
        <v>100</v>
      </c>
      <c r="AH68" s="58">
        <v>230</v>
      </c>
      <c r="AI68" s="58">
        <v>330</v>
      </c>
      <c r="AJ68" s="49">
        <v>82.5</v>
      </c>
      <c r="AK68" s="49">
        <v>412.5</v>
      </c>
      <c r="AL68" s="52">
        <v>41.25</v>
      </c>
      <c r="AM68" s="52">
        <v>312.5</v>
      </c>
      <c r="AN68" s="52">
        <v>353.75</v>
      </c>
      <c r="AO68" s="59">
        <v>0.85757575757575755</v>
      </c>
      <c r="AP68" s="60">
        <v>58.75</v>
      </c>
      <c r="AQ68" s="61">
        <v>0.14242424242424243</v>
      </c>
      <c r="AR68" s="60" t="s">
        <v>73</v>
      </c>
      <c r="AS68" s="62">
        <v>300</v>
      </c>
      <c r="AT68" s="62">
        <v>345</v>
      </c>
      <c r="AU68" s="62">
        <v>645</v>
      </c>
      <c r="AV68" s="62">
        <v>806.25</v>
      </c>
      <c r="AW68" s="47" t="s">
        <v>74</v>
      </c>
      <c r="AX68" s="64">
        <v>45142</v>
      </c>
      <c r="AY68" s="64" t="s">
        <v>3318</v>
      </c>
      <c r="BA68" s="64"/>
      <c r="BB68" s="64"/>
      <c r="BC68" s="64"/>
      <c r="BD68" s="70" t="s">
        <v>3319</v>
      </c>
      <c r="BE68" s="46" t="e">
        <v>#REF!</v>
      </c>
      <c r="BF68" s="46" t="s">
        <v>79</v>
      </c>
      <c r="BG68" s="65">
        <v>0.75</v>
      </c>
      <c r="BH68" s="66" t="s">
        <v>3320</v>
      </c>
      <c r="BI68" s="63" t="s">
        <v>3321</v>
      </c>
    </row>
    <row r="69" spans="1:61" ht="25.5" x14ac:dyDescent="0.2">
      <c r="A69" s="45" t="s">
        <v>3322</v>
      </c>
      <c r="B69" s="46"/>
      <c r="C69" s="46" t="s">
        <v>3308</v>
      </c>
      <c r="D69" s="46" t="s">
        <v>3323</v>
      </c>
      <c r="E69" s="46" t="s">
        <v>3309</v>
      </c>
      <c r="F69" s="46" t="s">
        <v>3231</v>
      </c>
      <c r="G69" s="46" t="s">
        <v>68</v>
      </c>
      <c r="H69" s="46" t="s">
        <v>68</v>
      </c>
      <c r="I69" s="46" t="s">
        <v>454</v>
      </c>
      <c r="J69" s="46" t="s">
        <v>71</v>
      </c>
      <c r="K69" s="47">
        <v>150</v>
      </c>
      <c r="L69" s="47">
        <v>70</v>
      </c>
      <c r="M69" s="47">
        <v>220</v>
      </c>
      <c r="N69" s="46"/>
      <c r="O69" s="71" t="s">
        <v>68</v>
      </c>
      <c r="P69" s="64"/>
      <c r="Q69" s="46" t="s">
        <v>3013</v>
      </c>
      <c r="R69" s="46" t="s">
        <v>3300</v>
      </c>
      <c r="S69" s="49">
        <v>55</v>
      </c>
      <c r="T69" s="49">
        <v>275</v>
      </c>
      <c r="U69" s="67">
        <v>0.33636363636363636</v>
      </c>
      <c r="V69" s="67">
        <v>0.31379310344827588</v>
      </c>
      <c r="W69" s="51">
        <v>0.46666666666666667</v>
      </c>
      <c r="X69" s="52">
        <v>27.5</v>
      </c>
      <c r="Y69" s="52">
        <v>30</v>
      </c>
      <c r="Z69" s="52">
        <v>125</v>
      </c>
      <c r="AA69" s="52">
        <v>182.5</v>
      </c>
      <c r="AB69" s="53">
        <v>0.66363636363636369</v>
      </c>
      <c r="AC69" s="54">
        <v>92.5</v>
      </c>
      <c r="AD69" s="55">
        <v>0.33636363636363636</v>
      </c>
      <c r="AE69" s="56">
        <v>2</v>
      </c>
      <c r="AF69" s="57" t="s">
        <v>72</v>
      </c>
      <c r="AG69" s="58">
        <v>75</v>
      </c>
      <c r="AH69" s="58">
        <v>70</v>
      </c>
      <c r="AI69" s="58">
        <v>145</v>
      </c>
      <c r="AJ69" s="49">
        <v>36.25</v>
      </c>
      <c r="AK69" s="49">
        <v>181.25</v>
      </c>
      <c r="AL69" s="52">
        <v>18.125</v>
      </c>
      <c r="AM69" s="52">
        <v>106.25</v>
      </c>
      <c r="AN69" s="52">
        <v>124.375</v>
      </c>
      <c r="AO69" s="59">
        <v>0.68620689655172418</v>
      </c>
      <c r="AP69" s="60">
        <v>56.875</v>
      </c>
      <c r="AQ69" s="61">
        <v>0.31379310344827588</v>
      </c>
      <c r="AR69" s="60" t="s">
        <v>78</v>
      </c>
      <c r="AS69" s="62">
        <v>225</v>
      </c>
      <c r="AT69" s="62">
        <v>105</v>
      </c>
      <c r="AU69" s="62">
        <v>330</v>
      </c>
      <c r="AV69" s="62">
        <v>412.5</v>
      </c>
      <c r="AW69" s="47" t="s">
        <v>74</v>
      </c>
      <c r="AX69" s="64"/>
      <c r="AY69" s="64" t="s">
        <v>3324</v>
      </c>
      <c r="BA69" s="64"/>
      <c r="BB69" s="64"/>
      <c r="BC69" s="64"/>
      <c r="BD69" s="46"/>
      <c r="BE69" s="46" t="e">
        <v>#REF!</v>
      </c>
      <c r="BF69" s="46" t="s">
        <v>79</v>
      </c>
      <c r="BG69" s="65">
        <v>0.5</v>
      </c>
      <c r="BH69" s="66" t="s">
        <v>3325</v>
      </c>
      <c r="BI69" s="63" t="s">
        <v>3326</v>
      </c>
    </row>
    <row r="70" spans="1:61" ht="25.5" x14ac:dyDescent="0.2">
      <c r="A70" s="45" t="s">
        <v>3327</v>
      </c>
      <c r="B70" s="46"/>
      <c r="C70" s="46" t="s">
        <v>3308</v>
      </c>
      <c r="D70" s="46" t="s">
        <v>3323</v>
      </c>
      <c r="E70" s="46" t="s">
        <v>3309</v>
      </c>
      <c r="F70" s="46" t="s">
        <v>3231</v>
      </c>
      <c r="G70" s="46" t="s">
        <v>68</v>
      </c>
      <c r="H70" s="46" t="s">
        <v>68</v>
      </c>
      <c r="I70" s="46" t="s">
        <v>445</v>
      </c>
      <c r="J70" s="46" t="s">
        <v>71</v>
      </c>
      <c r="K70" s="47">
        <v>180</v>
      </c>
      <c r="L70" s="47">
        <v>140</v>
      </c>
      <c r="M70" s="47">
        <v>320</v>
      </c>
      <c r="N70" s="46"/>
      <c r="O70" s="71" t="s">
        <v>68</v>
      </c>
      <c r="P70" s="64"/>
      <c r="Q70" s="46" t="s">
        <v>3013</v>
      </c>
      <c r="R70" s="46" t="s">
        <v>3300</v>
      </c>
      <c r="S70" s="49">
        <v>80</v>
      </c>
      <c r="T70" s="49">
        <v>400</v>
      </c>
      <c r="U70" s="28">
        <v>0.27500000000000002</v>
      </c>
      <c r="V70" s="28">
        <v>0.21304347826086956</v>
      </c>
      <c r="W70" s="51">
        <v>0.77777777777777779</v>
      </c>
      <c r="X70" s="52">
        <v>40</v>
      </c>
      <c r="Y70" s="52">
        <v>30</v>
      </c>
      <c r="Z70" s="52">
        <v>220</v>
      </c>
      <c r="AA70" s="52">
        <v>290</v>
      </c>
      <c r="AB70" s="53">
        <v>0.72499999999999998</v>
      </c>
      <c r="AC70" s="54">
        <v>110</v>
      </c>
      <c r="AD70" s="55">
        <v>0.27500000000000002</v>
      </c>
      <c r="AE70" s="56">
        <v>2</v>
      </c>
      <c r="AF70" s="57" t="s">
        <v>72</v>
      </c>
      <c r="AG70" s="58">
        <v>90</v>
      </c>
      <c r="AH70" s="58">
        <v>140</v>
      </c>
      <c r="AI70" s="58">
        <v>230</v>
      </c>
      <c r="AJ70" s="49">
        <v>57.5</v>
      </c>
      <c r="AK70" s="49">
        <v>287.5</v>
      </c>
      <c r="AL70" s="52">
        <v>28.75</v>
      </c>
      <c r="AM70" s="52">
        <v>197.5</v>
      </c>
      <c r="AN70" s="52">
        <v>226.25</v>
      </c>
      <c r="AO70" s="59">
        <v>0.78695652173913044</v>
      </c>
      <c r="AP70" s="60">
        <v>61.25</v>
      </c>
      <c r="AQ70" s="61">
        <v>0.21304347826086956</v>
      </c>
      <c r="AR70" s="60" t="s">
        <v>78</v>
      </c>
      <c r="AS70" s="62">
        <v>270</v>
      </c>
      <c r="AT70" s="62">
        <v>210</v>
      </c>
      <c r="AU70" s="62">
        <v>480</v>
      </c>
      <c r="AV70" s="62">
        <v>600</v>
      </c>
      <c r="AW70" s="47" t="s">
        <v>74</v>
      </c>
      <c r="AX70" s="64"/>
      <c r="AY70" s="64" t="s">
        <v>3328</v>
      </c>
      <c r="BA70" s="64"/>
      <c r="BB70" s="64"/>
      <c r="BC70" s="64"/>
      <c r="BD70" s="46"/>
      <c r="BE70" s="46" t="e">
        <v>#REF!</v>
      </c>
      <c r="BF70" s="46" t="s">
        <v>79</v>
      </c>
      <c r="BG70" s="65">
        <v>0.5</v>
      </c>
      <c r="BH70" s="66" t="s">
        <v>3329</v>
      </c>
      <c r="BI70" s="63" t="s">
        <v>3330</v>
      </c>
    </row>
    <row r="71" spans="1:61" ht="25.5" x14ac:dyDescent="0.2">
      <c r="A71" s="45" t="s">
        <v>3331</v>
      </c>
      <c r="B71" s="46"/>
      <c r="C71" s="46" t="s">
        <v>3308</v>
      </c>
      <c r="D71" s="46" t="s">
        <v>3323</v>
      </c>
      <c r="E71" s="46" t="s">
        <v>3309</v>
      </c>
      <c r="F71" s="46" t="s">
        <v>3231</v>
      </c>
      <c r="G71" s="46" t="s">
        <v>68</v>
      </c>
      <c r="H71" s="46" t="s">
        <v>68</v>
      </c>
      <c r="I71" s="46" t="s">
        <v>999</v>
      </c>
      <c r="J71" s="46" t="s">
        <v>71</v>
      </c>
      <c r="K71" s="47">
        <v>210</v>
      </c>
      <c r="L71" s="47">
        <v>270</v>
      </c>
      <c r="M71" s="47">
        <v>480</v>
      </c>
      <c r="N71" s="46"/>
      <c r="O71" s="71" t="s">
        <v>68</v>
      </c>
      <c r="P71" s="64"/>
      <c r="Q71" s="46" t="s">
        <v>3013</v>
      </c>
      <c r="R71" s="46" t="s">
        <v>3300</v>
      </c>
      <c r="S71" s="49">
        <v>120</v>
      </c>
      <c r="T71" s="49">
        <v>600</v>
      </c>
      <c r="U71" s="28">
        <v>0.2</v>
      </c>
      <c r="V71" s="50">
        <v>0.124</v>
      </c>
      <c r="W71" s="74">
        <v>1.2857142857142858</v>
      </c>
      <c r="X71" s="52">
        <v>60</v>
      </c>
      <c r="Y71" s="52">
        <v>30</v>
      </c>
      <c r="Z71" s="52">
        <v>390</v>
      </c>
      <c r="AA71" s="52">
        <v>480</v>
      </c>
      <c r="AB71" s="53">
        <v>0.8</v>
      </c>
      <c r="AC71" s="54">
        <v>120</v>
      </c>
      <c r="AD71" s="55">
        <v>0.2</v>
      </c>
      <c r="AE71" s="56">
        <v>2</v>
      </c>
      <c r="AF71" s="57" t="s">
        <v>72</v>
      </c>
      <c r="AG71" s="58">
        <v>105</v>
      </c>
      <c r="AH71" s="58">
        <v>270</v>
      </c>
      <c r="AI71" s="58">
        <v>375</v>
      </c>
      <c r="AJ71" s="49">
        <v>93.75</v>
      </c>
      <c r="AK71" s="49">
        <v>468.75</v>
      </c>
      <c r="AL71" s="52">
        <v>46.875</v>
      </c>
      <c r="AM71" s="52">
        <v>363.75</v>
      </c>
      <c r="AN71" s="52">
        <v>410.625</v>
      </c>
      <c r="AO71" s="59">
        <v>0.876</v>
      </c>
      <c r="AP71" s="60">
        <v>58.125</v>
      </c>
      <c r="AQ71" s="61">
        <v>0.124</v>
      </c>
      <c r="AR71" s="60" t="s">
        <v>73</v>
      </c>
      <c r="AS71" s="62">
        <v>315</v>
      </c>
      <c r="AT71" s="62">
        <v>405</v>
      </c>
      <c r="AU71" s="62">
        <v>720</v>
      </c>
      <c r="AV71" s="62">
        <v>900</v>
      </c>
      <c r="AW71" s="47" t="s">
        <v>74</v>
      </c>
      <c r="AX71" s="64"/>
      <c r="AY71" s="64" t="s">
        <v>3332</v>
      </c>
      <c r="BA71" s="64"/>
      <c r="BB71" s="64"/>
      <c r="BC71" s="64"/>
      <c r="BD71" s="46"/>
      <c r="BE71" s="46" t="e">
        <v>#REF!</v>
      </c>
      <c r="BF71" s="46" t="s">
        <v>79</v>
      </c>
      <c r="BG71" s="65">
        <v>0.5</v>
      </c>
      <c r="BH71" s="66" t="s">
        <v>3333</v>
      </c>
      <c r="BI71" s="63" t="s">
        <v>3334</v>
      </c>
    </row>
    <row r="72" spans="1:61" ht="38.25" x14ac:dyDescent="0.2">
      <c r="A72" s="45" t="s">
        <v>3335</v>
      </c>
      <c r="B72" s="46"/>
      <c r="C72" s="46" t="s">
        <v>3308</v>
      </c>
      <c r="D72" s="46" t="s">
        <v>3336</v>
      </c>
      <c r="E72" s="46" t="s">
        <v>3337</v>
      </c>
      <c r="F72" s="46" t="s">
        <v>3231</v>
      </c>
      <c r="G72" s="46" t="s">
        <v>68</v>
      </c>
      <c r="H72" s="46" t="s">
        <v>68</v>
      </c>
      <c r="I72" s="46" t="s">
        <v>454</v>
      </c>
      <c r="J72" s="46" t="s">
        <v>71</v>
      </c>
      <c r="K72" s="47">
        <v>150</v>
      </c>
      <c r="L72" s="47">
        <v>80</v>
      </c>
      <c r="M72" s="47">
        <v>230</v>
      </c>
      <c r="N72" s="46"/>
      <c r="O72" s="71" t="s">
        <v>68</v>
      </c>
      <c r="P72" s="64"/>
      <c r="Q72" s="46" t="s">
        <v>3013</v>
      </c>
      <c r="R72" s="46" t="s">
        <v>3300</v>
      </c>
      <c r="S72" s="49">
        <v>57.5</v>
      </c>
      <c r="T72" s="49">
        <v>287.5</v>
      </c>
      <c r="U72" s="67">
        <v>0.31739130434782609</v>
      </c>
      <c r="V72" s="28">
        <v>0.2870967741935484</v>
      </c>
      <c r="W72" s="51">
        <v>0.53333333333333333</v>
      </c>
      <c r="X72" s="52">
        <v>28.75</v>
      </c>
      <c r="Y72" s="52">
        <v>30</v>
      </c>
      <c r="Z72" s="52">
        <v>137.5</v>
      </c>
      <c r="AA72" s="52">
        <v>196.25</v>
      </c>
      <c r="AB72" s="53">
        <v>0.68260869565217386</v>
      </c>
      <c r="AC72" s="54">
        <v>91.25</v>
      </c>
      <c r="AD72" s="55">
        <v>0.31739130434782609</v>
      </c>
      <c r="AE72" s="56">
        <v>2</v>
      </c>
      <c r="AF72" s="57" t="s">
        <v>72</v>
      </c>
      <c r="AG72" s="58">
        <v>75</v>
      </c>
      <c r="AH72" s="58">
        <v>80</v>
      </c>
      <c r="AI72" s="58">
        <v>155</v>
      </c>
      <c r="AJ72" s="49">
        <v>38.75</v>
      </c>
      <c r="AK72" s="49">
        <v>193.75</v>
      </c>
      <c r="AL72" s="52">
        <v>19.375</v>
      </c>
      <c r="AM72" s="52">
        <v>118.75</v>
      </c>
      <c r="AN72" s="52">
        <v>138.125</v>
      </c>
      <c r="AO72" s="59">
        <v>0.7129032258064516</v>
      </c>
      <c r="AP72" s="60">
        <v>55.625</v>
      </c>
      <c r="AQ72" s="61">
        <v>0.2870967741935484</v>
      </c>
      <c r="AR72" s="60" t="s">
        <v>78</v>
      </c>
      <c r="AS72" s="62">
        <v>225</v>
      </c>
      <c r="AT72" s="62">
        <v>120</v>
      </c>
      <c r="AU72" s="62">
        <v>345</v>
      </c>
      <c r="AV72" s="62">
        <v>431.25</v>
      </c>
      <c r="AW72" s="47" t="s">
        <v>74</v>
      </c>
      <c r="AX72" s="64">
        <v>45028</v>
      </c>
      <c r="AY72" s="64" t="s">
        <v>3338</v>
      </c>
      <c r="BA72" s="64"/>
      <c r="BB72" s="64"/>
      <c r="BC72" s="64"/>
      <c r="BD72" s="70" t="s">
        <v>3339</v>
      </c>
      <c r="BE72" s="46" t="e">
        <v>#REF!</v>
      </c>
      <c r="BF72" s="46" t="s">
        <v>79</v>
      </c>
      <c r="BG72" s="65">
        <v>0.75</v>
      </c>
      <c r="BH72" s="66" t="s">
        <v>3340</v>
      </c>
      <c r="BI72" s="63" t="s">
        <v>3341</v>
      </c>
    </row>
    <row r="73" spans="1:61" ht="38.25" x14ac:dyDescent="0.2">
      <c r="A73" s="45" t="s">
        <v>3342</v>
      </c>
      <c r="B73" s="46"/>
      <c r="C73" s="46" t="s">
        <v>3308</v>
      </c>
      <c r="D73" s="46" t="s">
        <v>3336</v>
      </c>
      <c r="E73" s="46" t="s">
        <v>3337</v>
      </c>
      <c r="F73" s="46" t="s">
        <v>3231</v>
      </c>
      <c r="G73" s="46" t="s">
        <v>68</v>
      </c>
      <c r="H73" s="46" t="s">
        <v>68</v>
      </c>
      <c r="I73" s="46" t="s">
        <v>445</v>
      </c>
      <c r="J73" s="46" t="s">
        <v>71</v>
      </c>
      <c r="K73" s="47">
        <v>180</v>
      </c>
      <c r="L73" s="47">
        <v>130</v>
      </c>
      <c r="M73" s="47">
        <v>310</v>
      </c>
      <c r="N73" s="46"/>
      <c r="O73" s="71" t="s">
        <v>68</v>
      </c>
      <c r="P73" s="64"/>
      <c r="Q73" s="46" t="s">
        <v>3013</v>
      </c>
      <c r="R73" s="46" t="s">
        <v>3300</v>
      </c>
      <c r="S73" s="49">
        <v>77.5</v>
      </c>
      <c r="T73" s="49">
        <v>387.5</v>
      </c>
      <c r="U73" s="28">
        <v>0.2870967741935484</v>
      </c>
      <c r="V73" s="28">
        <v>0.22727272727272727</v>
      </c>
      <c r="W73" s="51">
        <v>0.72222222222222221</v>
      </c>
      <c r="X73" s="52">
        <v>38.75</v>
      </c>
      <c r="Y73" s="52">
        <v>30</v>
      </c>
      <c r="Z73" s="52">
        <v>207.5</v>
      </c>
      <c r="AA73" s="52">
        <v>276.25</v>
      </c>
      <c r="AB73" s="53">
        <v>0.7129032258064516</v>
      </c>
      <c r="AC73" s="54">
        <v>111.25</v>
      </c>
      <c r="AD73" s="55">
        <v>0.2870967741935484</v>
      </c>
      <c r="AE73" s="56">
        <v>2</v>
      </c>
      <c r="AF73" s="57" t="s">
        <v>72</v>
      </c>
      <c r="AG73" s="58">
        <v>90</v>
      </c>
      <c r="AH73" s="58">
        <v>130</v>
      </c>
      <c r="AI73" s="58">
        <v>220</v>
      </c>
      <c r="AJ73" s="49">
        <v>55</v>
      </c>
      <c r="AK73" s="49">
        <v>275</v>
      </c>
      <c r="AL73" s="52">
        <v>27.5</v>
      </c>
      <c r="AM73" s="52">
        <v>185</v>
      </c>
      <c r="AN73" s="52">
        <v>212.5</v>
      </c>
      <c r="AO73" s="59">
        <v>0.77272727272727271</v>
      </c>
      <c r="AP73" s="60">
        <v>62.5</v>
      </c>
      <c r="AQ73" s="61">
        <v>0.22727272727272727</v>
      </c>
      <c r="AR73" s="60" t="s">
        <v>78</v>
      </c>
      <c r="AS73" s="62">
        <v>270</v>
      </c>
      <c r="AT73" s="62">
        <v>195</v>
      </c>
      <c r="AU73" s="62">
        <v>465</v>
      </c>
      <c r="AV73" s="62">
        <v>581.25</v>
      </c>
      <c r="AW73" s="47" t="s">
        <v>74</v>
      </c>
      <c r="AX73" s="64">
        <v>45028</v>
      </c>
      <c r="AY73" s="64" t="s">
        <v>3343</v>
      </c>
      <c r="BA73" s="64"/>
      <c r="BB73" s="64"/>
      <c r="BC73" s="64"/>
      <c r="BD73" s="70" t="s">
        <v>3344</v>
      </c>
      <c r="BE73" s="46" t="e">
        <v>#REF!</v>
      </c>
      <c r="BF73" s="46" t="s">
        <v>79</v>
      </c>
      <c r="BG73" s="65">
        <v>0.75</v>
      </c>
      <c r="BH73" s="66" t="s">
        <v>3345</v>
      </c>
      <c r="BI73" s="63" t="s">
        <v>3346</v>
      </c>
    </row>
    <row r="74" spans="1:61" ht="38.25" x14ac:dyDescent="0.2">
      <c r="A74" s="45" t="s">
        <v>3347</v>
      </c>
      <c r="B74" s="46"/>
      <c r="C74" s="46" t="s">
        <v>3308</v>
      </c>
      <c r="D74" s="46" t="s">
        <v>3336</v>
      </c>
      <c r="E74" s="46" t="s">
        <v>3337</v>
      </c>
      <c r="F74" s="46" t="s">
        <v>3231</v>
      </c>
      <c r="G74" s="46" t="s">
        <v>68</v>
      </c>
      <c r="H74" s="46" t="s">
        <v>68</v>
      </c>
      <c r="I74" s="46" t="s">
        <v>999</v>
      </c>
      <c r="J74" s="46" t="s">
        <v>71</v>
      </c>
      <c r="K74" s="47">
        <v>205</v>
      </c>
      <c r="L74" s="47">
        <v>250</v>
      </c>
      <c r="M74" s="47">
        <v>455</v>
      </c>
      <c r="N74" s="46"/>
      <c r="O74" s="71" t="s">
        <v>68</v>
      </c>
      <c r="P74" s="64"/>
      <c r="Q74" s="46" t="s">
        <v>3013</v>
      </c>
      <c r="R74" s="46" t="s">
        <v>3300</v>
      </c>
      <c r="S74" s="49">
        <v>113.75</v>
      </c>
      <c r="T74" s="49">
        <v>568.75</v>
      </c>
      <c r="U74" s="28">
        <v>0.2076923076923077</v>
      </c>
      <c r="V74" s="50">
        <v>0.1326241134751773</v>
      </c>
      <c r="W74" s="74">
        <v>1.2195121951219512</v>
      </c>
      <c r="X74" s="52">
        <v>56.875</v>
      </c>
      <c r="Y74" s="52">
        <v>30</v>
      </c>
      <c r="Z74" s="52">
        <v>363.75</v>
      </c>
      <c r="AA74" s="52">
        <v>450.625</v>
      </c>
      <c r="AB74" s="53">
        <v>0.79230769230769227</v>
      </c>
      <c r="AC74" s="54">
        <v>118.125</v>
      </c>
      <c r="AD74" s="55">
        <v>0.2076923076923077</v>
      </c>
      <c r="AE74" s="56">
        <v>2</v>
      </c>
      <c r="AF74" s="57" t="s">
        <v>72</v>
      </c>
      <c r="AG74" s="58">
        <v>102.5</v>
      </c>
      <c r="AH74" s="58">
        <v>250</v>
      </c>
      <c r="AI74" s="58">
        <v>352.5</v>
      </c>
      <c r="AJ74" s="49">
        <v>88.125</v>
      </c>
      <c r="AK74" s="49">
        <v>440.625</v>
      </c>
      <c r="AL74" s="52">
        <v>44.0625</v>
      </c>
      <c r="AM74" s="52">
        <v>338.125</v>
      </c>
      <c r="AN74" s="52">
        <v>382.1875</v>
      </c>
      <c r="AO74" s="59">
        <v>0.86737588652482267</v>
      </c>
      <c r="AP74" s="60">
        <v>58.4375</v>
      </c>
      <c r="AQ74" s="61">
        <v>0.1326241134751773</v>
      </c>
      <c r="AR74" s="60" t="s">
        <v>73</v>
      </c>
      <c r="AS74" s="62">
        <v>308</v>
      </c>
      <c r="AT74" s="62">
        <v>375</v>
      </c>
      <c r="AU74" s="62">
        <v>683</v>
      </c>
      <c r="AV74" s="62">
        <v>853.75</v>
      </c>
      <c r="AW74" s="47" t="s">
        <v>74</v>
      </c>
      <c r="AX74" s="64">
        <v>45028</v>
      </c>
      <c r="AY74" s="64" t="s">
        <v>3348</v>
      </c>
      <c r="BA74" s="64"/>
      <c r="BB74" s="64"/>
      <c r="BC74" s="64"/>
      <c r="BD74" s="70" t="s">
        <v>3349</v>
      </c>
      <c r="BE74" s="46" t="e">
        <v>#REF!</v>
      </c>
      <c r="BF74" s="46" t="s">
        <v>79</v>
      </c>
      <c r="BG74" s="65">
        <v>0.75</v>
      </c>
      <c r="BH74" s="66" t="s">
        <v>3350</v>
      </c>
      <c r="BI74" s="63" t="s">
        <v>3351</v>
      </c>
    </row>
    <row r="75" spans="1:61" ht="25.5" x14ac:dyDescent="0.2">
      <c r="A75" s="45" t="s">
        <v>3352</v>
      </c>
      <c r="B75" s="46"/>
      <c r="C75" s="46" t="s">
        <v>3308</v>
      </c>
      <c r="D75" s="46" t="s">
        <v>676</v>
      </c>
      <c r="E75" s="46" t="s">
        <v>3353</v>
      </c>
      <c r="F75" s="46" t="s">
        <v>3231</v>
      </c>
      <c r="G75" s="46" t="s">
        <v>68</v>
      </c>
      <c r="H75" s="46" t="s">
        <v>68</v>
      </c>
      <c r="I75" s="46" t="s">
        <v>454</v>
      </c>
      <c r="J75" s="46" t="s">
        <v>71</v>
      </c>
      <c r="K75" s="47">
        <v>145</v>
      </c>
      <c r="L75" s="47">
        <v>40</v>
      </c>
      <c r="M75" s="47">
        <v>185</v>
      </c>
      <c r="N75" s="46"/>
      <c r="O75" s="71" t="s">
        <v>68</v>
      </c>
      <c r="P75" s="64"/>
      <c r="Q75" s="46" t="s">
        <v>3013</v>
      </c>
      <c r="R75" s="46" t="s">
        <v>3300</v>
      </c>
      <c r="S75" s="49">
        <v>46.25</v>
      </c>
      <c r="T75" s="49">
        <v>231.25</v>
      </c>
      <c r="U75" s="67">
        <v>0.39729729729729729</v>
      </c>
      <c r="V75" s="67">
        <v>0.41555555555555557</v>
      </c>
      <c r="W75" s="51">
        <v>0.27586206896551724</v>
      </c>
      <c r="X75" s="52">
        <v>23.125</v>
      </c>
      <c r="Y75" s="52">
        <v>30</v>
      </c>
      <c r="Z75" s="52">
        <v>86.25</v>
      </c>
      <c r="AA75" s="52">
        <v>139.375</v>
      </c>
      <c r="AB75" s="53">
        <v>0.60270270270270265</v>
      </c>
      <c r="AC75" s="54">
        <v>91.875</v>
      </c>
      <c r="AD75" s="55">
        <v>0.39729729729729729</v>
      </c>
      <c r="AE75" s="56">
        <v>2</v>
      </c>
      <c r="AF75" s="57" t="s">
        <v>72</v>
      </c>
      <c r="AG75" s="58">
        <v>72.5</v>
      </c>
      <c r="AH75" s="58">
        <v>40</v>
      </c>
      <c r="AI75" s="58">
        <v>112.5</v>
      </c>
      <c r="AJ75" s="49">
        <v>28.125</v>
      </c>
      <c r="AK75" s="49">
        <v>140.625</v>
      </c>
      <c r="AL75" s="52">
        <v>14.0625</v>
      </c>
      <c r="AM75" s="52">
        <v>68.125</v>
      </c>
      <c r="AN75" s="52">
        <v>82.1875</v>
      </c>
      <c r="AO75" s="59">
        <v>0.58444444444444443</v>
      </c>
      <c r="AP75" s="60">
        <v>58.4375</v>
      </c>
      <c r="AQ75" s="61">
        <v>0.41555555555555557</v>
      </c>
      <c r="AR75" s="60" t="s">
        <v>78</v>
      </c>
      <c r="AS75" s="62">
        <v>218</v>
      </c>
      <c r="AT75" s="62">
        <v>60</v>
      </c>
      <c r="AU75" s="62">
        <v>278</v>
      </c>
      <c r="AV75" s="62">
        <v>347.5</v>
      </c>
      <c r="AW75" s="47" t="s">
        <v>74</v>
      </c>
      <c r="AX75" s="64">
        <v>45028</v>
      </c>
      <c r="AY75" s="64" t="s">
        <v>3354</v>
      </c>
      <c r="BA75" s="64"/>
      <c r="BB75" s="64"/>
      <c r="BC75" s="64"/>
      <c r="BD75" s="70" t="s">
        <v>3355</v>
      </c>
      <c r="BE75" s="46" t="e">
        <v>#REF!</v>
      </c>
      <c r="BF75" s="46" t="s">
        <v>79</v>
      </c>
      <c r="BG75" s="65">
        <v>0.75</v>
      </c>
      <c r="BH75" s="66" t="s">
        <v>3356</v>
      </c>
      <c r="BI75" s="63" t="s">
        <v>3357</v>
      </c>
    </row>
    <row r="76" spans="1:61" ht="25.5" x14ac:dyDescent="0.2">
      <c r="A76" s="45" t="s">
        <v>3358</v>
      </c>
      <c r="B76" s="46"/>
      <c r="C76" s="46" t="s">
        <v>3308</v>
      </c>
      <c r="D76" s="46" t="s">
        <v>676</v>
      </c>
      <c r="E76" s="46" t="s">
        <v>3353</v>
      </c>
      <c r="F76" s="46" t="s">
        <v>3231</v>
      </c>
      <c r="G76" s="46" t="s">
        <v>68</v>
      </c>
      <c r="H76" s="46" t="s">
        <v>68</v>
      </c>
      <c r="I76" s="46" t="s">
        <v>445</v>
      </c>
      <c r="J76" s="46" t="s">
        <v>71</v>
      </c>
      <c r="K76" s="47">
        <v>160</v>
      </c>
      <c r="L76" s="47">
        <v>100</v>
      </c>
      <c r="M76" s="47">
        <v>260</v>
      </c>
      <c r="N76" s="46"/>
      <c r="O76" s="71" t="s">
        <v>68</v>
      </c>
      <c r="P76" s="64"/>
      <c r="Q76" s="46" t="s">
        <v>3013</v>
      </c>
      <c r="R76" s="46" t="s">
        <v>3300</v>
      </c>
      <c r="S76" s="49">
        <v>65</v>
      </c>
      <c r="T76" s="49">
        <v>325</v>
      </c>
      <c r="U76" s="67">
        <v>0.3</v>
      </c>
      <c r="V76" s="28">
        <v>0.25555555555555554</v>
      </c>
      <c r="W76" s="51">
        <v>0.625</v>
      </c>
      <c r="X76" s="52">
        <v>32.5</v>
      </c>
      <c r="Y76" s="52">
        <v>30</v>
      </c>
      <c r="Z76" s="52">
        <v>165</v>
      </c>
      <c r="AA76" s="52">
        <v>227.5</v>
      </c>
      <c r="AB76" s="53">
        <v>0.7</v>
      </c>
      <c r="AC76" s="54">
        <v>97.5</v>
      </c>
      <c r="AD76" s="55">
        <v>0.3</v>
      </c>
      <c r="AE76" s="56">
        <v>2</v>
      </c>
      <c r="AF76" s="57" t="s">
        <v>72</v>
      </c>
      <c r="AG76" s="58">
        <v>80</v>
      </c>
      <c r="AH76" s="58">
        <v>100</v>
      </c>
      <c r="AI76" s="58">
        <v>180</v>
      </c>
      <c r="AJ76" s="49">
        <v>45</v>
      </c>
      <c r="AK76" s="49">
        <v>225</v>
      </c>
      <c r="AL76" s="52">
        <v>22.5</v>
      </c>
      <c r="AM76" s="52">
        <v>145</v>
      </c>
      <c r="AN76" s="52">
        <v>167.5</v>
      </c>
      <c r="AO76" s="59">
        <v>0.74444444444444446</v>
      </c>
      <c r="AP76" s="60">
        <v>57.5</v>
      </c>
      <c r="AQ76" s="61">
        <v>0.25555555555555554</v>
      </c>
      <c r="AR76" s="60" t="s">
        <v>78</v>
      </c>
      <c r="AS76" s="62">
        <v>240</v>
      </c>
      <c r="AT76" s="62">
        <v>150</v>
      </c>
      <c r="AU76" s="62">
        <v>390</v>
      </c>
      <c r="AV76" s="62">
        <v>487.5</v>
      </c>
      <c r="AW76" s="47" t="s">
        <v>74</v>
      </c>
      <c r="AX76" s="64">
        <v>45028</v>
      </c>
      <c r="AY76" s="64" t="s">
        <v>3359</v>
      </c>
      <c r="BA76" s="64"/>
      <c r="BB76" s="64"/>
      <c r="BC76" s="64"/>
      <c r="BD76" s="70" t="s">
        <v>3360</v>
      </c>
      <c r="BE76" s="46" t="e">
        <v>#REF!</v>
      </c>
      <c r="BF76" s="46" t="s">
        <v>79</v>
      </c>
      <c r="BG76" s="65">
        <v>0.75</v>
      </c>
      <c r="BH76" s="66" t="s">
        <v>3361</v>
      </c>
      <c r="BI76" s="63" t="s">
        <v>3362</v>
      </c>
    </row>
    <row r="77" spans="1:61" ht="25.5" x14ac:dyDescent="0.2">
      <c r="A77" s="45" t="s">
        <v>3363</v>
      </c>
      <c r="B77" s="46"/>
      <c r="C77" s="46" t="s">
        <v>3308</v>
      </c>
      <c r="D77" s="46" t="s">
        <v>676</v>
      </c>
      <c r="E77" s="46" t="s">
        <v>3353</v>
      </c>
      <c r="F77" s="46" t="s">
        <v>3231</v>
      </c>
      <c r="G77" s="46" t="s">
        <v>68</v>
      </c>
      <c r="H77" s="46" t="s">
        <v>68</v>
      </c>
      <c r="I77" s="46" t="s">
        <v>999</v>
      </c>
      <c r="J77" s="46" t="s">
        <v>71</v>
      </c>
      <c r="K77" s="47">
        <v>190</v>
      </c>
      <c r="L77" s="47">
        <v>220</v>
      </c>
      <c r="M77" s="47">
        <v>410</v>
      </c>
      <c r="N77" s="46"/>
      <c r="O77" s="71" t="s">
        <v>68</v>
      </c>
      <c r="P77" s="64"/>
      <c r="Q77" s="46" t="s">
        <v>3013</v>
      </c>
      <c r="R77" s="46" t="s">
        <v>3300</v>
      </c>
      <c r="S77" s="49">
        <v>102.5</v>
      </c>
      <c r="T77" s="49">
        <v>512.5</v>
      </c>
      <c r="U77" s="28">
        <v>0.21219512195121951</v>
      </c>
      <c r="V77" s="50">
        <v>0.14126984126984127</v>
      </c>
      <c r="W77" s="74">
        <v>1.1578947368421053</v>
      </c>
      <c r="X77" s="52">
        <v>51.25</v>
      </c>
      <c r="Y77" s="52">
        <v>30</v>
      </c>
      <c r="Z77" s="52">
        <v>322.5</v>
      </c>
      <c r="AA77" s="52">
        <v>403.75</v>
      </c>
      <c r="AB77" s="53">
        <v>0.78780487804878052</v>
      </c>
      <c r="AC77" s="54">
        <v>108.75</v>
      </c>
      <c r="AD77" s="55">
        <v>0.21219512195121951</v>
      </c>
      <c r="AE77" s="56">
        <v>2</v>
      </c>
      <c r="AF77" s="57" t="s">
        <v>72</v>
      </c>
      <c r="AG77" s="58">
        <v>95</v>
      </c>
      <c r="AH77" s="58">
        <v>220</v>
      </c>
      <c r="AI77" s="58">
        <v>315</v>
      </c>
      <c r="AJ77" s="49">
        <v>78.75</v>
      </c>
      <c r="AK77" s="49">
        <v>393.75</v>
      </c>
      <c r="AL77" s="52">
        <v>39.375</v>
      </c>
      <c r="AM77" s="52">
        <v>298.75</v>
      </c>
      <c r="AN77" s="52">
        <v>338.125</v>
      </c>
      <c r="AO77" s="59">
        <v>0.85873015873015868</v>
      </c>
      <c r="AP77" s="60">
        <v>55.625</v>
      </c>
      <c r="AQ77" s="61">
        <v>0.14126984126984127</v>
      </c>
      <c r="AR77" s="60" t="s">
        <v>73</v>
      </c>
      <c r="AS77" s="62">
        <v>285</v>
      </c>
      <c r="AT77" s="62">
        <v>330</v>
      </c>
      <c r="AU77" s="62">
        <v>615</v>
      </c>
      <c r="AV77" s="62">
        <v>768.75</v>
      </c>
      <c r="AW77" s="47" t="s">
        <v>74</v>
      </c>
      <c r="AX77" s="64">
        <v>45028</v>
      </c>
      <c r="AY77" s="64" t="s">
        <v>3364</v>
      </c>
      <c r="BA77" s="64"/>
      <c r="BB77" s="64"/>
      <c r="BC77" s="64"/>
      <c r="BD77" s="70" t="s">
        <v>3365</v>
      </c>
      <c r="BE77" s="46" t="e">
        <v>#REF!</v>
      </c>
      <c r="BF77" s="46" t="s">
        <v>79</v>
      </c>
      <c r="BG77" s="65">
        <v>0.75</v>
      </c>
      <c r="BH77" s="66" t="s">
        <v>3366</v>
      </c>
      <c r="BI77" s="63" t="s">
        <v>3367</v>
      </c>
    </row>
    <row r="78" spans="1:61" ht="25.5" x14ac:dyDescent="0.2">
      <c r="A78" s="45" t="s">
        <v>3368</v>
      </c>
      <c r="B78" s="46"/>
      <c r="C78" s="46" t="s">
        <v>3369</v>
      </c>
      <c r="D78" s="46" t="s">
        <v>3230</v>
      </c>
      <c r="E78" s="46" t="s">
        <v>68</v>
      </c>
      <c r="F78" s="46" t="s">
        <v>68</v>
      </c>
      <c r="G78" s="46" t="s">
        <v>68</v>
      </c>
      <c r="H78" s="46" t="s">
        <v>68</v>
      </c>
      <c r="I78" s="46" t="s">
        <v>68</v>
      </c>
      <c r="J78" s="46" t="s">
        <v>71</v>
      </c>
      <c r="K78" s="47">
        <v>130</v>
      </c>
      <c r="L78" s="47">
        <v>20</v>
      </c>
      <c r="M78" s="47">
        <v>150</v>
      </c>
      <c r="N78" s="46"/>
      <c r="O78" s="71" t="s">
        <v>68</v>
      </c>
      <c r="P78" s="64"/>
      <c r="Q78" s="46" t="s">
        <v>3013</v>
      </c>
      <c r="R78" s="46" t="s">
        <v>3300</v>
      </c>
      <c r="S78" s="49">
        <v>37.5</v>
      </c>
      <c r="T78" s="49">
        <v>187.5</v>
      </c>
      <c r="U78" s="67">
        <v>0.43333333333333335</v>
      </c>
      <c r="V78" s="67">
        <v>0.35217391304347828</v>
      </c>
      <c r="W78" s="51">
        <v>0.15384615384615385</v>
      </c>
      <c r="X78" s="52">
        <v>18.75</v>
      </c>
      <c r="Y78" s="52">
        <v>30</v>
      </c>
      <c r="Z78" s="52">
        <v>57.5</v>
      </c>
      <c r="AA78" s="52">
        <v>106.25</v>
      </c>
      <c r="AB78" s="53">
        <v>0.56666666666666665</v>
      </c>
      <c r="AC78" s="68">
        <v>81.25</v>
      </c>
      <c r="AD78" s="55">
        <v>0.43333333333333335</v>
      </c>
      <c r="AE78" s="69">
        <v>1</v>
      </c>
      <c r="AF78" s="57" t="s">
        <v>77</v>
      </c>
      <c r="AG78" s="58">
        <v>26</v>
      </c>
      <c r="AH78" s="58">
        <v>20</v>
      </c>
      <c r="AI78" s="58">
        <v>46</v>
      </c>
      <c r="AJ78" s="49">
        <v>11.5</v>
      </c>
      <c r="AK78" s="49">
        <v>57.5</v>
      </c>
      <c r="AL78" s="52">
        <v>5.75</v>
      </c>
      <c r="AM78" s="52">
        <v>31.5</v>
      </c>
      <c r="AN78" s="52">
        <v>37.25</v>
      </c>
      <c r="AO78" s="59">
        <v>0.64782608695652177</v>
      </c>
      <c r="AP78" s="60">
        <v>20.25</v>
      </c>
      <c r="AQ78" s="61">
        <v>0.35217391304347828</v>
      </c>
      <c r="AR78" s="60" t="s">
        <v>78</v>
      </c>
      <c r="AS78" s="62">
        <v>169</v>
      </c>
      <c r="AT78" s="62">
        <v>26</v>
      </c>
      <c r="AU78" s="62">
        <v>195</v>
      </c>
      <c r="AV78" s="62">
        <v>243.75</v>
      </c>
      <c r="AW78" s="47" t="s">
        <v>74</v>
      </c>
      <c r="AX78" s="64"/>
      <c r="AY78" s="64" t="s">
        <v>3370</v>
      </c>
      <c r="BA78" s="64"/>
      <c r="BB78" s="64"/>
      <c r="BC78" s="64"/>
      <c r="BD78" s="46"/>
      <c r="BE78" s="46" t="e">
        <v>#REF!</v>
      </c>
      <c r="BF78" s="46" t="s">
        <v>79</v>
      </c>
      <c r="BG78" s="65">
        <v>0.25</v>
      </c>
      <c r="BH78" s="66" t="s">
        <v>3371</v>
      </c>
      <c r="BI78" s="63" t="s">
        <v>3372</v>
      </c>
    </row>
    <row r="79" spans="1:61" ht="25.5" x14ac:dyDescent="0.2">
      <c r="A79" s="45" t="s">
        <v>3373</v>
      </c>
      <c r="B79" s="46"/>
      <c r="C79" s="46" t="s">
        <v>3374</v>
      </c>
      <c r="D79" s="46" t="s">
        <v>3230</v>
      </c>
      <c r="E79" s="46" t="s">
        <v>68</v>
      </c>
      <c r="F79" s="46" t="s">
        <v>68</v>
      </c>
      <c r="G79" s="46" t="s">
        <v>68</v>
      </c>
      <c r="H79" s="46" t="s">
        <v>68</v>
      </c>
      <c r="I79" s="46" t="s">
        <v>68</v>
      </c>
      <c r="J79" s="46" t="s">
        <v>71</v>
      </c>
      <c r="K79" s="47">
        <v>130</v>
      </c>
      <c r="L79" s="47">
        <v>20</v>
      </c>
      <c r="M79" s="47">
        <v>150</v>
      </c>
      <c r="N79" s="46"/>
      <c r="O79" s="71" t="s">
        <v>68</v>
      </c>
      <c r="P79" s="64"/>
      <c r="Q79" s="46" t="s">
        <v>3013</v>
      </c>
      <c r="R79" s="46" t="s">
        <v>3300</v>
      </c>
      <c r="S79" s="49">
        <v>37.5</v>
      </c>
      <c r="T79" s="49">
        <v>187.5</v>
      </c>
      <c r="U79" s="67">
        <v>0.43333333333333335</v>
      </c>
      <c r="V79" s="67">
        <v>0.35217391304347828</v>
      </c>
      <c r="W79" s="51">
        <v>0.15384615384615385</v>
      </c>
      <c r="X79" s="52">
        <v>18.75</v>
      </c>
      <c r="Y79" s="52">
        <v>30</v>
      </c>
      <c r="Z79" s="52">
        <v>57.5</v>
      </c>
      <c r="AA79" s="52">
        <v>106.25</v>
      </c>
      <c r="AB79" s="53">
        <v>0.56666666666666665</v>
      </c>
      <c r="AC79" s="68">
        <v>81.25</v>
      </c>
      <c r="AD79" s="55">
        <v>0.43333333333333335</v>
      </c>
      <c r="AE79" s="69">
        <v>1</v>
      </c>
      <c r="AF79" s="57" t="s">
        <v>77</v>
      </c>
      <c r="AG79" s="58">
        <v>26</v>
      </c>
      <c r="AH79" s="58">
        <v>20</v>
      </c>
      <c r="AI79" s="58">
        <v>46</v>
      </c>
      <c r="AJ79" s="49">
        <v>11.5</v>
      </c>
      <c r="AK79" s="49">
        <v>57.5</v>
      </c>
      <c r="AL79" s="52">
        <v>5.75</v>
      </c>
      <c r="AM79" s="52">
        <v>31.5</v>
      </c>
      <c r="AN79" s="52">
        <v>37.25</v>
      </c>
      <c r="AO79" s="59">
        <v>0.64782608695652177</v>
      </c>
      <c r="AP79" s="60">
        <v>20.25</v>
      </c>
      <c r="AQ79" s="61">
        <v>0.35217391304347828</v>
      </c>
      <c r="AR79" s="60" t="s">
        <v>78</v>
      </c>
      <c r="AS79" s="62">
        <v>169</v>
      </c>
      <c r="AT79" s="62">
        <v>26</v>
      </c>
      <c r="AU79" s="62">
        <v>195</v>
      </c>
      <c r="AV79" s="62">
        <v>243.75</v>
      </c>
      <c r="AW79" s="47" t="s">
        <v>74</v>
      </c>
      <c r="AX79" s="64"/>
      <c r="AY79" s="64" t="s">
        <v>3375</v>
      </c>
      <c r="BA79" s="64"/>
      <c r="BB79" s="64"/>
      <c r="BC79" s="64"/>
      <c r="BD79" s="46"/>
      <c r="BE79" s="46" t="e">
        <v>#REF!</v>
      </c>
      <c r="BF79" s="46" t="s">
        <v>79</v>
      </c>
      <c r="BG79" s="65">
        <v>0.25</v>
      </c>
      <c r="BH79" s="66" t="s">
        <v>3376</v>
      </c>
      <c r="BI79" s="63" t="s">
        <v>3377</v>
      </c>
    </row>
    <row r="80" spans="1:61" ht="25.5" x14ac:dyDescent="0.2">
      <c r="A80" s="45" t="s">
        <v>3378</v>
      </c>
      <c r="B80" s="46"/>
      <c r="C80" s="46" t="s">
        <v>3379</v>
      </c>
      <c r="D80" s="46" t="s">
        <v>3230</v>
      </c>
      <c r="E80" s="46" t="s">
        <v>68</v>
      </c>
      <c r="F80" s="46" t="s">
        <v>68</v>
      </c>
      <c r="G80" s="46" t="s">
        <v>68</v>
      </c>
      <c r="H80" s="46" t="s">
        <v>68</v>
      </c>
      <c r="I80" s="46" t="s">
        <v>68</v>
      </c>
      <c r="J80" s="46" t="s">
        <v>71</v>
      </c>
      <c r="K80" s="47">
        <v>130</v>
      </c>
      <c r="L80" s="47">
        <v>20</v>
      </c>
      <c r="M80" s="47">
        <v>150</v>
      </c>
      <c r="N80" s="46"/>
      <c r="O80" s="71" t="s">
        <v>68</v>
      </c>
      <c r="P80" s="64"/>
      <c r="Q80" s="46" t="s">
        <v>3013</v>
      </c>
      <c r="R80" s="46" t="s">
        <v>3300</v>
      </c>
      <c r="S80" s="49">
        <v>37.5</v>
      </c>
      <c r="T80" s="49">
        <v>187.5</v>
      </c>
      <c r="U80" s="67">
        <v>0.43333333333333335</v>
      </c>
      <c r="V80" s="67">
        <v>0.35217391304347828</v>
      </c>
      <c r="W80" s="51">
        <v>0.15384615384615385</v>
      </c>
      <c r="X80" s="52">
        <v>18.75</v>
      </c>
      <c r="Y80" s="52">
        <v>30</v>
      </c>
      <c r="Z80" s="52">
        <v>57.5</v>
      </c>
      <c r="AA80" s="52">
        <v>106.25</v>
      </c>
      <c r="AB80" s="53">
        <v>0.56666666666666665</v>
      </c>
      <c r="AC80" s="68">
        <v>81.25</v>
      </c>
      <c r="AD80" s="55">
        <v>0.43333333333333335</v>
      </c>
      <c r="AE80" s="69">
        <v>1</v>
      </c>
      <c r="AF80" s="57" t="s">
        <v>77</v>
      </c>
      <c r="AG80" s="58">
        <v>26</v>
      </c>
      <c r="AH80" s="58">
        <v>20</v>
      </c>
      <c r="AI80" s="58">
        <v>46</v>
      </c>
      <c r="AJ80" s="49">
        <v>11.5</v>
      </c>
      <c r="AK80" s="49">
        <v>57.5</v>
      </c>
      <c r="AL80" s="52">
        <v>5.75</v>
      </c>
      <c r="AM80" s="52">
        <v>31.5</v>
      </c>
      <c r="AN80" s="52">
        <v>37.25</v>
      </c>
      <c r="AO80" s="59">
        <v>0.64782608695652177</v>
      </c>
      <c r="AP80" s="60">
        <v>20.25</v>
      </c>
      <c r="AQ80" s="61">
        <v>0.35217391304347828</v>
      </c>
      <c r="AR80" s="60" t="s">
        <v>78</v>
      </c>
      <c r="AS80" s="62">
        <v>169</v>
      </c>
      <c r="AT80" s="62">
        <v>26</v>
      </c>
      <c r="AU80" s="62">
        <v>195</v>
      </c>
      <c r="AV80" s="62">
        <v>243.75</v>
      </c>
      <c r="AW80" s="47" t="s">
        <v>74</v>
      </c>
      <c r="AX80" s="64"/>
      <c r="AY80" s="64" t="s">
        <v>3380</v>
      </c>
      <c r="BA80" s="64"/>
      <c r="BB80" s="64"/>
      <c r="BC80" s="64"/>
      <c r="BD80" s="46"/>
      <c r="BE80" s="46" t="e">
        <v>#REF!</v>
      </c>
      <c r="BF80" s="46" t="s">
        <v>79</v>
      </c>
      <c r="BG80" s="65">
        <v>0.25</v>
      </c>
      <c r="BH80" s="66" t="s">
        <v>3381</v>
      </c>
      <c r="BI80" s="63" t="s">
        <v>3382</v>
      </c>
    </row>
    <row r="81" spans="1:61" ht="25.5" x14ac:dyDescent="0.2">
      <c r="A81" s="45" t="s">
        <v>3383</v>
      </c>
      <c r="B81" s="46"/>
      <c r="C81" s="46" t="s">
        <v>3384</v>
      </c>
      <c r="D81" s="46" t="s">
        <v>3230</v>
      </c>
      <c r="E81" s="46" t="s">
        <v>68</v>
      </c>
      <c r="F81" s="46" t="s">
        <v>68</v>
      </c>
      <c r="G81" s="46" t="s">
        <v>68</v>
      </c>
      <c r="H81" s="46" t="s">
        <v>68</v>
      </c>
      <c r="I81" s="46" t="s">
        <v>454</v>
      </c>
      <c r="J81" s="46" t="s">
        <v>71</v>
      </c>
      <c r="K81" s="47">
        <v>130</v>
      </c>
      <c r="L81" s="47">
        <v>20</v>
      </c>
      <c r="M81" s="47">
        <v>150</v>
      </c>
      <c r="N81" s="46"/>
      <c r="O81" s="71" t="s">
        <v>68</v>
      </c>
      <c r="P81" s="64"/>
      <c r="Q81" s="46" t="s">
        <v>3013</v>
      </c>
      <c r="R81" s="46" t="s">
        <v>3300</v>
      </c>
      <c r="S81" s="49">
        <v>37.5</v>
      </c>
      <c r="T81" s="49">
        <v>187.5</v>
      </c>
      <c r="U81" s="67">
        <v>0.43333333333333335</v>
      </c>
      <c r="V81" s="67">
        <v>0.35217391304347828</v>
      </c>
      <c r="W81" s="51">
        <v>0.15384615384615385</v>
      </c>
      <c r="X81" s="52">
        <v>18.75</v>
      </c>
      <c r="Y81" s="52">
        <v>30</v>
      </c>
      <c r="Z81" s="52">
        <v>57.5</v>
      </c>
      <c r="AA81" s="52">
        <v>106.25</v>
      </c>
      <c r="AB81" s="53">
        <v>0.56666666666666665</v>
      </c>
      <c r="AC81" s="68">
        <v>81.25</v>
      </c>
      <c r="AD81" s="55">
        <v>0.43333333333333335</v>
      </c>
      <c r="AE81" s="69">
        <v>1</v>
      </c>
      <c r="AF81" s="57" t="s">
        <v>77</v>
      </c>
      <c r="AG81" s="58">
        <v>26</v>
      </c>
      <c r="AH81" s="58">
        <v>20</v>
      </c>
      <c r="AI81" s="58">
        <v>46</v>
      </c>
      <c r="AJ81" s="49">
        <v>11.5</v>
      </c>
      <c r="AK81" s="49">
        <v>57.5</v>
      </c>
      <c r="AL81" s="52">
        <v>5.75</v>
      </c>
      <c r="AM81" s="52">
        <v>31.5</v>
      </c>
      <c r="AN81" s="52">
        <v>37.25</v>
      </c>
      <c r="AO81" s="59">
        <v>0.64782608695652177</v>
      </c>
      <c r="AP81" s="60">
        <v>20.25</v>
      </c>
      <c r="AQ81" s="61">
        <v>0.35217391304347828</v>
      </c>
      <c r="AR81" s="60" t="s">
        <v>78</v>
      </c>
      <c r="AS81" s="62">
        <v>169</v>
      </c>
      <c r="AT81" s="62">
        <v>26</v>
      </c>
      <c r="AU81" s="62">
        <v>195</v>
      </c>
      <c r="AV81" s="62">
        <v>243.75</v>
      </c>
      <c r="AW81" s="47" t="s">
        <v>74</v>
      </c>
      <c r="AX81" s="64"/>
      <c r="AY81" s="64" t="s">
        <v>3385</v>
      </c>
      <c r="BA81" s="64"/>
      <c r="BB81" s="64"/>
      <c r="BC81" s="64"/>
      <c r="BD81" s="46"/>
      <c r="BE81" s="46" t="e">
        <v>#REF!</v>
      </c>
      <c r="BF81" s="46" t="s">
        <v>79</v>
      </c>
      <c r="BG81" s="65">
        <v>0.25</v>
      </c>
      <c r="BH81" s="66" t="s">
        <v>3386</v>
      </c>
      <c r="BI81" s="63" t="s">
        <v>3387</v>
      </c>
    </row>
    <row r="82" spans="1:61" ht="25.5" x14ac:dyDescent="0.2">
      <c r="A82" s="45" t="s">
        <v>3388</v>
      </c>
      <c r="B82" s="46"/>
      <c r="C82" s="46" t="s">
        <v>3384</v>
      </c>
      <c r="D82" s="46" t="s">
        <v>3230</v>
      </c>
      <c r="E82" s="46" t="s">
        <v>68</v>
      </c>
      <c r="F82" s="46" t="s">
        <v>68</v>
      </c>
      <c r="G82" s="46" t="s">
        <v>68</v>
      </c>
      <c r="H82" s="46" t="s">
        <v>68</v>
      </c>
      <c r="I82" s="46" t="s">
        <v>445</v>
      </c>
      <c r="J82" s="46" t="s">
        <v>71</v>
      </c>
      <c r="K82" s="47">
        <v>145</v>
      </c>
      <c r="L82" s="47">
        <v>70</v>
      </c>
      <c r="M82" s="47">
        <v>215</v>
      </c>
      <c r="N82" s="46"/>
      <c r="O82" s="71" t="s">
        <v>68</v>
      </c>
      <c r="P82" s="64"/>
      <c r="Q82" s="46" t="s">
        <v>3013</v>
      </c>
      <c r="R82" s="46" t="s">
        <v>3300</v>
      </c>
      <c r="S82" s="49">
        <v>53.75</v>
      </c>
      <c r="T82" s="49">
        <v>268.75</v>
      </c>
      <c r="U82" s="67">
        <v>0.32790697674418606</v>
      </c>
      <c r="V82" s="50">
        <v>0.13434343434343435</v>
      </c>
      <c r="W82" s="51">
        <v>0.48275862068965519</v>
      </c>
      <c r="X82" s="52">
        <v>26.875</v>
      </c>
      <c r="Y82" s="52">
        <v>30</v>
      </c>
      <c r="Z82" s="52">
        <v>123.75</v>
      </c>
      <c r="AA82" s="52">
        <v>180.625</v>
      </c>
      <c r="AB82" s="53">
        <v>0.67209302325581399</v>
      </c>
      <c r="AC82" s="68">
        <v>88.125</v>
      </c>
      <c r="AD82" s="55">
        <v>0.32790697674418606</v>
      </c>
      <c r="AE82" s="69">
        <v>1</v>
      </c>
      <c r="AF82" s="57" t="s">
        <v>77</v>
      </c>
      <c r="AG82" s="58">
        <v>29</v>
      </c>
      <c r="AH82" s="58">
        <v>70</v>
      </c>
      <c r="AI82" s="58">
        <v>99</v>
      </c>
      <c r="AJ82" s="49">
        <v>24.75</v>
      </c>
      <c r="AK82" s="49">
        <v>123.75</v>
      </c>
      <c r="AL82" s="52">
        <v>12.375</v>
      </c>
      <c r="AM82" s="52">
        <v>94.75</v>
      </c>
      <c r="AN82" s="52">
        <v>107.125</v>
      </c>
      <c r="AO82" s="59">
        <v>0.86565656565656568</v>
      </c>
      <c r="AP82" s="60">
        <v>16.625</v>
      </c>
      <c r="AQ82" s="61">
        <v>0.13434343434343435</v>
      </c>
      <c r="AR82" s="60" t="s">
        <v>73</v>
      </c>
      <c r="AS82" s="62">
        <v>189</v>
      </c>
      <c r="AT82" s="62">
        <v>91</v>
      </c>
      <c r="AU82" s="62">
        <v>280</v>
      </c>
      <c r="AV82" s="62">
        <v>350</v>
      </c>
      <c r="AW82" s="47" t="s">
        <v>74</v>
      </c>
      <c r="AX82" s="64"/>
      <c r="AY82" s="64" t="s">
        <v>3389</v>
      </c>
      <c r="BA82" s="64"/>
      <c r="BB82" s="64"/>
      <c r="BC82" s="64"/>
      <c r="BD82" s="46"/>
      <c r="BE82" s="46" t="e">
        <v>#REF!</v>
      </c>
      <c r="BF82" s="46" t="s">
        <v>79</v>
      </c>
      <c r="BG82" s="65">
        <v>0.25</v>
      </c>
      <c r="BH82" s="66" t="s">
        <v>3390</v>
      </c>
      <c r="BI82" s="63" t="s">
        <v>3391</v>
      </c>
    </row>
    <row r="83" spans="1:61" ht="25.5" x14ac:dyDescent="0.2">
      <c r="A83" s="45" t="s">
        <v>3392</v>
      </c>
      <c r="B83" s="46"/>
      <c r="C83" s="46" t="s">
        <v>3384</v>
      </c>
      <c r="D83" s="46" t="s">
        <v>3230</v>
      </c>
      <c r="E83" s="46" t="s">
        <v>68</v>
      </c>
      <c r="F83" s="46" t="s">
        <v>68</v>
      </c>
      <c r="G83" s="46" t="s">
        <v>68</v>
      </c>
      <c r="H83" s="46" t="s">
        <v>68</v>
      </c>
      <c r="I83" s="46" t="s">
        <v>999</v>
      </c>
      <c r="J83" s="46" t="s">
        <v>71</v>
      </c>
      <c r="K83" s="47">
        <v>190</v>
      </c>
      <c r="L83" s="47">
        <v>170</v>
      </c>
      <c r="M83" s="47">
        <v>360</v>
      </c>
      <c r="N83" s="46"/>
      <c r="O83" s="71" t="s">
        <v>68</v>
      </c>
      <c r="P83" s="64"/>
      <c r="Q83" s="46" t="s">
        <v>3013</v>
      </c>
      <c r="R83" s="46" t="s">
        <v>3300</v>
      </c>
      <c r="S83" s="49">
        <v>90</v>
      </c>
      <c r="T83" s="49">
        <v>450</v>
      </c>
      <c r="U83" s="28">
        <v>0.25555555555555554</v>
      </c>
      <c r="V83" s="50">
        <v>0.18679245283018867</v>
      </c>
      <c r="W83" s="51">
        <v>0.89473684210526316</v>
      </c>
      <c r="X83" s="52">
        <v>45</v>
      </c>
      <c r="Y83" s="52">
        <v>30</v>
      </c>
      <c r="Z83" s="52">
        <v>260</v>
      </c>
      <c r="AA83" s="52">
        <v>335</v>
      </c>
      <c r="AB83" s="53">
        <v>0.74444444444444446</v>
      </c>
      <c r="AC83" s="54">
        <v>115</v>
      </c>
      <c r="AD83" s="55">
        <v>0.25555555555555554</v>
      </c>
      <c r="AE83" s="56">
        <v>2</v>
      </c>
      <c r="AF83" s="57" t="s">
        <v>72</v>
      </c>
      <c r="AG83" s="58">
        <v>95</v>
      </c>
      <c r="AH83" s="58">
        <v>170</v>
      </c>
      <c r="AI83" s="58">
        <v>265</v>
      </c>
      <c r="AJ83" s="49">
        <v>66.25</v>
      </c>
      <c r="AK83" s="49">
        <v>331.25</v>
      </c>
      <c r="AL83" s="52">
        <v>33.125</v>
      </c>
      <c r="AM83" s="52">
        <v>236.25</v>
      </c>
      <c r="AN83" s="52">
        <v>269.375</v>
      </c>
      <c r="AO83" s="59">
        <v>0.81320754716981136</v>
      </c>
      <c r="AP83" s="60">
        <v>61.875</v>
      </c>
      <c r="AQ83" s="61">
        <v>0.18679245283018867</v>
      </c>
      <c r="AR83" s="60" t="s">
        <v>73</v>
      </c>
      <c r="AS83" s="62">
        <v>285</v>
      </c>
      <c r="AT83" s="62">
        <v>255</v>
      </c>
      <c r="AU83" s="62">
        <v>540</v>
      </c>
      <c r="AV83" s="62">
        <v>675</v>
      </c>
      <c r="AW83" s="47" t="s">
        <v>74</v>
      </c>
      <c r="AX83" s="64"/>
      <c r="AY83" s="64" t="s">
        <v>3393</v>
      </c>
      <c r="BA83" s="64"/>
      <c r="BB83" s="64"/>
      <c r="BC83" s="64"/>
      <c r="BD83" s="46"/>
      <c r="BE83" s="46" t="e">
        <v>#REF!</v>
      </c>
      <c r="BF83" s="46" t="s">
        <v>79</v>
      </c>
      <c r="BG83" s="65">
        <v>0.25</v>
      </c>
      <c r="BH83" s="66" t="s">
        <v>3394</v>
      </c>
      <c r="BI83" s="63" t="s">
        <v>3395</v>
      </c>
    </row>
    <row r="84" spans="1:61" ht="38.25" x14ac:dyDescent="0.2">
      <c r="A84" s="45" t="s">
        <v>3396</v>
      </c>
      <c r="B84" s="46"/>
      <c r="C84" s="46" t="s">
        <v>3308</v>
      </c>
      <c r="D84" s="46" t="s">
        <v>3323</v>
      </c>
      <c r="E84" s="46" t="s">
        <v>1829</v>
      </c>
      <c r="F84" s="46" t="s">
        <v>68</v>
      </c>
      <c r="G84" s="46" t="s">
        <v>68</v>
      </c>
      <c r="H84" s="46" t="s">
        <v>68</v>
      </c>
      <c r="I84" s="46" t="s">
        <v>68</v>
      </c>
      <c r="J84" s="46" t="s">
        <v>71</v>
      </c>
      <c r="K84" s="47">
        <v>145</v>
      </c>
      <c r="L84" s="47">
        <v>110</v>
      </c>
      <c r="M84" s="47">
        <v>255</v>
      </c>
      <c r="N84" s="46"/>
      <c r="O84" s="71" t="s">
        <v>68</v>
      </c>
      <c r="P84" s="64"/>
      <c r="Q84" s="46" t="s">
        <v>3013</v>
      </c>
      <c r="R84" s="46" t="s">
        <v>3300</v>
      </c>
      <c r="S84" s="49">
        <v>63.75</v>
      </c>
      <c r="T84" s="49">
        <v>318.75</v>
      </c>
      <c r="U84" s="28">
        <v>0.26078431372549021</v>
      </c>
      <c r="V84" s="50">
        <v>6.6906474820143891E-2</v>
      </c>
      <c r="W84" s="51">
        <v>0.75862068965517238</v>
      </c>
      <c r="X84" s="52">
        <v>31.875</v>
      </c>
      <c r="Y84" s="52">
        <v>30</v>
      </c>
      <c r="Z84" s="52">
        <v>173.75</v>
      </c>
      <c r="AA84" s="52">
        <v>235.625</v>
      </c>
      <c r="AB84" s="53">
        <v>0.73921568627450984</v>
      </c>
      <c r="AC84" s="68">
        <v>83.125</v>
      </c>
      <c r="AD84" s="55">
        <v>0.26078431372549021</v>
      </c>
      <c r="AE84" s="69">
        <v>1</v>
      </c>
      <c r="AF84" s="57" t="s">
        <v>77</v>
      </c>
      <c r="AG84" s="58">
        <v>29</v>
      </c>
      <c r="AH84" s="58">
        <v>110</v>
      </c>
      <c r="AI84" s="58">
        <v>139</v>
      </c>
      <c r="AJ84" s="49">
        <v>34.75</v>
      </c>
      <c r="AK84" s="49">
        <v>173.75</v>
      </c>
      <c r="AL84" s="52">
        <v>17.375</v>
      </c>
      <c r="AM84" s="52">
        <v>144.75</v>
      </c>
      <c r="AN84" s="52">
        <v>162.125</v>
      </c>
      <c r="AO84" s="59">
        <v>0.93309352517985611</v>
      </c>
      <c r="AP84" s="60">
        <v>11.625</v>
      </c>
      <c r="AQ84" s="61">
        <v>6.6906474820143891E-2</v>
      </c>
      <c r="AR84" s="60" t="s">
        <v>73</v>
      </c>
      <c r="AS84" s="62">
        <v>189</v>
      </c>
      <c r="AT84" s="62">
        <v>143</v>
      </c>
      <c r="AU84" s="62">
        <v>332</v>
      </c>
      <c r="AV84" s="62">
        <v>415</v>
      </c>
      <c r="AW84" s="47" t="s">
        <v>74</v>
      </c>
      <c r="AX84" s="64"/>
      <c r="AY84" s="64" t="s">
        <v>3397</v>
      </c>
      <c r="BA84" s="64"/>
      <c r="BB84" s="64"/>
      <c r="BC84" s="64"/>
      <c r="BD84" s="70" t="s">
        <v>3398</v>
      </c>
      <c r="BE84" s="46" t="e">
        <v>#REF!</v>
      </c>
      <c r="BF84" s="46" t="s">
        <v>79</v>
      </c>
      <c r="BG84" s="65">
        <v>0.5</v>
      </c>
      <c r="BH84" s="66"/>
      <c r="BI84" s="63" t="s">
        <v>3399</v>
      </c>
    </row>
    <row r="85" spans="1:61" ht="25.5" x14ac:dyDescent="0.2">
      <c r="A85" s="45" t="s">
        <v>3400</v>
      </c>
      <c r="B85" s="46"/>
      <c r="C85" s="46" t="s">
        <v>3401</v>
      </c>
      <c r="D85" s="46" t="s">
        <v>3402</v>
      </c>
      <c r="E85" s="46" t="s">
        <v>3403</v>
      </c>
      <c r="F85" s="46" t="s">
        <v>68</v>
      </c>
      <c r="G85" s="46" t="s">
        <v>68</v>
      </c>
      <c r="H85" s="46" t="s">
        <v>68</v>
      </c>
      <c r="I85" s="46" t="s">
        <v>68</v>
      </c>
      <c r="J85" s="46" t="s">
        <v>71</v>
      </c>
      <c r="K85" s="47">
        <v>130</v>
      </c>
      <c r="L85" s="47">
        <v>20</v>
      </c>
      <c r="M85" s="47">
        <v>150</v>
      </c>
      <c r="N85" s="46"/>
      <c r="O85" s="71" t="s">
        <v>68</v>
      </c>
      <c r="P85" s="64"/>
      <c r="Q85" s="46" t="s">
        <v>3013</v>
      </c>
      <c r="R85" s="46" t="s">
        <v>3300</v>
      </c>
      <c r="S85" s="49">
        <v>37.5</v>
      </c>
      <c r="T85" s="49">
        <v>187.5</v>
      </c>
      <c r="U85" s="67">
        <v>0.43333333333333335</v>
      </c>
      <c r="V85" s="67">
        <v>0.35217391304347828</v>
      </c>
      <c r="W85" s="51">
        <v>0.15384615384615385</v>
      </c>
      <c r="X85" s="52">
        <v>18.75</v>
      </c>
      <c r="Y85" s="52">
        <v>30</v>
      </c>
      <c r="Z85" s="52">
        <v>57.5</v>
      </c>
      <c r="AA85" s="52">
        <v>106.25</v>
      </c>
      <c r="AB85" s="53">
        <v>0.56666666666666665</v>
      </c>
      <c r="AC85" s="68">
        <v>81.25</v>
      </c>
      <c r="AD85" s="55">
        <v>0.43333333333333335</v>
      </c>
      <c r="AE85" s="69">
        <v>1</v>
      </c>
      <c r="AF85" s="57" t="s">
        <v>77</v>
      </c>
      <c r="AG85" s="58">
        <v>26</v>
      </c>
      <c r="AH85" s="58">
        <v>20</v>
      </c>
      <c r="AI85" s="58">
        <v>46</v>
      </c>
      <c r="AJ85" s="49">
        <v>11.5</v>
      </c>
      <c r="AK85" s="49">
        <v>57.5</v>
      </c>
      <c r="AL85" s="52">
        <v>5.75</v>
      </c>
      <c r="AM85" s="52">
        <v>31.5</v>
      </c>
      <c r="AN85" s="52">
        <v>37.25</v>
      </c>
      <c r="AO85" s="59">
        <v>0.64782608695652177</v>
      </c>
      <c r="AP85" s="60">
        <v>20.25</v>
      </c>
      <c r="AQ85" s="61">
        <v>0.35217391304347828</v>
      </c>
      <c r="AR85" s="60" t="s">
        <v>78</v>
      </c>
      <c r="AS85" s="62">
        <v>169</v>
      </c>
      <c r="AT85" s="62">
        <v>26</v>
      </c>
      <c r="AU85" s="62">
        <v>195</v>
      </c>
      <c r="AV85" s="62">
        <v>243.75</v>
      </c>
      <c r="AW85" s="63" t="s">
        <v>74</v>
      </c>
      <c r="AX85" s="64">
        <v>45156</v>
      </c>
      <c r="AY85" s="64" t="s">
        <v>3404</v>
      </c>
      <c r="BA85" s="64"/>
      <c r="BB85" s="64"/>
      <c r="BC85" s="64"/>
      <c r="BD85" s="46"/>
      <c r="BE85" s="46" t="e">
        <v>#REF!</v>
      </c>
      <c r="BF85" s="46" t="s">
        <v>79</v>
      </c>
      <c r="BG85" s="65">
        <v>0.5</v>
      </c>
      <c r="BH85" s="66"/>
      <c r="BI85" s="63" t="s">
        <v>3405</v>
      </c>
    </row>
    <row r="86" spans="1:61" ht="25.5" x14ac:dyDescent="0.2">
      <c r="A86" s="34" t="s">
        <v>3406</v>
      </c>
      <c r="B86" s="35"/>
      <c r="C86" s="35" t="s">
        <v>68</v>
      </c>
      <c r="D86" s="35" t="s">
        <v>68</v>
      </c>
      <c r="E86" s="35" t="s">
        <v>68</v>
      </c>
      <c r="F86" s="35" t="s">
        <v>68</v>
      </c>
      <c r="G86" s="35" t="s">
        <v>68</v>
      </c>
      <c r="H86" s="35" t="s">
        <v>68</v>
      </c>
      <c r="I86" s="35" t="s">
        <v>68</v>
      </c>
      <c r="J86" s="35" t="s">
        <v>68</v>
      </c>
      <c r="K86" s="36" t="s">
        <v>68</v>
      </c>
      <c r="L86" s="36" t="s">
        <v>68</v>
      </c>
      <c r="M86" s="36" t="s">
        <v>68</v>
      </c>
      <c r="N86" s="35"/>
      <c r="O86" s="35" t="s">
        <v>68</v>
      </c>
      <c r="P86" s="37"/>
      <c r="Q86" s="38" t="s">
        <v>3013</v>
      </c>
      <c r="R86" s="38" t="s">
        <v>3407</v>
      </c>
      <c r="S86" s="36" t="s">
        <v>68</v>
      </c>
      <c r="T86" s="36" t="s">
        <v>68</v>
      </c>
      <c r="U86" s="39" t="s">
        <v>68</v>
      </c>
      <c r="V86" s="39" t="s">
        <v>68</v>
      </c>
      <c r="W86" s="40" t="s">
        <v>68</v>
      </c>
      <c r="X86" s="36" t="s">
        <v>68</v>
      </c>
      <c r="Y86" s="36" t="s">
        <v>68</v>
      </c>
      <c r="Z86" s="36" t="s">
        <v>68</v>
      </c>
      <c r="AA86" s="36" t="s">
        <v>68</v>
      </c>
      <c r="AB86" s="39" t="s">
        <v>68</v>
      </c>
      <c r="AC86" s="36" t="s">
        <v>68</v>
      </c>
      <c r="AD86" s="39" t="s">
        <v>68</v>
      </c>
      <c r="AE86" s="41"/>
      <c r="AF86" s="42" t="s">
        <v>68</v>
      </c>
      <c r="AG86" s="36" t="s">
        <v>68</v>
      </c>
      <c r="AH86" s="36" t="s">
        <v>68</v>
      </c>
      <c r="AI86" s="36" t="s">
        <v>68</v>
      </c>
      <c r="AJ86" s="36" t="s">
        <v>68</v>
      </c>
      <c r="AK86" s="36" t="s">
        <v>68</v>
      </c>
      <c r="AL86" s="36" t="s">
        <v>68</v>
      </c>
      <c r="AM86" s="36" t="s">
        <v>68</v>
      </c>
      <c r="AN86" s="36" t="s">
        <v>68</v>
      </c>
      <c r="AO86" s="43" t="s">
        <v>68</v>
      </c>
      <c r="AP86" s="36" t="s">
        <v>68</v>
      </c>
      <c r="AQ86" s="39" t="s">
        <v>68</v>
      </c>
      <c r="AR86" s="36" t="s">
        <v>68</v>
      </c>
      <c r="AS86" s="36" t="s">
        <v>68</v>
      </c>
      <c r="AT86" s="36" t="s">
        <v>68</v>
      </c>
      <c r="AU86" s="36" t="s">
        <v>68</v>
      </c>
      <c r="AV86" s="36" t="s">
        <v>68</v>
      </c>
      <c r="AW86" s="35"/>
      <c r="AX86" s="37"/>
      <c r="AY86" s="37" t="s">
        <v>68</v>
      </c>
      <c r="BA86" s="37"/>
      <c r="BB86" s="37"/>
      <c r="BC86" s="37"/>
      <c r="BD86" s="35"/>
      <c r="BE86" s="35" t="e">
        <v>#REF!</v>
      </c>
      <c r="BF86" s="35"/>
      <c r="BG86" s="44"/>
      <c r="BH86" s="38" t="s">
        <v>3408</v>
      </c>
      <c r="BI86" s="35" t="s">
        <v>68</v>
      </c>
    </row>
    <row r="87" spans="1:61" ht="25.5" x14ac:dyDescent="0.2">
      <c r="A87" s="45" t="s">
        <v>3409</v>
      </c>
      <c r="B87" s="46"/>
      <c r="C87" s="46" t="s">
        <v>3410</v>
      </c>
      <c r="D87" s="46" t="s">
        <v>68</v>
      </c>
      <c r="E87" s="46" t="s">
        <v>68</v>
      </c>
      <c r="F87" s="46" t="s">
        <v>68</v>
      </c>
      <c r="G87" s="46" t="s">
        <v>68</v>
      </c>
      <c r="H87" s="46" t="s">
        <v>68</v>
      </c>
      <c r="I87" s="46" t="s">
        <v>68</v>
      </c>
      <c r="J87" s="46" t="s">
        <v>71</v>
      </c>
      <c r="K87" s="47">
        <v>130</v>
      </c>
      <c r="L87" s="47">
        <v>20</v>
      </c>
      <c r="M87" s="47">
        <v>150</v>
      </c>
      <c r="N87" s="46"/>
      <c r="O87" s="71" t="s">
        <v>68</v>
      </c>
      <c r="P87" s="64"/>
      <c r="Q87" s="46" t="s">
        <v>3013</v>
      </c>
      <c r="R87" s="46" t="s">
        <v>3407</v>
      </c>
      <c r="S87" s="49">
        <v>37.5</v>
      </c>
      <c r="T87" s="49">
        <v>187.5</v>
      </c>
      <c r="U87" s="67">
        <v>0.43333333333333335</v>
      </c>
      <c r="V87" s="67">
        <v>0.35217391304347828</v>
      </c>
      <c r="W87" s="51">
        <v>0.15384615384615385</v>
      </c>
      <c r="X87" s="52">
        <v>18.75</v>
      </c>
      <c r="Y87" s="52">
        <v>30</v>
      </c>
      <c r="Z87" s="52">
        <v>57.5</v>
      </c>
      <c r="AA87" s="52">
        <v>106.25</v>
      </c>
      <c r="AB87" s="53">
        <v>0.56666666666666665</v>
      </c>
      <c r="AC87" s="68">
        <v>81.25</v>
      </c>
      <c r="AD87" s="55">
        <v>0.43333333333333335</v>
      </c>
      <c r="AE87" s="69">
        <v>1</v>
      </c>
      <c r="AF87" s="57" t="s">
        <v>77</v>
      </c>
      <c r="AG87" s="58">
        <v>26</v>
      </c>
      <c r="AH87" s="58">
        <v>20</v>
      </c>
      <c r="AI87" s="58">
        <v>46</v>
      </c>
      <c r="AJ87" s="49">
        <v>11.5</v>
      </c>
      <c r="AK87" s="49">
        <v>57.5</v>
      </c>
      <c r="AL87" s="52">
        <v>5.75</v>
      </c>
      <c r="AM87" s="52">
        <v>31.5</v>
      </c>
      <c r="AN87" s="52">
        <v>37.25</v>
      </c>
      <c r="AO87" s="59">
        <v>0.64782608695652177</v>
      </c>
      <c r="AP87" s="60">
        <v>20.25</v>
      </c>
      <c r="AQ87" s="61">
        <v>0.35217391304347828</v>
      </c>
      <c r="AR87" s="60" t="s">
        <v>78</v>
      </c>
      <c r="AS87" s="62">
        <v>169</v>
      </c>
      <c r="AT87" s="62">
        <v>26</v>
      </c>
      <c r="AU87" s="62">
        <v>195</v>
      </c>
      <c r="AV87" s="62">
        <v>243.75</v>
      </c>
      <c r="AW87" s="47" t="s">
        <v>74</v>
      </c>
      <c r="AX87" s="64"/>
      <c r="AY87" s="64" t="s">
        <v>3411</v>
      </c>
      <c r="BA87" s="64"/>
      <c r="BB87" s="64"/>
      <c r="BC87" s="64"/>
      <c r="BD87" s="46"/>
      <c r="BE87" s="46" t="e">
        <v>#REF!</v>
      </c>
      <c r="BF87" s="46" t="s">
        <v>79</v>
      </c>
      <c r="BG87" s="65">
        <v>0.25</v>
      </c>
      <c r="BH87" s="66" t="s">
        <v>3412</v>
      </c>
      <c r="BI87" s="63" t="s">
        <v>3410</v>
      </c>
    </row>
    <row r="88" spans="1:61" ht="25.5" x14ac:dyDescent="0.2">
      <c r="A88" s="45" t="s">
        <v>3413</v>
      </c>
      <c r="B88" s="46"/>
      <c r="C88" s="46" t="s">
        <v>3414</v>
      </c>
      <c r="D88" s="46" t="s">
        <v>454</v>
      </c>
      <c r="E88" s="46" t="s">
        <v>68</v>
      </c>
      <c r="F88" s="46" t="s">
        <v>68</v>
      </c>
      <c r="G88" s="46" t="s">
        <v>68</v>
      </c>
      <c r="H88" s="46" t="s">
        <v>68</v>
      </c>
      <c r="I88" s="46" t="s">
        <v>68</v>
      </c>
      <c r="J88" s="46" t="s">
        <v>71</v>
      </c>
      <c r="K88" s="47">
        <v>130</v>
      </c>
      <c r="L88" s="47">
        <v>20</v>
      </c>
      <c r="M88" s="47">
        <v>150</v>
      </c>
      <c r="N88" s="46"/>
      <c r="O88" s="71" t="s">
        <v>68</v>
      </c>
      <c r="P88" s="64"/>
      <c r="Q88" s="46" t="s">
        <v>3013</v>
      </c>
      <c r="R88" s="46" t="s">
        <v>3407</v>
      </c>
      <c r="S88" s="49">
        <v>37.5</v>
      </c>
      <c r="T88" s="49">
        <v>187.5</v>
      </c>
      <c r="U88" s="67">
        <v>0.43333333333333335</v>
      </c>
      <c r="V88" s="67">
        <v>0.35217391304347828</v>
      </c>
      <c r="W88" s="51">
        <v>0.15384615384615385</v>
      </c>
      <c r="X88" s="52">
        <v>18.75</v>
      </c>
      <c r="Y88" s="52">
        <v>30</v>
      </c>
      <c r="Z88" s="52">
        <v>57.5</v>
      </c>
      <c r="AA88" s="52">
        <v>106.25</v>
      </c>
      <c r="AB88" s="53">
        <v>0.56666666666666665</v>
      </c>
      <c r="AC88" s="68">
        <v>81.25</v>
      </c>
      <c r="AD88" s="55">
        <v>0.43333333333333335</v>
      </c>
      <c r="AE88" s="69">
        <v>1</v>
      </c>
      <c r="AF88" s="57" t="s">
        <v>77</v>
      </c>
      <c r="AG88" s="58">
        <v>26</v>
      </c>
      <c r="AH88" s="58">
        <v>20</v>
      </c>
      <c r="AI88" s="58">
        <v>46</v>
      </c>
      <c r="AJ88" s="49">
        <v>11.5</v>
      </c>
      <c r="AK88" s="49">
        <v>57.5</v>
      </c>
      <c r="AL88" s="52">
        <v>5.75</v>
      </c>
      <c r="AM88" s="52">
        <v>31.5</v>
      </c>
      <c r="AN88" s="52">
        <v>37.25</v>
      </c>
      <c r="AO88" s="59">
        <v>0.64782608695652177</v>
      </c>
      <c r="AP88" s="60">
        <v>20.25</v>
      </c>
      <c r="AQ88" s="61">
        <v>0.35217391304347828</v>
      </c>
      <c r="AR88" s="60" t="s">
        <v>78</v>
      </c>
      <c r="AS88" s="62">
        <v>169</v>
      </c>
      <c r="AT88" s="62">
        <v>26</v>
      </c>
      <c r="AU88" s="62">
        <v>195</v>
      </c>
      <c r="AV88" s="62">
        <v>243.75</v>
      </c>
      <c r="AW88" s="47" t="s">
        <v>74</v>
      </c>
      <c r="AX88" s="64"/>
      <c r="AY88" s="64" t="s">
        <v>3415</v>
      </c>
      <c r="BA88" s="64"/>
      <c r="BB88" s="64"/>
      <c r="BC88" s="64"/>
      <c r="BD88" s="46"/>
      <c r="BE88" s="46" t="e">
        <v>#REF!</v>
      </c>
      <c r="BF88" s="46" t="s">
        <v>79</v>
      </c>
      <c r="BG88" s="65">
        <v>0.5</v>
      </c>
      <c r="BH88" s="66" t="s">
        <v>3416</v>
      </c>
      <c r="BI88" s="63" t="s">
        <v>3417</v>
      </c>
    </row>
    <row r="89" spans="1:61" ht="25.5" x14ac:dyDescent="0.2">
      <c r="A89" s="45" t="s">
        <v>3418</v>
      </c>
      <c r="B89" s="46"/>
      <c r="C89" s="46" t="s">
        <v>3414</v>
      </c>
      <c r="D89" s="46" t="s">
        <v>3323</v>
      </c>
      <c r="E89" s="46" t="s">
        <v>68</v>
      </c>
      <c r="F89" s="46" t="s">
        <v>68</v>
      </c>
      <c r="G89" s="46" t="s">
        <v>68</v>
      </c>
      <c r="H89" s="46" t="s">
        <v>68</v>
      </c>
      <c r="I89" s="46" t="s">
        <v>68</v>
      </c>
      <c r="J89" s="46" t="s">
        <v>71</v>
      </c>
      <c r="K89" s="47">
        <v>135</v>
      </c>
      <c r="L89" s="47">
        <v>35</v>
      </c>
      <c r="M89" s="47">
        <v>170</v>
      </c>
      <c r="N89" s="46"/>
      <c r="O89" s="71" t="s">
        <v>68</v>
      </c>
      <c r="P89" s="64"/>
      <c r="Q89" s="46" t="s">
        <v>3013</v>
      </c>
      <c r="R89" s="46" t="s">
        <v>3407</v>
      </c>
      <c r="S89" s="49">
        <v>42.5</v>
      </c>
      <c r="T89" s="49">
        <v>212.5</v>
      </c>
      <c r="U89" s="67">
        <v>0.39411764705882352</v>
      </c>
      <c r="V89" s="28">
        <v>0.24838709677419354</v>
      </c>
      <c r="W89" s="51">
        <v>0.25925925925925924</v>
      </c>
      <c r="X89" s="52">
        <v>21.25</v>
      </c>
      <c r="Y89" s="52">
        <v>30</v>
      </c>
      <c r="Z89" s="52">
        <v>77.5</v>
      </c>
      <c r="AA89" s="52">
        <v>128.75</v>
      </c>
      <c r="AB89" s="53">
        <v>0.60588235294117643</v>
      </c>
      <c r="AC89" s="68">
        <v>83.75</v>
      </c>
      <c r="AD89" s="55">
        <v>0.39411764705882352</v>
      </c>
      <c r="AE89" s="69">
        <v>1</v>
      </c>
      <c r="AF89" s="57" t="s">
        <v>77</v>
      </c>
      <c r="AG89" s="58">
        <v>27</v>
      </c>
      <c r="AH89" s="58">
        <v>35</v>
      </c>
      <c r="AI89" s="58">
        <v>62</v>
      </c>
      <c r="AJ89" s="49">
        <v>15.5</v>
      </c>
      <c r="AK89" s="49">
        <v>77.5</v>
      </c>
      <c r="AL89" s="52">
        <v>7.75</v>
      </c>
      <c r="AM89" s="52">
        <v>50.5</v>
      </c>
      <c r="AN89" s="52">
        <v>58.25</v>
      </c>
      <c r="AO89" s="59">
        <v>0.75161290322580643</v>
      </c>
      <c r="AP89" s="60">
        <v>19.25</v>
      </c>
      <c r="AQ89" s="61">
        <v>0.24838709677419354</v>
      </c>
      <c r="AR89" s="60" t="s">
        <v>78</v>
      </c>
      <c r="AS89" s="62">
        <v>176</v>
      </c>
      <c r="AT89" s="62">
        <v>46</v>
      </c>
      <c r="AU89" s="62">
        <v>222</v>
      </c>
      <c r="AV89" s="62">
        <v>277.5</v>
      </c>
      <c r="AW89" s="47" t="s">
        <v>74</v>
      </c>
      <c r="AX89" s="64"/>
      <c r="AY89" s="64" t="s">
        <v>3419</v>
      </c>
      <c r="BA89" s="64"/>
      <c r="BB89" s="64"/>
      <c r="BC89" s="64"/>
      <c r="BD89" s="46"/>
      <c r="BE89" s="46" t="e">
        <v>#REF!</v>
      </c>
      <c r="BF89" s="46" t="s">
        <v>79</v>
      </c>
      <c r="BG89" s="65">
        <v>0.5</v>
      </c>
      <c r="BH89" s="66" t="s">
        <v>3420</v>
      </c>
      <c r="BI89" s="63" t="s">
        <v>3421</v>
      </c>
    </row>
    <row r="90" spans="1:61" ht="25.5" x14ac:dyDescent="0.2">
      <c r="A90" s="45" t="s">
        <v>3422</v>
      </c>
      <c r="B90" s="46"/>
      <c r="C90" s="46" t="s">
        <v>3414</v>
      </c>
      <c r="D90" s="46" t="s">
        <v>3423</v>
      </c>
      <c r="E90" s="46" t="s">
        <v>68</v>
      </c>
      <c r="F90" s="46" t="s">
        <v>68</v>
      </c>
      <c r="G90" s="46" t="s">
        <v>68</v>
      </c>
      <c r="H90" s="46" t="s">
        <v>68</v>
      </c>
      <c r="I90" s="46" t="s">
        <v>68</v>
      </c>
      <c r="J90" s="46" t="s">
        <v>71</v>
      </c>
      <c r="K90" s="47">
        <v>130</v>
      </c>
      <c r="L90" s="47">
        <v>15</v>
      </c>
      <c r="M90" s="47">
        <v>145</v>
      </c>
      <c r="N90" s="46"/>
      <c r="O90" s="71" t="s">
        <v>68</v>
      </c>
      <c r="P90" s="64"/>
      <c r="Q90" s="46" t="s">
        <v>3013</v>
      </c>
      <c r="R90" s="46" t="s">
        <v>3407</v>
      </c>
      <c r="S90" s="49">
        <v>36.25</v>
      </c>
      <c r="T90" s="49">
        <v>181.25</v>
      </c>
      <c r="U90" s="67">
        <v>0.4517241379310345</v>
      </c>
      <c r="V90" s="67">
        <v>0.40731707317073168</v>
      </c>
      <c r="W90" s="51">
        <v>0.11538461538461539</v>
      </c>
      <c r="X90" s="52">
        <v>18.125</v>
      </c>
      <c r="Y90" s="52">
        <v>30</v>
      </c>
      <c r="Z90" s="52">
        <v>51.25</v>
      </c>
      <c r="AA90" s="52">
        <v>99.375</v>
      </c>
      <c r="AB90" s="53">
        <v>0.5482758620689655</v>
      </c>
      <c r="AC90" s="68">
        <v>81.875</v>
      </c>
      <c r="AD90" s="55">
        <v>0.4517241379310345</v>
      </c>
      <c r="AE90" s="69">
        <v>1</v>
      </c>
      <c r="AF90" s="57" t="s">
        <v>77</v>
      </c>
      <c r="AG90" s="58">
        <v>26</v>
      </c>
      <c r="AH90" s="58">
        <v>15</v>
      </c>
      <c r="AI90" s="58">
        <v>41</v>
      </c>
      <c r="AJ90" s="49">
        <v>10.25</v>
      </c>
      <c r="AK90" s="49">
        <v>51.25</v>
      </c>
      <c r="AL90" s="52">
        <v>5.125</v>
      </c>
      <c r="AM90" s="52">
        <v>25.25</v>
      </c>
      <c r="AN90" s="52">
        <v>30.375</v>
      </c>
      <c r="AO90" s="59">
        <v>0.59268292682926826</v>
      </c>
      <c r="AP90" s="60">
        <v>20.875</v>
      </c>
      <c r="AQ90" s="61">
        <v>0.40731707317073168</v>
      </c>
      <c r="AR90" s="60" t="s">
        <v>78</v>
      </c>
      <c r="AS90" s="62">
        <v>169</v>
      </c>
      <c r="AT90" s="62">
        <v>20</v>
      </c>
      <c r="AU90" s="62">
        <v>189</v>
      </c>
      <c r="AV90" s="62">
        <v>236.25</v>
      </c>
      <c r="AW90" s="47" t="s">
        <v>74</v>
      </c>
      <c r="AX90" s="64"/>
      <c r="AY90" s="64" t="s">
        <v>3424</v>
      </c>
      <c r="BA90" s="64"/>
      <c r="BB90" s="64"/>
      <c r="BC90" s="64"/>
      <c r="BD90" s="46"/>
      <c r="BE90" s="46" t="e">
        <v>#REF!</v>
      </c>
      <c r="BF90" s="46" t="s">
        <v>79</v>
      </c>
      <c r="BG90" s="65">
        <v>0.5</v>
      </c>
      <c r="BH90" s="66" t="s">
        <v>3425</v>
      </c>
      <c r="BI90" s="63" t="s">
        <v>3426</v>
      </c>
    </row>
    <row r="91" spans="1:61" ht="25.5" x14ac:dyDescent="0.2">
      <c r="A91" s="45" t="s">
        <v>3427</v>
      </c>
      <c r="B91" s="46"/>
      <c r="C91" s="46" t="s">
        <v>3414</v>
      </c>
      <c r="D91" s="46" t="s">
        <v>676</v>
      </c>
      <c r="E91" s="46" t="s">
        <v>68</v>
      </c>
      <c r="F91" s="46" t="s">
        <v>68</v>
      </c>
      <c r="G91" s="46" t="s">
        <v>68</v>
      </c>
      <c r="H91" s="46" t="s">
        <v>68</v>
      </c>
      <c r="I91" s="46" t="s">
        <v>68</v>
      </c>
      <c r="J91" s="46" t="s">
        <v>71</v>
      </c>
      <c r="K91" s="47">
        <v>130</v>
      </c>
      <c r="L91" s="47">
        <v>20</v>
      </c>
      <c r="M91" s="47">
        <v>150</v>
      </c>
      <c r="N91" s="46"/>
      <c r="O91" s="71" t="s">
        <v>68</v>
      </c>
      <c r="P91" s="64"/>
      <c r="Q91" s="46" t="s">
        <v>3013</v>
      </c>
      <c r="R91" s="46" t="s">
        <v>3407</v>
      </c>
      <c r="S91" s="49">
        <v>37.5</v>
      </c>
      <c r="T91" s="49">
        <v>187.5</v>
      </c>
      <c r="U91" s="67">
        <v>0.43333333333333335</v>
      </c>
      <c r="V91" s="67">
        <v>0.35217391304347828</v>
      </c>
      <c r="W91" s="51">
        <v>0.15384615384615385</v>
      </c>
      <c r="X91" s="52">
        <v>18.75</v>
      </c>
      <c r="Y91" s="52">
        <v>30</v>
      </c>
      <c r="Z91" s="52">
        <v>57.5</v>
      </c>
      <c r="AA91" s="52">
        <v>106.25</v>
      </c>
      <c r="AB91" s="53">
        <v>0.56666666666666665</v>
      </c>
      <c r="AC91" s="68">
        <v>81.25</v>
      </c>
      <c r="AD91" s="55">
        <v>0.43333333333333335</v>
      </c>
      <c r="AE91" s="69">
        <v>1</v>
      </c>
      <c r="AF91" s="57" t="s">
        <v>77</v>
      </c>
      <c r="AG91" s="58">
        <v>26</v>
      </c>
      <c r="AH91" s="58">
        <v>20</v>
      </c>
      <c r="AI91" s="58">
        <v>46</v>
      </c>
      <c r="AJ91" s="49">
        <v>11.5</v>
      </c>
      <c r="AK91" s="49">
        <v>57.5</v>
      </c>
      <c r="AL91" s="52">
        <v>5.75</v>
      </c>
      <c r="AM91" s="52">
        <v>31.5</v>
      </c>
      <c r="AN91" s="52">
        <v>37.25</v>
      </c>
      <c r="AO91" s="59">
        <v>0.64782608695652177</v>
      </c>
      <c r="AP91" s="60">
        <v>20.25</v>
      </c>
      <c r="AQ91" s="61">
        <v>0.35217391304347828</v>
      </c>
      <c r="AR91" s="60" t="s">
        <v>78</v>
      </c>
      <c r="AS91" s="62">
        <v>169</v>
      </c>
      <c r="AT91" s="62">
        <v>26</v>
      </c>
      <c r="AU91" s="62">
        <v>195</v>
      </c>
      <c r="AV91" s="62">
        <v>243.75</v>
      </c>
      <c r="AW91" s="47" t="s">
        <v>74</v>
      </c>
      <c r="AX91" s="64"/>
      <c r="AY91" s="64" t="s">
        <v>3428</v>
      </c>
      <c r="BA91" s="64"/>
      <c r="BB91" s="64"/>
      <c r="BC91" s="64"/>
      <c r="BD91" s="46"/>
      <c r="BE91" s="46" t="e">
        <v>#REF!</v>
      </c>
      <c r="BF91" s="46" t="s">
        <v>79</v>
      </c>
      <c r="BG91" s="65">
        <v>0.5</v>
      </c>
      <c r="BH91" s="66" t="s">
        <v>3429</v>
      </c>
      <c r="BI91" s="63" t="s">
        <v>3430</v>
      </c>
    </row>
    <row r="92" spans="1:61" ht="25.5" x14ac:dyDescent="0.2">
      <c r="A92" s="45" t="s">
        <v>3431</v>
      </c>
      <c r="B92" s="46"/>
      <c r="C92" s="46" t="s">
        <v>3414</v>
      </c>
      <c r="D92" s="46" t="s">
        <v>3432</v>
      </c>
      <c r="E92" s="46" t="s">
        <v>68</v>
      </c>
      <c r="F92" s="46" t="s">
        <v>68</v>
      </c>
      <c r="G92" s="46" t="s">
        <v>68</v>
      </c>
      <c r="H92" s="46" t="s">
        <v>68</v>
      </c>
      <c r="I92" s="46" t="s">
        <v>68</v>
      </c>
      <c r="J92" s="46" t="s">
        <v>71</v>
      </c>
      <c r="K92" s="47">
        <v>130</v>
      </c>
      <c r="L92" s="47">
        <v>20</v>
      </c>
      <c r="M92" s="47">
        <v>150</v>
      </c>
      <c r="N92" s="46"/>
      <c r="O92" s="71" t="s">
        <v>68</v>
      </c>
      <c r="P92" s="64"/>
      <c r="Q92" s="46" t="s">
        <v>3013</v>
      </c>
      <c r="R92" s="46" t="s">
        <v>3407</v>
      </c>
      <c r="S92" s="49">
        <v>37.5</v>
      </c>
      <c r="T92" s="49">
        <v>187.5</v>
      </c>
      <c r="U92" s="67">
        <v>0.43333333333333335</v>
      </c>
      <c r="V92" s="67">
        <v>0.35217391304347828</v>
      </c>
      <c r="W92" s="51">
        <v>0.15384615384615385</v>
      </c>
      <c r="X92" s="52">
        <v>18.75</v>
      </c>
      <c r="Y92" s="52">
        <v>30</v>
      </c>
      <c r="Z92" s="52">
        <v>57.5</v>
      </c>
      <c r="AA92" s="52">
        <v>106.25</v>
      </c>
      <c r="AB92" s="53">
        <v>0.56666666666666665</v>
      </c>
      <c r="AC92" s="68">
        <v>81.25</v>
      </c>
      <c r="AD92" s="55">
        <v>0.43333333333333335</v>
      </c>
      <c r="AE92" s="69">
        <v>1</v>
      </c>
      <c r="AF92" s="57" t="s">
        <v>77</v>
      </c>
      <c r="AG92" s="58">
        <v>26</v>
      </c>
      <c r="AH92" s="58">
        <v>20</v>
      </c>
      <c r="AI92" s="58">
        <v>46</v>
      </c>
      <c r="AJ92" s="49">
        <v>11.5</v>
      </c>
      <c r="AK92" s="49">
        <v>57.5</v>
      </c>
      <c r="AL92" s="52">
        <v>5.75</v>
      </c>
      <c r="AM92" s="52">
        <v>31.5</v>
      </c>
      <c r="AN92" s="52">
        <v>37.25</v>
      </c>
      <c r="AO92" s="59">
        <v>0.64782608695652177</v>
      </c>
      <c r="AP92" s="60">
        <v>20.25</v>
      </c>
      <c r="AQ92" s="61">
        <v>0.35217391304347828</v>
      </c>
      <c r="AR92" s="60" t="s">
        <v>78</v>
      </c>
      <c r="AS92" s="62">
        <v>169</v>
      </c>
      <c r="AT92" s="62">
        <v>26</v>
      </c>
      <c r="AU92" s="62">
        <v>195</v>
      </c>
      <c r="AV92" s="62">
        <v>243.75</v>
      </c>
      <c r="AW92" s="47" t="s">
        <v>74</v>
      </c>
      <c r="AX92" s="64"/>
      <c r="AY92" s="64" t="s">
        <v>3433</v>
      </c>
      <c r="BA92" s="64"/>
      <c r="BB92" s="64"/>
      <c r="BC92" s="64"/>
      <c r="BD92" s="46"/>
      <c r="BE92" s="46" t="e">
        <v>#REF!</v>
      </c>
      <c r="BF92" s="46" t="s">
        <v>79</v>
      </c>
      <c r="BG92" s="65">
        <v>0.5</v>
      </c>
      <c r="BH92" s="66" t="s">
        <v>3434</v>
      </c>
      <c r="BI92" s="63" t="s">
        <v>3435</v>
      </c>
    </row>
    <row r="93" spans="1:61" ht="38.25" x14ac:dyDescent="0.2">
      <c r="A93" s="45" t="s">
        <v>3436</v>
      </c>
      <c r="B93" s="46"/>
      <c r="C93" s="46" t="s">
        <v>3437</v>
      </c>
      <c r="D93" s="46" t="s">
        <v>3438</v>
      </c>
      <c r="E93" s="46" t="s">
        <v>68</v>
      </c>
      <c r="F93" s="46" t="s">
        <v>68</v>
      </c>
      <c r="G93" s="46" t="s">
        <v>68</v>
      </c>
      <c r="H93" s="46" t="s">
        <v>68</v>
      </c>
      <c r="I93" s="46" t="s">
        <v>68</v>
      </c>
      <c r="J93" s="46" t="s">
        <v>71</v>
      </c>
      <c r="K93" s="47">
        <v>130</v>
      </c>
      <c r="L93" s="47">
        <v>30</v>
      </c>
      <c r="M93" s="47">
        <v>160</v>
      </c>
      <c r="N93" s="46"/>
      <c r="O93" s="71" t="s">
        <v>68</v>
      </c>
      <c r="P93" s="64"/>
      <c r="Q93" s="46" t="s">
        <v>3013</v>
      </c>
      <c r="R93" s="46" t="s">
        <v>3407</v>
      </c>
      <c r="S93" s="49">
        <v>40</v>
      </c>
      <c r="T93" s="49">
        <v>200</v>
      </c>
      <c r="U93" s="67">
        <v>0.4</v>
      </c>
      <c r="V93" s="28">
        <v>0.27142857142857141</v>
      </c>
      <c r="W93" s="51">
        <v>0.23076923076923078</v>
      </c>
      <c r="X93" s="52">
        <v>20</v>
      </c>
      <c r="Y93" s="52">
        <v>30</v>
      </c>
      <c r="Z93" s="52">
        <v>70</v>
      </c>
      <c r="AA93" s="52">
        <v>120</v>
      </c>
      <c r="AB93" s="53">
        <v>0.6</v>
      </c>
      <c r="AC93" s="68">
        <v>80</v>
      </c>
      <c r="AD93" s="55">
        <v>0.4</v>
      </c>
      <c r="AE93" s="69">
        <v>1</v>
      </c>
      <c r="AF93" s="57" t="s">
        <v>77</v>
      </c>
      <c r="AG93" s="58">
        <v>26</v>
      </c>
      <c r="AH93" s="58">
        <v>30</v>
      </c>
      <c r="AI93" s="58">
        <v>56</v>
      </c>
      <c r="AJ93" s="49">
        <v>14</v>
      </c>
      <c r="AK93" s="49">
        <v>70</v>
      </c>
      <c r="AL93" s="52">
        <v>7</v>
      </c>
      <c r="AM93" s="52">
        <v>44</v>
      </c>
      <c r="AN93" s="52">
        <v>51</v>
      </c>
      <c r="AO93" s="59">
        <v>0.72857142857142854</v>
      </c>
      <c r="AP93" s="60">
        <v>19</v>
      </c>
      <c r="AQ93" s="61">
        <v>0.27142857142857141</v>
      </c>
      <c r="AR93" s="60" t="s">
        <v>78</v>
      </c>
      <c r="AS93" s="62">
        <v>169</v>
      </c>
      <c r="AT93" s="62">
        <v>39</v>
      </c>
      <c r="AU93" s="62">
        <v>208</v>
      </c>
      <c r="AV93" s="62">
        <v>260</v>
      </c>
      <c r="AW93" s="47" t="s">
        <v>74</v>
      </c>
      <c r="AX93" s="76">
        <v>44980</v>
      </c>
      <c r="AY93" s="64" t="s">
        <v>3439</v>
      </c>
      <c r="BA93" s="64"/>
      <c r="BB93" s="64"/>
      <c r="BC93" s="64"/>
      <c r="BD93" s="70" t="s">
        <v>3440</v>
      </c>
      <c r="BE93" s="46" t="e">
        <v>#REF!</v>
      </c>
      <c r="BF93" s="46" t="s">
        <v>79</v>
      </c>
      <c r="BG93" s="65">
        <v>0.25</v>
      </c>
      <c r="BH93" s="66" t="s">
        <v>3441</v>
      </c>
      <c r="BI93" s="63" t="s">
        <v>3442</v>
      </c>
    </row>
    <row r="94" spans="1:61" ht="25.5" x14ac:dyDescent="0.2">
      <c r="A94" s="34" t="s">
        <v>3443</v>
      </c>
      <c r="B94" s="35"/>
      <c r="C94" s="35" t="s">
        <v>68</v>
      </c>
      <c r="D94" s="35" t="s">
        <v>68</v>
      </c>
      <c r="E94" s="35" t="s">
        <v>68</v>
      </c>
      <c r="F94" s="35" t="s">
        <v>68</v>
      </c>
      <c r="G94" s="35" t="s">
        <v>68</v>
      </c>
      <c r="H94" s="35" t="s">
        <v>68</v>
      </c>
      <c r="I94" s="35" t="s">
        <v>68</v>
      </c>
      <c r="J94" s="35" t="s">
        <v>68</v>
      </c>
      <c r="K94" s="36" t="s">
        <v>68</v>
      </c>
      <c r="L94" s="36" t="s">
        <v>68</v>
      </c>
      <c r="M94" s="36" t="s">
        <v>68</v>
      </c>
      <c r="N94" s="35"/>
      <c r="O94" s="35" t="s">
        <v>68</v>
      </c>
      <c r="P94" s="37"/>
      <c r="Q94" s="38" t="s">
        <v>3013</v>
      </c>
      <c r="R94" s="38" t="s">
        <v>3444</v>
      </c>
      <c r="S94" s="36" t="s">
        <v>68</v>
      </c>
      <c r="T94" s="36" t="s">
        <v>68</v>
      </c>
      <c r="U94" s="39" t="s">
        <v>68</v>
      </c>
      <c r="V94" s="39" t="s">
        <v>68</v>
      </c>
      <c r="W94" s="40" t="s">
        <v>68</v>
      </c>
      <c r="X94" s="36" t="s">
        <v>68</v>
      </c>
      <c r="Y94" s="36" t="s">
        <v>68</v>
      </c>
      <c r="Z94" s="36" t="s">
        <v>68</v>
      </c>
      <c r="AA94" s="36" t="s">
        <v>68</v>
      </c>
      <c r="AB94" s="39" t="s">
        <v>68</v>
      </c>
      <c r="AC94" s="36" t="s">
        <v>68</v>
      </c>
      <c r="AD94" s="39" t="s">
        <v>68</v>
      </c>
      <c r="AE94" s="41"/>
      <c r="AF94" s="42" t="s">
        <v>68</v>
      </c>
      <c r="AG94" s="36" t="s">
        <v>68</v>
      </c>
      <c r="AH94" s="36" t="s">
        <v>68</v>
      </c>
      <c r="AI94" s="36" t="s">
        <v>68</v>
      </c>
      <c r="AJ94" s="36" t="s">
        <v>68</v>
      </c>
      <c r="AK94" s="36" t="s">
        <v>68</v>
      </c>
      <c r="AL94" s="36" t="s">
        <v>68</v>
      </c>
      <c r="AM94" s="36" t="s">
        <v>68</v>
      </c>
      <c r="AN94" s="36" t="s">
        <v>68</v>
      </c>
      <c r="AO94" s="43" t="s">
        <v>68</v>
      </c>
      <c r="AP94" s="36" t="s">
        <v>68</v>
      </c>
      <c r="AQ94" s="39" t="s">
        <v>68</v>
      </c>
      <c r="AR94" s="36" t="s">
        <v>68</v>
      </c>
      <c r="AS94" s="36" t="s">
        <v>68</v>
      </c>
      <c r="AT94" s="36" t="s">
        <v>68</v>
      </c>
      <c r="AU94" s="36" t="s">
        <v>68</v>
      </c>
      <c r="AV94" s="36" t="s">
        <v>68</v>
      </c>
      <c r="AW94" s="35"/>
      <c r="AX94" s="37"/>
      <c r="AY94" s="37" t="s">
        <v>68</v>
      </c>
      <c r="BA94" s="37"/>
      <c r="BB94" s="37"/>
      <c r="BC94" s="37"/>
      <c r="BD94" s="35"/>
      <c r="BE94" s="35" t="e">
        <v>#REF!</v>
      </c>
      <c r="BF94" s="35"/>
      <c r="BG94" s="44"/>
      <c r="BH94" s="38" t="s">
        <v>3445</v>
      </c>
      <c r="BI94" s="35" t="s">
        <v>68</v>
      </c>
    </row>
    <row r="95" spans="1:61" ht="25.5" x14ac:dyDescent="0.2">
      <c r="A95" s="45" t="s">
        <v>3446</v>
      </c>
      <c r="B95" s="46"/>
      <c r="C95" s="46" t="s">
        <v>3447</v>
      </c>
      <c r="D95" s="46" t="s">
        <v>3448</v>
      </c>
      <c r="E95" s="46" t="s">
        <v>3449</v>
      </c>
      <c r="F95" s="46" t="s">
        <v>68</v>
      </c>
      <c r="G95" s="46" t="s">
        <v>68</v>
      </c>
      <c r="H95" s="46" t="s">
        <v>68</v>
      </c>
      <c r="I95" s="46" t="s">
        <v>68</v>
      </c>
      <c r="J95" s="46" t="s">
        <v>71</v>
      </c>
      <c r="K95" s="47">
        <v>300</v>
      </c>
      <c r="L95" s="47">
        <v>75</v>
      </c>
      <c r="M95" s="47">
        <v>375</v>
      </c>
      <c r="N95" s="46"/>
      <c r="O95" s="71" t="s">
        <v>68</v>
      </c>
      <c r="P95" s="64"/>
      <c r="Q95" s="46" t="s">
        <v>3013</v>
      </c>
      <c r="R95" s="46" t="s">
        <v>3444</v>
      </c>
      <c r="S95" s="49">
        <v>93.75</v>
      </c>
      <c r="T95" s="49">
        <v>468.75</v>
      </c>
      <c r="U95" s="67">
        <v>0.47599999999999998</v>
      </c>
      <c r="V95" s="67">
        <v>0.54</v>
      </c>
      <c r="W95" s="51">
        <v>0.25</v>
      </c>
      <c r="X95" s="52">
        <v>46.875</v>
      </c>
      <c r="Y95" s="52">
        <v>30</v>
      </c>
      <c r="Z95" s="52">
        <v>168.75</v>
      </c>
      <c r="AA95" s="52">
        <v>245.625</v>
      </c>
      <c r="AB95" s="53">
        <v>0.52400000000000002</v>
      </c>
      <c r="AC95" s="72">
        <v>223.125</v>
      </c>
      <c r="AD95" s="55">
        <v>0.47599999999999998</v>
      </c>
      <c r="AE95" s="73">
        <v>3</v>
      </c>
      <c r="AF95" s="57" t="s">
        <v>95</v>
      </c>
      <c r="AG95" s="58">
        <v>300</v>
      </c>
      <c r="AH95" s="58">
        <v>75</v>
      </c>
      <c r="AI95" s="58">
        <v>375</v>
      </c>
      <c r="AJ95" s="49">
        <v>93.75</v>
      </c>
      <c r="AK95" s="49">
        <v>468.75</v>
      </c>
      <c r="AL95" s="52">
        <v>46.875</v>
      </c>
      <c r="AM95" s="52">
        <v>168.75</v>
      </c>
      <c r="AN95" s="52">
        <v>215.625</v>
      </c>
      <c r="AO95" s="59">
        <v>0.46</v>
      </c>
      <c r="AP95" s="60">
        <v>253.125</v>
      </c>
      <c r="AQ95" s="61">
        <v>0.54</v>
      </c>
      <c r="AR95" s="60" t="s">
        <v>78</v>
      </c>
      <c r="AS95" s="62">
        <v>480</v>
      </c>
      <c r="AT95" s="62">
        <v>120</v>
      </c>
      <c r="AU95" s="62">
        <v>600</v>
      </c>
      <c r="AV95" s="62">
        <v>750</v>
      </c>
      <c r="AW95" s="47" t="s">
        <v>107</v>
      </c>
      <c r="AX95" s="64">
        <v>45042</v>
      </c>
      <c r="AY95" s="64" t="s">
        <v>3450</v>
      </c>
      <c r="BA95" s="64"/>
      <c r="BB95" s="64"/>
      <c r="BC95" s="64"/>
      <c r="BD95" s="70" t="s">
        <v>3451</v>
      </c>
      <c r="BE95" s="46" t="e">
        <v>#REF!</v>
      </c>
      <c r="BF95" s="46" t="s">
        <v>75</v>
      </c>
      <c r="BG95" s="65"/>
      <c r="BH95" s="66" t="s">
        <v>3452</v>
      </c>
      <c r="BI95" s="63" t="s">
        <v>3453</v>
      </c>
    </row>
    <row r="96" spans="1:61" ht="25.5" x14ac:dyDescent="0.2">
      <c r="A96" s="45" t="s">
        <v>3454</v>
      </c>
      <c r="B96" s="46"/>
      <c r="C96" s="46" t="s">
        <v>3447</v>
      </c>
      <c r="D96" s="46" t="s">
        <v>3448</v>
      </c>
      <c r="E96" s="46" t="s">
        <v>3455</v>
      </c>
      <c r="F96" s="46"/>
      <c r="G96" s="46"/>
      <c r="H96" s="46"/>
      <c r="I96" s="46"/>
      <c r="J96" s="46" t="s">
        <v>71</v>
      </c>
      <c r="K96" s="47">
        <v>400</v>
      </c>
      <c r="L96" s="47">
        <f>75*5</f>
        <v>375</v>
      </c>
      <c r="M96" s="47">
        <v>775</v>
      </c>
      <c r="N96" s="46"/>
      <c r="O96" s="71" t="s">
        <v>68</v>
      </c>
      <c r="P96" s="64"/>
      <c r="Q96" s="46" t="s">
        <v>3013</v>
      </c>
      <c r="R96" s="46" t="s">
        <v>3444</v>
      </c>
      <c r="S96" s="49">
        <v>193.75</v>
      </c>
      <c r="T96" s="49">
        <v>968.75</v>
      </c>
      <c r="U96" s="28">
        <v>0.28193548387096773</v>
      </c>
      <c r="V96" s="67">
        <v>0.31290322580645163</v>
      </c>
      <c r="W96" s="51">
        <v>0.9375</v>
      </c>
      <c r="X96" s="52">
        <v>96.875</v>
      </c>
      <c r="Y96" s="52">
        <v>30</v>
      </c>
      <c r="Z96" s="52">
        <v>568.75</v>
      </c>
      <c r="AA96" s="52">
        <v>695.625</v>
      </c>
      <c r="AB96" s="53">
        <v>0.71806451612903222</v>
      </c>
      <c r="AC96" s="72">
        <v>273.125</v>
      </c>
      <c r="AD96" s="55">
        <v>0.28193548387096773</v>
      </c>
      <c r="AE96" s="73">
        <v>3</v>
      </c>
      <c r="AF96" s="57" t="s">
        <v>95</v>
      </c>
      <c r="AG96" s="58">
        <v>400</v>
      </c>
      <c r="AH96" s="58">
        <v>375</v>
      </c>
      <c r="AI96" s="58">
        <v>775</v>
      </c>
      <c r="AJ96" s="49">
        <v>193.75</v>
      </c>
      <c r="AK96" s="49">
        <v>968.75</v>
      </c>
      <c r="AL96" s="52">
        <v>96.875</v>
      </c>
      <c r="AM96" s="52">
        <v>568.75</v>
      </c>
      <c r="AN96" s="52">
        <v>665.625</v>
      </c>
      <c r="AO96" s="59">
        <v>0.68709677419354842</v>
      </c>
      <c r="AP96" s="60">
        <v>303.125</v>
      </c>
      <c r="AQ96" s="61">
        <v>0.31290322580645163</v>
      </c>
      <c r="AR96" s="60" t="s">
        <v>78</v>
      </c>
      <c r="AS96" s="62">
        <v>640</v>
      </c>
      <c r="AT96" s="62">
        <v>600</v>
      </c>
      <c r="AU96" s="62">
        <v>1240</v>
      </c>
      <c r="AV96" s="62">
        <v>1550</v>
      </c>
      <c r="AW96" s="47" t="s">
        <v>107</v>
      </c>
      <c r="AX96" s="64">
        <v>45300</v>
      </c>
      <c r="AY96" s="64" t="s">
        <v>3456</v>
      </c>
      <c r="BA96" s="64"/>
      <c r="BB96" s="64"/>
      <c r="BC96" s="64"/>
      <c r="BD96" s="70" t="s">
        <v>3451</v>
      </c>
      <c r="BE96" s="46" t="e">
        <v>#REF!</v>
      </c>
      <c r="BF96" s="46" t="s">
        <v>75</v>
      </c>
      <c r="BG96" s="65"/>
      <c r="BH96" s="66"/>
      <c r="BI96" s="63" t="s">
        <v>3457</v>
      </c>
    </row>
    <row r="97" spans="1:61" ht="25.5" x14ac:dyDescent="0.2">
      <c r="A97" s="45" t="s">
        <v>3458</v>
      </c>
      <c r="B97" s="46"/>
      <c r="C97" s="46" t="s">
        <v>3447</v>
      </c>
      <c r="D97" s="46" t="s">
        <v>3448</v>
      </c>
      <c r="E97" s="46" t="s">
        <v>3459</v>
      </c>
      <c r="F97" s="46"/>
      <c r="G97" s="46"/>
      <c r="H97" s="46"/>
      <c r="I97" s="46"/>
      <c r="J97" s="46" t="s">
        <v>71</v>
      </c>
      <c r="K97" s="47">
        <v>500</v>
      </c>
      <c r="L97" s="47">
        <f>75*10</f>
        <v>750</v>
      </c>
      <c r="M97" s="47">
        <v>1250</v>
      </c>
      <c r="N97" s="46"/>
      <c r="O97" s="71" t="s">
        <v>68</v>
      </c>
      <c r="P97" s="64"/>
      <c r="Q97" s="46" t="s">
        <v>3013</v>
      </c>
      <c r="R97" s="46" t="s">
        <v>3444</v>
      </c>
      <c r="S97" s="49">
        <v>312.5</v>
      </c>
      <c r="T97" s="49">
        <v>1562.5</v>
      </c>
      <c r="U97" s="28">
        <v>0.20080000000000001</v>
      </c>
      <c r="V97" s="28">
        <v>0.22</v>
      </c>
      <c r="W97" s="74">
        <v>1.5</v>
      </c>
      <c r="X97" s="52">
        <v>156.25</v>
      </c>
      <c r="Y97" s="52">
        <v>30</v>
      </c>
      <c r="Z97" s="52">
        <v>1062.5</v>
      </c>
      <c r="AA97" s="52">
        <v>1248.75</v>
      </c>
      <c r="AB97" s="53">
        <v>0.79920000000000002</v>
      </c>
      <c r="AC97" s="72">
        <v>313.75</v>
      </c>
      <c r="AD97" s="55">
        <v>0.20080000000000001</v>
      </c>
      <c r="AE97" s="73">
        <v>3</v>
      </c>
      <c r="AF97" s="57" t="s">
        <v>95</v>
      </c>
      <c r="AG97" s="58">
        <v>500</v>
      </c>
      <c r="AH97" s="58">
        <v>750</v>
      </c>
      <c r="AI97" s="58">
        <v>1250</v>
      </c>
      <c r="AJ97" s="49">
        <v>312.5</v>
      </c>
      <c r="AK97" s="49">
        <v>1562.5</v>
      </c>
      <c r="AL97" s="52">
        <v>156.25</v>
      </c>
      <c r="AM97" s="52">
        <v>1062.5</v>
      </c>
      <c r="AN97" s="52">
        <v>1218.75</v>
      </c>
      <c r="AO97" s="59">
        <v>0.78</v>
      </c>
      <c r="AP97" s="60">
        <v>343.75</v>
      </c>
      <c r="AQ97" s="61">
        <v>0.22</v>
      </c>
      <c r="AR97" s="60" t="s">
        <v>78</v>
      </c>
      <c r="AS97" s="62">
        <v>800</v>
      </c>
      <c r="AT97" s="62">
        <v>1200</v>
      </c>
      <c r="AU97" s="62">
        <v>2000</v>
      </c>
      <c r="AV97" s="62">
        <v>2500</v>
      </c>
      <c r="AW97" s="47" t="s">
        <v>107</v>
      </c>
      <c r="AX97" s="64">
        <v>45300</v>
      </c>
      <c r="AY97" s="64" t="s">
        <v>3460</v>
      </c>
      <c r="BA97" s="64"/>
      <c r="BB97" s="64"/>
      <c r="BC97" s="64"/>
      <c r="BD97" s="70" t="s">
        <v>3451</v>
      </c>
      <c r="BE97" s="46" t="e">
        <v>#REF!</v>
      </c>
      <c r="BF97" s="46" t="s">
        <v>75</v>
      </c>
      <c r="BG97" s="65"/>
      <c r="BH97" s="66"/>
      <c r="BI97" s="63" t="s">
        <v>3461</v>
      </c>
    </row>
    <row r="98" spans="1:61" ht="25.5" x14ac:dyDescent="0.2">
      <c r="A98" s="45" t="s">
        <v>3462</v>
      </c>
      <c r="B98" s="46"/>
      <c r="C98" s="46" t="s">
        <v>3447</v>
      </c>
      <c r="D98" s="46" t="s">
        <v>3448</v>
      </c>
      <c r="E98" s="46" t="s">
        <v>3463</v>
      </c>
      <c r="F98" s="46"/>
      <c r="G98" s="46"/>
      <c r="H98" s="46"/>
      <c r="I98" s="46"/>
      <c r="J98" s="46" t="s">
        <v>71</v>
      </c>
      <c r="K98" s="47">
        <v>600</v>
      </c>
      <c r="L98" s="47">
        <f>75*15</f>
        <v>1125</v>
      </c>
      <c r="M98" s="47">
        <v>1725</v>
      </c>
      <c r="N98" s="46"/>
      <c r="O98" s="71" t="s">
        <v>68</v>
      </c>
      <c r="P98" s="64"/>
      <c r="Q98" s="46" t="s">
        <v>3013</v>
      </c>
      <c r="R98" s="46" t="s">
        <v>3444</v>
      </c>
      <c r="S98" s="49">
        <v>431.25</v>
      </c>
      <c r="T98" s="49">
        <v>2156.25</v>
      </c>
      <c r="U98" s="50">
        <v>0.16434782608695653</v>
      </c>
      <c r="V98" s="50">
        <v>0.17826086956521739</v>
      </c>
      <c r="W98" s="77">
        <v>1.875</v>
      </c>
      <c r="X98" s="52">
        <v>215.625</v>
      </c>
      <c r="Y98" s="52">
        <v>30</v>
      </c>
      <c r="Z98" s="52">
        <v>1556.25</v>
      </c>
      <c r="AA98" s="52">
        <v>1801.875</v>
      </c>
      <c r="AB98" s="53">
        <v>0.83565217391304347</v>
      </c>
      <c r="AC98" s="72">
        <v>354.375</v>
      </c>
      <c r="AD98" s="55">
        <v>0.16434782608695653</v>
      </c>
      <c r="AE98" s="73">
        <v>3</v>
      </c>
      <c r="AF98" s="57" t="s">
        <v>95</v>
      </c>
      <c r="AG98" s="58">
        <v>600</v>
      </c>
      <c r="AH98" s="58">
        <v>1125</v>
      </c>
      <c r="AI98" s="58">
        <v>1725</v>
      </c>
      <c r="AJ98" s="49">
        <v>431.25</v>
      </c>
      <c r="AK98" s="49">
        <v>2156.25</v>
      </c>
      <c r="AL98" s="52">
        <v>215.625</v>
      </c>
      <c r="AM98" s="52">
        <v>1556.25</v>
      </c>
      <c r="AN98" s="52">
        <v>1771.875</v>
      </c>
      <c r="AO98" s="59">
        <v>0.82173913043478264</v>
      </c>
      <c r="AP98" s="60">
        <v>384.375</v>
      </c>
      <c r="AQ98" s="61">
        <v>0.17826086956521739</v>
      </c>
      <c r="AR98" s="60" t="s">
        <v>73</v>
      </c>
      <c r="AS98" s="62">
        <v>960</v>
      </c>
      <c r="AT98" s="62">
        <v>1800</v>
      </c>
      <c r="AU98" s="62">
        <v>2760</v>
      </c>
      <c r="AV98" s="62">
        <v>3450</v>
      </c>
      <c r="AW98" s="47" t="s">
        <v>107</v>
      </c>
      <c r="AX98" s="64">
        <v>45300</v>
      </c>
      <c r="AY98" s="64" t="s">
        <v>3464</v>
      </c>
      <c r="BA98" s="64"/>
      <c r="BB98" s="64"/>
      <c r="BC98" s="64"/>
      <c r="BD98" s="70" t="s">
        <v>3451</v>
      </c>
      <c r="BE98" s="46" t="e">
        <v>#REF!</v>
      </c>
      <c r="BF98" s="46" t="s">
        <v>75</v>
      </c>
      <c r="BG98" s="65"/>
      <c r="BH98" s="66"/>
      <c r="BI98" s="63" t="s">
        <v>3465</v>
      </c>
    </row>
    <row r="99" spans="1:61" ht="25.5" x14ac:dyDescent="0.2">
      <c r="A99" s="45" t="s">
        <v>3466</v>
      </c>
      <c r="B99" s="46"/>
      <c r="C99" s="46" t="s">
        <v>3447</v>
      </c>
      <c r="D99" s="46" t="s">
        <v>3448</v>
      </c>
      <c r="E99" s="46" t="s">
        <v>3467</v>
      </c>
      <c r="F99" s="46"/>
      <c r="G99" s="46"/>
      <c r="H99" s="46"/>
      <c r="I99" s="46"/>
      <c r="J99" s="46" t="s">
        <v>71</v>
      </c>
      <c r="K99" s="47">
        <v>700</v>
      </c>
      <c r="L99" s="47">
        <f>75*20</f>
        <v>1500</v>
      </c>
      <c r="M99" s="47">
        <v>2200</v>
      </c>
      <c r="N99" s="46"/>
      <c r="O99" s="71" t="s">
        <v>68</v>
      </c>
      <c r="P99" s="64"/>
      <c r="Q99" s="46" t="s">
        <v>3013</v>
      </c>
      <c r="R99" s="46" t="s">
        <v>3444</v>
      </c>
      <c r="S99" s="49">
        <v>550</v>
      </c>
      <c r="T99" s="49">
        <v>2750</v>
      </c>
      <c r="U99" s="50">
        <v>0.14363636363636365</v>
      </c>
      <c r="V99" s="50">
        <v>0.15454545454545454</v>
      </c>
      <c r="W99" s="77">
        <v>2.1428571428571428</v>
      </c>
      <c r="X99" s="52">
        <v>275</v>
      </c>
      <c r="Y99" s="52">
        <v>30</v>
      </c>
      <c r="Z99" s="52">
        <v>2050</v>
      </c>
      <c r="AA99" s="52">
        <v>2355</v>
      </c>
      <c r="AB99" s="53">
        <v>0.85636363636363633</v>
      </c>
      <c r="AC99" s="72">
        <v>395</v>
      </c>
      <c r="AD99" s="55">
        <v>0.14363636363636365</v>
      </c>
      <c r="AE99" s="73">
        <v>3</v>
      </c>
      <c r="AF99" s="57" t="s">
        <v>95</v>
      </c>
      <c r="AG99" s="58">
        <v>700</v>
      </c>
      <c r="AH99" s="58">
        <v>1500</v>
      </c>
      <c r="AI99" s="58">
        <v>2200</v>
      </c>
      <c r="AJ99" s="49">
        <v>550</v>
      </c>
      <c r="AK99" s="49">
        <v>2750</v>
      </c>
      <c r="AL99" s="52">
        <v>275</v>
      </c>
      <c r="AM99" s="52">
        <v>2050</v>
      </c>
      <c r="AN99" s="52">
        <v>2325</v>
      </c>
      <c r="AO99" s="59">
        <v>0.84545454545454546</v>
      </c>
      <c r="AP99" s="60">
        <v>425</v>
      </c>
      <c r="AQ99" s="61">
        <v>0.15454545454545454</v>
      </c>
      <c r="AR99" s="60" t="s">
        <v>73</v>
      </c>
      <c r="AS99" s="62">
        <v>1120</v>
      </c>
      <c r="AT99" s="62">
        <v>2400</v>
      </c>
      <c r="AU99" s="62">
        <v>3520</v>
      </c>
      <c r="AV99" s="62">
        <v>4400</v>
      </c>
      <c r="AW99" s="47" t="s">
        <v>107</v>
      </c>
      <c r="AX99" s="64">
        <v>45300</v>
      </c>
      <c r="AY99" s="64" t="s">
        <v>3468</v>
      </c>
      <c r="BA99" s="64"/>
      <c r="BB99" s="64"/>
      <c r="BC99" s="64"/>
      <c r="BD99" s="70" t="s">
        <v>3451</v>
      </c>
      <c r="BE99" s="46" t="e">
        <v>#REF!</v>
      </c>
      <c r="BF99" s="46" t="s">
        <v>75</v>
      </c>
      <c r="BG99" s="65"/>
      <c r="BH99" s="66"/>
      <c r="BI99" s="63" t="s">
        <v>3469</v>
      </c>
    </row>
    <row r="100" spans="1:61" ht="38.25" x14ac:dyDescent="0.2">
      <c r="A100" s="45" t="s">
        <v>3470</v>
      </c>
      <c r="B100" s="46"/>
      <c r="C100" s="46" t="s">
        <v>3447</v>
      </c>
      <c r="D100" s="46" t="s">
        <v>3448</v>
      </c>
      <c r="E100" s="46" t="s">
        <v>3471</v>
      </c>
      <c r="F100" s="46" t="s">
        <v>68</v>
      </c>
      <c r="G100" s="46" t="s">
        <v>68</v>
      </c>
      <c r="H100" s="46" t="s">
        <v>68</v>
      </c>
      <c r="I100" s="46" t="s">
        <v>68</v>
      </c>
      <c r="J100" s="46" t="s">
        <v>71</v>
      </c>
      <c r="K100" s="47">
        <v>800</v>
      </c>
      <c r="L100" s="47">
        <v>0</v>
      </c>
      <c r="M100" s="47">
        <v>800</v>
      </c>
      <c r="N100" s="46"/>
      <c r="O100" s="71" t="s">
        <v>68</v>
      </c>
      <c r="P100" s="64"/>
      <c r="Q100" s="46" t="s">
        <v>3013</v>
      </c>
      <c r="R100" s="46" t="s">
        <v>3444</v>
      </c>
      <c r="S100" s="49">
        <v>200</v>
      </c>
      <c r="T100" s="49">
        <v>1000</v>
      </c>
      <c r="U100" s="67">
        <v>0.67</v>
      </c>
      <c r="V100" s="67">
        <v>0.7</v>
      </c>
      <c r="W100" s="51">
        <v>0</v>
      </c>
      <c r="X100" s="52">
        <v>100</v>
      </c>
      <c r="Y100" s="52">
        <v>30</v>
      </c>
      <c r="Z100" s="52">
        <v>200</v>
      </c>
      <c r="AA100" s="52">
        <v>330</v>
      </c>
      <c r="AB100" s="53">
        <v>0.33</v>
      </c>
      <c r="AC100" s="72">
        <v>670</v>
      </c>
      <c r="AD100" s="55">
        <v>0.67</v>
      </c>
      <c r="AE100" s="73">
        <v>3</v>
      </c>
      <c r="AF100" s="57" t="s">
        <v>95</v>
      </c>
      <c r="AG100" s="58">
        <v>800</v>
      </c>
      <c r="AH100" s="58">
        <v>0</v>
      </c>
      <c r="AI100" s="58">
        <v>800</v>
      </c>
      <c r="AJ100" s="49">
        <v>200</v>
      </c>
      <c r="AK100" s="49">
        <v>1000</v>
      </c>
      <c r="AL100" s="52">
        <v>100</v>
      </c>
      <c r="AM100" s="52">
        <v>200</v>
      </c>
      <c r="AN100" s="52">
        <v>300</v>
      </c>
      <c r="AO100" s="59">
        <v>0.3</v>
      </c>
      <c r="AP100" s="60">
        <v>700</v>
      </c>
      <c r="AQ100" s="61">
        <v>0.7</v>
      </c>
      <c r="AR100" s="60" t="s">
        <v>78</v>
      </c>
      <c r="AS100" s="62">
        <v>1280</v>
      </c>
      <c r="AT100" s="62">
        <v>0</v>
      </c>
      <c r="AU100" s="62">
        <v>1280</v>
      </c>
      <c r="AV100" s="62">
        <v>1600</v>
      </c>
      <c r="AW100" s="47" t="s">
        <v>107</v>
      </c>
      <c r="AX100" s="64">
        <v>45042</v>
      </c>
      <c r="AY100" s="64" t="s">
        <v>3472</v>
      </c>
      <c r="BA100" s="64"/>
      <c r="BB100" s="64"/>
      <c r="BC100" s="64"/>
      <c r="BD100" s="70" t="s">
        <v>3451</v>
      </c>
      <c r="BE100" s="46" t="e">
        <v>#REF!</v>
      </c>
      <c r="BF100" s="46" t="s">
        <v>75</v>
      </c>
      <c r="BG100" s="65"/>
      <c r="BH100" s="66" t="s">
        <v>3473</v>
      </c>
      <c r="BI100" s="63" t="s">
        <v>3474</v>
      </c>
    </row>
    <row r="101" spans="1:61" ht="38.25" x14ac:dyDescent="0.2">
      <c r="A101" s="45" t="s">
        <v>3475</v>
      </c>
      <c r="B101" s="46"/>
      <c r="C101" s="46" t="s">
        <v>3447</v>
      </c>
      <c r="D101" s="46" t="s">
        <v>821</v>
      </c>
      <c r="E101" s="46" t="s">
        <v>3467</v>
      </c>
      <c r="F101" s="46" t="s">
        <v>68</v>
      </c>
      <c r="G101" s="46" t="s">
        <v>68</v>
      </c>
      <c r="H101" s="46" t="s">
        <v>68</v>
      </c>
      <c r="I101" s="46" t="s">
        <v>68</v>
      </c>
      <c r="J101" s="46" t="s">
        <v>71</v>
      </c>
      <c r="K101" s="47">
        <v>350</v>
      </c>
      <c r="L101" s="47">
        <f>20*3</f>
        <v>60</v>
      </c>
      <c r="M101" s="47">
        <v>410</v>
      </c>
      <c r="N101" s="46"/>
      <c r="O101" s="71" t="s">
        <v>68</v>
      </c>
      <c r="P101" s="64"/>
      <c r="Q101" s="46" t="s">
        <v>3013</v>
      </c>
      <c r="R101" s="46" t="s">
        <v>3444</v>
      </c>
      <c r="S101" s="49">
        <v>102.5</v>
      </c>
      <c r="T101" s="49">
        <v>512.5</v>
      </c>
      <c r="U101" s="67">
        <v>0.52439024390243905</v>
      </c>
      <c r="V101" s="67">
        <v>0.58292682926829265</v>
      </c>
      <c r="W101" s="51">
        <v>0.17142857142857143</v>
      </c>
      <c r="X101" s="52">
        <v>51.25</v>
      </c>
      <c r="Y101" s="52">
        <v>30</v>
      </c>
      <c r="Z101" s="52">
        <v>162.5</v>
      </c>
      <c r="AA101" s="52">
        <v>243.75</v>
      </c>
      <c r="AB101" s="53">
        <v>0.47560975609756095</v>
      </c>
      <c r="AC101" s="72">
        <v>268.75</v>
      </c>
      <c r="AD101" s="55">
        <v>0.52439024390243905</v>
      </c>
      <c r="AE101" s="73">
        <v>3</v>
      </c>
      <c r="AF101" s="57" t="s">
        <v>95</v>
      </c>
      <c r="AG101" s="58">
        <v>350</v>
      </c>
      <c r="AH101" s="58">
        <v>60</v>
      </c>
      <c r="AI101" s="58">
        <v>410</v>
      </c>
      <c r="AJ101" s="49">
        <v>102.5</v>
      </c>
      <c r="AK101" s="49">
        <v>512.5</v>
      </c>
      <c r="AL101" s="52">
        <v>51.25</v>
      </c>
      <c r="AM101" s="52">
        <v>162.5</v>
      </c>
      <c r="AN101" s="52">
        <v>213.75</v>
      </c>
      <c r="AO101" s="59">
        <v>0.4170731707317073</v>
      </c>
      <c r="AP101" s="60">
        <v>298.75</v>
      </c>
      <c r="AQ101" s="61">
        <v>0.58292682926829265</v>
      </c>
      <c r="AR101" s="60" t="s">
        <v>78</v>
      </c>
      <c r="AS101" s="62">
        <v>560</v>
      </c>
      <c r="AT101" s="62">
        <v>96</v>
      </c>
      <c r="AU101" s="62">
        <v>656</v>
      </c>
      <c r="AV101" s="62">
        <v>820</v>
      </c>
      <c r="AW101" s="47" t="s">
        <v>107</v>
      </c>
      <c r="AX101" s="64">
        <v>45139</v>
      </c>
      <c r="AY101" s="64" t="s">
        <v>3476</v>
      </c>
      <c r="BA101" s="64"/>
      <c r="BB101" s="64"/>
      <c r="BC101" s="64"/>
      <c r="BD101" s="70" t="s">
        <v>3477</v>
      </c>
      <c r="BE101" s="46" t="e">
        <v>#REF!</v>
      </c>
      <c r="BF101" s="46" t="s">
        <v>75</v>
      </c>
      <c r="BG101" s="65"/>
      <c r="BH101" s="66" t="s">
        <v>3478</v>
      </c>
      <c r="BI101" s="63" t="s">
        <v>3479</v>
      </c>
    </row>
    <row r="102" spans="1:61" ht="38.25" x14ac:dyDescent="0.2">
      <c r="A102" s="45" t="s">
        <v>3480</v>
      </c>
      <c r="B102" s="46"/>
      <c r="C102" s="46" t="s">
        <v>3447</v>
      </c>
      <c r="D102" s="46" t="s">
        <v>821</v>
      </c>
      <c r="E102" s="46" t="s">
        <v>3481</v>
      </c>
      <c r="F102" s="46" t="s">
        <v>68</v>
      </c>
      <c r="G102" s="46" t="s">
        <v>68</v>
      </c>
      <c r="H102" s="46" t="s">
        <v>68</v>
      </c>
      <c r="I102" s="46" t="s">
        <v>68</v>
      </c>
      <c r="J102" s="46" t="s">
        <v>71</v>
      </c>
      <c r="K102" s="47">
        <v>450</v>
      </c>
      <c r="L102" s="47">
        <f>30*3</f>
        <v>90</v>
      </c>
      <c r="M102" s="47">
        <v>540</v>
      </c>
      <c r="N102" s="46"/>
      <c r="O102" s="71" t="s">
        <v>68</v>
      </c>
      <c r="P102" s="64"/>
      <c r="Q102" s="46" t="s">
        <v>3013</v>
      </c>
      <c r="R102" s="46" t="s">
        <v>3444</v>
      </c>
      <c r="S102" s="49">
        <v>135</v>
      </c>
      <c r="T102" s="49">
        <v>675</v>
      </c>
      <c r="U102" s="67">
        <v>0.52222222222222225</v>
      </c>
      <c r="V102" s="67">
        <v>0.56666666666666665</v>
      </c>
      <c r="W102" s="51">
        <v>0.2</v>
      </c>
      <c r="X102" s="52">
        <v>67.5</v>
      </c>
      <c r="Y102" s="52">
        <v>30</v>
      </c>
      <c r="Z102" s="52">
        <v>225</v>
      </c>
      <c r="AA102" s="52">
        <v>322.5</v>
      </c>
      <c r="AB102" s="53">
        <v>0.4777777777777778</v>
      </c>
      <c r="AC102" s="72">
        <v>352.5</v>
      </c>
      <c r="AD102" s="55">
        <v>0.52222222222222225</v>
      </c>
      <c r="AE102" s="73">
        <v>3</v>
      </c>
      <c r="AF102" s="57" t="s">
        <v>95</v>
      </c>
      <c r="AG102" s="58">
        <v>450</v>
      </c>
      <c r="AH102" s="58">
        <v>90</v>
      </c>
      <c r="AI102" s="58">
        <v>540</v>
      </c>
      <c r="AJ102" s="49">
        <v>135</v>
      </c>
      <c r="AK102" s="49">
        <v>675</v>
      </c>
      <c r="AL102" s="52">
        <v>67.5</v>
      </c>
      <c r="AM102" s="52">
        <v>225</v>
      </c>
      <c r="AN102" s="52">
        <v>292.5</v>
      </c>
      <c r="AO102" s="59">
        <v>0.43333333333333335</v>
      </c>
      <c r="AP102" s="60">
        <v>382.5</v>
      </c>
      <c r="AQ102" s="61">
        <v>0.56666666666666665</v>
      </c>
      <c r="AR102" s="60" t="s">
        <v>78</v>
      </c>
      <c r="AS102" s="62">
        <v>720</v>
      </c>
      <c r="AT102" s="62">
        <v>144</v>
      </c>
      <c r="AU102" s="62">
        <v>864</v>
      </c>
      <c r="AV102" s="62">
        <v>1080</v>
      </c>
      <c r="AW102" s="47" t="s">
        <v>107</v>
      </c>
      <c r="AX102" s="64">
        <v>45139</v>
      </c>
      <c r="AY102" s="64" t="s">
        <v>3482</v>
      </c>
      <c r="BA102" s="64"/>
      <c r="BB102" s="64"/>
      <c r="BC102" s="64"/>
      <c r="BD102" s="70" t="s">
        <v>3477</v>
      </c>
      <c r="BE102" s="46" t="e">
        <v>#REF!</v>
      </c>
      <c r="BF102" s="46" t="s">
        <v>75</v>
      </c>
      <c r="BG102" s="65"/>
      <c r="BH102" s="66" t="s">
        <v>3483</v>
      </c>
      <c r="BI102" s="63" t="s">
        <v>3484</v>
      </c>
    </row>
    <row r="103" spans="1:61" ht="38.25" x14ac:dyDescent="0.2">
      <c r="A103" s="45" t="s">
        <v>3485</v>
      </c>
      <c r="B103" s="46"/>
      <c r="C103" s="46" t="s">
        <v>3447</v>
      </c>
      <c r="D103" s="46" t="s">
        <v>821</v>
      </c>
      <c r="E103" s="46" t="s">
        <v>3486</v>
      </c>
      <c r="F103" s="46" t="s">
        <v>68</v>
      </c>
      <c r="G103" s="46" t="s">
        <v>68</v>
      </c>
      <c r="H103" s="46" t="s">
        <v>68</v>
      </c>
      <c r="I103" s="46" t="s">
        <v>68</v>
      </c>
      <c r="J103" s="46" t="s">
        <v>71</v>
      </c>
      <c r="K103" s="47">
        <v>550</v>
      </c>
      <c r="L103" s="47">
        <f>40*3</f>
        <v>120</v>
      </c>
      <c r="M103" s="47">
        <v>670</v>
      </c>
      <c r="N103" s="46"/>
      <c r="O103" s="71" t="s">
        <v>68</v>
      </c>
      <c r="P103" s="64"/>
      <c r="Q103" s="46" t="s">
        <v>3013</v>
      </c>
      <c r="R103" s="46" t="s">
        <v>3444</v>
      </c>
      <c r="S103" s="49">
        <v>167.5</v>
      </c>
      <c r="T103" s="49">
        <v>837.5</v>
      </c>
      <c r="U103" s="67">
        <v>0.5208955223880597</v>
      </c>
      <c r="V103" s="67">
        <v>0.55671641791044779</v>
      </c>
      <c r="W103" s="51">
        <v>0.21818181818181817</v>
      </c>
      <c r="X103" s="52">
        <v>83.75</v>
      </c>
      <c r="Y103" s="52">
        <v>30</v>
      </c>
      <c r="Z103" s="52">
        <v>287.5</v>
      </c>
      <c r="AA103" s="52">
        <v>401.25</v>
      </c>
      <c r="AB103" s="53">
        <v>0.4791044776119403</v>
      </c>
      <c r="AC103" s="72">
        <v>436.25</v>
      </c>
      <c r="AD103" s="55">
        <v>0.5208955223880597</v>
      </c>
      <c r="AE103" s="73">
        <v>3</v>
      </c>
      <c r="AF103" s="57" t="s">
        <v>95</v>
      </c>
      <c r="AG103" s="58">
        <v>550</v>
      </c>
      <c r="AH103" s="58">
        <v>120</v>
      </c>
      <c r="AI103" s="58">
        <v>670</v>
      </c>
      <c r="AJ103" s="49">
        <v>167.5</v>
      </c>
      <c r="AK103" s="49">
        <v>837.5</v>
      </c>
      <c r="AL103" s="52">
        <v>83.75</v>
      </c>
      <c r="AM103" s="52">
        <v>287.5</v>
      </c>
      <c r="AN103" s="52">
        <v>371.25</v>
      </c>
      <c r="AO103" s="59">
        <v>0.44328358208955226</v>
      </c>
      <c r="AP103" s="60">
        <v>466.25</v>
      </c>
      <c r="AQ103" s="61">
        <v>0.55671641791044779</v>
      </c>
      <c r="AR103" s="60" t="s">
        <v>78</v>
      </c>
      <c r="AS103" s="62">
        <v>880</v>
      </c>
      <c r="AT103" s="62">
        <v>192</v>
      </c>
      <c r="AU103" s="62">
        <v>1072</v>
      </c>
      <c r="AV103" s="62">
        <v>1340</v>
      </c>
      <c r="AW103" s="47" t="s">
        <v>107</v>
      </c>
      <c r="AX103" s="64">
        <v>45139</v>
      </c>
      <c r="AY103" s="64" t="s">
        <v>3487</v>
      </c>
      <c r="BA103" s="64"/>
      <c r="BB103" s="64"/>
      <c r="BC103" s="64"/>
      <c r="BD103" s="70" t="s">
        <v>3477</v>
      </c>
      <c r="BE103" s="46" t="e">
        <v>#REF!</v>
      </c>
      <c r="BF103" s="46" t="s">
        <v>75</v>
      </c>
      <c r="BG103" s="65"/>
      <c r="BH103" s="66" t="s">
        <v>3488</v>
      </c>
      <c r="BI103" s="63" t="s">
        <v>3489</v>
      </c>
    </row>
    <row r="104" spans="1:61" ht="38.25" x14ac:dyDescent="0.2">
      <c r="A104" s="45" t="s">
        <v>3490</v>
      </c>
      <c r="B104" s="46"/>
      <c r="C104" s="46" t="s">
        <v>3447</v>
      </c>
      <c r="D104" s="46" t="s">
        <v>821</v>
      </c>
      <c r="E104" s="46" t="s">
        <v>3491</v>
      </c>
      <c r="F104" s="46"/>
      <c r="G104" s="46"/>
      <c r="H104" s="46"/>
      <c r="I104" s="46"/>
      <c r="J104" s="46" t="s">
        <v>71</v>
      </c>
      <c r="K104" s="47">
        <v>650</v>
      </c>
      <c r="L104" s="47">
        <f>50*3</f>
        <v>150</v>
      </c>
      <c r="M104" s="47">
        <v>800</v>
      </c>
      <c r="N104" s="46"/>
      <c r="O104" s="71" t="s">
        <v>68</v>
      </c>
      <c r="P104" s="64"/>
      <c r="Q104" s="46" t="s">
        <v>3013</v>
      </c>
      <c r="R104" s="46" t="s">
        <v>3444</v>
      </c>
      <c r="S104" s="49">
        <v>200</v>
      </c>
      <c r="T104" s="49">
        <v>1000</v>
      </c>
      <c r="U104" s="67">
        <v>0.52</v>
      </c>
      <c r="V104" s="67">
        <v>0.55000000000000004</v>
      </c>
      <c r="W104" s="51">
        <v>0.23076923076923078</v>
      </c>
      <c r="X104" s="52">
        <v>100</v>
      </c>
      <c r="Y104" s="52">
        <v>30</v>
      </c>
      <c r="Z104" s="52">
        <v>350</v>
      </c>
      <c r="AA104" s="52">
        <v>480</v>
      </c>
      <c r="AB104" s="53">
        <v>0.48</v>
      </c>
      <c r="AC104" s="72">
        <v>520</v>
      </c>
      <c r="AD104" s="55">
        <v>0.52</v>
      </c>
      <c r="AE104" s="73">
        <v>3</v>
      </c>
      <c r="AF104" s="57" t="s">
        <v>95</v>
      </c>
      <c r="AG104" s="58">
        <v>650</v>
      </c>
      <c r="AH104" s="58">
        <v>150</v>
      </c>
      <c r="AI104" s="58">
        <v>800</v>
      </c>
      <c r="AJ104" s="49">
        <v>200</v>
      </c>
      <c r="AK104" s="49">
        <v>1000</v>
      </c>
      <c r="AL104" s="52">
        <v>100</v>
      </c>
      <c r="AM104" s="52">
        <v>350</v>
      </c>
      <c r="AN104" s="52">
        <v>450</v>
      </c>
      <c r="AO104" s="59">
        <v>0.45</v>
      </c>
      <c r="AP104" s="60">
        <v>550</v>
      </c>
      <c r="AQ104" s="61">
        <v>0.55000000000000004</v>
      </c>
      <c r="AR104" s="60" t="s">
        <v>78</v>
      </c>
      <c r="AS104" s="62">
        <v>1040</v>
      </c>
      <c r="AT104" s="62">
        <v>240</v>
      </c>
      <c r="AU104" s="62">
        <v>1280</v>
      </c>
      <c r="AV104" s="62">
        <v>1600</v>
      </c>
      <c r="AW104" s="47" t="s">
        <v>107</v>
      </c>
      <c r="AX104" s="64">
        <v>45300</v>
      </c>
      <c r="AY104" s="64" t="s">
        <v>3492</v>
      </c>
      <c r="BA104" s="64"/>
      <c r="BB104" s="64"/>
      <c r="BC104" s="64"/>
      <c r="BD104" s="70" t="s">
        <v>3477</v>
      </c>
      <c r="BE104" s="46" t="e">
        <v>#REF!</v>
      </c>
      <c r="BF104" s="46" t="s">
        <v>75</v>
      </c>
      <c r="BG104" s="65"/>
      <c r="BH104" s="66"/>
      <c r="BI104" s="63" t="s">
        <v>3493</v>
      </c>
    </row>
    <row r="105" spans="1:61" ht="25.5" x14ac:dyDescent="0.2">
      <c r="A105" s="45" t="s">
        <v>3494</v>
      </c>
      <c r="B105" s="46"/>
      <c r="C105" s="46" t="s">
        <v>3495</v>
      </c>
      <c r="D105" s="46" t="s">
        <v>821</v>
      </c>
      <c r="E105" s="46" t="s">
        <v>3496</v>
      </c>
      <c r="F105" s="46" t="s">
        <v>68</v>
      </c>
      <c r="G105" s="46" t="s">
        <v>68</v>
      </c>
      <c r="H105" s="46" t="s">
        <v>68</v>
      </c>
      <c r="I105" s="46" t="s">
        <v>68</v>
      </c>
      <c r="J105" s="46" t="s">
        <v>71</v>
      </c>
      <c r="K105" s="47">
        <v>350</v>
      </c>
      <c r="L105" s="47">
        <v>0</v>
      </c>
      <c r="M105" s="47">
        <v>350</v>
      </c>
      <c r="N105" s="46"/>
      <c r="O105" s="71" t="s">
        <v>68</v>
      </c>
      <c r="P105" s="64"/>
      <c r="Q105" s="46" t="s">
        <v>3013</v>
      </c>
      <c r="R105" s="46" t="s">
        <v>3444</v>
      </c>
      <c r="S105" s="49">
        <v>87.5</v>
      </c>
      <c r="T105" s="49">
        <v>437.5</v>
      </c>
      <c r="U105" s="67">
        <v>0.63142857142857145</v>
      </c>
      <c r="V105" s="67">
        <v>0.7</v>
      </c>
      <c r="W105" s="51">
        <v>0</v>
      </c>
      <c r="X105" s="52">
        <v>43.75</v>
      </c>
      <c r="Y105" s="52">
        <v>30</v>
      </c>
      <c r="Z105" s="52">
        <v>87.5</v>
      </c>
      <c r="AA105" s="52">
        <v>161.25</v>
      </c>
      <c r="AB105" s="53">
        <v>0.36857142857142855</v>
      </c>
      <c r="AC105" s="72">
        <v>276.25</v>
      </c>
      <c r="AD105" s="55">
        <v>0.63142857142857145</v>
      </c>
      <c r="AE105" s="73">
        <v>3</v>
      </c>
      <c r="AF105" s="57" t="s">
        <v>95</v>
      </c>
      <c r="AG105" s="58">
        <v>350</v>
      </c>
      <c r="AH105" s="58">
        <v>0</v>
      </c>
      <c r="AI105" s="58">
        <v>350</v>
      </c>
      <c r="AJ105" s="49">
        <v>87.5</v>
      </c>
      <c r="AK105" s="49">
        <v>437.5</v>
      </c>
      <c r="AL105" s="52">
        <v>43.75</v>
      </c>
      <c r="AM105" s="52">
        <v>87.5</v>
      </c>
      <c r="AN105" s="52">
        <v>131.25</v>
      </c>
      <c r="AO105" s="59">
        <v>0.3</v>
      </c>
      <c r="AP105" s="60">
        <v>306.25</v>
      </c>
      <c r="AQ105" s="61">
        <v>0.7</v>
      </c>
      <c r="AR105" s="60" t="s">
        <v>78</v>
      </c>
      <c r="AS105" s="62">
        <v>560</v>
      </c>
      <c r="AT105" s="62">
        <v>0</v>
      </c>
      <c r="AU105" s="62">
        <v>560</v>
      </c>
      <c r="AV105" s="62">
        <v>700</v>
      </c>
      <c r="AW105" s="47" t="s">
        <v>107</v>
      </c>
      <c r="AX105" s="64">
        <v>45139</v>
      </c>
      <c r="AY105" s="64" t="s">
        <v>3497</v>
      </c>
      <c r="BA105" s="64"/>
      <c r="BB105" s="64"/>
      <c r="BC105" s="64"/>
      <c r="BD105" s="46"/>
      <c r="BE105" s="46" t="e">
        <v>#REF!</v>
      </c>
      <c r="BF105" s="46" t="s">
        <v>75</v>
      </c>
      <c r="BG105" s="65"/>
      <c r="BH105" s="66" t="s">
        <v>3498</v>
      </c>
      <c r="BI105" s="63" t="s">
        <v>3499</v>
      </c>
    </row>
    <row r="106" spans="1:61" ht="25.5" x14ac:dyDescent="0.2">
      <c r="A106" s="45" t="s">
        <v>3500</v>
      </c>
      <c r="B106" s="46"/>
      <c r="C106" s="46" t="s">
        <v>3495</v>
      </c>
      <c r="D106" s="46" t="s">
        <v>821</v>
      </c>
      <c r="E106" s="46" t="s">
        <v>3501</v>
      </c>
      <c r="F106" s="46" t="s">
        <v>68</v>
      </c>
      <c r="G106" s="46" t="s">
        <v>68</v>
      </c>
      <c r="H106" s="46" t="s">
        <v>68</v>
      </c>
      <c r="I106" s="46" t="s">
        <v>68</v>
      </c>
      <c r="J106" s="46" t="s">
        <v>71</v>
      </c>
      <c r="K106" s="47">
        <f>K105*1.5</f>
        <v>525</v>
      </c>
      <c r="L106" s="47">
        <v>0</v>
      </c>
      <c r="M106" s="47">
        <v>525</v>
      </c>
      <c r="N106" s="46"/>
      <c r="O106" s="71" t="s">
        <v>68</v>
      </c>
      <c r="P106" s="64"/>
      <c r="Q106" s="46" t="s">
        <v>3013</v>
      </c>
      <c r="R106" s="46" t="s">
        <v>3444</v>
      </c>
      <c r="S106" s="49">
        <v>131.25</v>
      </c>
      <c r="T106" s="49">
        <v>656.25</v>
      </c>
      <c r="U106" s="67">
        <v>0.65428571428571425</v>
      </c>
      <c r="V106" s="67">
        <v>0.7</v>
      </c>
      <c r="W106" s="51">
        <v>0</v>
      </c>
      <c r="X106" s="52">
        <v>65.625</v>
      </c>
      <c r="Y106" s="52">
        <v>30</v>
      </c>
      <c r="Z106" s="52">
        <v>131.25</v>
      </c>
      <c r="AA106" s="52">
        <v>226.875</v>
      </c>
      <c r="AB106" s="53">
        <v>0.3457142857142857</v>
      </c>
      <c r="AC106" s="72">
        <v>429.375</v>
      </c>
      <c r="AD106" s="55">
        <v>0.65428571428571425</v>
      </c>
      <c r="AE106" s="73">
        <v>3</v>
      </c>
      <c r="AF106" s="57" t="s">
        <v>95</v>
      </c>
      <c r="AG106" s="58">
        <v>525</v>
      </c>
      <c r="AH106" s="58">
        <v>0</v>
      </c>
      <c r="AI106" s="58">
        <v>525</v>
      </c>
      <c r="AJ106" s="49">
        <v>131.25</v>
      </c>
      <c r="AK106" s="49">
        <v>656.25</v>
      </c>
      <c r="AL106" s="52">
        <v>65.625</v>
      </c>
      <c r="AM106" s="52">
        <v>131.25</v>
      </c>
      <c r="AN106" s="52">
        <v>196.875</v>
      </c>
      <c r="AO106" s="59">
        <v>0.3</v>
      </c>
      <c r="AP106" s="60">
        <v>459.375</v>
      </c>
      <c r="AQ106" s="61">
        <v>0.7</v>
      </c>
      <c r="AR106" s="60" t="s">
        <v>78</v>
      </c>
      <c r="AS106" s="62">
        <v>840</v>
      </c>
      <c r="AT106" s="62">
        <v>0</v>
      </c>
      <c r="AU106" s="62">
        <v>840</v>
      </c>
      <c r="AV106" s="62">
        <v>1050</v>
      </c>
      <c r="AW106" s="47" t="s">
        <v>107</v>
      </c>
      <c r="AX106" s="64">
        <v>45139</v>
      </c>
      <c r="AY106" s="64" t="s">
        <v>3502</v>
      </c>
      <c r="BA106" s="64"/>
      <c r="BB106" s="64"/>
      <c r="BC106" s="64"/>
      <c r="BD106" s="46"/>
      <c r="BE106" s="46" t="e">
        <v>#REF!</v>
      </c>
      <c r="BF106" s="46" t="s">
        <v>75</v>
      </c>
      <c r="BG106" s="65"/>
      <c r="BH106" s="66" t="s">
        <v>3503</v>
      </c>
      <c r="BI106" s="63" t="s">
        <v>3504</v>
      </c>
    </row>
    <row r="107" spans="1:61" ht="25.5" x14ac:dyDescent="0.2">
      <c r="A107" s="45" t="s">
        <v>3505</v>
      </c>
      <c r="B107" s="46"/>
      <c r="C107" s="46" t="s">
        <v>3506</v>
      </c>
      <c r="D107" s="46" t="s">
        <v>68</v>
      </c>
      <c r="E107" s="46" t="s">
        <v>68</v>
      </c>
      <c r="F107" s="46" t="s">
        <v>68</v>
      </c>
      <c r="G107" s="46" t="s">
        <v>68</v>
      </c>
      <c r="H107" s="46" t="s">
        <v>68</v>
      </c>
      <c r="I107" s="46" t="s">
        <v>68</v>
      </c>
      <c r="J107" s="46" t="s">
        <v>71</v>
      </c>
      <c r="K107" s="47">
        <v>250</v>
      </c>
      <c r="L107" s="47">
        <v>30</v>
      </c>
      <c r="M107" s="47">
        <v>280</v>
      </c>
      <c r="N107" s="46"/>
      <c r="O107" s="71" t="s">
        <v>68</v>
      </c>
      <c r="P107" s="64"/>
      <c r="Q107" s="46" t="s">
        <v>3013</v>
      </c>
      <c r="R107" s="46" t="s">
        <v>3444</v>
      </c>
      <c r="S107" s="49">
        <v>70</v>
      </c>
      <c r="T107" s="49">
        <v>350</v>
      </c>
      <c r="U107" s="67">
        <v>0.52857142857142858</v>
      </c>
      <c r="V107" s="67">
        <v>0.61428571428571432</v>
      </c>
      <c r="W107" s="51">
        <v>0.12</v>
      </c>
      <c r="X107" s="52">
        <v>35</v>
      </c>
      <c r="Y107" s="52">
        <v>30</v>
      </c>
      <c r="Z107" s="52">
        <v>100</v>
      </c>
      <c r="AA107" s="52">
        <v>165</v>
      </c>
      <c r="AB107" s="53">
        <v>0.47142857142857142</v>
      </c>
      <c r="AC107" s="72">
        <v>185</v>
      </c>
      <c r="AD107" s="55">
        <v>0.52857142857142858</v>
      </c>
      <c r="AE107" s="73">
        <v>3</v>
      </c>
      <c r="AF107" s="57" t="s">
        <v>95</v>
      </c>
      <c r="AG107" s="58">
        <v>250</v>
      </c>
      <c r="AH107" s="58">
        <v>30</v>
      </c>
      <c r="AI107" s="58">
        <v>280</v>
      </c>
      <c r="AJ107" s="49">
        <v>70</v>
      </c>
      <c r="AK107" s="49">
        <v>350</v>
      </c>
      <c r="AL107" s="52">
        <v>35</v>
      </c>
      <c r="AM107" s="52">
        <v>100</v>
      </c>
      <c r="AN107" s="52">
        <v>135</v>
      </c>
      <c r="AO107" s="59">
        <v>0.38571428571428573</v>
      </c>
      <c r="AP107" s="60">
        <v>215</v>
      </c>
      <c r="AQ107" s="61">
        <v>0.61428571428571432</v>
      </c>
      <c r="AR107" s="60" t="s">
        <v>78</v>
      </c>
      <c r="AS107" s="62">
        <v>400</v>
      </c>
      <c r="AT107" s="62">
        <v>48</v>
      </c>
      <c r="AU107" s="62">
        <v>448</v>
      </c>
      <c r="AV107" s="62">
        <v>560</v>
      </c>
      <c r="AW107" s="47" t="s">
        <v>107</v>
      </c>
      <c r="AX107" s="64">
        <v>45139</v>
      </c>
      <c r="AY107" s="64" t="s">
        <v>3507</v>
      </c>
      <c r="BA107" s="64"/>
      <c r="BB107" s="64"/>
      <c r="BC107" s="64"/>
      <c r="BD107" s="46"/>
      <c r="BE107" s="46" t="e">
        <v>#REF!</v>
      </c>
      <c r="BF107" s="46" t="s">
        <v>75</v>
      </c>
      <c r="BG107" s="65"/>
      <c r="BH107" s="66" t="s">
        <v>3508</v>
      </c>
      <c r="BI107" s="63" t="s">
        <v>3506</v>
      </c>
    </row>
    <row r="108" spans="1:61" ht="25.5" x14ac:dyDescent="0.2">
      <c r="A108" s="45" t="s">
        <v>3509</v>
      </c>
      <c r="B108" s="46"/>
      <c r="C108" s="46" t="s">
        <v>3510</v>
      </c>
      <c r="D108" s="46" t="s">
        <v>3511</v>
      </c>
      <c r="E108" s="46" t="s">
        <v>3512</v>
      </c>
      <c r="F108" s="46" t="s">
        <v>68</v>
      </c>
      <c r="G108" s="46" t="s">
        <v>68</v>
      </c>
      <c r="H108" s="46" t="s">
        <v>68</v>
      </c>
      <c r="I108" s="46" t="s">
        <v>68</v>
      </c>
      <c r="J108" s="46" t="s">
        <v>71</v>
      </c>
      <c r="K108" s="47">
        <f>50*10</f>
        <v>500</v>
      </c>
      <c r="L108" s="47">
        <f>25*10</f>
        <v>250</v>
      </c>
      <c r="M108" s="47">
        <v>750</v>
      </c>
      <c r="N108" s="46"/>
      <c r="O108" s="71" t="s">
        <v>68</v>
      </c>
      <c r="P108" s="64"/>
      <c r="Q108" s="46" t="s">
        <v>3013</v>
      </c>
      <c r="R108" s="46" t="s">
        <v>3444</v>
      </c>
      <c r="S108" s="49">
        <v>187.5</v>
      </c>
      <c r="T108" s="49">
        <v>937.5</v>
      </c>
      <c r="U108" s="67">
        <v>0.40133333333333332</v>
      </c>
      <c r="V108" s="67">
        <v>0.43333333333333335</v>
      </c>
      <c r="W108" s="51">
        <v>0.5</v>
      </c>
      <c r="X108" s="52">
        <v>93.75</v>
      </c>
      <c r="Y108" s="52">
        <v>30</v>
      </c>
      <c r="Z108" s="52">
        <v>437.5</v>
      </c>
      <c r="AA108" s="52">
        <v>561.25</v>
      </c>
      <c r="AB108" s="53">
        <v>0.59866666666666668</v>
      </c>
      <c r="AC108" s="72">
        <v>376.25</v>
      </c>
      <c r="AD108" s="55">
        <v>0.40133333333333332</v>
      </c>
      <c r="AE108" s="73">
        <v>3</v>
      </c>
      <c r="AF108" s="57" t="s">
        <v>95</v>
      </c>
      <c r="AG108" s="58">
        <v>500</v>
      </c>
      <c r="AH108" s="58">
        <v>250</v>
      </c>
      <c r="AI108" s="58">
        <v>750</v>
      </c>
      <c r="AJ108" s="49">
        <v>187.5</v>
      </c>
      <c r="AK108" s="49">
        <v>937.5</v>
      </c>
      <c r="AL108" s="52">
        <v>93.75</v>
      </c>
      <c r="AM108" s="52">
        <v>437.5</v>
      </c>
      <c r="AN108" s="52">
        <v>531.25</v>
      </c>
      <c r="AO108" s="59">
        <v>0.56666666666666665</v>
      </c>
      <c r="AP108" s="60">
        <v>406.25</v>
      </c>
      <c r="AQ108" s="61">
        <v>0.43333333333333335</v>
      </c>
      <c r="AR108" s="60" t="s">
        <v>78</v>
      </c>
      <c r="AS108" s="62">
        <v>800</v>
      </c>
      <c r="AT108" s="62">
        <v>400</v>
      </c>
      <c r="AU108" s="62">
        <v>1200</v>
      </c>
      <c r="AV108" s="62">
        <v>1500</v>
      </c>
      <c r="AW108" s="47" t="s">
        <v>107</v>
      </c>
      <c r="AX108" s="64">
        <v>45139</v>
      </c>
      <c r="AY108" s="64" t="s">
        <v>3513</v>
      </c>
      <c r="BA108" s="64"/>
      <c r="BB108" s="64"/>
      <c r="BC108" s="64"/>
      <c r="BD108" s="46"/>
      <c r="BE108" s="46" t="e">
        <v>#REF!</v>
      </c>
      <c r="BF108" s="46" t="s">
        <v>75</v>
      </c>
      <c r="BG108" s="65"/>
      <c r="BH108" s="66" t="s">
        <v>3514</v>
      </c>
      <c r="BI108" s="63" t="s">
        <v>3515</v>
      </c>
    </row>
    <row r="109" spans="1:61" ht="25.5" x14ac:dyDescent="0.2">
      <c r="A109" s="45" t="s">
        <v>3516</v>
      </c>
      <c r="B109" s="46"/>
      <c r="C109" s="46" t="s">
        <v>3510</v>
      </c>
      <c r="D109" s="46" t="s">
        <v>3511</v>
      </c>
      <c r="E109" s="46" t="s">
        <v>3496</v>
      </c>
      <c r="F109" s="46" t="s">
        <v>68</v>
      </c>
      <c r="G109" s="46" t="s">
        <v>68</v>
      </c>
      <c r="H109" s="46" t="s">
        <v>68</v>
      </c>
      <c r="I109" s="46" t="s">
        <v>68</v>
      </c>
      <c r="J109" s="46" t="s">
        <v>71</v>
      </c>
      <c r="K109" s="47">
        <f>K108*1.5</f>
        <v>750</v>
      </c>
      <c r="L109" s="47">
        <f>L108*2</f>
        <v>500</v>
      </c>
      <c r="M109" s="47">
        <v>1250</v>
      </c>
      <c r="N109" s="46"/>
      <c r="O109" s="71" t="s">
        <v>68</v>
      </c>
      <c r="P109" s="64"/>
      <c r="Q109" s="46" t="s">
        <v>3013</v>
      </c>
      <c r="R109" s="46" t="s">
        <v>3444</v>
      </c>
      <c r="S109" s="49">
        <v>312.5</v>
      </c>
      <c r="T109" s="49">
        <v>1562.5</v>
      </c>
      <c r="U109" s="67">
        <v>0.36080000000000001</v>
      </c>
      <c r="V109" s="67">
        <v>0.38</v>
      </c>
      <c r="W109" s="51">
        <v>0.66666666666666663</v>
      </c>
      <c r="X109" s="52">
        <v>156.25</v>
      </c>
      <c r="Y109" s="52">
        <v>30</v>
      </c>
      <c r="Z109" s="52">
        <v>812.5</v>
      </c>
      <c r="AA109" s="52">
        <v>998.75</v>
      </c>
      <c r="AB109" s="53">
        <v>0.63919999999999999</v>
      </c>
      <c r="AC109" s="72">
        <v>563.75</v>
      </c>
      <c r="AD109" s="55">
        <v>0.36080000000000001</v>
      </c>
      <c r="AE109" s="73">
        <v>3</v>
      </c>
      <c r="AF109" s="57" t="s">
        <v>95</v>
      </c>
      <c r="AG109" s="58">
        <v>750</v>
      </c>
      <c r="AH109" s="58">
        <v>500</v>
      </c>
      <c r="AI109" s="58">
        <v>1250</v>
      </c>
      <c r="AJ109" s="49">
        <v>312.5</v>
      </c>
      <c r="AK109" s="49">
        <v>1562.5</v>
      </c>
      <c r="AL109" s="52">
        <v>156.25</v>
      </c>
      <c r="AM109" s="52">
        <v>812.5</v>
      </c>
      <c r="AN109" s="52">
        <v>968.75</v>
      </c>
      <c r="AO109" s="59">
        <v>0.62</v>
      </c>
      <c r="AP109" s="60">
        <v>593.75</v>
      </c>
      <c r="AQ109" s="61">
        <v>0.38</v>
      </c>
      <c r="AR109" s="60" t="s">
        <v>78</v>
      </c>
      <c r="AS109" s="62">
        <v>1200</v>
      </c>
      <c r="AT109" s="62">
        <v>800</v>
      </c>
      <c r="AU109" s="62">
        <v>2000</v>
      </c>
      <c r="AV109" s="62">
        <v>2500</v>
      </c>
      <c r="AW109" s="47" t="s">
        <v>107</v>
      </c>
      <c r="AX109" s="64">
        <v>45139</v>
      </c>
      <c r="AY109" s="64" t="s">
        <v>3517</v>
      </c>
      <c r="BA109" s="64"/>
      <c r="BB109" s="64"/>
      <c r="BC109" s="64"/>
      <c r="BD109" s="46"/>
      <c r="BE109" s="46" t="e">
        <v>#REF!</v>
      </c>
      <c r="BF109" s="46" t="s">
        <v>75</v>
      </c>
      <c r="BG109" s="65"/>
      <c r="BH109" s="66"/>
      <c r="BI109" s="63" t="s">
        <v>3518</v>
      </c>
    </row>
    <row r="110" spans="1:61" ht="25.5" x14ac:dyDescent="0.2">
      <c r="A110" s="45" t="s">
        <v>3519</v>
      </c>
      <c r="B110" s="46"/>
      <c r="C110" s="46" t="s">
        <v>3520</v>
      </c>
      <c r="D110" s="46" t="s">
        <v>3521</v>
      </c>
      <c r="E110" s="46" t="s">
        <v>3512</v>
      </c>
      <c r="F110" s="46" t="s">
        <v>68</v>
      </c>
      <c r="G110" s="46" t="s">
        <v>68</v>
      </c>
      <c r="H110" s="46" t="s">
        <v>68</v>
      </c>
      <c r="I110" s="46" t="s">
        <v>68</v>
      </c>
      <c r="J110" s="46" t="s">
        <v>71</v>
      </c>
      <c r="K110" s="47">
        <f>80*10</f>
        <v>800</v>
      </c>
      <c r="L110" s="47">
        <f>60*10</f>
        <v>600</v>
      </c>
      <c r="M110" s="47">
        <v>1400</v>
      </c>
      <c r="N110" s="46"/>
      <c r="O110" s="71" t="s">
        <v>68</v>
      </c>
      <c r="P110" s="64"/>
      <c r="Q110" s="46" t="s">
        <v>3013</v>
      </c>
      <c r="R110" s="46" t="s">
        <v>3444</v>
      </c>
      <c r="S110" s="49">
        <v>350</v>
      </c>
      <c r="T110" s="49">
        <v>1750</v>
      </c>
      <c r="U110" s="67">
        <v>0.34</v>
      </c>
      <c r="V110" s="67">
        <v>0.35714285714285715</v>
      </c>
      <c r="W110" s="51">
        <v>0.75</v>
      </c>
      <c r="X110" s="52">
        <v>175</v>
      </c>
      <c r="Y110" s="52">
        <v>30</v>
      </c>
      <c r="Z110" s="52">
        <v>950</v>
      </c>
      <c r="AA110" s="52">
        <v>1155</v>
      </c>
      <c r="AB110" s="53">
        <v>0.66</v>
      </c>
      <c r="AC110" s="72">
        <v>595</v>
      </c>
      <c r="AD110" s="55">
        <v>0.34</v>
      </c>
      <c r="AE110" s="73">
        <v>3</v>
      </c>
      <c r="AF110" s="57" t="s">
        <v>95</v>
      </c>
      <c r="AG110" s="58">
        <v>800</v>
      </c>
      <c r="AH110" s="58">
        <v>600</v>
      </c>
      <c r="AI110" s="58">
        <v>1400</v>
      </c>
      <c r="AJ110" s="49">
        <v>350</v>
      </c>
      <c r="AK110" s="49">
        <v>1750</v>
      </c>
      <c r="AL110" s="52">
        <v>175</v>
      </c>
      <c r="AM110" s="52">
        <v>950</v>
      </c>
      <c r="AN110" s="52">
        <v>1125</v>
      </c>
      <c r="AO110" s="59">
        <v>0.6428571428571429</v>
      </c>
      <c r="AP110" s="60">
        <v>625</v>
      </c>
      <c r="AQ110" s="61">
        <v>0.35714285714285715</v>
      </c>
      <c r="AR110" s="60" t="s">
        <v>78</v>
      </c>
      <c r="AS110" s="62">
        <v>1280</v>
      </c>
      <c r="AT110" s="62">
        <v>960</v>
      </c>
      <c r="AU110" s="62">
        <v>2240</v>
      </c>
      <c r="AV110" s="62">
        <v>2800</v>
      </c>
      <c r="AW110" s="47" t="s">
        <v>107</v>
      </c>
      <c r="AX110" s="64">
        <v>45139</v>
      </c>
      <c r="AY110" s="64" t="s">
        <v>3522</v>
      </c>
      <c r="BA110" s="64"/>
      <c r="BB110" s="64"/>
      <c r="BC110" s="64"/>
      <c r="BD110" s="46"/>
      <c r="BE110" s="46" t="e">
        <v>#REF!</v>
      </c>
      <c r="BF110" s="46" t="s">
        <v>75</v>
      </c>
      <c r="BG110" s="65"/>
      <c r="BH110" s="66" t="s">
        <v>3523</v>
      </c>
      <c r="BI110" s="63" t="s">
        <v>3524</v>
      </c>
    </row>
    <row r="111" spans="1:61" ht="25.5" x14ac:dyDescent="0.2">
      <c r="A111" s="45" t="s">
        <v>3525</v>
      </c>
      <c r="B111" s="46"/>
      <c r="C111" s="46" t="s">
        <v>3520</v>
      </c>
      <c r="D111" s="46" t="s">
        <v>3521</v>
      </c>
      <c r="E111" s="46" t="s">
        <v>3496</v>
      </c>
      <c r="F111" s="46" t="s">
        <v>68</v>
      </c>
      <c r="G111" s="46" t="s">
        <v>68</v>
      </c>
      <c r="H111" s="46" t="s">
        <v>68</v>
      </c>
      <c r="I111" s="46" t="s">
        <v>68</v>
      </c>
      <c r="J111" s="46" t="s">
        <v>71</v>
      </c>
      <c r="K111" s="47">
        <f>K110*1.5</f>
        <v>1200</v>
      </c>
      <c r="L111" s="47">
        <f>L110*2</f>
        <v>1200</v>
      </c>
      <c r="M111" s="47">
        <v>2400</v>
      </c>
      <c r="N111" s="46"/>
      <c r="O111" s="71" t="s">
        <v>68</v>
      </c>
      <c r="P111" s="64"/>
      <c r="Q111" s="46" t="s">
        <v>3013</v>
      </c>
      <c r="R111" s="46" t="s">
        <v>3444</v>
      </c>
      <c r="S111" s="49">
        <v>600</v>
      </c>
      <c r="T111" s="49">
        <v>3000</v>
      </c>
      <c r="U111" s="28">
        <v>0.28999999999999998</v>
      </c>
      <c r="V111" s="67">
        <v>0.3</v>
      </c>
      <c r="W111" s="51">
        <v>1</v>
      </c>
      <c r="X111" s="52">
        <v>300</v>
      </c>
      <c r="Y111" s="52">
        <v>30</v>
      </c>
      <c r="Z111" s="52">
        <v>1800</v>
      </c>
      <c r="AA111" s="52">
        <v>2130</v>
      </c>
      <c r="AB111" s="53">
        <v>0.71</v>
      </c>
      <c r="AC111" s="72">
        <v>870</v>
      </c>
      <c r="AD111" s="55">
        <v>0.28999999999999998</v>
      </c>
      <c r="AE111" s="73">
        <v>3</v>
      </c>
      <c r="AF111" s="57" t="s">
        <v>95</v>
      </c>
      <c r="AG111" s="58">
        <v>1200</v>
      </c>
      <c r="AH111" s="58">
        <v>1200</v>
      </c>
      <c r="AI111" s="58">
        <v>2400</v>
      </c>
      <c r="AJ111" s="49">
        <v>600</v>
      </c>
      <c r="AK111" s="49">
        <v>3000</v>
      </c>
      <c r="AL111" s="52">
        <v>300</v>
      </c>
      <c r="AM111" s="52">
        <v>1800</v>
      </c>
      <c r="AN111" s="52">
        <v>2100</v>
      </c>
      <c r="AO111" s="59">
        <v>0.7</v>
      </c>
      <c r="AP111" s="60">
        <v>900</v>
      </c>
      <c r="AQ111" s="61">
        <v>0.3</v>
      </c>
      <c r="AR111" s="60" t="s">
        <v>78</v>
      </c>
      <c r="AS111" s="62">
        <v>1920</v>
      </c>
      <c r="AT111" s="62">
        <v>1920</v>
      </c>
      <c r="AU111" s="62">
        <v>3840</v>
      </c>
      <c r="AV111" s="62">
        <v>4800</v>
      </c>
      <c r="AW111" s="47" t="s">
        <v>107</v>
      </c>
      <c r="AX111" s="64">
        <v>45139</v>
      </c>
      <c r="AY111" s="64" t="s">
        <v>3526</v>
      </c>
      <c r="BA111" s="64"/>
      <c r="BB111" s="64"/>
      <c r="BC111" s="64"/>
      <c r="BD111" s="46"/>
      <c r="BE111" s="46" t="e">
        <v>#REF!</v>
      </c>
      <c r="BF111" s="46" t="s">
        <v>75</v>
      </c>
      <c r="BG111" s="65"/>
      <c r="BH111" s="66"/>
      <c r="BI111" s="63" t="s">
        <v>3527</v>
      </c>
    </row>
    <row r="112" spans="1:61" ht="25.5" x14ac:dyDescent="0.2">
      <c r="A112" s="45" t="s">
        <v>3528</v>
      </c>
      <c r="B112" s="46"/>
      <c r="C112" s="46" t="s">
        <v>3529</v>
      </c>
      <c r="D112" s="46" t="s">
        <v>3530</v>
      </c>
      <c r="E112" s="46" t="s">
        <v>3531</v>
      </c>
      <c r="F112" s="46" t="s">
        <v>68</v>
      </c>
      <c r="G112" s="46" t="s">
        <v>68</v>
      </c>
      <c r="H112" s="46" t="s">
        <v>68</v>
      </c>
      <c r="I112" s="46" t="s">
        <v>68</v>
      </c>
      <c r="J112" s="46" t="s">
        <v>71</v>
      </c>
      <c r="K112" s="47">
        <f>20*10</f>
        <v>200</v>
      </c>
      <c r="L112" s="47">
        <f t="shared" ref="L112:L115" si="0">30*10</f>
        <v>300</v>
      </c>
      <c r="M112" s="47">
        <v>500</v>
      </c>
      <c r="N112" s="46"/>
      <c r="O112" s="71" t="s">
        <v>68</v>
      </c>
      <c r="P112" s="64"/>
      <c r="Q112" s="46" t="s">
        <v>3013</v>
      </c>
      <c r="R112" s="46" t="s">
        <v>3444</v>
      </c>
      <c r="S112" s="49">
        <v>125</v>
      </c>
      <c r="T112" s="49">
        <v>625</v>
      </c>
      <c r="U112" s="50">
        <v>0.17199999999999999</v>
      </c>
      <c r="V112" s="28">
        <v>0.22</v>
      </c>
      <c r="W112" s="74">
        <v>1.5</v>
      </c>
      <c r="X112" s="52">
        <v>62.5</v>
      </c>
      <c r="Y112" s="52">
        <v>30</v>
      </c>
      <c r="Z112" s="52">
        <v>425</v>
      </c>
      <c r="AA112" s="52">
        <v>517.5</v>
      </c>
      <c r="AB112" s="53">
        <v>0.82799999999999996</v>
      </c>
      <c r="AC112" s="54">
        <v>107.5</v>
      </c>
      <c r="AD112" s="55">
        <v>0.17199999999999999</v>
      </c>
      <c r="AE112" s="73">
        <v>3</v>
      </c>
      <c r="AF112" s="57" t="s">
        <v>95</v>
      </c>
      <c r="AG112" s="58">
        <v>200</v>
      </c>
      <c r="AH112" s="58">
        <v>300</v>
      </c>
      <c r="AI112" s="58">
        <v>500</v>
      </c>
      <c r="AJ112" s="49">
        <v>125</v>
      </c>
      <c r="AK112" s="49">
        <v>625</v>
      </c>
      <c r="AL112" s="52">
        <v>62.5</v>
      </c>
      <c r="AM112" s="52">
        <v>425</v>
      </c>
      <c r="AN112" s="52">
        <v>487.5</v>
      </c>
      <c r="AO112" s="59">
        <v>0.78</v>
      </c>
      <c r="AP112" s="60">
        <v>137.5</v>
      </c>
      <c r="AQ112" s="61">
        <v>0.22</v>
      </c>
      <c r="AR112" s="60" t="s">
        <v>78</v>
      </c>
      <c r="AS112" s="62">
        <v>320</v>
      </c>
      <c r="AT112" s="62">
        <v>480</v>
      </c>
      <c r="AU112" s="62">
        <v>800</v>
      </c>
      <c r="AV112" s="62">
        <v>1000</v>
      </c>
      <c r="AW112" s="47" t="s">
        <v>107</v>
      </c>
      <c r="AX112" s="64">
        <v>45300</v>
      </c>
      <c r="AY112" s="64" t="s">
        <v>3532</v>
      </c>
      <c r="BA112" s="64"/>
      <c r="BB112" s="64"/>
      <c r="BC112" s="64"/>
      <c r="BD112" s="46"/>
      <c r="BE112" s="46" t="e">
        <v>#REF!</v>
      </c>
      <c r="BF112" s="46" t="s">
        <v>75</v>
      </c>
      <c r="BG112" s="65"/>
      <c r="BH112" s="66" t="s">
        <v>3533</v>
      </c>
      <c r="BI112" s="63" t="s">
        <v>3534</v>
      </c>
    </row>
    <row r="113" spans="1:61" ht="25.5" x14ac:dyDescent="0.2">
      <c r="A113" s="45" t="s">
        <v>3535</v>
      </c>
      <c r="B113" s="46"/>
      <c r="C113" s="46" t="s">
        <v>3529</v>
      </c>
      <c r="D113" s="46" t="s">
        <v>3536</v>
      </c>
      <c r="E113" s="46" t="s">
        <v>3531</v>
      </c>
      <c r="F113" s="46" t="s">
        <v>68</v>
      </c>
      <c r="G113" s="46" t="s">
        <v>68</v>
      </c>
      <c r="H113" s="46" t="s">
        <v>68</v>
      </c>
      <c r="I113" s="46" t="s">
        <v>68</v>
      </c>
      <c r="J113" s="46" t="s">
        <v>71</v>
      </c>
      <c r="K113" s="47">
        <f t="shared" ref="K113:K114" si="1">40*10</f>
        <v>400</v>
      </c>
      <c r="L113" s="47">
        <f t="shared" si="0"/>
        <v>300</v>
      </c>
      <c r="M113" s="47">
        <v>700</v>
      </c>
      <c r="N113" s="46"/>
      <c r="O113" s="71" t="s">
        <v>68</v>
      </c>
      <c r="P113" s="64"/>
      <c r="Q113" s="46" t="s">
        <v>3013</v>
      </c>
      <c r="R113" s="46" t="s">
        <v>3444</v>
      </c>
      <c r="S113" s="49">
        <v>175</v>
      </c>
      <c r="T113" s="49">
        <v>875</v>
      </c>
      <c r="U113" s="67">
        <v>0.32285714285714284</v>
      </c>
      <c r="V113" s="67">
        <v>0.35714285714285715</v>
      </c>
      <c r="W113" s="51">
        <v>0.75</v>
      </c>
      <c r="X113" s="52">
        <v>87.5</v>
      </c>
      <c r="Y113" s="52">
        <v>30</v>
      </c>
      <c r="Z113" s="52">
        <v>475</v>
      </c>
      <c r="AA113" s="52">
        <v>592.5</v>
      </c>
      <c r="AB113" s="53">
        <v>0.67714285714285716</v>
      </c>
      <c r="AC113" s="72">
        <v>282.5</v>
      </c>
      <c r="AD113" s="55">
        <v>0.32285714285714284</v>
      </c>
      <c r="AE113" s="73">
        <v>3</v>
      </c>
      <c r="AF113" s="57" t="s">
        <v>95</v>
      </c>
      <c r="AG113" s="58">
        <v>400</v>
      </c>
      <c r="AH113" s="58">
        <v>300</v>
      </c>
      <c r="AI113" s="58">
        <v>700</v>
      </c>
      <c r="AJ113" s="49">
        <v>175</v>
      </c>
      <c r="AK113" s="49">
        <v>875</v>
      </c>
      <c r="AL113" s="52">
        <v>87.5</v>
      </c>
      <c r="AM113" s="52">
        <v>475</v>
      </c>
      <c r="AN113" s="52">
        <v>562.5</v>
      </c>
      <c r="AO113" s="59">
        <v>0.6428571428571429</v>
      </c>
      <c r="AP113" s="60">
        <v>312.5</v>
      </c>
      <c r="AQ113" s="61">
        <v>0.35714285714285715</v>
      </c>
      <c r="AR113" s="60" t="s">
        <v>78</v>
      </c>
      <c r="AS113" s="62">
        <v>640</v>
      </c>
      <c r="AT113" s="62">
        <v>480</v>
      </c>
      <c r="AU113" s="62">
        <v>1120</v>
      </c>
      <c r="AV113" s="62">
        <v>1400</v>
      </c>
      <c r="AW113" s="47" t="s">
        <v>107</v>
      </c>
      <c r="AX113" s="64">
        <v>45300</v>
      </c>
      <c r="AY113" s="64" t="s">
        <v>3537</v>
      </c>
      <c r="BA113" s="64"/>
      <c r="BB113" s="64"/>
      <c r="BC113" s="64"/>
      <c r="BD113" s="46"/>
      <c r="BE113" s="46" t="e">
        <v>#REF!</v>
      </c>
      <c r="BF113" s="46" t="s">
        <v>75</v>
      </c>
      <c r="BG113" s="65"/>
      <c r="BH113" s="66" t="s">
        <v>3538</v>
      </c>
      <c r="BI113" s="63" t="s">
        <v>3539</v>
      </c>
    </row>
    <row r="114" spans="1:61" ht="25.5" x14ac:dyDescent="0.2">
      <c r="A114" s="45" t="s">
        <v>3540</v>
      </c>
      <c r="B114" s="46"/>
      <c r="C114" s="46" t="s">
        <v>3541</v>
      </c>
      <c r="D114" s="46" t="s">
        <v>3530</v>
      </c>
      <c r="E114" s="46" t="s">
        <v>3531</v>
      </c>
      <c r="F114" s="46" t="s">
        <v>68</v>
      </c>
      <c r="G114" s="46" t="s">
        <v>68</v>
      </c>
      <c r="H114" s="46" t="s">
        <v>68</v>
      </c>
      <c r="I114" s="46" t="s">
        <v>68</v>
      </c>
      <c r="J114" s="46" t="s">
        <v>71</v>
      </c>
      <c r="K114" s="47">
        <f t="shared" si="1"/>
        <v>400</v>
      </c>
      <c r="L114" s="47">
        <f t="shared" si="0"/>
        <v>300</v>
      </c>
      <c r="M114" s="47">
        <v>700</v>
      </c>
      <c r="N114" s="46"/>
      <c r="O114" s="71" t="s">
        <v>68</v>
      </c>
      <c r="P114" s="64"/>
      <c r="Q114" s="46" t="s">
        <v>3013</v>
      </c>
      <c r="R114" s="46" t="s">
        <v>3444</v>
      </c>
      <c r="S114" s="49">
        <v>175</v>
      </c>
      <c r="T114" s="49">
        <v>875</v>
      </c>
      <c r="U114" s="67">
        <v>0.32285714285714284</v>
      </c>
      <c r="V114" s="67">
        <v>0.35714285714285715</v>
      </c>
      <c r="W114" s="51">
        <v>0.75</v>
      </c>
      <c r="X114" s="52">
        <v>87.5</v>
      </c>
      <c r="Y114" s="52">
        <v>30</v>
      </c>
      <c r="Z114" s="52">
        <v>475</v>
      </c>
      <c r="AA114" s="52">
        <v>592.5</v>
      </c>
      <c r="AB114" s="53">
        <v>0.67714285714285716</v>
      </c>
      <c r="AC114" s="72">
        <v>282.5</v>
      </c>
      <c r="AD114" s="55">
        <v>0.32285714285714284</v>
      </c>
      <c r="AE114" s="73">
        <v>3</v>
      </c>
      <c r="AF114" s="57" t="s">
        <v>95</v>
      </c>
      <c r="AG114" s="58">
        <v>400</v>
      </c>
      <c r="AH114" s="58">
        <v>300</v>
      </c>
      <c r="AI114" s="58">
        <v>700</v>
      </c>
      <c r="AJ114" s="49">
        <v>175</v>
      </c>
      <c r="AK114" s="49">
        <v>875</v>
      </c>
      <c r="AL114" s="52">
        <v>87.5</v>
      </c>
      <c r="AM114" s="52">
        <v>475</v>
      </c>
      <c r="AN114" s="52">
        <v>562.5</v>
      </c>
      <c r="AO114" s="59">
        <v>0.6428571428571429</v>
      </c>
      <c r="AP114" s="60">
        <v>312.5</v>
      </c>
      <c r="AQ114" s="61">
        <v>0.35714285714285715</v>
      </c>
      <c r="AR114" s="60" t="s">
        <v>78</v>
      </c>
      <c r="AS114" s="62">
        <v>640</v>
      </c>
      <c r="AT114" s="62">
        <v>480</v>
      </c>
      <c r="AU114" s="62">
        <v>1120</v>
      </c>
      <c r="AV114" s="62">
        <v>1400</v>
      </c>
      <c r="AW114" s="47" t="s">
        <v>107</v>
      </c>
      <c r="AX114" s="64">
        <v>45300</v>
      </c>
      <c r="AY114" s="64" t="s">
        <v>3542</v>
      </c>
      <c r="BA114" s="64"/>
      <c r="BB114" s="64"/>
      <c r="BC114" s="64"/>
      <c r="BD114" s="46"/>
      <c r="BE114" s="46" t="e">
        <v>#REF!</v>
      </c>
      <c r="BF114" s="46" t="s">
        <v>75</v>
      </c>
      <c r="BG114" s="65"/>
      <c r="BH114" s="66" t="s">
        <v>3543</v>
      </c>
      <c r="BI114" s="63" t="s">
        <v>3544</v>
      </c>
    </row>
    <row r="115" spans="1:61" ht="25.5" x14ac:dyDescent="0.2">
      <c r="A115" s="45" t="s">
        <v>3545</v>
      </c>
      <c r="B115" s="46"/>
      <c r="C115" s="46" t="s">
        <v>3541</v>
      </c>
      <c r="D115" s="46" t="s">
        <v>3536</v>
      </c>
      <c r="E115" s="46" t="s">
        <v>3531</v>
      </c>
      <c r="F115" s="46" t="s">
        <v>68</v>
      </c>
      <c r="G115" s="46" t="s">
        <v>68</v>
      </c>
      <c r="H115" s="46" t="s">
        <v>68</v>
      </c>
      <c r="I115" s="46" t="s">
        <v>68</v>
      </c>
      <c r="J115" s="46" t="s">
        <v>71</v>
      </c>
      <c r="K115" s="47">
        <f>60*10</f>
        <v>600</v>
      </c>
      <c r="L115" s="47">
        <f t="shared" si="0"/>
        <v>300</v>
      </c>
      <c r="M115" s="47">
        <v>900</v>
      </c>
      <c r="N115" s="46"/>
      <c r="O115" s="71" t="s">
        <v>68</v>
      </c>
      <c r="P115" s="64"/>
      <c r="Q115" s="46" t="s">
        <v>3013</v>
      </c>
      <c r="R115" s="46" t="s">
        <v>3444</v>
      </c>
      <c r="S115" s="49">
        <v>225</v>
      </c>
      <c r="T115" s="49">
        <v>1125</v>
      </c>
      <c r="U115" s="67">
        <v>0.40666666666666668</v>
      </c>
      <c r="V115" s="67">
        <v>0.43333333333333335</v>
      </c>
      <c r="W115" s="51">
        <v>0.5</v>
      </c>
      <c r="X115" s="52">
        <v>112.5</v>
      </c>
      <c r="Y115" s="52">
        <v>30</v>
      </c>
      <c r="Z115" s="52">
        <v>525</v>
      </c>
      <c r="AA115" s="52">
        <v>667.5</v>
      </c>
      <c r="AB115" s="53">
        <v>0.59333333333333338</v>
      </c>
      <c r="AC115" s="72">
        <v>457.5</v>
      </c>
      <c r="AD115" s="55">
        <v>0.40666666666666668</v>
      </c>
      <c r="AE115" s="73">
        <v>3</v>
      </c>
      <c r="AF115" s="57" t="s">
        <v>95</v>
      </c>
      <c r="AG115" s="58">
        <v>600</v>
      </c>
      <c r="AH115" s="58">
        <v>300</v>
      </c>
      <c r="AI115" s="58">
        <v>900</v>
      </c>
      <c r="AJ115" s="49">
        <v>225</v>
      </c>
      <c r="AK115" s="49">
        <v>1125</v>
      </c>
      <c r="AL115" s="52">
        <v>112.5</v>
      </c>
      <c r="AM115" s="52">
        <v>525</v>
      </c>
      <c r="AN115" s="52">
        <v>637.5</v>
      </c>
      <c r="AO115" s="59">
        <v>0.56666666666666665</v>
      </c>
      <c r="AP115" s="60">
        <v>487.5</v>
      </c>
      <c r="AQ115" s="61">
        <v>0.43333333333333335</v>
      </c>
      <c r="AR115" s="60" t="s">
        <v>78</v>
      </c>
      <c r="AS115" s="62">
        <v>960</v>
      </c>
      <c r="AT115" s="62">
        <v>480</v>
      </c>
      <c r="AU115" s="62">
        <v>1440</v>
      </c>
      <c r="AV115" s="62">
        <v>1800</v>
      </c>
      <c r="AW115" s="47" t="s">
        <v>107</v>
      </c>
      <c r="AX115" s="64">
        <v>45300</v>
      </c>
      <c r="AY115" s="64" t="s">
        <v>3546</v>
      </c>
      <c r="BA115" s="64"/>
      <c r="BB115" s="64"/>
      <c r="BC115" s="64"/>
      <c r="BD115" s="46"/>
      <c r="BE115" s="46" t="e">
        <v>#REF!</v>
      </c>
      <c r="BF115" s="46" t="s">
        <v>75</v>
      </c>
      <c r="BG115" s="65"/>
      <c r="BH115" s="66" t="s">
        <v>3547</v>
      </c>
      <c r="BI115" s="63" t="s">
        <v>3548</v>
      </c>
    </row>
    <row r="116" spans="1:61" ht="25.5" x14ac:dyDescent="0.2">
      <c r="A116" s="45" t="s">
        <v>3549</v>
      </c>
      <c r="B116" s="46"/>
      <c r="C116" s="46" t="s">
        <v>3550</v>
      </c>
      <c r="D116" s="46" t="s">
        <v>3551</v>
      </c>
      <c r="E116" s="46" t="s">
        <v>3531</v>
      </c>
      <c r="F116" s="46" t="s">
        <v>68</v>
      </c>
      <c r="G116" s="46" t="s">
        <v>68</v>
      </c>
      <c r="H116" s="46" t="s">
        <v>68</v>
      </c>
      <c r="I116" s="46" t="s">
        <v>68</v>
      </c>
      <c r="J116" s="46" t="s">
        <v>71</v>
      </c>
      <c r="K116" s="47">
        <f>30*10</f>
        <v>300</v>
      </c>
      <c r="L116" s="47">
        <f>40*10</f>
        <v>400</v>
      </c>
      <c r="M116" s="47">
        <v>700</v>
      </c>
      <c r="N116" s="46"/>
      <c r="O116" s="71" t="s">
        <v>68</v>
      </c>
      <c r="P116" s="64"/>
      <c r="Q116" s="46" t="s">
        <v>3013</v>
      </c>
      <c r="R116" s="46" t="s">
        <v>3444</v>
      </c>
      <c r="S116" s="49">
        <v>175</v>
      </c>
      <c r="T116" s="49">
        <v>875</v>
      </c>
      <c r="U116" s="28">
        <v>0.20857142857142857</v>
      </c>
      <c r="V116" s="28">
        <v>0.24285714285714285</v>
      </c>
      <c r="W116" s="74">
        <v>1.3333333333333333</v>
      </c>
      <c r="X116" s="52">
        <v>87.5</v>
      </c>
      <c r="Y116" s="52">
        <v>30</v>
      </c>
      <c r="Z116" s="52">
        <v>575</v>
      </c>
      <c r="AA116" s="52">
        <v>692.5</v>
      </c>
      <c r="AB116" s="53">
        <v>0.79142857142857148</v>
      </c>
      <c r="AC116" s="72">
        <v>182.5</v>
      </c>
      <c r="AD116" s="55">
        <v>0.20857142857142857</v>
      </c>
      <c r="AE116" s="73">
        <v>4</v>
      </c>
      <c r="AF116" s="57" t="s">
        <v>95</v>
      </c>
      <c r="AG116" s="58">
        <v>300</v>
      </c>
      <c r="AH116" s="58">
        <v>400</v>
      </c>
      <c r="AI116" s="58">
        <v>700</v>
      </c>
      <c r="AJ116" s="49">
        <v>175</v>
      </c>
      <c r="AK116" s="49">
        <v>875</v>
      </c>
      <c r="AL116" s="52">
        <v>87.5</v>
      </c>
      <c r="AM116" s="52">
        <v>575</v>
      </c>
      <c r="AN116" s="52">
        <v>662.5</v>
      </c>
      <c r="AO116" s="59">
        <v>0.75714285714285712</v>
      </c>
      <c r="AP116" s="60">
        <v>212.5</v>
      </c>
      <c r="AQ116" s="61">
        <v>0.24285714285714285</v>
      </c>
      <c r="AR116" s="60" t="s">
        <v>78</v>
      </c>
      <c r="AS116" s="62">
        <v>510</v>
      </c>
      <c r="AT116" s="62">
        <v>680</v>
      </c>
      <c r="AU116" s="62">
        <v>1190</v>
      </c>
      <c r="AV116" s="62">
        <v>1487.5</v>
      </c>
      <c r="AW116" s="47" t="s">
        <v>107</v>
      </c>
      <c r="AX116" s="64">
        <v>45300</v>
      </c>
      <c r="AY116" s="64" t="s">
        <v>3552</v>
      </c>
      <c r="BA116" s="64"/>
      <c r="BB116" s="64"/>
      <c r="BC116" s="64"/>
      <c r="BD116" s="46"/>
      <c r="BE116" s="46" t="e">
        <v>#REF!</v>
      </c>
      <c r="BF116" s="46" t="s">
        <v>75</v>
      </c>
      <c r="BG116" s="65"/>
      <c r="BH116" s="66" t="s">
        <v>3553</v>
      </c>
      <c r="BI116" s="63" t="s">
        <v>3554</v>
      </c>
    </row>
    <row r="117" spans="1:61" ht="25.5" x14ac:dyDescent="0.2">
      <c r="A117" s="45" t="s">
        <v>3555</v>
      </c>
      <c r="B117" s="46"/>
      <c r="C117" s="46" t="s">
        <v>3556</v>
      </c>
      <c r="D117" s="46" t="s">
        <v>3557</v>
      </c>
      <c r="E117" s="46" t="s">
        <v>3530</v>
      </c>
      <c r="F117" s="46" t="s">
        <v>3558</v>
      </c>
      <c r="G117" s="46" t="s">
        <v>68</v>
      </c>
      <c r="H117" s="46" t="s">
        <v>68</v>
      </c>
      <c r="I117" s="46" t="s">
        <v>68</v>
      </c>
      <c r="J117" s="46" t="s">
        <v>71</v>
      </c>
      <c r="K117" s="47">
        <f>40*5</f>
        <v>200</v>
      </c>
      <c r="L117" s="47">
        <f>80*5</f>
        <v>400</v>
      </c>
      <c r="M117" s="47">
        <v>600</v>
      </c>
      <c r="N117" s="46"/>
      <c r="O117" s="71" t="s">
        <v>68</v>
      </c>
      <c r="P117" s="64"/>
      <c r="Q117" s="46" t="s">
        <v>3013</v>
      </c>
      <c r="R117" s="46" t="s">
        <v>3444</v>
      </c>
      <c r="S117" s="49">
        <v>150</v>
      </c>
      <c r="T117" s="49">
        <v>750</v>
      </c>
      <c r="U117" s="50">
        <v>0.12666666666666668</v>
      </c>
      <c r="V117" s="50">
        <v>0.16666666666666666</v>
      </c>
      <c r="W117" s="77">
        <v>2</v>
      </c>
      <c r="X117" s="52">
        <v>75</v>
      </c>
      <c r="Y117" s="52">
        <v>30</v>
      </c>
      <c r="Z117" s="52">
        <v>550</v>
      </c>
      <c r="AA117" s="52">
        <v>655</v>
      </c>
      <c r="AB117" s="53">
        <v>0.87333333333333329</v>
      </c>
      <c r="AC117" s="54">
        <v>95</v>
      </c>
      <c r="AD117" s="55">
        <v>0.12666666666666668</v>
      </c>
      <c r="AE117" s="73">
        <v>3</v>
      </c>
      <c r="AF117" s="57" t="s">
        <v>95</v>
      </c>
      <c r="AG117" s="58">
        <v>200</v>
      </c>
      <c r="AH117" s="58">
        <v>400</v>
      </c>
      <c r="AI117" s="58">
        <v>600</v>
      </c>
      <c r="AJ117" s="49">
        <v>150</v>
      </c>
      <c r="AK117" s="49">
        <v>750</v>
      </c>
      <c r="AL117" s="52">
        <v>75</v>
      </c>
      <c r="AM117" s="52">
        <v>550</v>
      </c>
      <c r="AN117" s="52">
        <v>625</v>
      </c>
      <c r="AO117" s="59">
        <v>0.83333333333333337</v>
      </c>
      <c r="AP117" s="60">
        <v>125</v>
      </c>
      <c r="AQ117" s="61">
        <v>0.16666666666666666</v>
      </c>
      <c r="AR117" s="60" t="s">
        <v>73</v>
      </c>
      <c r="AS117" s="62">
        <v>320</v>
      </c>
      <c r="AT117" s="62">
        <v>640</v>
      </c>
      <c r="AU117" s="62">
        <v>960</v>
      </c>
      <c r="AV117" s="62">
        <v>1200</v>
      </c>
      <c r="AW117" s="47" t="s">
        <v>107</v>
      </c>
      <c r="AX117" s="64">
        <v>45300</v>
      </c>
      <c r="AY117" s="64" t="s">
        <v>3559</v>
      </c>
      <c r="BA117" s="64"/>
      <c r="BB117" s="64"/>
      <c r="BC117" s="64"/>
      <c r="BD117" s="46"/>
      <c r="BE117" s="46" t="e">
        <v>#REF!</v>
      </c>
      <c r="BF117" s="46" t="s">
        <v>75</v>
      </c>
      <c r="BG117" s="65"/>
      <c r="BH117" s="66" t="s">
        <v>3560</v>
      </c>
      <c r="BI117" s="63" t="s">
        <v>3561</v>
      </c>
    </row>
    <row r="118" spans="1:61" ht="25.5" x14ac:dyDescent="0.2">
      <c r="A118" s="45" t="s">
        <v>3562</v>
      </c>
      <c r="B118" s="46"/>
      <c r="C118" s="46" t="s">
        <v>3556</v>
      </c>
      <c r="D118" s="46" t="s">
        <v>3557</v>
      </c>
      <c r="E118" s="46" t="s">
        <v>3530</v>
      </c>
      <c r="F118" s="46" t="s">
        <v>3531</v>
      </c>
      <c r="G118" s="46" t="s">
        <v>68</v>
      </c>
      <c r="H118" s="46" t="s">
        <v>68</v>
      </c>
      <c r="I118" s="46" t="s">
        <v>68</v>
      </c>
      <c r="J118" s="46" t="s">
        <v>71</v>
      </c>
      <c r="K118" s="47">
        <v>300</v>
      </c>
      <c r="L118" s="47">
        <f>L117*2</f>
        <v>800</v>
      </c>
      <c r="M118" s="47">
        <v>1100</v>
      </c>
      <c r="N118" s="46"/>
      <c r="O118" s="71" t="s">
        <v>68</v>
      </c>
      <c r="P118" s="64"/>
      <c r="Q118" s="46" t="s">
        <v>3013</v>
      </c>
      <c r="R118" s="46" t="s">
        <v>3444</v>
      </c>
      <c r="S118" s="49">
        <v>275</v>
      </c>
      <c r="T118" s="49">
        <v>1375</v>
      </c>
      <c r="U118" s="50">
        <v>9.636363636363636E-2</v>
      </c>
      <c r="V118" s="50">
        <v>0.11818181818181818</v>
      </c>
      <c r="W118" s="77">
        <v>2.6666666666666665</v>
      </c>
      <c r="X118" s="52">
        <v>137.5</v>
      </c>
      <c r="Y118" s="52">
        <v>30</v>
      </c>
      <c r="Z118" s="52">
        <v>1075</v>
      </c>
      <c r="AA118" s="52">
        <v>1242.5</v>
      </c>
      <c r="AB118" s="53">
        <v>0.90363636363636368</v>
      </c>
      <c r="AC118" s="72">
        <v>132.5</v>
      </c>
      <c r="AD118" s="55">
        <v>9.636363636363636E-2</v>
      </c>
      <c r="AE118" s="73">
        <v>3</v>
      </c>
      <c r="AF118" s="57" t="s">
        <v>95</v>
      </c>
      <c r="AG118" s="58">
        <v>300</v>
      </c>
      <c r="AH118" s="58">
        <v>800</v>
      </c>
      <c r="AI118" s="58">
        <v>1100</v>
      </c>
      <c r="AJ118" s="49">
        <v>275</v>
      </c>
      <c r="AK118" s="49">
        <v>1375</v>
      </c>
      <c r="AL118" s="52">
        <v>137.5</v>
      </c>
      <c r="AM118" s="52">
        <v>1075</v>
      </c>
      <c r="AN118" s="52">
        <v>1212.5</v>
      </c>
      <c r="AO118" s="59">
        <v>0.88181818181818183</v>
      </c>
      <c r="AP118" s="60">
        <v>162.5</v>
      </c>
      <c r="AQ118" s="61">
        <v>0.11818181818181818</v>
      </c>
      <c r="AR118" s="60" t="s">
        <v>73</v>
      </c>
      <c r="AS118" s="62">
        <v>480</v>
      </c>
      <c r="AT118" s="62">
        <v>1280</v>
      </c>
      <c r="AU118" s="62">
        <v>1760</v>
      </c>
      <c r="AV118" s="62">
        <v>2200</v>
      </c>
      <c r="AW118" s="47" t="s">
        <v>107</v>
      </c>
      <c r="AX118" s="64">
        <v>45300</v>
      </c>
      <c r="AY118" s="64" t="s">
        <v>3563</v>
      </c>
      <c r="BA118" s="64"/>
      <c r="BB118" s="64"/>
      <c r="BC118" s="64"/>
      <c r="BD118" s="46"/>
      <c r="BE118" s="46" t="e">
        <v>#REF!</v>
      </c>
      <c r="BF118" s="46" t="s">
        <v>75</v>
      </c>
      <c r="BG118" s="65"/>
      <c r="BH118" s="66"/>
      <c r="BI118" s="63" t="s">
        <v>3564</v>
      </c>
    </row>
    <row r="119" spans="1:61" ht="25.5" x14ac:dyDescent="0.2">
      <c r="A119" s="45" t="s">
        <v>3565</v>
      </c>
      <c r="B119" s="46"/>
      <c r="C119" s="46" t="s">
        <v>3556</v>
      </c>
      <c r="D119" s="46" t="s">
        <v>3557</v>
      </c>
      <c r="E119" s="46" t="s">
        <v>3536</v>
      </c>
      <c r="F119" s="46" t="s">
        <v>3558</v>
      </c>
      <c r="G119" s="46" t="s">
        <v>68</v>
      </c>
      <c r="H119" s="46" t="s">
        <v>68</v>
      </c>
      <c r="I119" s="46" t="s">
        <v>68</v>
      </c>
      <c r="J119" s="46" t="s">
        <v>71</v>
      </c>
      <c r="K119" s="47">
        <v>400</v>
      </c>
      <c r="L119" s="47">
        <f>80*5</f>
        <v>400</v>
      </c>
      <c r="M119" s="47">
        <v>800</v>
      </c>
      <c r="N119" s="46"/>
      <c r="O119" s="71" t="s">
        <v>68</v>
      </c>
      <c r="P119" s="64"/>
      <c r="Q119" s="46" t="s">
        <v>3013</v>
      </c>
      <c r="R119" s="46" t="s">
        <v>3444</v>
      </c>
      <c r="S119" s="49">
        <v>200</v>
      </c>
      <c r="T119" s="49">
        <v>1000</v>
      </c>
      <c r="U119" s="28">
        <v>0.27</v>
      </c>
      <c r="V119" s="67">
        <v>0.3</v>
      </c>
      <c r="W119" s="51">
        <v>1</v>
      </c>
      <c r="X119" s="52">
        <v>100</v>
      </c>
      <c r="Y119" s="52">
        <v>30</v>
      </c>
      <c r="Z119" s="52">
        <v>600</v>
      </c>
      <c r="AA119" s="52">
        <v>730</v>
      </c>
      <c r="AB119" s="53">
        <v>0.73</v>
      </c>
      <c r="AC119" s="72">
        <v>270</v>
      </c>
      <c r="AD119" s="55">
        <v>0.27</v>
      </c>
      <c r="AE119" s="73">
        <v>3</v>
      </c>
      <c r="AF119" s="57" t="s">
        <v>95</v>
      </c>
      <c r="AG119" s="58">
        <v>400</v>
      </c>
      <c r="AH119" s="58">
        <v>400</v>
      </c>
      <c r="AI119" s="58">
        <v>800</v>
      </c>
      <c r="AJ119" s="49">
        <v>200</v>
      </c>
      <c r="AK119" s="49">
        <v>1000</v>
      </c>
      <c r="AL119" s="52">
        <v>100</v>
      </c>
      <c r="AM119" s="52">
        <v>600</v>
      </c>
      <c r="AN119" s="52">
        <v>700</v>
      </c>
      <c r="AO119" s="59">
        <v>0.7</v>
      </c>
      <c r="AP119" s="60">
        <v>300</v>
      </c>
      <c r="AQ119" s="61">
        <v>0.3</v>
      </c>
      <c r="AR119" s="60" t="s">
        <v>78</v>
      </c>
      <c r="AS119" s="62">
        <v>640</v>
      </c>
      <c r="AT119" s="62">
        <v>640</v>
      </c>
      <c r="AU119" s="62">
        <v>1280</v>
      </c>
      <c r="AV119" s="62">
        <v>1600</v>
      </c>
      <c r="AW119" s="47" t="s">
        <v>107</v>
      </c>
      <c r="AX119" s="64">
        <v>45300</v>
      </c>
      <c r="AY119" s="64" t="s">
        <v>3566</v>
      </c>
      <c r="BA119" s="64"/>
      <c r="BB119" s="64"/>
      <c r="BC119" s="64"/>
      <c r="BD119" s="46"/>
      <c r="BE119" s="46" t="e">
        <v>#REF!</v>
      </c>
      <c r="BF119" s="46" t="s">
        <v>75</v>
      </c>
      <c r="BG119" s="65"/>
      <c r="BH119" s="66" t="s">
        <v>3567</v>
      </c>
      <c r="BI119" s="63" t="s">
        <v>3568</v>
      </c>
    </row>
    <row r="120" spans="1:61" ht="25.5" x14ac:dyDescent="0.2">
      <c r="A120" s="45" t="s">
        <v>3569</v>
      </c>
      <c r="B120" s="46"/>
      <c r="C120" s="46" t="s">
        <v>3556</v>
      </c>
      <c r="D120" s="46" t="s">
        <v>3557</v>
      </c>
      <c r="E120" s="46" t="s">
        <v>3536</v>
      </c>
      <c r="F120" s="46" t="s">
        <v>3531</v>
      </c>
      <c r="G120" s="46" t="s">
        <v>68</v>
      </c>
      <c r="H120" s="46" t="s">
        <v>68</v>
      </c>
      <c r="I120" s="46" t="s">
        <v>68</v>
      </c>
      <c r="J120" s="46" t="s">
        <v>71</v>
      </c>
      <c r="K120" s="47">
        <v>600</v>
      </c>
      <c r="L120" s="47">
        <f>L119*2</f>
        <v>800</v>
      </c>
      <c r="M120" s="47">
        <v>1400</v>
      </c>
      <c r="N120" s="46"/>
      <c r="O120" s="71" t="s">
        <v>68</v>
      </c>
      <c r="P120" s="64"/>
      <c r="Q120" s="46" t="s">
        <v>3013</v>
      </c>
      <c r="R120" s="46" t="s">
        <v>3444</v>
      </c>
      <c r="S120" s="49">
        <v>350</v>
      </c>
      <c r="T120" s="49">
        <v>1750</v>
      </c>
      <c r="U120" s="28">
        <v>0.2257142857142857</v>
      </c>
      <c r="V120" s="28">
        <v>0.24285714285714285</v>
      </c>
      <c r="W120" s="74">
        <v>1.3333333333333333</v>
      </c>
      <c r="X120" s="52">
        <v>175</v>
      </c>
      <c r="Y120" s="52">
        <v>30</v>
      </c>
      <c r="Z120" s="52">
        <v>1150</v>
      </c>
      <c r="AA120" s="52">
        <v>1355</v>
      </c>
      <c r="AB120" s="53">
        <v>0.77428571428571424</v>
      </c>
      <c r="AC120" s="72">
        <v>395</v>
      </c>
      <c r="AD120" s="55">
        <v>0.2257142857142857</v>
      </c>
      <c r="AE120" s="73">
        <v>3</v>
      </c>
      <c r="AF120" s="57" t="s">
        <v>95</v>
      </c>
      <c r="AG120" s="58">
        <v>600</v>
      </c>
      <c r="AH120" s="58">
        <v>800</v>
      </c>
      <c r="AI120" s="58">
        <v>1400</v>
      </c>
      <c r="AJ120" s="49">
        <v>350</v>
      </c>
      <c r="AK120" s="49">
        <v>1750</v>
      </c>
      <c r="AL120" s="52">
        <v>175</v>
      </c>
      <c r="AM120" s="52">
        <v>1150</v>
      </c>
      <c r="AN120" s="52">
        <v>1325</v>
      </c>
      <c r="AO120" s="59">
        <v>0.75714285714285712</v>
      </c>
      <c r="AP120" s="60">
        <v>425</v>
      </c>
      <c r="AQ120" s="61">
        <v>0.24285714285714285</v>
      </c>
      <c r="AR120" s="60" t="s">
        <v>78</v>
      </c>
      <c r="AS120" s="62">
        <v>960</v>
      </c>
      <c r="AT120" s="62">
        <v>1280</v>
      </c>
      <c r="AU120" s="62">
        <v>2240</v>
      </c>
      <c r="AV120" s="62">
        <v>2800</v>
      </c>
      <c r="AW120" s="47" t="s">
        <v>107</v>
      </c>
      <c r="AX120" s="64">
        <v>45300</v>
      </c>
      <c r="AY120" s="64" t="s">
        <v>3570</v>
      </c>
      <c r="BA120" s="64"/>
      <c r="BB120" s="64"/>
      <c r="BC120" s="64"/>
      <c r="BD120" s="46"/>
      <c r="BE120" s="46" t="e">
        <v>#REF!</v>
      </c>
      <c r="BF120" s="46" t="s">
        <v>75</v>
      </c>
      <c r="BG120" s="65"/>
      <c r="BH120" s="66"/>
      <c r="BI120" s="63" t="s">
        <v>3571</v>
      </c>
    </row>
    <row r="121" spans="1:61" ht="25.5" x14ac:dyDescent="0.2">
      <c r="A121" s="45" t="s">
        <v>3572</v>
      </c>
      <c r="B121" s="46"/>
      <c r="C121" s="46" t="s">
        <v>3556</v>
      </c>
      <c r="D121" s="46" t="s">
        <v>3573</v>
      </c>
      <c r="E121" s="46" t="s">
        <v>3530</v>
      </c>
      <c r="F121" s="46" t="s">
        <v>3558</v>
      </c>
      <c r="G121" s="46" t="s">
        <v>68</v>
      </c>
      <c r="H121" s="46" t="s">
        <v>68</v>
      </c>
      <c r="I121" s="46" t="s">
        <v>68</v>
      </c>
      <c r="J121" s="46" t="s">
        <v>71</v>
      </c>
      <c r="K121" s="47">
        <v>300</v>
      </c>
      <c r="L121" s="47">
        <f>80*5</f>
        <v>400</v>
      </c>
      <c r="M121" s="47">
        <v>700</v>
      </c>
      <c r="N121" s="46"/>
      <c r="O121" s="71" t="s">
        <v>68</v>
      </c>
      <c r="P121" s="64"/>
      <c r="Q121" s="46" t="s">
        <v>3013</v>
      </c>
      <c r="R121" s="46" t="s">
        <v>3444</v>
      </c>
      <c r="S121" s="49">
        <v>175</v>
      </c>
      <c r="T121" s="49">
        <v>875</v>
      </c>
      <c r="U121" s="28">
        <v>0.20857142857142857</v>
      </c>
      <c r="V121" s="28">
        <v>0.24285714285714285</v>
      </c>
      <c r="W121" s="74">
        <v>1.3333333333333333</v>
      </c>
      <c r="X121" s="52">
        <v>87.5</v>
      </c>
      <c r="Y121" s="52">
        <v>30</v>
      </c>
      <c r="Z121" s="52">
        <v>575</v>
      </c>
      <c r="AA121" s="52">
        <v>692.5</v>
      </c>
      <c r="AB121" s="53">
        <v>0.79142857142857148</v>
      </c>
      <c r="AC121" s="72">
        <v>182.5</v>
      </c>
      <c r="AD121" s="55">
        <v>0.20857142857142857</v>
      </c>
      <c r="AE121" s="73">
        <v>3</v>
      </c>
      <c r="AF121" s="57" t="s">
        <v>95</v>
      </c>
      <c r="AG121" s="58">
        <v>300</v>
      </c>
      <c r="AH121" s="58">
        <v>400</v>
      </c>
      <c r="AI121" s="58">
        <v>700</v>
      </c>
      <c r="AJ121" s="49">
        <v>175</v>
      </c>
      <c r="AK121" s="49">
        <v>875</v>
      </c>
      <c r="AL121" s="52">
        <v>87.5</v>
      </c>
      <c r="AM121" s="52">
        <v>575</v>
      </c>
      <c r="AN121" s="52">
        <v>662.5</v>
      </c>
      <c r="AO121" s="59">
        <v>0.75714285714285712</v>
      </c>
      <c r="AP121" s="60">
        <v>212.5</v>
      </c>
      <c r="AQ121" s="61">
        <v>0.24285714285714285</v>
      </c>
      <c r="AR121" s="60" t="s">
        <v>78</v>
      </c>
      <c r="AS121" s="62">
        <v>480</v>
      </c>
      <c r="AT121" s="62">
        <v>640</v>
      </c>
      <c r="AU121" s="62">
        <v>1120</v>
      </c>
      <c r="AV121" s="62">
        <v>1400</v>
      </c>
      <c r="AW121" s="47" t="s">
        <v>107</v>
      </c>
      <c r="AX121" s="64">
        <v>45300</v>
      </c>
      <c r="AY121" s="64" t="s">
        <v>3574</v>
      </c>
      <c r="BA121" s="64"/>
      <c r="BB121" s="64"/>
      <c r="BC121" s="64"/>
      <c r="BD121" s="46"/>
      <c r="BE121" s="46" t="e">
        <v>#REF!</v>
      </c>
      <c r="BF121" s="46" t="s">
        <v>75</v>
      </c>
      <c r="BG121" s="65"/>
      <c r="BH121" s="66" t="s">
        <v>3575</v>
      </c>
      <c r="BI121" s="63" t="s">
        <v>3576</v>
      </c>
    </row>
    <row r="122" spans="1:61" ht="25.5" x14ac:dyDescent="0.2">
      <c r="A122" s="45" t="s">
        <v>3577</v>
      </c>
      <c r="B122" s="46"/>
      <c r="C122" s="46" t="s">
        <v>3556</v>
      </c>
      <c r="D122" s="46" t="s">
        <v>3573</v>
      </c>
      <c r="E122" s="46" t="s">
        <v>3530</v>
      </c>
      <c r="F122" s="46" t="s">
        <v>3531</v>
      </c>
      <c r="G122" s="46" t="s">
        <v>68</v>
      </c>
      <c r="H122" s="46" t="s">
        <v>68</v>
      </c>
      <c r="I122" s="46" t="s">
        <v>68</v>
      </c>
      <c r="J122" s="46" t="s">
        <v>71</v>
      </c>
      <c r="K122" s="47">
        <v>400</v>
      </c>
      <c r="L122" s="47">
        <f>L121*2</f>
        <v>800</v>
      </c>
      <c r="M122" s="47">
        <v>1200</v>
      </c>
      <c r="N122" s="46"/>
      <c r="O122" s="71" t="s">
        <v>68</v>
      </c>
      <c r="P122" s="64"/>
      <c r="Q122" s="46" t="s">
        <v>3013</v>
      </c>
      <c r="R122" s="46" t="s">
        <v>3444</v>
      </c>
      <c r="S122" s="49">
        <v>300</v>
      </c>
      <c r="T122" s="49">
        <v>1500</v>
      </c>
      <c r="U122" s="50">
        <v>0.14666666666666667</v>
      </c>
      <c r="V122" s="50">
        <v>0.16666666666666666</v>
      </c>
      <c r="W122" s="77">
        <v>2</v>
      </c>
      <c r="X122" s="52">
        <v>150</v>
      </c>
      <c r="Y122" s="52">
        <v>30</v>
      </c>
      <c r="Z122" s="52">
        <v>1100</v>
      </c>
      <c r="AA122" s="52">
        <v>1280</v>
      </c>
      <c r="AB122" s="53">
        <v>0.85333333333333339</v>
      </c>
      <c r="AC122" s="72">
        <v>220</v>
      </c>
      <c r="AD122" s="55">
        <v>0.14666666666666667</v>
      </c>
      <c r="AE122" s="73">
        <v>3</v>
      </c>
      <c r="AF122" s="57" t="s">
        <v>95</v>
      </c>
      <c r="AG122" s="58">
        <v>400</v>
      </c>
      <c r="AH122" s="58">
        <v>800</v>
      </c>
      <c r="AI122" s="58">
        <v>1200</v>
      </c>
      <c r="AJ122" s="49">
        <v>300</v>
      </c>
      <c r="AK122" s="49">
        <v>1500</v>
      </c>
      <c r="AL122" s="52">
        <v>150</v>
      </c>
      <c r="AM122" s="52">
        <v>1100</v>
      </c>
      <c r="AN122" s="52">
        <v>1250</v>
      </c>
      <c r="AO122" s="59">
        <v>0.83333333333333337</v>
      </c>
      <c r="AP122" s="60">
        <v>250</v>
      </c>
      <c r="AQ122" s="61">
        <v>0.16666666666666666</v>
      </c>
      <c r="AR122" s="60" t="s">
        <v>73</v>
      </c>
      <c r="AS122" s="62">
        <v>640</v>
      </c>
      <c r="AT122" s="62">
        <v>1280</v>
      </c>
      <c r="AU122" s="62">
        <v>1920</v>
      </c>
      <c r="AV122" s="62">
        <v>2400</v>
      </c>
      <c r="AW122" s="47" t="s">
        <v>107</v>
      </c>
      <c r="AX122" s="64">
        <v>45300</v>
      </c>
      <c r="AY122" s="64" t="s">
        <v>3578</v>
      </c>
      <c r="BA122" s="64"/>
      <c r="BB122" s="64"/>
      <c r="BC122" s="64"/>
      <c r="BD122" s="46"/>
      <c r="BE122" s="46" t="e">
        <v>#REF!</v>
      </c>
      <c r="BF122" s="46" t="s">
        <v>75</v>
      </c>
      <c r="BG122" s="65"/>
      <c r="BH122" s="66"/>
      <c r="BI122" s="63" t="s">
        <v>3579</v>
      </c>
    </row>
    <row r="123" spans="1:61" ht="25.5" x14ac:dyDescent="0.2">
      <c r="A123" s="45" t="s">
        <v>3580</v>
      </c>
      <c r="B123" s="46"/>
      <c r="C123" s="46" t="s">
        <v>3556</v>
      </c>
      <c r="D123" s="46" t="s">
        <v>3573</v>
      </c>
      <c r="E123" s="46" t="s">
        <v>3536</v>
      </c>
      <c r="F123" s="46" t="s">
        <v>3558</v>
      </c>
      <c r="G123" s="46" t="s">
        <v>68</v>
      </c>
      <c r="H123" s="46" t="s">
        <v>68</v>
      </c>
      <c r="I123" s="46" t="s">
        <v>68</v>
      </c>
      <c r="J123" s="46" t="s">
        <v>71</v>
      </c>
      <c r="K123" s="47">
        <v>500</v>
      </c>
      <c r="L123" s="47">
        <f>80*5</f>
        <v>400</v>
      </c>
      <c r="M123" s="47">
        <v>900</v>
      </c>
      <c r="N123" s="46"/>
      <c r="O123" s="71" t="s">
        <v>68</v>
      </c>
      <c r="P123" s="64"/>
      <c r="Q123" s="46" t="s">
        <v>3013</v>
      </c>
      <c r="R123" s="46" t="s">
        <v>3444</v>
      </c>
      <c r="S123" s="49">
        <v>225</v>
      </c>
      <c r="T123" s="49">
        <v>1125</v>
      </c>
      <c r="U123" s="67">
        <v>0.31777777777777777</v>
      </c>
      <c r="V123" s="67">
        <v>0.34444444444444444</v>
      </c>
      <c r="W123" s="51">
        <v>0.8</v>
      </c>
      <c r="X123" s="52">
        <v>112.5</v>
      </c>
      <c r="Y123" s="52">
        <v>30</v>
      </c>
      <c r="Z123" s="52">
        <v>625</v>
      </c>
      <c r="AA123" s="52">
        <v>767.5</v>
      </c>
      <c r="AB123" s="53">
        <v>0.68222222222222217</v>
      </c>
      <c r="AC123" s="72">
        <v>357.5</v>
      </c>
      <c r="AD123" s="55">
        <v>0.31777777777777777</v>
      </c>
      <c r="AE123" s="73">
        <v>3</v>
      </c>
      <c r="AF123" s="57" t="s">
        <v>95</v>
      </c>
      <c r="AG123" s="58">
        <v>500</v>
      </c>
      <c r="AH123" s="58">
        <v>400</v>
      </c>
      <c r="AI123" s="58">
        <v>900</v>
      </c>
      <c r="AJ123" s="49">
        <v>225</v>
      </c>
      <c r="AK123" s="49">
        <v>1125</v>
      </c>
      <c r="AL123" s="52">
        <v>112.5</v>
      </c>
      <c r="AM123" s="52">
        <v>625</v>
      </c>
      <c r="AN123" s="52">
        <v>737.5</v>
      </c>
      <c r="AO123" s="59">
        <v>0.65555555555555556</v>
      </c>
      <c r="AP123" s="60">
        <v>387.5</v>
      </c>
      <c r="AQ123" s="61">
        <v>0.34444444444444444</v>
      </c>
      <c r="AR123" s="60" t="s">
        <v>78</v>
      </c>
      <c r="AS123" s="62">
        <v>800</v>
      </c>
      <c r="AT123" s="62">
        <v>640</v>
      </c>
      <c r="AU123" s="62">
        <v>1440</v>
      </c>
      <c r="AV123" s="62">
        <v>1800</v>
      </c>
      <c r="AW123" s="47" t="s">
        <v>107</v>
      </c>
      <c r="AX123" s="64">
        <v>45300</v>
      </c>
      <c r="AY123" s="64" t="s">
        <v>3581</v>
      </c>
      <c r="BA123" s="64"/>
      <c r="BB123" s="64"/>
      <c r="BC123" s="64"/>
      <c r="BD123" s="46"/>
      <c r="BE123" s="46" t="e">
        <v>#REF!</v>
      </c>
      <c r="BF123" s="46" t="s">
        <v>75</v>
      </c>
      <c r="BG123" s="65"/>
      <c r="BH123" s="66" t="s">
        <v>3582</v>
      </c>
      <c r="BI123" s="63" t="s">
        <v>3583</v>
      </c>
    </row>
    <row r="124" spans="1:61" ht="25.5" x14ac:dyDescent="0.2">
      <c r="A124" s="45" t="s">
        <v>3584</v>
      </c>
      <c r="B124" s="46"/>
      <c r="C124" s="46" t="s">
        <v>3556</v>
      </c>
      <c r="D124" s="46" t="s">
        <v>3573</v>
      </c>
      <c r="E124" s="46" t="s">
        <v>3536</v>
      </c>
      <c r="F124" s="46" t="s">
        <v>3531</v>
      </c>
      <c r="G124" s="46" t="s">
        <v>68</v>
      </c>
      <c r="H124" s="46" t="s">
        <v>68</v>
      </c>
      <c r="I124" s="46" t="s">
        <v>68</v>
      </c>
      <c r="J124" s="46" t="s">
        <v>71</v>
      </c>
      <c r="K124" s="47">
        <v>600</v>
      </c>
      <c r="L124" s="47">
        <f>L123*2</f>
        <v>800</v>
      </c>
      <c r="M124" s="47">
        <v>1400</v>
      </c>
      <c r="N124" s="46"/>
      <c r="O124" s="71" t="s">
        <v>68</v>
      </c>
      <c r="P124" s="64"/>
      <c r="Q124" s="46" t="s">
        <v>3013</v>
      </c>
      <c r="R124" s="46" t="s">
        <v>3444</v>
      </c>
      <c r="S124" s="49">
        <v>350</v>
      </c>
      <c r="T124" s="49">
        <v>1750</v>
      </c>
      <c r="U124" s="28">
        <v>0.2257142857142857</v>
      </c>
      <c r="V124" s="28">
        <v>0.24285714285714285</v>
      </c>
      <c r="W124" s="74">
        <v>1.3333333333333333</v>
      </c>
      <c r="X124" s="52">
        <v>175</v>
      </c>
      <c r="Y124" s="52">
        <v>30</v>
      </c>
      <c r="Z124" s="52">
        <v>1150</v>
      </c>
      <c r="AA124" s="52">
        <v>1355</v>
      </c>
      <c r="AB124" s="53">
        <v>0.77428571428571424</v>
      </c>
      <c r="AC124" s="72">
        <v>395</v>
      </c>
      <c r="AD124" s="55">
        <v>0.2257142857142857</v>
      </c>
      <c r="AE124" s="73">
        <v>3</v>
      </c>
      <c r="AF124" s="57" t="s">
        <v>95</v>
      </c>
      <c r="AG124" s="58">
        <v>600</v>
      </c>
      <c r="AH124" s="58">
        <v>800</v>
      </c>
      <c r="AI124" s="58">
        <v>1400</v>
      </c>
      <c r="AJ124" s="49">
        <v>350</v>
      </c>
      <c r="AK124" s="49">
        <v>1750</v>
      </c>
      <c r="AL124" s="52">
        <v>175</v>
      </c>
      <c r="AM124" s="52">
        <v>1150</v>
      </c>
      <c r="AN124" s="52">
        <v>1325</v>
      </c>
      <c r="AO124" s="59">
        <v>0.75714285714285712</v>
      </c>
      <c r="AP124" s="60">
        <v>425</v>
      </c>
      <c r="AQ124" s="61">
        <v>0.24285714285714285</v>
      </c>
      <c r="AR124" s="60" t="s">
        <v>78</v>
      </c>
      <c r="AS124" s="62">
        <v>960</v>
      </c>
      <c r="AT124" s="62">
        <v>1280</v>
      </c>
      <c r="AU124" s="62">
        <v>2240</v>
      </c>
      <c r="AV124" s="62">
        <v>2800</v>
      </c>
      <c r="AW124" s="47" t="s">
        <v>107</v>
      </c>
      <c r="AX124" s="64">
        <v>45300</v>
      </c>
      <c r="AY124" s="64" t="s">
        <v>3585</v>
      </c>
      <c r="BA124" s="64"/>
      <c r="BB124" s="64"/>
      <c r="BC124" s="64"/>
      <c r="BD124" s="46"/>
      <c r="BE124" s="46" t="e">
        <v>#REF!</v>
      </c>
      <c r="BF124" s="46" t="s">
        <v>75</v>
      </c>
      <c r="BG124" s="65"/>
      <c r="BH124" s="66"/>
      <c r="BI124" s="63" t="s">
        <v>3586</v>
      </c>
    </row>
    <row r="125" spans="1:61" ht="25.5" x14ac:dyDescent="0.2">
      <c r="A125" s="45" t="s">
        <v>3587</v>
      </c>
      <c r="B125" s="46"/>
      <c r="C125" s="46" t="s">
        <v>3588</v>
      </c>
      <c r="D125" s="46" t="s">
        <v>68</v>
      </c>
      <c r="E125" s="46" t="s">
        <v>3530</v>
      </c>
      <c r="F125" s="46" t="s">
        <v>3558</v>
      </c>
      <c r="G125" s="46" t="s">
        <v>68</v>
      </c>
      <c r="H125" s="46" t="s">
        <v>68</v>
      </c>
      <c r="I125" s="46" t="s">
        <v>68</v>
      </c>
      <c r="J125" s="46" t="s">
        <v>71</v>
      </c>
      <c r="K125" s="47">
        <v>300</v>
      </c>
      <c r="L125" s="47">
        <v>400</v>
      </c>
      <c r="M125" s="47">
        <v>700</v>
      </c>
      <c r="N125" s="46"/>
      <c r="O125" s="71" t="s">
        <v>68</v>
      </c>
      <c r="P125" s="64"/>
      <c r="Q125" s="46" t="s">
        <v>3013</v>
      </c>
      <c r="R125" s="46" t="s">
        <v>3444</v>
      </c>
      <c r="S125" s="49">
        <v>175</v>
      </c>
      <c r="T125" s="49">
        <v>875</v>
      </c>
      <c r="U125" s="28">
        <v>0.20857142857142857</v>
      </c>
      <c r="V125" s="28">
        <v>0.24285714285714285</v>
      </c>
      <c r="W125" s="74">
        <v>1.3333333333333333</v>
      </c>
      <c r="X125" s="52">
        <v>87.5</v>
      </c>
      <c r="Y125" s="52">
        <v>30</v>
      </c>
      <c r="Z125" s="52">
        <v>575</v>
      </c>
      <c r="AA125" s="52">
        <v>692.5</v>
      </c>
      <c r="AB125" s="53">
        <v>0.79142857142857148</v>
      </c>
      <c r="AC125" s="72">
        <v>182.5</v>
      </c>
      <c r="AD125" s="55">
        <v>0.20857142857142857</v>
      </c>
      <c r="AE125" s="73">
        <v>3</v>
      </c>
      <c r="AF125" s="57" t="s">
        <v>95</v>
      </c>
      <c r="AG125" s="58">
        <v>300</v>
      </c>
      <c r="AH125" s="58">
        <v>400</v>
      </c>
      <c r="AI125" s="58">
        <v>700</v>
      </c>
      <c r="AJ125" s="49">
        <v>175</v>
      </c>
      <c r="AK125" s="49">
        <v>875</v>
      </c>
      <c r="AL125" s="52">
        <v>87.5</v>
      </c>
      <c r="AM125" s="52">
        <v>575</v>
      </c>
      <c r="AN125" s="52">
        <v>662.5</v>
      </c>
      <c r="AO125" s="59">
        <v>0.75714285714285712</v>
      </c>
      <c r="AP125" s="60">
        <v>212.5</v>
      </c>
      <c r="AQ125" s="61">
        <v>0.24285714285714285</v>
      </c>
      <c r="AR125" s="60" t="s">
        <v>78</v>
      </c>
      <c r="AS125" s="62">
        <v>480</v>
      </c>
      <c r="AT125" s="62">
        <v>640</v>
      </c>
      <c r="AU125" s="62">
        <v>1120</v>
      </c>
      <c r="AV125" s="62">
        <v>1400</v>
      </c>
      <c r="AW125" s="47" t="s">
        <v>107</v>
      </c>
      <c r="AX125" s="64">
        <v>45300</v>
      </c>
      <c r="AY125" s="64" t="s">
        <v>3589</v>
      </c>
      <c r="BA125" s="64"/>
      <c r="BB125" s="64"/>
      <c r="BC125" s="64"/>
      <c r="BD125" s="46"/>
      <c r="BE125" s="46" t="e">
        <v>#REF!</v>
      </c>
      <c r="BF125" s="46" t="s">
        <v>75</v>
      </c>
      <c r="BG125" s="65"/>
      <c r="BH125" s="66" t="s">
        <v>3590</v>
      </c>
      <c r="BI125" s="63" t="s">
        <v>3591</v>
      </c>
    </row>
    <row r="126" spans="1:61" x14ac:dyDescent="0.2">
      <c r="A126" s="45" t="s">
        <v>3592</v>
      </c>
      <c r="B126" s="46"/>
      <c r="C126" s="46" t="s">
        <v>3588</v>
      </c>
      <c r="D126" s="46"/>
      <c r="E126" s="46" t="s">
        <v>3530</v>
      </c>
      <c r="F126" s="46" t="s">
        <v>3531</v>
      </c>
      <c r="G126" s="46"/>
      <c r="H126" s="46"/>
      <c r="I126" s="46"/>
      <c r="J126" s="46" t="s">
        <v>71</v>
      </c>
      <c r="K126" s="47">
        <v>400</v>
      </c>
      <c r="L126" s="47">
        <v>800</v>
      </c>
      <c r="M126" s="47">
        <v>1200</v>
      </c>
      <c r="N126" s="46"/>
      <c r="O126" s="71" t="s">
        <v>68</v>
      </c>
      <c r="P126" s="64"/>
      <c r="Q126" s="46" t="s">
        <v>3013</v>
      </c>
      <c r="R126" s="46" t="s">
        <v>3444</v>
      </c>
      <c r="S126" s="49">
        <v>300</v>
      </c>
      <c r="T126" s="49">
        <v>1500</v>
      </c>
      <c r="U126" s="50">
        <v>0.14666666666666667</v>
      </c>
      <c r="V126" s="50">
        <v>0.16666666666666666</v>
      </c>
      <c r="W126" s="77">
        <v>2</v>
      </c>
      <c r="X126" s="52">
        <v>150</v>
      </c>
      <c r="Y126" s="52">
        <v>30</v>
      </c>
      <c r="Z126" s="52">
        <v>1100</v>
      </c>
      <c r="AA126" s="52">
        <v>1280</v>
      </c>
      <c r="AB126" s="53">
        <v>0.85333333333333339</v>
      </c>
      <c r="AC126" s="72">
        <v>220</v>
      </c>
      <c r="AD126" s="55">
        <v>0.14666666666666667</v>
      </c>
      <c r="AE126" s="73">
        <v>3</v>
      </c>
      <c r="AF126" s="57" t="s">
        <v>95</v>
      </c>
      <c r="AG126" s="58">
        <v>400</v>
      </c>
      <c r="AH126" s="58">
        <v>800</v>
      </c>
      <c r="AI126" s="58">
        <v>1200</v>
      </c>
      <c r="AJ126" s="49">
        <v>300</v>
      </c>
      <c r="AK126" s="49">
        <v>1500</v>
      </c>
      <c r="AL126" s="52">
        <v>150</v>
      </c>
      <c r="AM126" s="52">
        <v>1100</v>
      </c>
      <c r="AN126" s="52">
        <v>1250</v>
      </c>
      <c r="AO126" s="59">
        <v>0.83333333333333337</v>
      </c>
      <c r="AP126" s="60">
        <v>250</v>
      </c>
      <c r="AQ126" s="61">
        <v>0.16666666666666666</v>
      </c>
      <c r="AR126" s="60" t="s">
        <v>73</v>
      </c>
      <c r="AS126" s="62">
        <v>640</v>
      </c>
      <c r="AT126" s="62">
        <v>1280</v>
      </c>
      <c r="AU126" s="62">
        <v>1920</v>
      </c>
      <c r="AV126" s="62">
        <v>2400</v>
      </c>
      <c r="AW126" s="47" t="s">
        <v>107</v>
      </c>
      <c r="AX126" s="64">
        <v>45300</v>
      </c>
      <c r="AY126" s="64" t="s">
        <v>3593</v>
      </c>
      <c r="BA126" s="64"/>
      <c r="BB126" s="64"/>
      <c r="BC126" s="64"/>
      <c r="BD126" s="46"/>
      <c r="BE126" s="46" t="e">
        <v>#REF!</v>
      </c>
      <c r="BF126" s="46" t="s">
        <v>75</v>
      </c>
      <c r="BG126" s="65"/>
      <c r="BH126" s="66"/>
      <c r="BI126" s="63" t="s">
        <v>3594</v>
      </c>
    </row>
    <row r="127" spans="1:61" ht="25.5" x14ac:dyDescent="0.2">
      <c r="A127" s="45" t="s">
        <v>3595</v>
      </c>
      <c r="B127" s="46"/>
      <c r="C127" s="46" t="s">
        <v>3588</v>
      </c>
      <c r="D127" s="46" t="s">
        <v>68</v>
      </c>
      <c r="E127" s="46" t="s">
        <v>3536</v>
      </c>
      <c r="F127" s="46" t="s">
        <v>3558</v>
      </c>
      <c r="G127" s="46" t="s">
        <v>68</v>
      </c>
      <c r="H127" s="46" t="s">
        <v>68</v>
      </c>
      <c r="I127" s="46" t="s">
        <v>68</v>
      </c>
      <c r="J127" s="46" t="s">
        <v>71</v>
      </c>
      <c r="K127" s="47">
        <v>500</v>
      </c>
      <c r="L127" s="47">
        <v>400</v>
      </c>
      <c r="M127" s="47">
        <v>900</v>
      </c>
      <c r="N127" s="46"/>
      <c r="O127" s="71" t="s">
        <v>68</v>
      </c>
      <c r="P127" s="64"/>
      <c r="Q127" s="46" t="s">
        <v>3013</v>
      </c>
      <c r="R127" s="46" t="s">
        <v>3444</v>
      </c>
      <c r="S127" s="49">
        <v>225</v>
      </c>
      <c r="T127" s="49">
        <v>1125</v>
      </c>
      <c r="U127" s="67">
        <v>0.31777777777777777</v>
      </c>
      <c r="V127" s="67">
        <v>0.34444444444444444</v>
      </c>
      <c r="W127" s="51">
        <v>0.8</v>
      </c>
      <c r="X127" s="52">
        <v>112.5</v>
      </c>
      <c r="Y127" s="52">
        <v>30</v>
      </c>
      <c r="Z127" s="52">
        <v>625</v>
      </c>
      <c r="AA127" s="52">
        <v>767.5</v>
      </c>
      <c r="AB127" s="53">
        <v>0.68222222222222217</v>
      </c>
      <c r="AC127" s="72">
        <v>357.5</v>
      </c>
      <c r="AD127" s="55">
        <v>0.31777777777777777</v>
      </c>
      <c r="AE127" s="73">
        <v>3</v>
      </c>
      <c r="AF127" s="57" t="s">
        <v>95</v>
      </c>
      <c r="AG127" s="58">
        <v>500</v>
      </c>
      <c r="AH127" s="58">
        <v>400</v>
      </c>
      <c r="AI127" s="58">
        <v>900</v>
      </c>
      <c r="AJ127" s="49">
        <v>225</v>
      </c>
      <c r="AK127" s="49">
        <v>1125</v>
      </c>
      <c r="AL127" s="52">
        <v>112.5</v>
      </c>
      <c r="AM127" s="52">
        <v>625</v>
      </c>
      <c r="AN127" s="52">
        <v>737.5</v>
      </c>
      <c r="AO127" s="59">
        <v>0.65555555555555556</v>
      </c>
      <c r="AP127" s="60">
        <v>387.5</v>
      </c>
      <c r="AQ127" s="61">
        <v>0.34444444444444444</v>
      </c>
      <c r="AR127" s="60" t="s">
        <v>78</v>
      </c>
      <c r="AS127" s="62">
        <v>800</v>
      </c>
      <c r="AT127" s="62">
        <v>640</v>
      </c>
      <c r="AU127" s="62">
        <v>1440</v>
      </c>
      <c r="AV127" s="62">
        <v>1800</v>
      </c>
      <c r="AW127" s="47" t="s">
        <v>107</v>
      </c>
      <c r="AX127" s="64">
        <v>45300</v>
      </c>
      <c r="AY127" s="64" t="s">
        <v>3596</v>
      </c>
      <c r="BA127" s="64"/>
      <c r="BB127" s="64"/>
      <c r="BC127" s="64"/>
      <c r="BD127" s="46"/>
      <c r="BE127" s="46" t="e">
        <v>#REF!</v>
      </c>
      <c r="BF127" s="46" t="s">
        <v>75</v>
      </c>
      <c r="BG127" s="65"/>
      <c r="BH127" s="66"/>
      <c r="BI127" s="63" t="s">
        <v>3597</v>
      </c>
    </row>
    <row r="128" spans="1:61" ht="25.5" x14ac:dyDescent="0.2">
      <c r="A128" s="45" t="s">
        <v>3598</v>
      </c>
      <c r="B128" s="46"/>
      <c r="C128" s="46" t="s">
        <v>3588</v>
      </c>
      <c r="D128" s="46"/>
      <c r="E128" s="46" t="s">
        <v>3536</v>
      </c>
      <c r="F128" s="46" t="s">
        <v>3531</v>
      </c>
      <c r="G128" s="46"/>
      <c r="H128" s="46"/>
      <c r="I128" s="46"/>
      <c r="J128" s="46" t="s">
        <v>71</v>
      </c>
      <c r="K128" s="47">
        <v>600</v>
      </c>
      <c r="L128" s="47">
        <v>800</v>
      </c>
      <c r="M128" s="47">
        <v>1400</v>
      </c>
      <c r="N128" s="46"/>
      <c r="O128" s="71" t="s">
        <v>68</v>
      </c>
      <c r="P128" s="64"/>
      <c r="Q128" s="46" t="s">
        <v>3013</v>
      </c>
      <c r="R128" s="46" t="s">
        <v>3444</v>
      </c>
      <c r="S128" s="49">
        <v>350</v>
      </c>
      <c r="T128" s="49">
        <v>1750</v>
      </c>
      <c r="U128" s="28">
        <v>0.2257142857142857</v>
      </c>
      <c r="V128" s="28">
        <v>0.24285714285714285</v>
      </c>
      <c r="W128" s="74">
        <v>1.3333333333333333</v>
      </c>
      <c r="X128" s="52">
        <v>175</v>
      </c>
      <c r="Y128" s="52">
        <v>30</v>
      </c>
      <c r="Z128" s="52">
        <v>1150</v>
      </c>
      <c r="AA128" s="52">
        <v>1355</v>
      </c>
      <c r="AB128" s="53">
        <v>0.77428571428571424</v>
      </c>
      <c r="AC128" s="72">
        <v>395</v>
      </c>
      <c r="AD128" s="55">
        <v>0.2257142857142857</v>
      </c>
      <c r="AE128" s="73">
        <v>3</v>
      </c>
      <c r="AF128" s="57" t="s">
        <v>95</v>
      </c>
      <c r="AG128" s="58">
        <v>600</v>
      </c>
      <c r="AH128" s="58">
        <v>800</v>
      </c>
      <c r="AI128" s="58">
        <v>1400</v>
      </c>
      <c r="AJ128" s="49">
        <v>350</v>
      </c>
      <c r="AK128" s="49">
        <v>1750</v>
      </c>
      <c r="AL128" s="52">
        <v>175</v>
      </c>
      <c r="AM128" s="52">
        <v>1150</v>
      </c>
      <c r="AN128" s="52">
        <v>1325</v>
      </c>
      <c r="AO128" s="59">
        <v>0.75714285714285712</v>
      </c>
      <c r="AP128" s="60">
        <v>425</v>
      </c>
      <c r="AQ128" s="61">
        <v>0.24285714285714285</v>
      </c>
      <c r="AR128" s="60" t="s">
        <v>78</v>
      </c>
      <c r="AS128" s="62">
        <v>960</v>
      </c>
      <c r="AT128" s="62">
        <v>1280</v>
      </c>
      <c r="AU128" s="62">
        <v>2240</v>
      </c>
      <c r="AV128" s="62">
        <v>2800</v>
      </c>
      <c r="AW128" s="47" t="s">
        <v>107</v>
      </c>
      <c r="AX128" s="64">
        <v>45300</v>
      </c>
      <c r="AY128" s="64" t="s">
        <v>3599</v>
      </c>
      <c r="BA128" s="64"/>
      <c r="BB128" s="64"/>
      <c r="BC128" s="64"/>
      <c r="BD128" s="46"/>
      <c r="BE128" s="46" t="e">
        <v>#REF!</v>
      </c>
      <c r="BF128" s="46" t="s">
        <v>75</v>
      </c>
      <c r="BG128" s="65"/>
      <c r="BH128" s="66"/>
      <c r="BI128" s="63" t="s">
        <v>3600</v>
      </c>
    </row>
    <row r="129" spans="1:61" ht="25.5" x14ac:dyDescent="0.2">
      <c r="A129" s="45" t="s">
        <v>3601</v>
      </c>
      <c r="B129" s="46"/>
      <c r="C129" s="46" t="s">
        <v>3602</v>
      </c>
      <c r="D129" s="46"/>
      <c r="E129" s="46" t="s">
        <v>3530</v>
      </c>
      <c r="F129" s="46" t="s">
        <v>3558</v>
      </c>
      <c r="G129" s="46"/>
      <c r="H129" s="46"/>
      <c r="I129" s="46"/>
      <c r="J129" s="46" t="s">
        <v>71</v>
      </c>
      <c r="K129" s="47">
        <v>400</v>
      </c>
      <c r="L129" s="47">
        <v>400</v>
      </c>
      <c r="M129" s="47">
        <v>800</v>
      </c>
      <c r="N129" s="46"/>
      <c r="O129" s="71" t="s">
        <v>68</v>
      </c>
      <c r="P129" s="64"/>
      <c r="Q129" s="46" t="s">
        <v>3013</v>
      </c>
      <c r="R129" s="46" t="s">
        <v>3444</v>
      </c>
      <c r="S129" s="49">
        <v>200</v>
      </c>
      <c r="T129" s="49">
        <v>1000</v>
      </c>
      <c r="U129" s="28">
        <v>0.27</v>
      </c>
      <c r="V129" s="67">
        <v>0.3</v>
      </c>
      <c r="W129" s="51">
        <v>1</v>
      </c>
      <c r="X129" s="52">
        <v>100</v>
      </c>
      <c r="Y129" s="52">
        <v>30</v>
      </c>
      <c r="Z129" s="52">
        <v>600</v>
      </c>
      <c r="AA129" s="52">
        <v>730</v>
      </c>
      <c r="AB129" s="53">
        <v>0.73</v>
      </c>
      <c r="AC129" s="72">
        <v>270</v>
      </c>
      <c r="AD129" s="55">
        <v>0.27</v>
      </c>
      <c r="AE129" s="73">
        <v>3</v>
      </c>
      <c r="AF129" s="57" t="s">
        <v>95</v>
      </c>
      <c r="AG129" s="58">
        <v>400</v>
      </c>
      <c r="AH129" s="58">
        <v>400</v>
      </c>
      <c r="AI129" s="58">
        <v>800</v>
      </c>
      <c r="AJ129" s="49">
        <v>200</v>
      </c>
      <c r="AK129" s="49">
        <v>1000</v>
      </c>
      <c r="AL129" s="52">
        <v>100</v>
      </c>
      <c r="AM129" s="52">
        <v>600</v>
      </c>
      <c r="AN129" s="52">
        <v>700</v>
      </c>
      <c r="AO129" s="59">
        <v>0.7</v>
      </c>
      <c r="AP129" s="60">
        <v>300</v>
      </c>
      <c r="AQ129" s="61">
        <v>0.3</v>
      </c>
      <c r="AR129" s="60" t="s">
        <v>78</v>
      </c>
      <c r="AS129" s="62">
        <v>640</v>
      </c>
      <c r="AT129" s="62">
        <v>640</v>
      </c>
      <c r="AU129" s="62">
        <v>1280</v>
      </c>
      <c r="AV129" s="62">
        <v>1600</v>
      </c>
      <c r="AW129" s="47" t="s">
        <v>107</v>
      </c>
      <c r="AX129" s="64">
        <v>45300</v>
      </c>
      <c r="AY129" s="64" t="s">
        <v>3603</v>
      </c>
      <c r="BA129" s="64"/>
      <c r="BB129" s="64"/>
      <c r="BC129" s="64"/>
      <c r="BD129" s="46"/>
      <c r="BE129" s="46" t="e">
        <v>#REF!</v>
      </c>
      <c r="BF129" s="46" t="s">
        <v>75</v>
      </c>
      <c r="BG129" s="65"/>
      <c r="BH129" s="66"/>
      <c r="BI129" s="63" t="s">
        <v>3604</v>
      </c>
    </row>
    <row r="130" spans="1:61" ht="25.5" x14ac:dyDescent="0.2">
      <c r="A130" s="45" t="s">
        <v>3605</v>
      </c>
      <c r="B130" s="46"/>
      <c r="C130" s="46" t="s">
        <v>3602</v>
      </c>
      <c r="D130" s="46"/>
      <c r="E130" s="46" t="s">
        <v>3530</v>
      </c>
      <c r="F130" s="46" t="s">
        <v>3531</v>
      </c>
      <c r="G130" s="46"/>
      <c r="H130" s="46"/>
      <c r="I130" s="46"/>
      <c r="J130" s="46" t="s">
        <v>71</v>
      </c>
      <c r="K130" s="47">
        <v>500</v>
      </c>
      <c r="L130" s="47">
        <v>800</v>
      </c>
      <c r="M130" s="47">
        <v>1300</v>
      </c>
      <c r="N130" s="46"/>
      <c r="O130" s="71" t="s">
        <v>68</v>
      </c>
      <c r="P130" s="64"/>
      <c r="Q130" s="46" t="s">
        <v>3013</v>
      </c>
      <c r="R130" s="46" t="s">
        <v>3444</v>
      </c>
      <c r="S130" s="49">
        <v>325</v>
      </c>
      <c r="T130" s="49">
        <v>1625</v>
      </c>
      <c r="U130" s="50">
        <v>0.18923076923076923</v>
      </c>
      <c r="V130" s="28">
        <v>0.2076923076923077</v>
      </c>
      <c r="W130" s="77">
        <v>1.6</v>
      </c>
      <c r="X130" s="52">
        <v>162.5</v>
      </c>
      <c r="Y130" s="52">
        <v>30</v>
      </c>
      <c r="Z130" s="52">
        <v>1125</v>
      </c>
      <c r="AA130" s="52">
        <v>1317.5</v>
      </c>
      <c r="AB130" s="53">
        <v>0.8107692307692308</v>
      </c>
      <c r="AC130" s="72">
        <v>307.5</v>
      </c>
      <c r="AD130" s="55">
        <v>0.18923076923076923</v>
      </c>
      <c r="AE130" s="73">
        <v>3</v>
      </c>
      <c r="AF130" s="57" t="s">
        <v>95</v>
      </c>
      <c r="AG130" s="58">
        <v>500</v>
      </c>
      <c r="AH130" s="58">
        <v>800</v>
      </c>
      <c r="AI130" s="58">
        <v>1300</v>
      </c>
      <c r="AJ130" s="49">
        <v>325</v>
      </c>
      <c r="AK130" s="49">
        <v>1625</v>
      </c>
      <c r="AL130" s="52">
        <v>162.5</v>
      </c>
      <c r="AM130" s="52">
        <v>1125</v>
      </c>
      <c r="AN130" s="52">
        <v>1287.5</v>
      </c>
      <c r="AO130" s="59">
        <v>0.79230769230769227</v>
      </c>
      <c r="AP130" s="60">
        <v>337.5</v>
      </c>
      <c r="AQ130" s="61">
        <v>0.2076923076923077</v>
      </c>
      <c r="AR130" s="60" t="s">
        <v>78</v>
      </c>
      <c r="AS130" s="62">
        <v>800</v>
      </c>
      <c r="AT130" s="62">
        <v>1280</v>
      </c>
      <c r="AU130" s="62">
        <v>2080</v>
      </c>
      <c r="AV130" s="62">
        <v>2600</v>
      </c>
      <c r="AW130" s="47" t="s">
        <v>107</v>
      </c>
      <c r="AX130" s="64">
        <v>45300</v>
      </c>
      <c r="AY130" s="64" t="s">
        <v>3606</v>
      </c>
      <c r="BA130" s="64"/>
      <c r="BB130" s="64"/>
      <c r="BC130" s="64"/>
      <c r="BD130" s="46"/>
      <c r="BE130" s="46" t="e">
        <v>#REF!</v>
      </c>
      <c r="BF130" s="46" t="s">
        <v>75</v>
      </c>
      <c r="BG130" s="65"/>
      <c r="BH130" s="66"/>
      <c r="BI130" s="63" t="s">
        <v>3607</v>
      </c>
    </row>
    <row r="131" spans="1:61" ht="25.5" x14ac:dyDescent="0.2">
      <c r="A131" s="45" t="s">
        <v>3608</v>
      </c>
      <c r="B131" s="46"/>
      <c r="C131" s="46" t="s">
        <v>3602</v>
      </c>
      <c r="D131" s="46"/>
      <c r="E131" s="46" t="s">
        <v>3536</v>
      </c>
      <c r="F131" s="46" t="s">
        <v>3558</v>
      </c>
      <c r="G131" s="46"/>
      <c r="H131" s="46"/>
      <c r="I131" s="46"/>
      <c r="J131" s="46" t="s">
        <v>71</v>
      </c>
      <c r="K131" s="47">
        <v>600</v>
      </c>
      <c r="L131" s="47">
        <v>400</v>
      </c>
      <c r="M131" s="47">
        <v>1000</v>
      </c>
      <c r="N131" s="46"/>
      <c r="O131" s="71" t="s">
        <v>68</v>
      </c>
      <c r="P131" s="64"/>
      <c r="Q131" s="46" t="s">
        <v>3013</v>
      </c>
      <c r="R131" s="46" t="s">
        <v>3444</v>
      </c>
      <c r="S131" s="49">
        <v>250</v>
      </c>
      <c r="T131" s="49">
        <v>1250</v>
      </c>
      <c r="U131" s="67">
        <v>0.35599999999999998</v>
      </c>
      <c r="V131" s="67">
        <v>0.38</v>
      </c>
      <c r="W131" s="51">
        <v>0.66666666666666663</v>
      </c>
      <c r="X131" s="52">
        <v>125</v>
      </c>
      <c r="Y131" s="52">
        <v>30</v>
      </c>
      <c r="Z131" s="52">
        <v>650</v>
      </c>
      <c r="AA131" s="52">
        <v>805</v>
      </c>
      <c r="AB131" s="53">
        <v>0.64400000000000002</v>
      </c>
      <c r="AC131" s="72">
        <v>445</v>
      </c>
      <c r="AD131" s="55">
        <v>0.35599999999999998</v>
      </c>
      <c r="AE131" s="73">
        <v>3</v>
      </c>
      <c r="AF131" s="57" t="s">
        <v>95</v>
      </c>
      <c r="AG131" s="58">
        <v>600</v>
      </c>
      <c r="AH131" s="58">
        <v>400</v>
      </c>
      <c r="AI131" s="58">
        <v>1000</v>
      </c>
      <c r="AJ131" s="49">
        <v>250</v>
      </c>
      <c r="AK131" s="49">
        <v>1250</v>
      </c>
      <c r="AL131" s="52">
        <v>125</v>
      </c>
      <c r="AM131" s="52">
        <v>650</v>
      </c>
      <c r="AN131" s="52">
        <v>775</v>
      </c>
      <c r="AO131" s="59">
        <v>0.62</v>
      </c>
      <c r="AP131" s="60">
        <v>475</v>
      </c>
      <c r="AQ131" s="61">
        <v>0.38</v>
      </c>
      <c r="AR131" s="60" t="s">
        <v>78</v>
      </c>
      <c r="AS131" s="62">
        <v>960</v>
      </c>
      <c r="AT131" s="62">
        <v>640</v>
      </c>
      <c r="AU131" s="62">
        <v>1600</v>
      </c>
      <c r="AV131" s="62">
        <v>2000</v>
      </c>
      <c r="AW131" s="47" t="s">
        <v>107</v>
      </c>
      <c r="AX131" s="64">
        <v>45300</v>
      </c>
      <c r="AY131" s="64" t="s">
        <v>3609</v>
      </c>
      <c r="BA131" s="64"/>
      <c r="BB131" s="64"/>
      <c r="BC131" s="64"/>
      <c r="BD131" s="46"/>
      <c r="BE131" s="46" t="e">
        <v>#REF!</v>
      </c>
      <c r="BF131" s="46" t="s">
        <v>75</v>
      </c>
      <c r="BG131" s="65"/>
      <c r="BH131" s="66"/>
      <c r="BI131" s="63" t="s">
        <v>3610</v>
      </c>
    </row>
    <row r="132" spans="1:61" ht="25.5" x14ac:dyDescent="0.2">
      <c r="A132" s="45" t="s">
        <v>3611</v>
      </c>
      <c r="B132" s="46"/>
      <c r="C132" s="46" t="s">
        <v>3602</v>
      </c>
      <c r="D132" s="46"/>
      <c r="E132" s="46" t="s">
        <v>3536</v>
      </c>
      <c r="F132" s="46" t="s">
        <v>3531</v>
      </c>
      <c r="G132" s="46"/>
      <c r="H132" s="46"/>
      <c r="I132" s="46"/>
      <c r="J132" s="46" t="s">
        <v>71</v>
      </c>
      <c r="K132" s="47">
        <v>700</v>
      </c>
      <c r="L132" s="47">
        <v>800</v>
      </c>
      <c r="M132" s="47">
        <v>1500</v>
      </c>
      <c r="N132" s="46"/>
      <c r="O132" s="71" t="s">
        <v>68</v>
      </c>
      <c r="P132" s="64"/>
      <c r="Q132" s="46" t="s">
        <v>3013</v>
      </c>
      <c r="R132" s="46" t="s">
        <v>3444</v>
      </c>
      <c r="S132" s="49">
        <v>375</v>
      </c>
      <c r="T132" s="49">
        <v>1875</v>
      </c>
      <c r="U132" s="28">
        <v>0.25733333333333336</v>
      </c>
      <c r="V132" s="28">
        <v>0.27333333333333332</v>
      </c>
      <c r="W132" s="74">
        <v>1.1428571428571428</v>
      </c>
      <c r="X132" s="52">
        <v>187.5</v>
      </c>
      <c r="Y132" s="52">
        <v>30</v>
      </c>
      <c r="Z132" s="52">
        <v>1175</v>
      </c>
      <c r="AA132" s="52">
        <v>1392.5</v>
      </c>
      <c r="AB132" s="53">
        <v>0.7426666666666667</v>
      </c>
      <c r="AC132" s="72">
        <v>482.5</v>
      </c>
      <c r="AD132" s="55">
        <v>0.25733333333333336</v>
      </c>
      <c r="AE132" s="73">
        <v>3</v>
      </c>
      <c r="AF132" s="57" t="s">
        <v>95</v>
      </c>
      <c r="AG132" s="58">
        <v>700</v>
      </c>
      <c r="AH132" s="58">
        <v>800</v>
      </c>
      <c r="AI132" s="58">
        <v>1500</v>
      </c>
      <c r="AJ132" s="49">
        <v>375</v>
      </c>
      <c r="AK132" s="49">
        <v>1875</v>
      </c>
      <c r="AL132" s="52">
        <v>187.5</v>
      </c>
      <c r="AM132" s="52">
        <v>1175</v>
      </c>
      <c r="AN132" s="52">
        <v>1362.5</v>
      </c>
      <c r="AO132" s="59">
        <v>0.72666666666666668</v>
      </c>
      <c r="AP132" s="60">
        <v>512.5</v>
      </c>
      <c r="AQ132" s="61">
        <v>0.27333333333333332</v>
      </c>
      <c r="AR132" s="60" t="s">
        <v>78</v>
      </c>
      <c r="AS132" s="62">
        <v>1120</v>
      </c>
      <c r="AT132" s="62">
        <v>1280</v>
      </c>
      <c r="AU132" s="62">
        <v>2400</v>
      </c>
      <c r="AV132" s="62">
        <v>3000</v>
      </c>
      <c r="AW132" s="47" t="s">
        <v>107</v>
      </c>
      <c r="AX132" s="64">
        <v>45300</v>
      </c>
      <c r="AY132" s="64" t="s">
        <v>3612</v>
      </c>
      <c r="BA132" s="64"/>
      <c r="BB132" s="64"/>
      <c r="BC132" s="64"/>
      <c r="BD132" s="46"/>
      <c r="BE132" s="46" t="e">
        <v>#REF!</v>
      </c>
      <c r="BF132" s="46" t="s">
        <v>75</v>
      </c>
      <c r="BG132" s="65"/>
      <c r="BH132" s="66"/>
      <c r="BI132" s="63" t="s">
        <v>3613</v>
      </c>
    </row>
    <row r="133" spans="1:61" ht="25.5" x14ac:dyDescent="0.2">
      <c r="A133" s="45" t="s">
        <v>3614</v>
      </c>
      <c r="B133" s="46"/>
      <c r="C133" s="46" t="s">
        <v>3615</v>
      </c>
      <c r="D133" s="46"/>
      <c r="E133" s="46" t="s">
        <v>3530</v>
      </c>
      <c r="F133" s="46" t="s">
        <v>3558</v>
      </c>
      <c r="G133" s="46"/>
      <c r="H133" s="46"/>
      <c r="I133" s="46"/>
      <c r="J133" s="46" t="s">
        <v>71</v>
      </c>
      <c r="K133" s="47">
        <v>200</v>
      </c>
      <c r="L133" s="47">
        <v>400</v>
      </c>
      <c r="M133" s="47">
        <v>600</v>
      </c>
      <c r="N133" s="46"/>
      <c r="O133" s="71" t="s">
        <v>68</v>
      </c>
      <c r="P133" s="64"/>
      <c r="Q133" s="46" t="s">
        <v>3013</v>
      </c>
      <c r="R133" s="46" t="s">
        <v>3444</v>
      </c>
      <c r="S133" s="49">
        <v>150</v>
      </c>
      <c r="T133" s="49">
        <v>750</v>
      </c>
      <c r="U133" s="50">
        <v>0.12666666666666668</v>
      </c>
      <c r="V133" s="50">
        <v>0.16666666666666666</v>
      </c>
      <c r="W133" s="77">
        <v>2</v>
      </c>
      <c r="X133" s="52">
        <v>75</v>
      </c>
      <c r="Y133" s="52">
        <v>30</v>
      </c>
      <c r="Z133" s="52">
        <v>550</v>
      </c>
      <c r="AA133" s="52">
        <v>655</v>
      </c>
      <c r="AB133" s="53">
        <v>0.87333333333333329</v>
      </c>
      <c r="AC133" s="54">
        <v>95</v>
      </c>
      <c r="AD133" s="55">
        <v>0.12666666666666668</v>
      </c>
      <c r="AE133" s="73">
        <v>3</v>
      </c>
      <c r="AF133" s="57" t="s">
        <v>95</v>
      </c>
      <c r="AG133" s="58">
        <v>200</v>
      </c>
      <c r="AH133" s="58">
        <v>400</v>
      </c>
      <c r="AI133" s="58">
        <v>600</v>
      </c>
      <c r="AJ133" s="49">
        <v>150</v>
      </c>
      <c r="AK133" s="49">
        <v>750</v>
      </c>
      <c r="AL133" s="52">
        <v>75</v>
      </c>
      <c r="AM133" s="52">
        <v>550</v>
      </c>
      <c r="AN133" s="52">
        <v>625</v>
      </c>
      <c r="AO133" s="59">
        <v>0.83333333333333337</v>
      </c>
      <c r="AP133" s="60">
        <v>125</v>
      </c>
      <c r="AQ133" s="61">
        <v>0.16666666666666666</v>
      </c>
      <c r="AR133" s="60" t="s">
        <v>73</v>
      </c>
      <c r="AS133" s="62">
        <v>320</v>
      </c>
      <c r="AT133" s="62">
        <v>640</v>
      </c>
      <c r="AU133" s="62">
        <v>960</v>
      </c>
      <c r="AV133" s="62">
        <v>1200</v>
      </c>
      <c r="AW133" s="47" t="s">
        <v>107</v>
      </c>
      <c r="AX133" s="64">
        <v>45300</v>
      </c>
      <c r="AY133" s="64" t="s">
        <v>3616</v>
      </c>
      <c r="BA133" s="64"/>
      <c r="BB133" s="64"/>
      <c r="BC133" s="64"/>
      <c r="BD133" s="46"/>
      <c r="BE133" s="46" t="e">
        <v>#REF!</v>
      </c>
      <c r="BF133" s="46" t="s">
        <v>75</v>
      </c>
      <c r="BG133" s="65"/>
      <c r="BH133" s="66"/>
      <c r="BI133" s="63" t="s">
        <v>3617</v>
      </c>
    </row>
    <row r="134" spans="1:61" ht="25.5" x14ac:dyDescent="0.2">
      <c r="A134" s="45" t="s">
        <v>3618</v>
      </c>
      <c r="B134" s="46"/>
      <c r="C134" s="46" t="s">
        <v>3615</v>
      </c>
      <c r="D134" s="46"/>
      <c r="E134" s="46" t="s">
        <v>3530</v>
      </c>
      <c r="F134" s="46" t="s">
        <v>3531</v>
      </c>
      <c r="G134" s="46"/>
      <c r="H134" s="46"/>
      <c r="I134" s="46"/>
      <c r="J134" s="46" t="s">
        <v>71</v>
      </c>
      <c r="K134" s="47">
        <v>300</v>
      </c>
      <c r="L134" s="47">
        <v>800</v>
      </c>
      <c r="M134" s="47">
        <v>1100</v>
      </c>
      <c r="N134" s="46"/>
      <c r="O134" s="71" t="s">
        <v>68</v>
      </c>
      <c r="P134" s="64"/>
      <c r="Q134" s="46" t="s">
        <v>3013</v>
      </c>
      <c r="R134" s="46" t="s">
        <v>3444</v>
      </c>
      <c r="S134" s="49">
        <v>275</v>
      </c>
      <c r="T134" s="49">
        <v>1375</v>
      </c>
      <c r="U134" s="50">
        <v>9.636363636363636E-2</v>
      </c>
      <c r="V134" s="50">
        <v>0.11818181818181818</v>
      </c>
      <c r="W134" s="77">
        <v>2.6666666666666665</v>
      </c>
      <c r="X134" s="52">
        <v>137.5</v>
      </c>
      <c r="Y134" s="52">
        <v>30</v>
      </c>
      <c r="Z134" s="52">
        <v>1075</v>
      </c>
      <c r="AA134" s="52">
        <v>1242.5</v>
      </c>
      <c r="AB134" s="53">
        <v>0.90363636363636368</v>
      </c>
      <c r="AC134" s="72">
        <v>132.5</v>
      </c>
      <c r="AD134" s="55">
        <v>9.636363636363636E-2</v>
      </c>
      <c r="AE134" s="73">
        <v>3</v>
      </c>
      <c r="AF134" s="57" t="s">
        <v>95</v>
      </c>
      <c r="AG134" s="58">
        <v>300</v>
      </c>
      <c r="AH134" s="58">
        <v>800</v>
      </c>
      <c r="AI134" s="58">
        <v>1100</v>
      </c>
      <c r="AJ134" s="49">
        <v>275</v>
      </c>
      <c r="AK134" s="49">
        <v>1375</v>
      </c>
      <c r="AL134" s="52">
        <v>137.5</v>
      </c>
      <c r="AM134" s="52">
        <v>1075</v>
      </c>
      <c r="AN134" s="52">
        <v>1212.5</v>
      </c>
      <c r="AO134" s="59">
        <v>0.88181818181818183</v>
      </c>
      <c r="AP134" s="60">
        <v>162.5</v>
      </c>
      <c r="AQ134" s="61">
        <v>0.11818181818181818</v>
      </c>
      <c r="AR134" s="60" t="s">
        <v>73</v>
      </c>
      <c r="AS134" s="62">
        <v>480</v>
      </c>
      <c r="AT134" s="62">
        <v>1280</v>
      </c>
      <c r="AU134" s="62">
        <v>1760</v>
      </c>
      <c r="AV134" s="62">
        <v>2200</v>
      </c>
      <c r="AW134" s="47" t="s">
        <v>107</v>
      </c>
      <c r="AX134" s="64">
        <v>45300</v>
      </c>
      <c r="AY134" s="64" t="s">
        <v>3619</v>
      </c>
      <c r="BA134" s="64"/>
      <c r="BB134" s="64"/>
      <c r="BC134" s="64"/>
      <c r="BD134" s="46"/>
      <c r="BE134" s="46" t="e">
        <v>#REF!</v>
      </c>
      <c r="BF134" s="46" t="s">
        <v>75</v>
      </c>
      <c r="BG134" s="65"/>
      <c r="BH134" s="66"/>
      <c r="BI134" s="63" t="s">
        <v>3620</v>
      </c>
    </row>
    <row r="135" spans="1:61" ht="25.5" x14ac:dyDescent="0.2">
      <c r="A135" s="45" t="s">
        <v>3621</v>
      </c>
      <c r="B135" s="46"/>
      <c r="C135" s="46" t="s">
        <v>3615</v>
      </c>
      <c r="D135" s="46"/>
      <c r="E135" s="46" t="s">
        <v>3536</v>
      </c>
      <c r="F135" s="46" t="s">
        <v>3558</v>
      </c>
      <c r="G135" s="46"/>
      <c r="H135" s="46"/>
      <c r="I135" s="46"/>
      <c r="J135" s="46" t="s">
        <v>71</v>
      </c>
      <c r="K135" s="47">
        <v>400</v>
      </c>
      <c r="L135" s="47">
        <v>400</v>
      </c>
      <c r="M135" s="47">
        <v>800</v>
      </c>
      <c r="N135" s="46"/>
      <c r="O135" s="71" t="s">
        <v>68</v>
      </c>
      <c r="P135" s="64"/>
      <c r="Q135" s="46" t="s">
        <v>3013</v>
      </c>
      <c r="R135" s="46" t="s">
        <v>3444</v>
      </c>
      <c r="S135" s="49">
        <v>200</v>
      </c>
      <c r="T135" s="49">
        <v>1000</v>
      </c>
      <c r="U135" s="28">
        <v>0.27</v>
      </c>
      <c r="V135" s="67">
        <v>0.3</v>
      </c>
      <c r="W135" s="51">
        <v>1</v>
      </c>
      <c r="X135" s="52">
        <v>100</v>
      </c>
      <c r="Y135" s="52">
        <v>30</v>
      </c>
      <c r="Z135" s="52">
        <v>600</v>
      </c>
      <c r="AA135" s="52">
        <v>730</v>
      </c>
      <c r="AB135" s="53">
        <v>0.73</v>
      </c>
      <c r="AC135" s="72">
        <v>270</v>
      </c>
      <c r="AD135" s="55">
        <v>0.27</v>
      </c>
      <c r="AE135" s="73">
        <v>3</v>
      </c>
      <c r="AF135" s="57" t="s">
        <v>95</v>
      </c>
      <c r="AG135" s="58">
        <v>400</v>
      </c>
      <c r="AH135" s="58">
        <v>400</v>
      </c>
      <c r="AI135" s="58">
        <v>800</v>
      </c>
      <c r="AJ135" s="49">
        <v>200</v>
      </c>
      <c r="AK135" s="49">
        <v>1000</v>
      </c>
      <c r="AL135" s="52">
        <v>100</v>
      </c>
      <c r="AM135" s="52">
        <v>600</v>
      </c>
      <c r="AN135" s="52">
        <v>700</v>
      </c>
      <c r="AO135" s="59">
        <v>0.7</v>
      </c>
      <c r="AP135" s="60">
        <v>300</v>
      </c>
      <c r="AQ135" s="61">
        <v>0.3</v>
      </c>
      <c r="AR135" s="60" t="s">
        <v>78</v>
      </c>
      <c r="AS135" s="62">
        <v>640</v>
      </c>
      <c r="AT135" s="62">
        <v>640</v>
      </c>
      <c r="AU135" s="62">
        <v>1280</v>
      </c>
      <c r="AV135" s="62">
        <v>1600</v>
      </c>
      <c r="AW135" s="47" t="s">
        <v>107</v>
      </c>
      <c r="AX135" s="64">
        <v>45300</v>
      </c>
      <c r="AY135" s="64" t="s">
        <v>3622</v>
      </c>
      <c r="BA135" s="64"/>
      <c r="BB135" s="64"/>
      <c r="BC135" s="64"/>
      <c r="BD135" s="46"/>
      <c r="BE135" s="46" t="e">
        <v>#REF!</v>
      </c>
      <c r="BF135" s="46" t="s">
        <v>75</v>
      </c>
      <c r="BG135" s="65"/>
      <c r="BH135" s="66"/>
      <c r="BI135" s="63" t="s">
        <v>3623</v>
      </c>
    </row>
    <row r="136" spans="1:61" ht="25.5" x14ac:dyDescent="0.2">
      <c r="A136" s="45" t="s">
        <v>3624</v>
      </c>
      <c r="B136" s="46"/>
      <c r="C136" s="46" t="s">
        <v>3615</v>
      </c>
      <c r="D136" s="46"/>
      <c r="E136" s="46" t="s">
        <v>3536</v>
      </c>
      <c r="F136" s="46" t="s">
        <v>3531</v>
      </c>
      <c r="G136" s="46"/>
      <c r="H136" s="46"/>
      <c r="I136" s="46"/>
      <c r="J136" s="46" t="s">
        <v>71</v>
      </c>
      <c r="K136" s="47">
        <v>600</v>
      </c>
      <c r="L136" s="47">
        <v>800</v>
      </c>
      <c r="M136" s="47">
        <v>1400</v>
      </c>
      <c r="N136" s="46"/>
      <c r="O136" s="71" t="s">
        <v>68</v>
      </c>
      <c r="P136" s="64"/>
      <c r="Q136" s="46" t="s">
        <v>3013</v>
      </c>
      <c r="R136" s="46" t="s">
        <v>3444</v>
      </c>
      <c r="S136" s="49">
        <v>350</v>
      </c>
      <c r="T136" s="49">
        <v>1750</v>
      </c>
      <c r="U136" s="28">
        <v>0.2257142857142857</v>
      </c>
      <c r="V136" s="28">
        <v>0.24285714285714285</v>
      </c>
      <c r="W136" s="74">
        <v>1.3333333333333333</v>
      </c>
      <c r="X136" s="52">
        <v>175</v>
      </c>
      <c r="Y136" s="52">
        <v>30</v>
      </c>
      <c r="Z136" s="52">
        <v>1150</v>
      </c>
      <c r="AA136" s="52">
        <v>1355</v>
      </c>
      <c r="AB136" s="53">
        <v>0.77428571428571424</v>
      </c>
      <c r="AC136" s="72">
        <v>395</v>
      </c>
      <c r="AD136" s="55">
        <v>0.2257142857142857</v>
      </c>
      <c r="AE136" s="73">
        <v>3</v>
      </c>
      <c r="AF136" s="57" t="s">
        <v>95</v>
      </c>
      <c r="AG136" s="58">
        <v>600</v>
      </c>
      <c r="AH136" s="58">
        <v>800</v>
      </c>
      <c r="AI136" s="58">
        <v>1400</v>
      </c>
      <c r="AJ136" s="49">
        <v>350</v>
      </c>
      <c r="AK136" s="49">
        <v>1750</v>
      </c>
      <c r="AL136" s="52">
        <v>175</v>
      </c>
      <c r="AM136" s="52">
        <v>1150</v>
      </c>
      <c r="AN136" s="52">
        <v>1325</v>
      </c>
      <c r="AO136" s="59">
        <v>0.75714285714285712</v>
      </c>
      <c r="AP136" s="60">
        <v>425</v>
      </c>
      <c r="AQ136" s="61">
        <v>0.24285714285714285</v>
      </c>
      <c r="AR136" s="60" t="s">
        <v>78</v>
      </c>
      <c r="AS136" s="62">
        <v>960</v>
      </c>
      <c r="AT136" s="62">
        <v>1280</v>
      </c>
      <c r="AU136" s="62">
        <v>2240</v>
      </c>
      <c r="AV136" s="62">
        <v>2800</v>
      </c>
      <c r="AW136" s="47" t="s">
        <v>107</v>
      </c>
      <c r="AX136" s="64">
        <v>45300</v>
      </c>
      <c r="AY136" s="64" t="s">
        <v>3625</v>
      </c>
      <c r="BA136" s="64"/>
      <c r="BB136" s="64"/>
      <c r="BC136" s="64"/>
      <c r="BD136" s="46"/>
      <c r="BE136" s="46" t="e">
        <v>#REF!</v>
      </c>
      <c r="BF136" s="46" t="s">
        <v>75</v>
      </c>
      <c r="BG136" s="65"/>
      <c r="BH136" s="66"/>
      <c r="BI136" s="63" t="s">
        <v>3626</v>
      </c>
    </row>
    <row r="137" spans="1:61" x14ac:dyDescent="0.2">
      <c r="A137" s="45" t="s">
        <v>3627</v>
      </c>
      <c r="B137" s="46"/>
      <c r="C137" s="46" t="s">
        <v>3628</v>
      </c>
      <c r="D137" s="46" t="s">
        <v>199</v>
      </c>
      <c r="E137" s="46"/>
      <c r="F137" s="46"/>
      <c r="G137" s="46"/>
      <c r="H137" s="46"/>
      <c r="I137" s="46"/>
      <c r="J137" s="46" t="s">
        <v>2996</v>
      </c>
      <c r="K137" s="47">
        <v>75</v>
      </c>
      <c r="L137" s="47">
        <v>75</v>
      </c>
      <c r="M137" s="47">
        <v>150</v>
      </c>
      <c r="N137" s="46"/>
      <c r="O137" s="71" t="s">
        <v>68</v>
      </c>
      <c r="P137" s="64"/>
      <c r="Q137" s="46" t="s">
        <v>3013</v>
      </c>
      <c r="R137" s="46" t="s">
        <v>3444</v>
      </c>
      <c r="S137" s="49">
        <v>37.5</v>
      </c>
      <c r="T137" s="49">
        <v>187.5</v>
      </c>
      <c r="U137" s="50">
        <v>0.14000000000000001</v>
      </c>
      <c r="V137" s="67">
        <v>0.3</v>
      </c>
      <c r="W137" s="51">
        <v>1</v>
      </c>
      <c r="X137" s="52">
        <v>18.75</v>
      </c>
      <c r="Y137" s="52">
        <v>30</v>
      </c>
      <c r="Z137" s="52">
        <v>112.5</v>
      </c>
      <c r="AA137" s="52">
        <v>161.25</v>
      </c>
      <c r="AB137" s="53">
        <v>0.86</v>
      </c>
      <c r="AC137" s="75">
        <v>26.25</v>
      </c>
      <c r="AD137" s="55">
        <v>0.14000000000000001</v>
      </c>
      <c r="AE137" s="73">
        <v>4</v>
      </c>
      <c r="AF137" s="57" t="s">
        <v>95</v>
      </c>
      <c r="AG137" s="58">
        <v>75</v>
      </c>
      <c r="AH137" s="58">
        <v>75</v>
      </c>
      <c r="AI137" s="58">
        <v>150</v>
      </c>
      <c r="AJ137" s="49">
        <v>37.5</v>
      </c>
      <c r="AK137" s="49">
        <v>187.5</v>
      </c>
      <c r="AL137" s="52">
        <v>18.75</v>
      </c>
      <c r="AM137" s="52">
        <v>112.5</v>
      </c>
      <c r="AN137" s="52">
        <v>131.25</v>
      </c>
      <c r="AO137" s="59">
        <v>0.7</v>
      </c>
      <c r="AP137" s="60">
        <v>56.25</v>
      </c>
      <c r="AQ137" s="61">
        <v>0.3</v>
      </c>
      <c r="AR137" s="60" t="s">
        <v>78</v>
      </c>
      <c r="AS137" s="62">
        <v>128</v>
      </c>
      <c r="AT137" s="62">
        <v>128</v>
      </c>
      <c r="AU137" s="62">
        <v>256</v>
      </c>
      <c r="AV137" s="62">
        <v>320</v>
      </c>
      <c r="AW137" s="47" t="s">
        <v>107</v>
      </c>
      <c r="AX137" s="64">
        <v>45300</v>
      </c>
      <c r="AY137" s="64" t="s">
        <v>3629</v>
      </c>
      <c r="BA137" s="64"/>
      <c r="BB137" s="64"/>
      <c r="BC137" s="64"/>
      <c r="BD137" s="46"/>
      <c r="BE137" s="46" t="e">
        <v>#REF!</v>
      </c>
      <c r="BF137" s="46" t="s">
        <v>75</v>
      </c>
      <c r="BG137" s="65"/>
      <c r="BH137" s="66"/>
      <c r="BI137" s="63" t="s">
        <v>3630</v>
      </c>
    </row>
    <row r="138" spans="1:61" ht="25.5" x14ac:dyDescent="0.2">
      <c r="A138" s="45" t="s">
        <v>3631</v>
      </c>
      <c r="B138" s="46"/>
      <c r="C138" s="46" t="s">
        <v>3628</v>
      </c>
      <c r="D138" s="46" t="s">
        <v>3632</v>
      </c>
      <c r="E138" s="46" t="s">
        <v>68</v>
      </c>
      <c r="F138" s="46" t="s">
        <v>68</v>
      </c>
      <c r="G138" s="46" t="s">
        <v>68</v>
      </c>
      <c r="H138" s="46" t="s">
        <v>68</v>
      </c>
      <c r="I138" s="46" t="s">
        <v>68</v>
      </c>
      <c r="J138" s="46" t="s">
        <v>2996</v>
      </c>
      <c r="K138" s="47">
        <v>150</v>
      </c>
      <c r="L138" s="47">
        <v>150</v>
      </c>
      <c r="M138" s="47">
        <v>300</v>
      </c>
      <c r="N138" s="46"/>
      <c r="O138" s="71" t="s">
        <v>68</v>
      </c>
      <c r="P138" s="64"/>
      <c r="Q138" s="46" t="s">
        <v>3013</v>
      </c>
      <c r="R138" s="46" t="s">
        <v>3444</v>
      </c>
      <c r="S138" s="49">
        <v>75</v>
      </c>
      <c r="T138" s="49">
        <v>375</v>
      </c>
      <c r="U138" s="28">
        <v>0.22</v>
      </c>
      <c r="V138" s="67">
        <v>0.3</v>
      </c>
      <c r="W138" s="51">
        <v>1</v>
      </c>
      <c r="X138" s="52">
        <v>37.5</v>
      </c>
      <c r="Y138" s="52">
        <v>30</v>
      </c>
      <c r="Z138" s="52">
        <v>225</v>
      </c>
      <c r="AA138" s="52">
        <v>292.5</v>
      </c>
      <c r="AB138" s="53">
        <v>0.78</v>
      </c>
      <c r="AC138" s="68">
        <v>82.5</v>
      </c>
      <c r="AD138" s="55">
        <v>0.22</v>
      </c>
      <c r="AE138" s="73">
        <v>4</v>
      </c>
      <c r="AF138" s="57" t="s">
        <v>95</v>
      </c>
      <c r="AG138" s="58">
        <v>150</v>
      </c>
      <c r="AH138" s="58">
        <v>150</v>
      </c>
      <c r="AI138" s="58">
        <v>300</v>
      </c>
      <c r="AJ138" s="49">
        <v>75</v>
      </c>
      <c r="AK138" s="49">
        <v>375</v>
      </c>
      <c r="AL138" s="52">
        <v>37.5</v>
      </c>
      <c r="AM138" s="52">
        <v>225</v>
      </c>
      <c r="AN138" s="52">
        <v>262.5</v>
      </c>
      <c r="AO138" s="59">
        <v>0.7</v>
      </c>
      <c r="AP138" s="60">
        <v>112.5</v>
      </c>
      <c r="AQ138" s="61">
        <v>0.3</v>
      </c>
      <c r="AR138" s="60" t="s">
        <v>78</v>
      </c>
      <c r="AS138" s="62">
        <v>255</v>
      </c>
      <c r="AT138" s="62">
        <v>255</v>
      </c>
      <c r="AU138" s="62">
        <v>510</v>
      </c>
      <c r="AV138" s="62">
        <v>637.5</v>
      </c>
      <c r="AW138" s="47" t="s">
        <v>107</v>
      </c>
      <c r="AX138" s="64">
        <v>45300</v>
      </c>
      <c r="AY138" s="64" t="s">
        <v>3633</v>
      </c>
      <c r="BA138" s="64"/>
      <c r="BB138" s="64"/>
      <c r="BC138" s="64"/>
      <c r="BD138" s="46"/>
      <c r="BE138" s="46" t="e">
        <v>#REF!</v>
      </c>
      <c r="BF138" s="46" t="s">
        <v>75</v>
      </c>
      <c r="BG138" s="65"/>
      <c r="BH138" s="66" t="s">
        <v>3634</v>
      </c>
      <c r="BI138" s="63" t="s">
        <v>3635</v>
      </c>
    </row>
    <row r="139" spans="1:61" ht="63.75" x14ac:dyDescent="0.2">
      <c r="A139" s="45" t="s">
        <v>3636</v>
      </c>
      <c r="B139" s="46"/>
      <c r="C139" s="46" t="s">
        <v>3637</v>
      </c>
      <c r="D139" s="46" t="s">
        <v>3638</v>
      </c>
      <c r="E139" s="46"/>
      <c r="F139" s="46"/>
      <c r="G139" s="46"/>
      <c r="H139" s="46"/>
      <c r="I139" s="46"/>
      <c r="J139" s="46" t="s">
        <v>71</v>
      </c>
      <c r="K139" s="47">
        <v>450</v>
      </c>
      <c r="L139" s="47">
        <v>280</v>
      </c>
      <c r="M139" s="47">
        <v>730</v>
      </c>
      <c r="N139" s="46"/>
      <c r="O139" s="71" t="s">
        <v>3639</v>
      </c>
      <c r="P139" s="46" t="s">
        <v>3640</v>
      </c>
      <c r="Q139" s="46" t="s">
        <v>3013</v>
      </c>
      <c r="R139" s="46" t="s">
        <v>3444</v>
      </c>
      <c r="S139" s="49">
        <v>182.5</v>
      </c>
      <c r="T139" s="49">
        <v>912.5</v>
      </c>
      <c r="U139" s="67">
        <v>0.36027397260273974</v>
      </c>
      <c r="V139" s="67">
        <v>0.39315068493150684</v>
      </c>
      <c r="W139" s="51">
        <v>0.62222222222222223</v>
      </c>
      <c r="X139" s="52">
        <v>91.25</v>
      </c>
      <c r="Y139" s="52">
        <v>30</v>
      </c>
      <c r="Z139" s="52">
        <v>462.5</v>
      </c>
      <c r="AA139" s="52">
        <v>583.75</v>
      </c>
      <c r="AB139" s="53">
        <v>0.63972602739726026</v>
      </c>
      <c r="AC139" s="72">
        <v>328.75</v>
      </c>
      <c r="AD139" s="55">
        <v>0.36027397260273974</v>
      </c>
      <c r="AE139" s="73">
        <v>3</v>
      </c>
      <c r="AF139" s="57" t="s">
        <v>95</v>
      </c>
      <c r="AG139" s="58">
        <v>450</v>
      </c>
      <c r="AH139" s="58">
        <v>280</v>
      </c>
      <c r="AI139" s="58">
        <v>730</v>
      </c>
      <c r="AJ139" s="49">
        <v>182.5</v>
      </c>
      <c r="AK139" s="49">
        <v>912.5</v>
      </c>
      <c r="AL139" s="52">
        <v>91.25</v>
      </c>
      <c r="AM139" s="52">
        <v>462.5</v>
      </c>
      <c r="AN139" s="52">
        <v>553.75</v>
      </c>
      <c r="AO139" s="59">
        <v>0.60684931506849316</v>
      </c>
      <c r="AP139" s="60">
        <v>358.75</v>
      </c>
      <c r="AQ139" s="61">
        <v>0.39315068493150684</v>
      </c>
      <c r="AR139" s="60" t="s">
        <v>78</v>
      </c>
      <c r="AS139" s="62">
        <v>720</v>
      </c>
      <c r="AT139" s="62">
        <v>448</v>
      </c>
      <c r="AU139" s="62">
        <v>1168</v>
      </c>
      <c r="AV139" s="62">
        <v>1460</v>
      </c>
      <c r="AW139" s="47" t="s">
        <v>107</v>
      </c>
      <c r="AX139" s="64">
        <v>45301</v>
      </c>
      <c r="AY139" s="64" t="s">
        <v>3641</v>
      </c>
      <c r="BA139" s="46" t="s">
        <v>74</v>
      </c>
      <c r="BB139" s="26"/>
      <c r="BC139" s="26"/>
      <c r="BD139" s="70" t="s">
        <v>3642</v>
      </c>
      <c r="BE139" s="46" t="e">
        <v>#REF!</v>
      </c>
      <c r="BF139" s="46" t="s">
        <v>75</v>
      </c>
      <c r="BG139" s="65"/>
      <c r="BH139" s="66"/>
      <c r="BI139" s="63" t="s">
        <v>3643</v>
      </c>
    </row>
    <row r="140" spans="1:61" ht="76.5" x14ac:dyDescent="0.2">
      <c r="A140" s="45" t="s">
        <v>3644</v>
      </c>
      <c r="B140" s="46"/>
      <c r="C140" s="46" t="s">
        <v>3637</v>
      </c>
      <c r="D140" s="46" t="s">
        <v>3638</v>
      </c>
      <c r="E140" s="46" t="s">
        <v>3645</v>
      </c>
      <c r="F140" s="46"/>
      <c r="G140" s="46"/>
      <c r="H140" s="46"/>
      <c r="I140" s="46"/>
      <c r="J140" s="46" t="s">
        <v>71</v>
      </c>
      <c r="K140" s="47">
        <v>500</v>
      </c>
      <c r="L140" s="47">
        <f>250+L139</f>
        <v>530</v>
      </c>
      <c r="M140" s="47">
        <v>1030</v>
      </c>
      <c r="N140" s="46"/>
      <c r="O140" s="71" t="s">
        <v>3646</v>
      </c>
      <c r="P140" s="46" t="s">
        <v>3647</v>
      </c>
      <c r="Q140" s="46" t="s">
        <v>3013</v>
      </c>
      <c r="R140" s="46" t="s">
        <v>3444</v>
      </c>
      <c r="S140" s="49">
        <v>257.5</v>
      </c>
      <c r="T140" s="49">
        <v>1287.5</v>
      </c>
      <c r="U140" s="28">
        <v>0.2650485436893204</v>
      </c>
      <c r="V140" s="28">
        <v>0.28834951456310681</v>
      </c>
      <c r="W140" s="74">
        <v>1.06</v>
      </c>
      <c r="X140" s="52">
        <v>128.75</v>
      </c>
      <c r="Y140" s="52">
        <v>30</v>
      </c>
      <c r="Z140" s="52">
        <v>787.5</v>
      </c>
      <c r="AA140" s="52">
        <v>946.25</v>
      </c>
      <c r="AB140" s="53">
        <v>0.7349514563106796</v>
      </c>
      <c r="AC140" s="72">
        <v>341.25</v>
      </c>
      <c r="AD140" s="55">
        <v>0.2650485436893204</v>
      </c>
      <c r="AE140" s="73">
        <v>3</v>
      </c>
      <c r="AF140" s="57" t="s">
        <v>95</v>
      </c>
      <c r="AG140" s="58">
        <v>500</v>
      </c>
      <c r="AH140" s="58">
        <v>530</v>
      </c>
      <c r="AI140" s="58">
        <v>1030</v>
      </c>
      <c r="AJ140" s="49">
        <v>257.5</v>
      </c>
      <c r="AK140" s="49">
        <v>1287.5</v>
      </c>
      <c r="AL140" s="52">
        <v>128.75</v>
      </c>
      <c r="AM140" s="52">
        <v>787.5</v>
      </c>
      <c r="AN140" s="52">
        <v>916.25</v>
      </c>
      <c r="AO140" s="59">
        <v>0.71165048543689324</v>
      </c>
      <c r="AP140" s="60">
        <v>371.25</v>
      </c>
      <c r="AQ140" s="61">
        <v>0.28834951456310681</v>
      </c>
      <c r="AR140" s="60" t="s">
        <v>78</v>
      </c>
      <c r="AS140" s="62">
        <v>800</v>
      </c>
      <c r="AT140" s="62">
        <v>848</v>
      </c>
      <c r="AU140" s="62">
        <v>1648</v>
      </c>
      <c r="AV140" s="62">
        <v>2060</v>
      </c>
      <c r="AW140" s="47" t="s">
        <v>107</v>
      </c>
      <c r="AX140" s="64">
        <v>45301</v>
      </c>
      <c r="AY140" s="64" t="s">
        <v>3648</v>
      </c>
      <c r="BA140" s="46" t="s">
        <v>74</v>
      </c>
      <c r="BB140" s="26"/>
      <c r="BC140" s="26"/>
      <c r="BD140" s="70" t="s">
        <v>3649</v>
      </c>
      <c r="BE140" s="46" t="e">
        <v>#REF!</v>
      </c>
      <c r="BF140" s="46" t="s">
        <v>75</v>
      </c>
      <c r="BG140" s="65"/>
      <c r="BH140" s="66"/>
      <c r="BI140" s="63" t="s">
        <v>3650</v>
      </c>
    </row>
    <row r="141" spans="1:61" ht="63.75" x14ac:dyDescent="0.2">
      <c r="A141" s="45" t="s">
        <v>3651</v>
      </c>
      <c r="B141" s="46"/>
      <c r="C141" s="46" t="s">
        <v>3637</v>
      </c>
      <c r="D141" s="46" t="s">
        <v>3652</v>
      </c>
      <c r="E141" s="46"/>
      <c r="F141" s="46"/>
      <c r="G141" s="46"/>
      <c r="H141" s="46"/>
      <c r="I141" s="46"/>
      <c r="J141" s="46" t="s">
        <v>71</v>
      </c>
      <c r="K141" s="47">
        <f t="shared" ref="K141:K146" si="2">ROUNDUP(K139*1.2,0)</f>
        <v>540</v>
      </c>
      <c r="L141" s="47">
        <f t="shared" ref="L141:L142" si="3">L139*2</f>
        <v>560</v>
      </c>
      <c r="M141" s="47">
        <v>1100</v>
      </c>
      <c r="N141" s="46"/>
      <c r="O141" s="71" t="s">
        <v>3653</v>
      </c>
      <c r="P141" s="46" t="s">
        <v>3640</v>
      </c>
      <c r="Q141" s="46" t="s">
        <v>3013</v>
      </c>
      <c r="R141" s="46" t="s">
        <v>3444</v>
      </c>
      <c r="S141" s="49">
        <v>275</v>
      </c>
      <c r="T141" s="49">
        <v>1375</v>
      </c>
      <c r="U141" s="28">
        <v>0.27090909090909093</v>
      </c>
      <c r="V141" s="28">
        <v>0.29272727272727272</v>
      </c>
      <c r="W141" s="74">
        <v>1.037037037037037</v>
      </c>
      <c r="X141" s="52">
        <v>137.5</v>
      </c>
      <c r="Y141" s="52">
        <v>30</v>
      </c>
      <c r="Z141" s="52">
        <v>835</v>
      </c>
      <c r="AA141" s="52">
        <v>1002.5</v>
      </c>
      <c r="AB141" s="53">
        <v>0.72909090909090912</v>
      </c>
      <c r="AC141" s="72">
        <v>372.5</v>
      </c>
      <c r="AD141" s="55">
        <v>0.27090909090909093</v>
      </c>
      <c r="AE141" s="73">
        <v>3</v>
      </c>
      <c r="AF141" s="57" t="s">
        <v>95</v>
      </c>
      <c r="AG141" s="58">
        <v>540</v>
      </c>
      <c r="AH141" s="58">
        <v>560</v>
      </c>
      <c r="AI141" s="58">
        <v>1100</v>
      </c>
      <c r="AJ141" s="49">
        <v>275</v>
      </c>
      <c r="AK141" s="49">
        <v>1375</v>
      </c>
      <c r="AL141" s="52">
        <v>137.5</v>
      </c>
      <c r="AM141" s="52">
        <v>835</v>
      </c>
      <c r="AN141" s="52">
        <v>972.5</v>
      </c>
      <c r="AO141" s="59">
        <v>0.70727272727272728</v>
      </c>
      <c r="AP141" s="60">
        <v>402.5</v>
      </c>
      <c r="AQ141" s="61">
        <v>0.29272727272727272</v>
      </c>
      <c r="AR141" s="60" t="s">
        <v>78</v>
      </c>
      <c r="AS141" s="62">
        <v>864</v>
      </c>
      <c r="AT141" s="62">
        <v>896</v>
      </c>
      <c r="AU141" s="62">
        <v>1760</v>
      </c>
      <c r="AV141" s="62">
        <v>2200</v>
      </c>
      <c r="AW141" s="47" t="s">
        <v>107</v>
      </c>
      <c r="AX141" s="64">
        <v>45301</v>
      </c>
      <c r="AY141" s="64" t="s">
        <v>3654</v>
      </c>
      <c r="BA141" s="46" t="s">
        <v>74</v>
      </c>
      <c r="BB141" s="26"/>
      <c r="BC141" s="26"/>
      <c r="BD141" s="70" t="s">
        <v>3642</v>
      </c>
      <c r="BE141" s="46" t="e">
        <v>#REF!</v>
      </c>
      <c r="BF141" s="46" t="s">
        <v>75</v>
      </c>
      <c r="BG141" s="65"/>
      <c r="BH141" s="66"/>
      <c r="BI141" s="63" t="s">
        <v>3655</v>
      </c>
    </row>
    <row r="142" spans="1:61" ht="76.5" x14ac:dyDescent="0.2">
      <c r="A142" s="45" t="s">
        <v>3656</v>
      </c>
      <c r="B142" s="46"/>
      <c r="C142" s="46" t="s">
        <v>3637</v>
      </c>
      <c r="D142" s="46" t="s">
        <v>3652</v>
      </c>
      <c r="E142" s="46" t="s">
        <v>3645</v>
      </c>
      <c r="F142" s="46"/>
      <c r="G142" s="46"/>
      <c r="H142" s="46"/>
      <c r="I142" s="46"/>
      <c r="J142" s="46" t="s">
        <v>71</v>
      </c>
      <c r="K142" s="47">
        <f t="shared" si="2"/>
        <v>600</v>
      </c>
      <c r="L142" s="47">
        <f t="shared" si="3"/>
        <v>1060</v>
      </c>
      <c r="M142" s="47">
        <v>1660</v>
      </c>
      <c r="N142" s="46"/>
      <c r="O142" s="71" t="s">
        <v>3657</v>
      </c>
      <c r="P142" s="46" t="s">
        <v>3647</v>
      </c>
      <c r="Q142" s="46" t="s">
        <v>3013</v>
      </c>
      <c r="R142" s="46" t="s">
        <v>3444</v>
      </c>
      <c r="S142" s="49">
        <v>415</v>
      </c>
      <c r="T142" s="49">
        <v>2075</v>
      </c>
      <c r="U142" s="50">
        <v>0.1746987951807229</v>
      </c>
      <c r="V142" s="50">
        <v>0.18915662650602411</v>
      </c>
      <c r="W142" s="77">
        <v>1.7666666666666666</v>
      </c>
      <c r="X142" s="52">
        <v>207.5</v>
      </c>
      <c r="Y142" s="52">
        <v>30</v>
      </c>
      <c r="Z142" s="52">
        <v>1475</v>
      </c>
      <c r="AA142" s="52">
        <v>1712.5</v>
      </c>
      <c r="AB142" s="53">
        <v>0.82530120481927716</v>
      </c>
      <c r="AC142" s="72">
        <v>362.5</v>
      </c>
      <c r="AD142" s="55">
        <v>0.1746987951807229</v>
      </c>
      <c r="AE142" s="73">
        <v>3</v>
      </c>
      <c r="AF142" s="57" t="s">
        <v>95</v>
      </c>
      <c r="AG142" s="58">
        <v>600</v>
      </c>
      <c r="AH142" s="58">
        <v>1060</v>
      </c>
      <c r="AI142" s="58">
        <v>1660</v>
      </c>
      <c r="AJ142" s="49">
        <v>415</v>
      </c>
      <c r="AK142" s="49">
        <v>2075</v>
      </c>
      <c r="AL142" s="52">
        <v>207.5</v>
      </c>
      <c r="AM142" s="52">
        <v>1475</v>
      </c>
      <c r="AN142" s="52">
        <v>1682.5</v>
      </c>
      <c r="AO142" s="59">
        <v>0.81084337349397595</v>
      </c>
      <c r="AP142" s="60">
        <v>392.5</v>
      </c>
      <c r="AQ142" s="61">
        <v>0.18915662650602411</v>
      </c>
      <c r="AR142" s="60" t="s">
        <v>73</v>
      </c>
      <c r="AS142" s="62">
        <v>960</v>
      </c>
      <c r="AT142" s="62">
        <v>1696</v>
      </c>
      <c r="AU142" s="62">
        <v>2656</v>
      </c>
      <c r="AV142" s="62">
        <v>3320</v>
      </c>
      <c r="AW142" s="47" t="s">
        <v>107</v>
      </c>
      <c r="AX142" s="64">
        <v>45301</v>
      </c>
      <c r="AY142" s="64" t="s">
        <v>3658</v>
      </c>
      <c r="BA142" s="46" t="s">
        <v>74</v>
      </c>
      <c r="BB142" s="26"/>
      <c r="BC142" s="26"/>
      <c r="BD142" s="70" t="s">
        <v>3649</v>
      </c>
      <c r="BE142" s="46" t="e">
        <v>#REF!</v>
      </c>
      <c r="BF142" s="46" t="s">
        <v>75</v>
      </c>
      <c r="BG142" s="65"/>
      <c r="BH142" s="66"/>
      <c r="BI142" s="63" t="s">
        <v>3659</v>
      </c>
    </row>
    <row r="143" spans="1:61" ht="63.75" x14ac:dyDescent="0.2">
      <c r="A143" s="45" t="s">
        <v>3660</v>
      </c>
      <c r="B143" s="46"/>
      <c r="C143" s="46" t="s">
        <v>3637</v>
      </c>
      <c r="D143" s="46" t="s">
        <v>3661</v>
      </c>
      <c r="E143" s="46"/>
      <c r="F143" s="46"/>
      <c r="G143" s="46"/>
      <c r="H143" s="46"/>
      <c r="I143" s="46"/>
      <c r="J143" s="46" t="s">
        <v>71</v>
      </c>
      <c r="K143" s="47">
        <f t="shared" si="2"/>
        <v>648</v>
      </c>
      <c r="L143" s="47">
        <f t="shared" ref="L143:L144" si="4">L139*3</f>
        <v>840</v>
      </c>
      <c r="M143" s="47">
        <v>1488</v>
      </c>
      <c r="N143" s="46"/>
      <c r="O143" s="71" t="s">
        <v>3662</v>
      </c>
      <c r="P143" s="46" t="s">
        <v>3640</v>
      </c>
      <c r="Q143" s="46" t="s">
        <v>3013</v>
      </c>
      <c r="R143" s="46" t="s">
        <v>3444</v>
      </c>
      <c r="S143" s="49">
        <v>372</v>
      </c>
      <c r="T143" s="49">
        <v>1860</v>
      </c>
      <c r="U143" s="28">
        <v>0.23225806451612904</v>
      </c>
      <c r="V143" s="28">
        <v>0.24838709677419354</v>
      </c>
      <c r="W143" s="74">
        <v>1.2962962962962963</v>
      </c>
      <c r="X143" s="52">
        <v>186</v>
      </c>
      <c r="Y143" s="52">
        <v>30</v>
      </c>
      <c r="Z143" s="52">
        <v>1212</v>
      </c>
      <c r="AA143" s="52">
        <v>1428</v>
      </c>
      <c r="AB143" s="53">
        <v>0.76774193548387093</v>
      </c>
      <c r="AC143" s="72">
        <v>432</v>
      </c>
      <c r="AD143" s="55">
        <v>0.23225806451612904</v>
      </c>
      <c r="AE143" s="73">
        <v>3</v>
      </c>
      <c r="AF143" s="57" t="s">
        <v>95</v>
      </c>
      <c r="AG143" s="58">
        <v>648</v>
      </c>
      <c r="AH143" s="58">
        <v>840</v>
      </c>
      <c r="AI143" s="58">
        <v>1488</v>
      </c>
      <c r="AJ143" s="49">
        <v>372</v>
      </c>
      <c r="AK143" s="49">
        <v>1860</v>
      </c>
      <c r="AL143" s="52">
        <v>186</v>
      </c>
      <c r="AM143" s="52">
        <v>1212</v>
      </c>
      <c r="AN143" s="52">
        <v>1398</v>
      </c>
      <c r="AO143" s="59">
        <v>0.75161290322580643</v>
      </c>
      <c r="AP143" s="60">
        <v>462</v>
      </c>
      <c r="AQ143" s="61">
        <v>0.24838709677419354</v>
      </c>
      <c r="AR143" s="60" t="s">
        <v>78</v>
      </c>
      <c r="AS143" s="62">
        <v>1037</v>
      </c>
      <c r="AT143" s="62">
        <v>1344</v>
      </c>
      <c r="AU143" s="62">
        <v>2381</v>
      </c>
      <c r="AV143" s="62">
        <v>2976.25</v>
      </c>
      <c r="AW143" s="47" t="s">
        <v>107</v>
      </c>
      <c r="AX143" s="64">
        <v>45301</v>
      </c>
      <c r="AY143" s="64" t="s">
        <v>3663</v>
      </c>
      <c r="BA143" s="46" t="s">
        <v>74</v>
      </c>
      <c r="BB143" s="26"/>
      <c r="BC143" s="26"/>
      <c r="BD143" s="70" t="s">
        <v>3642</v>
      </c>
      <c r="BE143" s="46" t="e">
        <v>#REF!</v>
      </c>
      <c r="BF143" s="46" t="s">
        <v>75</v>
      </c>
      <c r="BG143" s="65"/>
      <c r="BH143" s="66"/>
      <c r="BI143" s="63" t="s">
        <v>3664</v>
      </c>
    </row>
    <row r="144" spans="1:61" ht="76.5" x14ac:dyDescent="0.2">
      <c r="A144" s="45" t="s">
        <v>3665</v>
      </c>
      <c r="B144" s="46"/>
      <c r="C144" s="46" t="s">
        <v>3637</v>
      </c>
      <c r="D144" s="46" t="s">
        <v>3661</v>
      </c>
      <c r="E144" s="46" t="s">
        <v>3645</v>
      </c>
      <c r="F144" s="46"/>
      <c r="G144" s="46"/>
      <c r="H144" s="46"/>
      <c r="I144" s="46"/>
      <c r="J144" s="46" t="s">
        <v>71</v>
      </c>
      <c r="K144" s="47">
        <f t="shared" si="2"/>
        <v>720</v>
      </c>
      <c r="L144" s="47">
        <f t="shared" si="4"/>
        <v>1590</v>
      </c>
      <c r="M144" s="47">
        <v>2310</v>
      </c>
      <c r="N144" s="46"/>
      <c r="O144" s="71" t="s">
        <v>3666</v>
      </c>
      <c r="P144" s="46" t="s">
        <v>3647</v>
      </c>
      <c r="Q144" s="46" t="s">
        <v>3013</v>
      </c>
      <c r="R144" s="46" t="s">
        <v>3444</v>
      </c>
      <c r="S144" s="49">
        <v>577.5</v>
      </c>
      <c r="T144" s="49">
        <v>2887.5</v>
      </c>
      <c r="U144" s="50">
        <v>0.13896103896103895</v>
      </c>
      <c r="V144" s="50">
        <v>0.14935064935064934</v>
      </c>
      <c r="W144" s="77">
        <v>2.2083333333333335</v>
      </c>
      <c r="X144" s="52">
        <v>288.75</v>
      </c>
      <c r="Y144" s="52">
        <v>30</v>
      </c>
      <c r="Z144" s="52">
        <v>2167.5</v>
      </c>
      <c r="AA144" s="52">
        <v>2486.25</v>
      </c>
      <c r="AB144" s="53">
        <v>0.86103896103896105</v>
      </c>
      <c r="AC144" s="72">
        <v>401.25</v>
      </c>
      <c r="AD144" s="55">
        <v>0.13896103896103895</v>
      </c>
      <c r="AE144" s="73">
        <v>3</v>
      </c>
      <c r="AF144" s="57" t="s">
        <v>95</v>
      </c>
      <c r="AG144" s="58">
        <v>720</v>
      </c>
      <c r="AH144" s="58">
        <v>1590</v>
      </c>
      <c r="AI144" s="58">
        <v>2310</v>
      </c>
      <c r="AJ144" s="49">
        <v>577.5</v>
      </c>
      <c r="AK144" s="49">
        <v>2887.5</v>
      </c>
      <c r="AL144" s="52">
        <v>288.75</v>
      </c>
      <c r="AM144" s="52">
        <v>2167.5</v>
      </c>
      <c r="AN144" s="52">
        <v>2456.25</v>
      </c>
      <c r="AO144" s="59">
        <v>0.85064935064935066</v>
      </c>
      <c r="AP144" s="60">
        <v>431.25</v>
      </c>
      <c r="AQ144" s="61">
        <v>0.14935064935064934</v>
      </c>
      <c r="AR144" s="60" t="s">
        <v>73</v>
      </c>
      <c r="AS144" s="62">
        <v>1152</v>
      </c>
      <c r="AT144" s="62">
        <v>2544</v>
      </c>
      <c r="AU144" s="62">
        <v>3696</v>
      </c>
      <c r="AV144" s="62">
        <v>4620</v>
      </c>
      <c r="AW144" s="47" t="s">
        <v>107</v>
      </c>
      <c r="AX144" s="64">
        <v>45301</v>
      </c>
      <c r="AY144" s="64" t="s">
        <v>3667</v>
      </c>
      <c r="BA144" s="46" t="s">
        <v>74</v>
      </c>
      <c r="BB144" s="26"/>
      <c r="BC144" s="26"/>
      <c r="BD144" s="70" t="s">
        <v>3649</v>
      </c>
      <c r="BE144" s="46" t="e">
        <v>#REF!</v>
      </c>
      <c r="BF144" s="46" t="s">
        <v>75</v>
      </c>
      <c r="BG144" s="65"/>
      <c r="BH144" s="66"/>
      <c r="BI144" s="63" t="s">
        <v>3668</v>
      </c>
    </row>
    <row r="145" spans="1:61" ht="63.75" x14ac:dyDescent="0.2">
      <c r="A145" s="45" t="s">
        <v>3669</v>
      </c>
      <c r="B145" s="46"/>
      <c r="C145" s="46" t="s">
        <v>3637</v>
      </c>
      <c r="D145" s="46" t="s">
        <v>3670</v>
      </c>
      <c r="E145" s="46"/>
      <c r="F145" s="46"/>
      <c r="G145" s="46"/>
      <c r="H145" s="46"/>
      <c r="I145" s="46"/>
      <c r="J145" s="46" t="s">
        <v>71</v>
      </c>
      <c r="K145" s="47">
        <f t="shared" si="2"/>
        <v>778</v>
      </c>
      <c r="L145" s="47">
        <f t="shared" ref="L145:L146" si="5">L139*4</f>
        <v>1120</v>
      </c>
      <c r="M145" s="47">
        <v>1898</v>
      </c>
      <c r="N145" s="46"/>
      <c r="O145" s="71" t="s">
        <v>3671</v>
      </c>
      <c r="P145" s="46" t="s">
        <v>3640</v>
      </c>
      <c r="Q145" s="46" t="s">
        <v>3013</v>
      </c>
      <c r="R145" s="46" t="s">
        <v>3444</v>
      </c>
      <c r="S145" s="49">
        <v>474.5</v>
      </c>
      <c r="T145" s="49">
        <v>2372.5</v>
      </c>
      <c r="U145" s="28">
        <v>0.21527924130663856</v>
      </c>
      <c r="V145" s="28">
        <v>0.22792413066385669</v>
      </c>
      <c r="W145" s="74">
        <v>1.4395886889460154</v>
      </c>
      <c r="X145" s="52">
        <v>237.25</v>
      </c>
      <c r="Y145" s="52">
        <v>30</v>
      </c>
      <c r="Z145" s="52">
        <v>1594.5</v>
      </c>
      <c r="AA145" s="52">
        <v>1861.75</v>
      </c>
      <c r="AB145" s="53">
        <v>0.78472075869336144</v>
      </c>
      <c r="AC145" s="72">
        <v>510.75</v>
      </c>
      <c r="AD145" s="55">
        <v>0.21527924130663856</v>
      </c>
      <c r="AE145" s="73">
        <v>3</v>
      </c>
      <c r="AF145" s="57" t="s">
        <v>95</v>
      </c>
      <c r="AG145" s="58">
        <v>778</v>
      </c>
      <c r="AH145" s="58">
        <v>1120</v>
      </c>
      <c r="AI145" s="58">
        <v>1898</v>
      </c>
      <c r="AJ145" s="49">
        <v>474.5</v>
      </c>
      <c r="AK145" s="49">
        <v>2372.5</v>
      </c>
      <c r="AL145" s="52">
        <v>237.25</v>
      </c>
      <c r="AM145" s="52">
        <v>1594.5</v>
      </c>
      <c r="AN145" s="52">
        <v>1831.75</v>
      </c>
      <c r="AO145" s="59">
        <v>0.77207586933614336</v>
      </c>
      <c r="AP145" s="60">
        <v>540.75</v>
      </c>
      <c r="AQ145" s="61">
        <v>0.22792413066385669</v>
      </c>
      <c r="AR145" s="60" t="s">
        <v>78</v>
      </c>
      <c r="AS145" s="62">
        <v>1245</v>
      </c>
      <c r="AT145" s="62">
        <v>1792</v>
      </c>
      <c r="AU145" s="62">
        <v>3037</v>
      </c>
      <c r="AV145" s="62">
        <v>3796.25</v>
      </c>
      <c r="AW145" s="47" t="s">
        <v>107</v>
      </c>
      <c r="AX145" s="64">
        <v>45301</v>
      </c>
      <c r="AY145" s="64" t="s">
        <v>3672</v>
      </c>
      <c r="BA145" s="46" t="s">
        <v>74</v>
      </c>
      <c r="BB145" s="26"/>
      <c r="BC145" s="26"/>
      <c r="BD145" s="70" t="s">
        <v>3642</v>
      </c>
      <c r="BE145" s="46" t="e">
        <v>#REF!</v>
      </c>
      <c r="BF145" s="46" t="s">
        <v>75</v>
      </c>
      <c r="BG145" s="65"/>
      <c r="BH145" s="66"/>
      <c r="BI145" s="63" t="s">
        <v>3673</v>
      </c>
    </row>
    <row r="146" spans="1:61" ht="76.5" x14ac:dyDescent="0.2">
      <c r="A146" s="45" t="s">
        <v>3674</v>
      </c>
      <c r="B146" s="46"/>
      <c r="C146" s="46" t="s">
        <v>3637</v>
      </c>
      <c r="D146" s="46" t="s">
        <v>3670</v>
      </c>
      <c r="E146" s="46" t="s">
        <v>3645</v>
      </c>
      <c r="F146" s="46"/>
      <c r="G146" s="46"/>
      <c r="H146" s="46"/>
      <c r="I146" s="46"/>
      <c r="J146" s="46" t="s">
        <v>71</v>
      </c>
      <c r="K146" s="47">
        <f t="shared" si="2"/>
        <v>864</v>
      </c>
      <c r="L146" s="47">
        <f t="shared" si="5"/>
        <v>2120</v>
      </c>
      <c r="M146" s="47">
        <v>2984</v>
      </c>
      <c r="N146" s="46"/>
      <c r="O146" s="71" t="s">
        <v>3675</v>
      </c>
      <c r="P146" s="46" t="s">
        <v>3647</v>
      </c>
      <c r="Q146" s="46" t="s">
        <v>3013</v>
      </c>
      <c r="R146" s="46" t="s">
        <v>3444</v>
      </c>
      <c r="S146" s="49">
        <v>746</v>
      </c>
      <c r="T146" s="49">
        <v>3730</v>
      </c>
      <c r="U146" s="50">
        <v>0.12359249329758713</v>
      </c>
      <c r="V146" s="50">
        <v>0.13163538873994637</v>
      </c>
      <c r="W146" s="77">
        <v>2.4537037037037037</v>
      </c>
      <c r="X146" s="52">
        <v>373</v>
      </c>
      <c r="Y146" s="52">
        <v>30</v>
      </c>
      <c r="Z146" s="52">
        <v>2866</v>
      </c>
      <c r="AA146" s="52">
        <v>3269</v>
      </c>
      <c r="AB146" s="53">
        <v>0.87640750670241285</v>
      </c>
      <c r="AC146" s="72">
        <v>461</v>
      </c>
      <c r="AD146" s="55">
        <v>0.12359249329758713</v>
      </c>
      <c r="AE146" s="73">
        <v>3</v>
      </c>
      <c r="AF146" s="57" t="s">
        <v>95</v>
      </c>
      <c r="AG146" s="58">
        <v>864</v>
      </c>
      <c r="AH146" s="58">
        <v>2120</v>
      </c>
      <c r="AI146" s="58">
        <v>2984</v>
      </c>
      <c r="AJ146" s="49">
        <v>746</v>
      </c>
      <c r="AK146" s="49">
        <v>3730</v>
      </c>
      <c r="AL146" s="52">
        <v>373</v>
      </c>
      <c r="AM146" s="52">
        <v>2866</v>
      </c>
      <c r="AN146" s="52">
        <v>3239</v>
      </c>
      <c r="AO146" s="59">
        <v>0.8683646112600536</v>
      </c>
      <c r="AP146" s="60">
        <v>491</v>
      </c>
      <c r="AQ146" s="61">
        <v>0.13163538873994637</v>
      </c>
      <c r="AR146" s="60" t="s">
        <v>73</v>
      </c>
      <c r="AS146" s="62">
        <v>1383</v>
      </c>
      <c r="AT146" s="62">
        <v>3392</v>
      </c>
      <c r="AU146" s="62">
        <v>4775</v>
      </c>
      <c r="AV146" s="62">
        <v>5968.75</v>
      </c>
      <c r="AW146" s="47" t="s">
        <v>107</v>
      </c>
      <c r="AX146" s="64">
        <v>45301</v>
      </c>
      <c r="AY146" s="64" t="s">
        <v>3676</v>
      </c>
      <c r="BA146" s="46" t="s">
        <v>74</v>
      </c>
      <c r="BB146" s="26"/>
      <c r="BC146" s="26"/>
      <c r="BD146" s="70" t="s">
        <v>3649</v>
      </c>
      <c r="BE146" s="46" t="e">
        <v>#REF!</v>
      </c>
      <c r="BF146" s="46" t="s">
        <v>75</v>
      </c>
      <c r="BG146" s="65"/>
      <c r="BH146" s="66"/>
      <c r="BI146" s="63" t="s">
        <v>3677</v>
      </c>
    </row>
    <row r="147" spans="1:61" ht="25.5" x14ac:dyDescent="0.2">
      <c r="A147" s="34" t="s">
        <v>3678</v>
      </c>
      <c r="B147" s="35"/>
      <c r="C147" s="35" t="s">
        <v>68</v>
      </c>
      <c r="D147" s="35" t="s">
        <v>68</v>
      </c>
      <c r="E147" s="35" t="s">
        <v>68</v>
      </c>
      <c r="F147" s="35" t="s">
        <v>68</v>
      </c>
      <c r="G147" s="35" t="s">
        <v>68</v>
      </c>
      <c r="H147" s="35" t="s">
        <v>68</v>
      </c>
      <c r="I147" s="35" t="s">
        <v>68</v>
      </c>
      <c r="J147" s="35" t="s">
        <v>68</v>
      </c>
      <c r="K147" s="36" t="s">
        <v>68</v>
      </c>
      <c r="L147" s="36" t="s">
        <v>68</v>
      </c>
      <c r="M147" s="36" t="s">
        <v>68</v>
      </c>
      <c r="N147" s="35"/>
      <c r="O147" s="35" t="s">
        <v>68</v>
      </c>
      <c r="P147" s="37"/>
      <c r="Q147" s="38" t="s">
        <v>3013</v>
      </c>
      <c r="R147" s="38" t="s">
        <v>3679</v>
      </c>
      <c r="S147" s="36" t="s">
        <v>68</v>
      </c>
      <c r="T147" s="36" t="s">
        <v>68</v>
      </c>
      <c r="U147" s="39" t="s">
        <v>68</v>
      </c>
      <c r="V147" s="39" t="s">
        <v>68</v>
      </c>
      <c r="W147" s="40" t="s">
        <v>68</v>
      </c>
      <c r="X147" s="36" t="s">
        <v>68</v>
      </c>
      <c r="Y147" s="36" t="s">
        <v>68</v>
      </c>
      <c r="Z147" s="36" t="s">
        <v>68</v>
      </c>
      <c r="AA147" s="36" t="s">
        <v>68</v>
      </c>
      <c r="AB147" s="39" t="s">
        <v>68</v>
      </c>
      <c r="AC147" s="36" t="s">
        <v>68</v>
      </c>
      <c r="AD147" s="39" t="s">
        <v>68</v>
      </c>
      <c r="AE147" s="41"/>
      <c r="AF147" s="42" t="s">
        <v>68</v>
      </c>
      <c r="AG147" s="36" t="s">
        <v>68</v>
      </c>
      <c r="AH147" s="36" t="s">
        <v>68</v>
      </c>
      <c r="AI147" s="36" t="s">
        <v>68</v>
      </c>
      <c r="AJ147" s="36" t="s">
        <v>68</v>
      </c>
      <c r="AK147" s="36" t="s">
        <v>68</v>
      </c>
      <c r="AL147" s="36" t="s">
        <v>68</v>
      </c>
      <c r="AM147" s="36" t="s">
        <v>68</v>
      </c>
      <c r="AN147" s="36" t="s">
        <v>68</v>
      </c>
      <c r="AO147" s="43" t="s">
        <v>68</v>
      </c>
      <c r="AP147" s="36" t="s">
        <v>68</v>
      </c>
      <c r="AQ147" s="39" t="s">
        <v>68</v>
      </c>
      <c r="AR147" s="36" t="s">
        <v>68</v>
      </c>
      <c r="AS147" s="36" t="s">
        <v>68</v>
      </c>
      <c r="AT147" s="36" t="s">
        <v>68</v>
      </c>
      <c r="AU147" s="36" t="s">
        <v>68</v>
      </c>
      <c r="AV147" s="36" t="s">
        <v>68</v>
      </c>
      <c r="AW147" s="35"/>
      <c r="AX147" s="37"/>
      <c r="AY147" s="37" t="s">
        <v>68</v>
      </c>
      <c r="BA147" s="37"/>
      <c r="BB147" s="37"/>
      <c r="BC147" s="37"/>
      <c r="BD147" s="35"/>
      <c r="BE147" s="35" t="e">
        <v>#REF!</v>
      </c>
      <c r="BF147" s="35"/>
      <c r="BG147" s="44"/>
      <c r="BH147" s="38" t="s">
        <v>3680</v>
      </c>
      <c r="BI147" s="35" t="s">
        <v>68</v>
      </c>
    </row>
    <row r="148" spans="1:61" ht="25.5" x14ac:dyDescent="0.2">
      <c r="A148" s="45" t="s">
        <v>3681</v>
      </c>
      <c r="B148" s="46"/>
      <c r="C148" s="46" t="s">
        <v>3682</v>
      </c>
      <c r="D148" s="46" t="s">
        <v>68</v>
      </c>
      <c r="E148" s="46" t="s">
        <v>68</v>
      </c>
      <c r="F148" s="46" t="s">
        <v>68</v>
      </c>
      <c r="G148" s="46" t="s">
        <v>68</v>
      </c>
      <c r="H148" s="46" t="s">
        <v>68</v>
      </c>
      <c r="I148" s="46" t="s">
        <v>3683</v>
      </c>
      <c r="J148" s="46" t="s">
        <v>71</v>
      </c>
      <c r="K148" s="47">
        <v>200</v>
      </c>
      <c r="L148" s="47">
        <v>0</v>
      </c>
      <c r="M148" s="47">
        <v>200</v>
      </c>
      <c r="N148" s="46"/>
      <c r="O148" s="71" t="s">
        <v>68</v>
      </c>
      <c r="P148" s="64"/>
      <c r="Q148" s="46" t="s">
        <v>3013</v>
      </c>
      <c r="R148" s="46" t="s">
        <v>3679</v>
      </c>
      <c r="S148" s="49">
        <v>50</v>
      </c>
      <c r="T148" s="49">
        <v>250</v>
      </c>
      <c r="U148" s="67">
        <v>0.57999999999999996</v>
      </c>
      <c r="V148" s="67">
        <v>0.7</v>
      </c>
      <c r="W148" s="51">
        <v>0</v>
      </c>
      <c r="X148" s="52">
        <v>25</v>
      </c>
      <c r="Y148" s="52">
        <v>30</v>
      </c>
      <c r="Z148" s="52">
        <v>50</v>
      </c>
      <c r="AA148" s="52">
        <v>105</v>
      </c>
      <c r="AB148" s="53">
        <v>0.42</v>
      </c>
      <c r="AC148" s="72">
        <v>145</v>
      </c>
      <c r="AD148" s="55">
        <v>0.57999999999999996</v>
      </c>
      <c r="AE148" s="73">
        <v>3</v>
      </c>
      <c r="AF148" s="57" t="s">
        <v>95</v>
      </c>
      <c r="AG148" s="58">
        <v>200</v>
      </c>
      <c r="AH148" s="58">
        <v>0</v>
      </c>
      <c r="AI148" s="58">
        <v>200</v>
      </c>
      <c r="AJ148" s="49">
        <v>50</v>
      </c>
      <c r="AK148" s="49">
        <v>250</v>
      </c>
      <c r="AL148" s="52">
        <v>25</v>
      </c>
      <c r="AM148" s="52">
        <v>50</v>
      </c>
      <c r="AN148" s="52">
        <v>75</v>
      </c>
      <c r="AO148" s="59">
        <v>0.3</v>
      </c>
      <c r="AP148" s="60">
        <v>175</v>
      </c>
      <c r="AQ148" s="61">
        <v>0.7</v>
      </c>
      <c r="AR148" s="60" t="s">
        <v>78</v>
      </c>
      <c r="AS148" s="62">
        <v>320</v>
      </c>
      <c r="AT148" s="62">
        <v>0</v>
      </c>
      <c r="AU148" s="62">
        <v>320</v>
      </c>
      <c r="AV148" s="62">
        <v>400</v>
      </c>
      <c r="AW148" s="47" t="s">
        <v>74</v>
      </c>
      <c r="AX148" s="64"/>
      <c r="AY148" s="64" t="s">
        <v>3684</v>
      </c>
      <c r="BA148" s="64"/>
      <c r="BB148" s="64"/>
      <c r="BC148" s="64"/>
      <c r="BD148" s="46"/>
      <c r="BE148" s="46" t="e">
        <v>#REF!</v>
      </c>
      <c r="BF148" s="46" t="s">
        <v>79</v>
      </c>
      <c r="BG148" s="65">
        <v>0.75</v>
      </c>
      <c r="BH148" s="66" t="s">
        <v>3685</v>
      </c>
      <c r="BI148" s="63" t="s">
        <v>3686</v>
      </c>
    </row>
    <row r="149" spans="1:61" ht="25.5" x14ac:dyDescent="0.2">
      <c r="A149" s="45" t="s">
        <v>3687</v>
      </c>
      <c r="B149" s="46"/>
      <c r="C149" s="46" t="s">
        <v>3682</v>
      </c>
      <c r="D149" s="46" t="s">
        <v>68</v>
      </c>
      <c r="E149" s="46" t="s">
        <v>68</v>
      </c>
      <c r="F149" s="46" t="s">
        <v>68</v>
      </c>
      <c r="G149" s="46" t="s">
        <v>68</v>
      </c>
      <c r="H149" s="46" t="s">
        <v>68</v>
      </c>
      <c r="I149" s="46" t="s">
        <v>1433</v>
      </c>
      <c r="J149" s="46" t="s">
        <v>71</v>
      </c>
      <c r="K149" s="47">
        <v>350</v>
      </c>
      <c r="L149" s="47">
        <v>0</v>
      </c>
      <c r="M149" s="47">
        <v>350</v>
      </c>
      <c r="N149" s="46"/>
      <c r="O149" s="71" t="s">
        <v>68</v>
      </c>
      <c r="P149" s="64"/>
      <c r="Q149" s="46" t="s">
        <v>3013</v>
      </c>
      <c r="R149" s="46" t="s">
        <v>3679</v>
      </c>
      <c r="S149" s="49">
        <v>87.5</v>
      </c>
      <c r="T149" s="49">
        <v>437.5</v>
      </c>
      <c r="U149" s="67">
        <v>0.63142857142857145</v>
      </c>
      <c r="V149" s="67">
        <v>0.7</v>
      </c>
      <c r="W149" s="51">
        <v>0</v>
      </c>
      <c r="X149" s="52">
        <v>43.75</v>
      </c>
      <c r="Y149" s="52">
        <v>30</v>
      </c>
      <c r="Z149" s="52">
        <v>87.5</v>
      </c>
      <c r="AA149" s="52">
        <v>161.25</v>
      </c>
      <c r="AB149" s="53">
        <v>0.36857142857142855</v>
      </c>
      <c r="AC149" s="72">
        <v>276.25</v>
      </c>
      <c r="AD149" s="55">
        <v>0.63142857142857145</v>
      </c>
      <c r="AE149" s="73">
        <v>3</v>
      </c>
      <c r="AF149" s="57" t="s">
        <v>95</v>
      </c>
      <c r="AG149" s="58">
        <v>350</v>
      </c>
      <c r="AH149" s="58">
        <v>0</v>
      </c>
      <c r="AI149" s="58">
        <v>350</v>
      </c>
      <c r="AJ149" s="49">
        <v>87.5</v>
      </c>
      <c r="AK149" s="49">
        <v>437.5</v>
      </c>
      <c r="AL149" s="52">
        <v>43.75</v>
      </c>
      <c r="AM149" s="52">
        <v>87.5</v>
      </c>
      <c r="AN149" s="52">
        <v>131.25</v>
      </c>
      <c r="AO149" s="59">
        <v>0.3</v>
      </c>
      <c r="AP149" s="60">
        <v>306.25</v>
      </c>
      <c r="AQ149" s="61">
        <v>0.7</v>
      </c>
      <c r="AR149" s="60" t="s">
        <v>78</v>
      </c>
      <c r="AS149" s="62">
        <v>560</v>
      </c>
      <c r="AT149" s="62">
        <v>0</v>
      </c>
      <c r="AU149" s="62">
        <v>560</v>
      </c>
      <c r="AV149" s="62">
        <v>700</v>
      </c>
      <c r="AW149" s="47" t="s">
        <v>74</v>
      </c>
      <c r="AX149" s="64"/>
      <c r="AY149" s="64" t="s">
        <v>3688</v>
      </c>
      <c r="BA149" s="64"/>
      <c r="BB149" s="64"/>
      <c r="BC149" s="64"/>
      <c r="BD149" s="46"/>
      <c r="BE149" s="46" t="e">
        <v>#REF!</v>
      </c>
      <c r="BF149" s="46" t="s">
        <v>79</v>
      </c>
      <c r="BG149" s="65">
        <v>1.5</v>
      </c>
      <c r="BH149" s="66" t="s">
        <v>3689</v>
      </c>
      <c r="BI149" s="63" t="s">
        <v>3690</v>
      </c>
    </row>
    <row r="150" spans="1:61" ht="25.5" x14ac:dyDescent="0.2">
      <c r="A150" s="45" t="s">
        <v>3691</v>
      </c>
      <c r="B150" s="46"/>
      <c r="C150" s="46" t="s">
        <v>3682</v>
      </c>
      <c r="D150" s="46" t="s">
        <v>68</v>
      </c>
      <c r="E150" s="46" t="s">
        <v>68</v>
      </c>
      <c r="F150" s="46" t="s">
        <v>68</v>
      </c>
      <c r="G150" s="46" t="s">
        <v>68</v>
      </c>
      <c r="H150" s="46" t="s">
        <v>68</v>
      </c>
      <c r="I150" s="46" t="s">
        <v>3692</v>
      </c>
      <c r="J150" s="46" t="s">
        <v>71</v>
      </c>
      <c r="K150" s="47">
        <v>500</v>
      </c>
      <c r="L150" s="47">
        <v>0</v>
      </c>
      <c r="M150" s="47">
        <v>500</v>
      </c>
      <c r="N150" s="46"/>
      <c r="O150" s="71" t="s">
        <v>68</v>
      </c>
      <c r="P150" s="64"/>
      <c r="Q150" s="46" t="s">
        <v>3013</v>
      </c>
      <c r="R150" s="46" t="s">
        <v>3679</v>
      </c>
      <c r="S150" s="49">
        <v>125</v>
      </c>
      <c r="T150" s="49">
        <v>625</v>
      </c>
      <c r="U150" s="67">
        <v>0.65200000000000002</v>
      </c>
      <c r="V150" s="67">
        <v>0.7</v>
      </c>
      <c r="W150" s="51">
        <v>0</v>
      </c>
      <c r="X150" s="52">
        <v>62.5</v>
      </c>
      <c r="Y150" s="52">
        <v>30</v>
      </c>
      <c r="Z150" s="52">
        <v>125</v>
      </c>
      <c r="AA150" s="52">
        <v>217.5</v>
      </c>
      <c r="AB150" s="53">
        <v>0.34799999999999998</v>
      </c>
      <c r="AC150" s="72">
        <v>407.5</v>
      </c>
      <c r="AD150" s="55">
        <v>0.65200000000000002</v>
      </c>
      <c r="AE150" s="73">
        <v>3</v>
      </c>
      <c r="AF150" s="57" t="s">
        <v>95</v>
      </c>
      <c r="AG150" s="58">
        <v>500</v>
      </c>
      <c r="AH150" s="58">
        <v>0</v>
      </c>
      <c r="AI150" s="58">
        <v>500</v>
      </c>
      <c r="AJ150" s="49">
        <v>125</v>
      </c>
      <c r="AK150" s="49">
        <v>625</v>
      </c>
      <c r="AL150" s="52">
        <v>62.5</v>
      </c>
      <c r="AM150" s="52">
        <v>125</v>
      </c>
      <c r="AN150" s="52">
        <v>187.5</v>
      </c>
      <c r="AO150" s="59">
        <v>0.3</v>
      </c>
      <c r="AP150" s="60">
        <v>437.5</v>
      </c>
      <c r="AQ150" s="61">
        <v>0.7</v>
      </c>
      <c r="AR150" s="60" t="s">
        <v>78</v>
      </c>
      <c r="AS150" s="62">
        <v>800</v>
      </c>
      <c r="AT150" s="62">
        <v>0</v>
      </c>
      <c r="AU150" s="62">
        <v>800</v>
      </c>
      <c r="AV150" s="62">
        <v>1000</v>
      </c>
      <c r="AW150" s="47" t="s">
        <v>74</v>
      </c>
      <c r="AX150" s="64"/>
      <c r="AY150" s="64" t="s">
        <v>3693</v>
      </c>
      <c r="BA150" s="64"/>
      <c r="BB150" s="64"/>
      <c r="BC150" s="64"/>
      <c r="BD150" s="46"/>
      <c r="BE150" s="46" t="e">
        <v>#REF!</v>
      </c>
      <c r="BF150" s="46" t="s">
        <v>79</v>
      </c>
      <c r="BG150" s="65">
        <v>2.5</v>
      </c>
      <c r="BH150" s="66" t="s">
        <v>3694</v>
      </c>
      <c r="BI150" s="63" t="s">
        <v>3695</v>
      </c>
    </row>
    <row r="151" spans="1:61" ht="25.5" x14ac:dyDescent="0.2">
      <c r="A151" s="45" t="s">
        <v>3696</v>
      </c>
      <c r="B151" s="46"/>
      <c r="C151" s="46" t="s">
        <v>3697</v>
      </c>
      <c r="D151" s="46" t="s">
        <v>3698</v>
      </c>
      <c r="E151" s="46" t="s">
        <v>68</v>
      </c>
      <c r="F151" s="46" t="s">
        <v>68</v>
      </c>
      <c r="G151" s="46" t="s">
        <v>68</v>
      </c>
      <c r="H151" s="46" t="s">
        <v>68</v>
      </c>
      <c r="I151" s="46" t="s">
        <v>68</v>
      </c>
      <c r="J151" s="46" t="s">
        <v>2996</v>
      </c>
      <c r="K151" s="47">
        <v>100</v>
      </c>
      <c r="L151" s="47">
        <v>75</v>
      </c>
      <c r="M151" s="47">
        <v>175</v>
      </c>
      <c r="N151" s="46"/>
      <c r="O151" s="71" t="s">
        <v>68</v>
      </c>
      <c r="P151" s="64"/>
      <c r="Q151" s="46" t="s">
        <v>3013</v>
      </c>
      <c r="R151" s="46" t="s">
        <v>3679</v>
      </c>
      <c r="S151" s="49">
        <v>43.75</v>
      </c>
      <c r="T151" s="49">
        <v>218.75</v>
      </c>
      <c r="U151" s="28">
        <v>0.22</v>
      </c>
      <c r="V151" s="28">
        <v>0.22</v>
      </c>
      <c r="W151" s="51">
        <v>0.75</v>
      </c>
      <c r="X151" s="52">
        <v>21.875</v>
      </c>
      <c r="Y151" s="52">
        <v>30</v>
      </c>
      <c r="Z151" s="52">
        <v>118.75</v>
      </c>
      <c r="AA151" s="52">
        <v>170.625</v>
      </c>
      <c r="AB151" s="53">
        <v>0.78</v>
      </c>
      <c r="AC151" s="75">
        <v>48.125</v>
      </c>
      <c r="AD151" s="55">
        <v>0.22</v>
      </c>
      <c r="AE151" s="56">
        <v>2</v>
      </c>
      <c r="AF151" s="57" t="s">
        <v>72</v>
      </c>
      <c r="AG151" s="58">
        <v>50</v>
      </c>
      <c r="AH151" s="58">
        <v>75</v>
      </c>
      <c r="AI151" s="58">
        <v>125</v>
      </c>
      <c r="AJ151" s="49">
        <v>31.25</v>
      </c>
      <c r="AK151" s="49">
        <v>156.25</v>
      </c>
      <c r="AL151" s="52">
        <v>15.625</v>
      </c>
      <c r="AM151" s="52">
        <v>106.25</v>
      </c>
      <c r="AN151" s="52">
        <v>121.875</v>
      </c>
      <c r="AO151" s="59">
        <v>0.78</v>
      </c>
      <c r="AP151" s="60">
        <v>34.375</v>
      </c>
      <c r="AQ151" s="61">
        <v>0.22</v>
      </c>
      <c r="AR151" s="60" t="s">
        <v>78</v>
      </c>
      <c r="AS151" s="62">
        <v>150</v>
      </c>
      <c r="AT151" s="62">
        <v>113</v>
      </c>
      <c r="AU151" s="62">
        <v>263</v>
      </c>
      <c r="AV151" s="62">
        <v>328.75</v>
      </c>
      <c r="AW151" s="47" t="s">
        <v>74</v>
      </c>
      <c r="AX151" s="64">
        <v>45357</v>
      </c>
      <c r="AY151" s="64" t="s">
        <v>3699</v>
      </c>
      <c r="BA151" s="64"/>
      <c r="BB151" s="64"/>
      <c r="BC151" s="64"/>
      <c r="BD151" s="46"/>
      <c r="BE151" s="46" t="e">
        <v>#REF!</v>
      </c>
      <c r="BF151" s="46" t="s">
        <v>79</v>
      </c>
      <c r="BG151" s="65">
        <v>0.5</v>
      </c>
      <c r="BH151" s="66" t="s">
        <v>3700</v>
      </c>
      <c r="BI151" s="63" t="s">
        <v>3701</v>
      </c>
    </row>
    <row r="152" spans="1:61" ht="38.25" x14ac:dyDescent="0.2">
      <c r="A152" s="45" t="s">
        <v>3702</v>
      </c>
      <c r="B152" s="46"/>
      <c r="C152" s="46" t="s">
        <v>3703</v>
      </c>
      <c r="D152" s="46" t="s">
        <v>3704</v>
      </c>
      <c r="E152" s="46" t="s">
        <v>3705</v>
      </c>
      <c r="F152" s="46" t="s">
        <v>3706</v>
      </c>
      <c r="G152" s="46" t="s">
        <v>3707</v>
      </c>
      <c r="H152" s="46" t="s">
        <v>68</v>
      </c>
      <c r="I152" s="46" t="s">
        <v>68</v>
      </c>
      <c r="J152" s="46" t="s">
        <v>71</v>
      </c>
      <c r="K152" s="47">
        <v>130</v>
      </c>
      <c r="L152" s="47">
        <v>10</v>
      </c>
      <c r="M152" s="47">
        <v>140</v>
      </c>
      <c r="N152" s="46"/>
      <c r="O152" s="71" t="s">
        <v>68</v>
      </c>
      <c r="P152" s="64"/>
      <c r="Q152" s="46" t="s">
        <v>3013</v>
      </c>
      <c r="R152" s="46" t="s">
        <v>3679</v>
      </c>
      <c r="S152" s="49">
        <v>35</v>
      </c>
      <c r="T152" s="49">
        <v>175</v>
      </c>
      <c r="U152" s="67">
        <v>0.47142857142857142</v>
      </c>
      <c r="V152" s="67">
        <v>0.4777777777777778</v>
      </c>
      <c r="W152" s="51">
        <v>7.6923076923076927E-2</v>
      </c>
      <c r="X152" s="52">
        <v>17.5</v>
      </c>
      <c r="Y152" s="52">
        <v>30</v>
      </c>
      <c r="Z152" s="52">
        <v>45</v>
      </c>
      <c r="AA152" s="52">
        <v>92.5</v>
      </c>
      <c r="AB152" s="53">
        <v>0.52857142857142858</v>
      </c>
      <c r="AC152" s="68">
        <v>82.5</v>
      </c>
      <c r="AD152" s="55">
        <v>0.47142857142857142</v>
      </c>
      <c r="AE152" s="69">
        <v>1</v>
      </c>
      <c r="AF152" s="57" t="s">
        <v>77</v>
      </c>
      <c r="AG152" s="58">
        <v>26</v>
      </c>
      <c r="AH152" s="58">
        <v>10</v>
      </c>
      <c r="AI152" s="58">
        <v>36</v>
      </c>
      <c r="AJ152" s="49">
        <v>9</v>
      </c>
      <c r="AK152" s="49">
        <v>45</v>
      </c>
      <c r="AL152" s="52">
        <v>4.5</v>
      </c>
      <c r="AM152" s="52">
        <v>19</v>
      </c>
      <c r="AN152" s="52">
        <v>23.5</v>
      </c>
      <c r="AO152" s="59">
        <v>0.52222222222222225</v>
      </c>
      <c r="AP152" s="60">
        <v>21.5</v>
      </c>
      <c r="AQ152" s="61">
        <v>0.4777777777777778</v>
      </c>
      <c r="AR152" s="60" t="s">
        <v>78</v>
      </c>
      <c r="AS152" s="62">
        <v>169</v>
      </c>
      <c r="AT152" s="62">
        <v>13</v>
      </c>
      <c r="AU152" s="62">
        <v>182</v>
      </c>
      <c r="AV152" s="62">
        <v>227.5</v>
      </c>
      <c r="AW152" s="47" t="s">
        <v>74</v>
      </c>
      <c r="AX152" s="64">
        <v>45145</v>
      </c>
      <c r="AY152" s="64" t="s">
        <v>3708</v>
      </c>
      <c r="BA152" s="64"/>
      <c r="BB152" s="64"/>
      <c r="BC152" s="64"/>
      <c r="BD152" s="70" t="s">
        <v>3709</v>
      </c>
      <c r="BE152" s="46" t="e">
        <v>#REF!</v>
      </c>
      <c r="BF152" s="46" t="s">
        <v>79</v>
      </c>
      <c r="BG152" s="65">
        <v>0.5</v>
      </c>
      <c r="BH152" s="66" t="s">
        <v>3710</v>
      </c>
      <c r="BI152" s="63" t="s">
        <v>3711</v>
      </c>
    </row>
    <row r="153" spans="1:61" ht="38.25" x14ac:dyDescent="0.2">
      <c r="A153" s="45" t="s">
        <v>3712</v>
      </c>
      <c r="B153" s="46"/>
      <c r="C153" s="46" t="s">
        <v>3703</v>
      </c>
      <c r="D153" s="46" t="s">
        <v>3704</v>
      </c>
      <c r="E153" s="46" t="s">
        <v>3705</v>
      </c>
      <c r="F153" s="46" t="s">
        <v>3706</v>
      </c>
      <c r="G153" s="46" t="s">
        <v>3713</v>
      </c>
      <c r="H153" s="46" t="s">
        <v>68</v>
      </c>
      <c r="I153" s="46" t="s">
        <v>68</v>
      </c>
      <c r="J153" s="46" t="s">
        <v>71</v>
      </c>
      <c r="K153" s="47">
        <v>135</v>
      </c>
      <c r="L153" s="47">
        <v>15</v>
      </c>
      <c r="M153" s="47">
        <v>150</v>
      </c>
      <c r="N153" s="46"/>
      <c r="O153" s="71" t="s">
        <v>68</v>
      </c>
      <c r="P153" s="64"/>
      <c r="Q153" s="46" t="s">
        <v>3013</v>
      </c>
      <c r="R153" s="46" t="s">
        <v>3679</v>
      </c>
      <c r="S153" s="49">
        <v>37.5</v>
      </c>
      <c r="T153" s="49">
        <v>187.5</v>
      </c>
      <c r="U153" s="67">
        <v>0.46</v>
      </c>
      <c r="V153" s="67">
        <v>0.41428571428571431</v>
      </c>
      <c r="W153" s="51">
        <v>0.1111111111111111</v>
      </c>
      <c r="X153" s="52">
        <v>18.75</v>
      </c>
      <c r="Y153" s="52">
        <v>30</v>
      </c>
      <c r="Z153" s="52">
        <v>52.5</v>
      </c>
      <c r="AA153" s="52">
        <v>101.25</v>
      </c>
      <c r="AB153" s="53">
        <v>0.54</v>
      </c>
      <c r="AC153" s="68">
        <v>86.25</v>
      </c>
      <c r="AD153" s="55">
        <v>0.46</v>
      </c>
      <c r="AE153" s="69">
        <v>1</v>
      </c>
      <c r="AF153" s="57" t="s">
        <v>77</v>
      </c>
      <c r="AG153" s="58">
        <v>27</v>
      </c>
      <c r="AH153" s="58">
        <v>15</v>
      </c>
      <c r="AI153" s="58">
        <v>42</v>
      </c>
      <c r="AJ153" s="49">
        <v>10.5</v>
      </c>
      <c r="AK153" s="49">
        <v>52.5</v>
      </c>
      <c r="AL153" s="52">
        <v>5.25</v>
      </c>
      <c r="AM153" s="52">
        <v>25.5</v>
      </c>
      <c r="AN153" s="52">
        <v>30.75</v>
      </c>
      <c r="AO153" s="59">
        <v>0.58571428571428574</v>
      </c>
      <c r="AP153" s="60">
        <v>21.75</v>
      </c>
      <c r="AQ153" s="61">
        <v>0.41428571428571431</v>
      </c>
      <c r="AR153" s="60" t="s">
        <v>78</v>
      </c>
      <c r="AS153" s="62">
        <v>176</v>
      </c>
      <c r="AT153" s="62">
        <v>20</v>
      </c>
      <c r="AU153" s="62">
        <v>196</v>
      </c>
      <c r="AV153" s="62">
        <v>245</v>
      </c>
      <c r="AW153" s="47" t="s">
        <v>74</v>
      </c>
      <c r="AX153" s="64">
        <v>45145</v>
      </c>
      <c r="AY153" s="64" t="s">
        <v>3714</v>
      </c>
      <c r="BA153" s="64"/>
      <c r="BB153" s="64"/>
      <c r="BC153" s="64"/>
      <c r="BD153" s="70" t="s">
        <v>3709</v>
      </c>
      <c r="BE153" s="46" t="e">
        <v>#REF!</v>
      </c>
      <c r="BF153" s="46" t="s">
        <v>79</v>
      </c>
      <c r="BG153" s="65">
        <v>0.5</v>
      </c>
      <c r="BH153" s="66"/>
      <c r="BI153" s="63" t="s">
        <v>3715</v>
      </c>
    </row>
    <row r="154" spans="1:61" ht="38.25" x14ac:dyDescent="0.2">
      <c r="A154" s="45" t="s">
        <v>3716</v>
      </c>
      <c r="B154" s="46"/>
      <c r="C154" s="46" t="s">
        <v>3717</v>
      </c>
      <c r="D154" s="46" t="s">
        <v>3718</v>
      </c>
      <c r="E154" s="46" t="s">
        <v>3719</v>
      </c>
      <c r="F154" s="46" t="s">
        <v>3720</v>
      </c>
      <c r="G154" s="46" t="s">
        <v>3721</v>
      </c>
      <c r="H154" s="46" t="s">
        <v>3722</v>
      </c>
      <c r="I154" s="46" t="s">
        <v>68</v>
      </c>
      <c r="J154" s="46" t="s">
        <v>71</v>
      </c>
      <c r="K154" s="47">
        <v>140</v>
      </c>
      <c r="L154" s="47">
        <v>20</v>
      </c>
      <c r="M154" s="47">
        <v>160</v>
      </c>
      <c r="N154" s="46"/>
      <c r="O154" s="71" t="s">
        <v>68</v>
      </c>
      <c r="P154" s="64"/>
      <c r="Q154" s="46" t="s">
        <v>3013</v>
      </c>
      <c r="R154" s="46" t="s">
        <v>3679</v>
      </c>
      <c r="S154" s="49">
        <v>40</v>
      </c>
      <c r="T154" s="49">
        <v>200</v>
      </c>
      <c r="U154" s="67">
        <v>0.45</v>
      </c>
      <c r="V154" s="67">
        <v>0.36666666666666664</v>
      </c>
      <c r="W154" s="51">
        <v>0.14285714285714285</v>
      </c>
      <c r="X154" s="52">
        <v>20</v>
      </c>
      <c r="Y154" s="52">
        <v>30</v>
      </c>
      <c r="Z154" s="52">
        <v>60</v>
      </c>
      <c r="AA154" s="52">
        <v>110</v>
      </c>
      <c r="AB154" s="53">
        <v>0.55000000000000004</v>
      </c>
      <c r="AC154" s="54">
        <v>90</v>
      </c>
      <c r="AD154" s="55">
        <v>0.45</v>
      </c>
      <c r="AE154" s="69">
        <v>1</v>
      </c>
      <c r="AF154" s="57" t="s">
        <v>77</v>
      </c>
      <c r="AG154" s="58">
        <v>28</v>
      </c>
      <c r="AH154" s="58">
        <v>20</v>
      </c>
      <c r="AI154" s="58">
        <v>48</v>
      </c>
      <c r="AJ154" s="49">
        <v>12</v>
      </c>
      <c r="AK154" s="49">
        <v>60</v>
      </c>
      <c r="AL154" s="52">
        <v>6</v>
      </c>
      <c r="AM154" s="52">
        <v>32</v>
      </c>
      <c r="AN154" s="52">
        <v>38</v>
      </c>
      <c r="AO154" s="59">
        <v>0.6333333333333333</v>
      </c>
      <c r="AP154" s="60">
        <v>22</v>
      </c>
      <c r="AQ154" s="61">
        <v>0.36666666666666664</v>
      </c>
      <c r="AR154" s="60" t="s">
        <v>78</v>
      </c>
      <c r="AS154" s="62">
        <v>182</v>
      </c>
      <c r="AT154" s="62">
        <v>26</v>
      </c>
      <c r="AU154" s="62">
        <v>208</v>
      </c>
      <c r="AV154" s="62">
        <v>260</v>
      </c>
      <c r="AW154" s="47" t="s">
        <v>74</v>
      </c>
      <c r="AX154" s="64">
        <v>45149</v>
      </c>
      <c r="AY154" s="64" t="s">
        <v>3723</v>
      </c>
      <c r="BA154" s="64"/>
      <c r="BB154" s="64"/>
      <c r="BC154" s="64"/>
      <c r="BD154" s="70" t="s">
        <v>3724</v>
      </c>
      <c r="BE154" s="46" t="e">
        <v>#REF!</v>
      </c>
      <c r="BF154" s="46" t="s">
        <v>79</v>
      </c>
      <c r="BG154" s="65">
        <v>0.5</v>
      </c>
      <c r="BH154" s="66" t="s">
        <v>3725</v>
      </c>
      <c r="BI154" s="63" t="s">
        <v>3726</v>
      </c>
    </row>
    <row r="155" spans="1:61" ht="38.25" x14ac:dyDescent="0.2">
      <c r="A155" s="45" t="s">
        <v>3727</v>
      </c>
      <c r="B155" s="46"/>
      <c r="C155" s="46" t="s">
        <v>3717</v>
      </c>
      <c r="D155" s="46" t="s">
        <v>3718</v>
      </c>
      <c r="E155" s="46" t="s">
        <v>3719</v>
      </c>
      <c r="F155" s="46" t="s">
        <v>3728</v>
      </c>
      <c r="G155" s="46" t="s">
        <v>3721</v>
      </c>
      <c r="H155" s="46" t="s">
        <v>3722</v>
      </c>
      <c r="I155" s="46" t="s">
        <v>68</v>
      </c>
      <c r="J155" s="46" t="s">
        <v>71</v>
      </c>
      <c r="K155" s="47">
        <v>140</v>
      </c>
      <c r="L155" s="47">
        <v>25</v>
      </c>
      <c r="M155" s="47">
        <v>165</v>
      </c>
      <c r="N155" s="46"/>
      <c r="O155" s="71" t="s">
        <v>68</v>
      </c>
      <c r="P155" s="64"/>
      <c r="Q155" s="46" t="s">
        <v>3013</v>
      </c>
      <c r="R155" s="46" t="s">
        <v>3679</v>
      </c>
      <c r="S155" s="49">
        <v>41.25</v>
      </c>
      <c r="T155" s="49">
        <v>206.25</v>
      </c>
      <c r="U155" s="67">
        <v>0.43333333333333335</v>
      </c>
      <c r="V155" s="67">
        <v>0.32264150943396225</v>
      </c>
      <c r="W155" s="51">
        <v>0.17857142857142858</v>
      </c>
      <c r="X155" s="52">
        <v>20.625</v>
      </c>
      <c r="Y155" s="52">
        <v>30</v>
      </c>
      <c r="Z155" s="52">
        <v>66.25</v>
      </c>
      <c r="AA155" s="52">
        <v>116.875</v>
      </c>
      <c r="AB155" s="53">
        <v>0.56666666666666665</v>
      </c>
      <c r="AC155" s="68">
        <v>89.375</v>
      </c>
      <c r="AD155" s="55">
        <v>0.43333333333333335</v>
      </c>
      <c r="AE155" s="69">
        <v>1</v>
      </c>
      <c r="AF155" s="57" t="s">
        <v>77</v>
      </c>
      <c r="AG155" s="58">
        <v>28</v>
      </c>
      <c r="AH155" s="58">
        <v>25</v>
      </c>
      <c r="AI155" s="58">
        <v>53</v>
      </c>
      <c r="AJ155" s="49">
        <v>13.25</v>
      </c>
      <c r="AK155" s="49">
        <v>66.25</v>
      </c>
      <c r="AL155" s="52">
        <v>6.625</v>
      </c>
      <c r="AM155" s="52">
        <v>38.25</v>
      </c>
      <c r="AN155" s="52">
        <v>44.875</v>
      </c>
      <c r="AO155" s="59">
        <v>0.6773584905660377</v>
      </c>
      <c r="AP155" s="60">
        <v>21.375</v>
      </c>
      <c r="AQ155" s="61">
        <v>0.32264150943396225</v>
      </c>
      <c r="AR155" s="60" t="s">
        <v>78</v>
      </c>
      <c r="AS155" s="62">
        <v>182</v>
      </c>
      <c r="AT155" s="62">
        <v>33</v>
      </c>
      <c r="AU155" s="62">
        <v>215</v>
      </c>
      <c r="AV155" s="62">
        <v>268.75</v>
      </c>
      <c r="AW155" s="47" t="s">
        <v>74</v>
      </c>
      <c r="AX155" s="64">
        <v>45149</v>
      </c>
      <c r="AY155" s="64" t="s">
        <v>3729</v>
      </c>
      <c r="BA155" s="64"/>
      <c r="BB155" s="64"/>
      <c r="BC155" s="64"/>
      <c r="BD155" s="70" t="s">
        <v>3730</v>
      </c>
      <c r="BE155" s="46" t="e">
        <v>#REF!</v>
      </c>
      <c r="BF155" s="46" t="s">
        <v>79</v>
      </c>
      <c r="BG155" s="65">
        <v>0.5</v>
      </c>
      <c r="BH155" s="66"/>
      <c r="BI155" s="63" t="s">
        <v>3731</v>
      </c>
    </row>
    <row r="156" spans="1:61" ht="38.25" x14ac:dyDescent="0.2">
      <c r="A156" s="45" t="s">
        <v>3732</v>
      </c>
      <c r="B156" s="46"/>
      <c r="C156" s="46" t="s">
        <v>3717</v>
      </c>
      <c r="D156" s="46" t="s">
        <v>3733</v>
      </c>
      <c r="E156" s="46" t="s">
        <v>3719</v>
      </c>
      <c r="F156" s="46" t="s">
        <v>3734</v>
      </c>
      <c r="G156" s="46" t="s">
        <v>3735</v>
      </c>
      <c r="H156" s="46" t="s">
        <v>3722</v>
      </c>
      <c r="I156" s="46" t="s">
        <v>68</v>
      </c>
      <c r="J156" s="46" t="s">
        <v>71</v>
      </c>
      <c r="K156" s="47">
        <v>150</v>
      </c>
      <c r="L156" s="47">
        <v>30</v>
      </c>
      <c r="M156" s="47">
        <v>180</v>
      </c>
      <c r="N156" s="46"/>
      <c r="O156" s="71" t="s">
        <v>68</v>
      </c>
      <c r="P156" s="64"/>
      <c r="Q156" s="46" t="s">
        <v>3013</v>
      </c>
      <c r="R156" s="46" t="s">
        <v>3679</v>
      </c>
      <c r="S156" s="49">
        <v>45</v>
      </c>
      <c r="T156" s="49">
        <v>225</v>
      </c>
      <c r="U156" s="67">
        <v>0.43333333333333335</v>
      </c>
      <c r="V156" s="67">
        <v>0.3</v>
      </c>
      <c r="W156" s="51">
        <v>0.2</v>
      </c>
      <c r="X156" s="52">
        <v>22.5</v>
      </c>
      <c r="Y156" s="52">
        <v>30</v>
      </c>
      <c r="Z156" s="52">
        <v>75</v>
      </c>
      <c r="AA156" s="52">
        <v>127.5</v>
      </c>
      <c r="AB156" s="53">
        <v>0.56666666666666665</v>
      </c>
      <c r="AC156" s="54">
        <v>97.5</v>
      </c>
      <c r="AD156" s="55">
        <v>0.43333333333333335</v>
      </c>
      <c r="AE156" s="69">
        <v>1</v>
      </c>
      <c r="AF156" s="57" t="s">
        <v>77</v>
      </c>
      <c r="AG156" s="58">
        <v>30</v>
      </c>
      <c r="AH156" s="58">
        <v>30</v>
      </c>
      <c r="AI156" s="58">
        <v>60</v>
      </c>
      <c r="AJ156" s="49">
        <v>15</v>
      </c>
      <c r="AK156" s="49">
        <v>75</v>
      </c>
      <c r="AL156" s="52">
        <v>7.5</v>
      </c>
      <c r="AM156" s="52">
        <v>45</v>
      </c>
      <c r="AN156" s="52">
        <v>52.5</v>
      </c>
      <c r="AO156" s="59">
        <v>0.7</v>
      </c>
      <c r="AP156" s="60">
        <v>22.5</v>
      </c>
      <c r="AQ156" s="61">
        <v>0.3</v>
      </c>
      <c r="AR156" s="60" t="s">
        <v>78</v>
      </c>
      <c r="AS156" s="62">
        <v>195</v>
      </c>
      <c r="AT156" s="62">
        <v>39</v>
      </c>
      <c r="AU156" s="62">
        <v>234</v>
      </c>
      <c r="AV156" s="62">
        <v>292.5</v>
      </c>
      <c r="AW156" s="47" t="s">
        <v>74</v>
      </c>
      <c r="AX156" s="64">
        <v>45149</v>
      </c>
      <c r="AY156" s="64" t="s">
        <v>3736</v>
      </c>
      <c r="BA156" s="64"/>
      <c r="BB156" s="64"/>
      <c r="BC156" s="64"/>
      <c r="BD156" s="70" t="s">
        <v>3737</v>
      </c>
      <c r="BE156" s="46" t="e">
        <v>#REF!</v>
      </c>
      <c r="BF156" s="46" t="s">
        <v>79</v>
      </c>
      <c r="BG156" s="65">
        <v>0.5</v>
      </c>
      <c r="BH156" s="66"/>
      <c r="BI156" s="63" t="s">
        <v>3738</v>
      </c>
    </row>
    <row r="157" spans="1:61" ht="38.25" x14ac:dyDescent="0.2">
      <c r="A157" s="45" t="s">
        <v>3739</v>
      </c>
      <c r="B157" s="46"/>
      <c r="C157" s="46" t="s">
        <v>3717</v>
      </c>
      <c r="D157" s="46" t="s">
        <v>3733</v>
      </c>
      <c r="E157" s="46" t="s">
        <v>3719</v>
      </c>
      <c r="F157" s="46" t="s">
        <v>3740</v>
      </c>
      <c r="G157" s="46" t="s">
        <v>3735</v>
      </c>
      <c r="H157" s="46" t="s">
        <v>3722</v>
      </c>
      <c r="I157" s="46" t="s">
        <v>68</v>
      </c>
      <c r="J157" s="46" t="s">
        <v>71</v>
      </c>
      <c r="K157" s="47">
        <v>150</v>
      </c>
      <c r="L157" s="47">
        <v>35</v>
      </c>
      <c r="M157" s="47">
        <v>185</v>
      </c>
      <c r="N157" s="46"/>
      <c r="O157" s="71" t="s">
        <v>68</v>
      </c>
      <c r="P157" s="64"/>
      <c r="Q157" s="46" t="s">
        <v>3013</v>
      </c>
      <c r="R157" s="46" t="s">
        <v>3679</v>
      </c>
      <c r="S157" s="49">
        <v>46.25</v>
      </c>
      <c r="T157" s="49">
        <v>231.25</v>
      </c>
      <c r="U157" s="67">
        <v>0.41891891891891891</v>
      </c>
      <c r="V157" s="28">
        <v>0.26923076923076922</v>
      </c>
      <c r="W157" s="51">
        <v>0.23333333333333334</v>
      </c>
      <c r="X157" s="52">
        <v>23.125</v>
      </c>
      <c r="Y157" s="52">
        <v>30</v>
      </c>
      <c r="Z157" s="52">
        <v>81.25</v>
      </c>
      <c r="AA157" s="52">
        <v>134.375</v>
      </c>
      <c r="AB157" s="53">
        <v>0.58108108108108103</v>
      </c>
      <c r="AC157" s="54">
        <v>96.875</v>
      </c>
      <c r="AD157" s="55">
        <v>0.41891891891891891</v>
      </c>
      <c r="AE157" s="69">
        <v>1</v>
      </c>
      <c r="AF157" s="57" t="s">
        <v>77</v>
      </c>
      <c r="AG157" s="58">
        <v>30</v>
      </c>
      <c r="AH157" s="58">
        <v>35</v>
      </c>
      <c r="AI157" s="58">
        <v>65</v>
      </c>
      <c r="AJ157" s="49">
        <v>16.25</v>
      </c>
      <c r="AK157" s="49">
        <v>81.25</v>
      </c>
      <c r="AL157" s="52">
        <v>8.125</v>
      </c>
      <c r="AM157" s="52">
        <v>51.25</v>
      </c>
      <c r="AN157" s="52">
        <v>59.375</v>
      </c>
      <c r="AO157" s="59">
        <v>0.73076923076923073</v>
      </c>
      <c r="AP157" s="60">
        <v>21.875</v>
      </c>
      <c r="AQ157" s="61">
        <v>0.26923076923076922</v>
      </c>
      <c r="AR157" s="60" t="s">
        <v>78</v>
      </c>
      <c r="AS157" s="62">
        <v>195</v>
      </c>
      <c r="AT157" s="62">
        <v>46</v>
      </c>
      <c r="AU157" s="62">
        <v>241</v>
      </c>
      <c r="AV157" s="62">
        <v>301.25</v>
      </c>
      <c r="AW157" s="47" t="s">
        <v>74</v>
      </c>
      <c r="AX157" s="64">
        <v>45149</v>
      </c>
      <c r="AY157" s="64" t="s">
        <v>3741</v>
      </c>
      <c r="BA157" s="64"/>
      <c r="BB157" s="64"/>
      <c r="BC157" s="64"/>
      <c r="BD157" s="70" t="s">
        <v>3742</v>
      </c>
      <c r="BE157" s="46" t="e">
        <v>#REF!</v>
      </c>
      <c r="BF157" s="46" t="s">
        <v>79</v>
      </c>
      <c r="BG157" s="65">
        <v>0.5</v>
      </c>
      <c r="BH157" s="66"/>
      <c r="BI157" s="63" t="s">
        <v>3743</v>
      </c>
    </row>
    <row r="158" spans="1:61" ht="38.25" x14ac:dyDescent="0.2">
      <c r="A158" s="45" t="s">
        <v>3744</v>
      </c>
      <c r="B158" s="46"/>
      <c r="C158" s="46" t="s">
        <v>3717</v>
      </c>
      <c r="D158" s="46" t="s">
        <v>3733</v>
      </c>
      <c r="E158" s="46" t="s">
        <v>3719</v>
      </c>
      <c r="F158" s="46" t="s">
        <v>3745</v>
      </c>
      <c r="G158" s="46" t="s">
        <v>3746</v>
      </c>
      <c r="H158" s="46" t="s">
        <v>3722</v>
      </c>
      <c r="I158" s="46" t="s">
        <v>68</v>
      </c>
      <c r="J158" s="46" t="s">
        <v>71</v>
      </c>
      <c r="K158" s="47">
        <v>170</v>
      </c>
      <c r="L158" s="47">
        <v>60</v>
      </c>
      <c r="M158" s="47">
        <v>230</v>
      </c>
      <c r="N158" s="46"/>
      <c r="O158" s="71" t="s">
        <v>68</v>
      </c>
      <c r="P158" s="64"/>
      <c r="Q158" s="46" t="s">
        <v>3013</v>
      </c>
      <c r="R158" s="46" t="s">
        <v>3679</v>
      </c>
      <c r="S158" s="49">
        <v>57.5</v>
      </c>
      <c r="T158" s="49">
        <v>287.5</v>
      </c>
      <c r="U158" s="67">
        <v>0.38695652173913042</v>
      </c>
      <c r="V158" s="50">
        <v>0.18936170212765957</v>
      </c>
      <c r="W158" s="51">
        <v>0.35294117647058826</v>
      </c>
      <c r="X158" s="52">
        <v>28.75</v>
      </c>
      <c r="Y158" s="52">
        <v>30</v>
      </c>
      <c r="Z158" s="52">
        <v>117.5</v>
      </c>
      <c r="AA158" s="52">
        <v>176.25</v>
      </c>
      <c r="AB158" s="53">
        <v>0.61304347826086958</v>
      </c>
      <c r="AC158" s="54">
        <v>111.25</v>
      </c>
      <c r="AD158" s="55">
        <v>0.38695652173913042</v>
      </c>
      <c r="AE158" s="69">
        <v>1</v>
      </c>
      <c r="AF158" s="57" t="s">
        <v>77</v>
      </c>
      <c r="AG158" s="58">
        <v>34</v>
      </c>
      <c r="AH158" s="58">
        <v>60</v>
      </c>
      <c r="AI158" s="58">
        <v>94</v>
      </c>
      <c r="AJ158" s="49">
        <v>23.5</v>
      </c>
      <c r="AK158" s="49">
        <v>117.5</v>
      </c>
      <c r="AL158" s="52">
        <v>11.75</v>
      </c>
      <c r="AM158" s="52">
        <v>83.5</v>
      </c>
      <c r="AN158" s="52">
        <v>95.25</v>
      </c>
      <c r="AO158" s="59">
        <v>0.81063829787234043</v>
      </c>
      <c r="AP158" s="60">
        <v>22.25</v>
      </c>
      <c r="AQ158" s="61">
        <v>0.18936170212765957</v>
      </c>
      <c r="AR158" s="60" t="s">
        <v>73</v>
      </c>
      <c r="AS158" s="62">
        <v>221</v>
      </c>
      <c r="AT158" s="62">
        <v>78</v>
      </c>
      <c r="AU158" s="62">
        <v>299</v>
      </c>
      <c r="AV158" s="62">
        <v>373.75</v>
      </c>
      <c r="AW158" s="47" t="s">
        <v>74</v>
      </c>
      <c r="AX158" s="64">
        <v>45149</v>
      </c>
      <c r="AY158" s="64" t="s">
        <v>3747</v>
      </c>
      <c r="BA158" s="64"/>
      <c r="BB158" s="64"/>
      <c r="BC158" s="64"/>
      <c r="BD158" s="70" t="s">
        <v>3748</v>
      </c>
      <c r="BE158" s="46" t="e">
        <v>#REF!</v>
      </c>
      <c r="BF158" s="46" t="s">
        <v>79</v>
      </c>
      <c r="BG158" s="65">
        <v>0.5</v>
      </c>
      <c r="BH158" s="66"/>
      <c r="BI158" s="63" t="s">
        <v>3749</v>
      </c>
    </row>
    <row r="159" spans="1:61" ht="38.25" x14ac:dyDescent="0.2">
      <c r="A159" s="45" t="s">
        <v>3750</v>
      </c>
      <c r="B159" s="46"/>
      <c r="C159" s="46" t="s">
        <v>3717</v>
      </c>
      <c r="D159" s="46" t="s">
        <v>3733</v>
      </c>
      <c r="E159" s="46" t="s">
        <v>3719</v>
      </c>
      <c r="F159" s="46" t="s">
        <v>3728</v>
      </c>
      <c r="G159" s="46" t="s">
        <v>3751</v>
      </c>
      <c r="H159" s="46" t="s">
        <v>3722</v>
      </c>
      <c r="I159" s="46" t="s">
        <v>68</v>
      </c>
      <c r="J159" s="46" t="s">
        <v>71</v>
      </c>
      <c r="K159" s="47">
        <v>170</v>
      </c>
      <c r="L159" s="47">
        <v>80</v>
      </c>
      <c r="M159" s="47">
        <v>250</v>
      </c>
      <c r="N159" s="46"/>
      <c r="O159" s="71" t="s">
        <v>68</v>
      </c>
      <c r="P159" s="64"/>
      <c r="Q159" s="46" t="s">
        <v>3013</v>
      </c>
      <c r="R159" s="46" t="s">
        <v>3679</v>
      </c>
      <c r="S159" s="49">
        <v>62.5</v>
      </c>
      <c r="T159" s="49">
        <v>312.5</v>
      </c>
      <c r="U159" s="67">
        <v>0.34799999999999998</v>
      </c>
      <c r="V159" s="50">
        <v>0.13859649122807016</v>
      </c>
      <c r="W159" s="51">
        <v>0.47058823529411764</v>
      </c>
      <c r="X159" s="52">
        <v>31.25</v>
      </c>
      <c r="Y159" s="52">
        <v>30</v>
      </c>
      <c r="Z159" s="52">
        <v>142.5</v>
      </c>
      <c r="AA159" s="52">
        <v>203.75</v>
      </c>
      <c r="AB159" s="53">
        <v>0.65200000000000002</v>
      </c>
      <c r="AC159" s="54">
        <v>108.75</v>
      </c>
      <c r="AD159" s="55">
        <v>0.34799999999999998</v>
      </c>
      <c r="AE159" s="69">
        <v>1</v>
      </c>
      <c r="AF159" s="57" t="s">
        <v>77</v>
      </c>
      <c r="AG159" s="58">
        <v>34</v>
      </c>
      <c r="AH159" s="58">
        <v>80</v>
      </c>
      <c r="AI159" s="58">
        <v>114</v>
      </c>
      <c r="AJ159" s="49">
        <v>28.5</v>
      </c>
      <c r="AK159" s="49">
        <v>142.5</v>
      </c>
      <c r="AL159" s="52">
        <v>14.25</v>
      </c>
      <c r="AM159" s="52">
        <v>108.5</v>
      </c>
      <c r="AN159" s="52">
        <v>122.75</v>
      </c>
      <c r="AO159" s="59">
        <v>0.86140350877192984</v>
      </c>
      <c r="AP159" s="60">
        <v>19.75</v>
      </c>
      <c r="AQ159" s="61">
        <v>0.13859649122807016</v>
      </c>
      <c r="AR159" s="60" t="s">
        <v>73</v>
      </c>
      <c r="AS159" s="62">
        <v>221</v>
      </c>
      <c r="AT159" s="62">
        <v>104</v>
      </c>
      <c r="AU159" s="62">
        <v>325</v>
      </c>
      <c r="AV159" s="62">
        <v>406.25</v>
      </c>
      <c r="AW159" s="47" t="s">
        <v>74</v>
      </c>
      <c r="AX159" s="64">
        <v>45149</v>
      </c>
      <c r="AY159" s="64" t="s">
        <v>3752</v>
      </c>
      <c r="BA159" s="64"/>
      <c r="BB159" s="64"/>
      <c r="BC159" s="64"/>
      <c r="BD159" s="70" t="s">
        <v>3753</v>
      </c>
      <c r="BE159" s="46" t="e">
        <v>#REF!</v>
      </c>
      <c r="BF159" s="46" t="s">
        <v>79</v>
      </c>
      <c r="BG159" s="65">
        <v>0.5</v>
      </c>
      <c r="BH159" s="66"/>
      <c r="BI159" s="63" t="s">
        <v>3754</v>
      </c>
    </row>
    <row r="160" spans="1:61" ht="38.25" x14ac:dyDescent="0.2">
      <c r="A160" s="45" t="s">
        <v>3755</v>
      </c>
      <c r="B160" s="46"/>
      <c r="C160" s="46" t="s">
        <v>3717</v>
      </c>
      <c r="D160" s="46" t="s">
        <v>3733</v>
      </c>
      <c r="E160" s="46" t="s">
        <v>3719</v>
      </c>
      <c r="F160" s="46" t="s">
        <v>3745</v>
      </c>
      <c r="G160" s="46" t="s">
        <v>3751</v>
      </c>
      <c r="H160" s="46" t="s">
        <v>3722</v>
      </c>
      <c r="I160" s="46" t="s">
        <v>68</v>
      </c>
      <c r="J160" s="46" t="s">
        <v>71</v>
      </c>
      <c r="K160" s="47">
        <v>170</v>
      </c>
      <c r="L160" s="47">
        <v>125</v>
      </c>
      <c r="M160" s="47">
        <v>295</v>
      </c>
      <c r="N160" s="46"/>
      <c r="O160" s="71" t="s">
        <v>68</v>
      </c>
      <c r="P160" s="64"/>
      <c r="Q160" s="46" t="s">
        <v>3013</v>
      </c>
      <c r="R160" s="46" t="s">
        <v>3679</v>
      </c>
      <c r="S160" s="49">
        <v>73.75</v>
      </c>
      <c r="T160" s="49">
        <v>368.75</v>
      </c>
      <c r="U160" s="28">
        <v>0.27966101694915252</v>
      </c>
      <c r="V160" s="50">
        <v>7.1069182389937105E-2</v>
      </c>
      <c r="W160" s="51">
        <v>0.73529411764705888</v>
      </c>
      <c r="X160" s="52">
        <v>36.875</v>
      </c>
      <c r="Y160" s="52">
        <v>30</v>
      </c>
      <c r="Z160" s="52">
        <v>198.75</v>
      </c>
      <c r="AA160" s="52">
        <v>265.625</v>
      </c>
      <c r="AB160" s="53">
        <v>0.72033898305084743</v>
      </c>
      <c r="AC160" s="54">
        <v>103.125</v>
      </c>
      <c r="AD160" s="55">
        <v>0.27966101694915252</v>
      </c>
      <c r="AE160" s="69">
        <v>1</v>
      </c>
      <c r="AF160" s="57" t="s">
        <v>77</v>
      </c>
      <c r="AG160" s="58">
        <v>34</v>
      </c>
      <c r="AH160" s="58">
        <v>125</v>
      </c>
      <c r="AI160" s="58">
        <v>159</v>
      </c>
      <c r="AJ160" s="49">
        <v>39.75</v>
      </c>
      <c r="AK160" s="49">
        <v>198.75</v>
      </c>
      <c r="AL160" s="52">
        <v>19.875</v>
      </c>
      <c r="AM160" s="52">
        <v>164.75</v>
      </c>
      <c r="AN160" s="52">
        <v>184.625</v>
      </c>
      <c r="AO160" s="59">
        <v>0.92893081761006291</v>
      </c>
      <c r="AP160" s="60">
        <v>14.125</v>
      </c>
      <c r="AQ160" s="61">
        <v>7.1069182389937105E-2</v>
      </c>
      <c r="AR160" s="60" t="s">
        <v>73</v>
      </c>
      <c r="AS160" s="62">
        <v>221</v>
      </c>
      <c r="AT160" s="62">
        <v>163</v>
      </c>
      <c r="AU160" s="62">
        <v>384</v>
      </c>
      <c r="AV160" s="62">
        <v>480</v>
      </c>
      <c r="AW160" s="47" t="s">
        <v>74</v>
      </c>
      <c r="AX160" s="64">
        <v>45149</v>
      </c>
      <c r="AY160" s="64" t="s">
        <v>3756</v>
      </c>
      <c r="BA160" s="64"/>
      <c r="BB160" s="64"/>
      <c r="BC160" s="64"/>
      <c r="BD160" s="70" t="s">
        <v>3757</v>
      </c>
      <c r="BE160" s="46" t="e">
        <v>#REF!</v>
      </c>
      <c r="BF160" s="46" t="s">
        <v>79</v>
      </c>
      <c r="BG160" s="65">
        <v>0.5</v>
      </c>
      <c r="BH160" s="66"/>
      <c r="BI160" s="63" t="s">
        <v>3758</v>
      </c>
    </row>
    <row r="161" spans="1:61" ht="38.25" x14ac:dyDescent="0.2">
      <c r="A161" s="45" t="s">
        <v>3759</v>
      </c>
      <c r="B161" s="46"/>
      <c r="C161" s="46" t="s">
        <v>3760</v>
      </c>
      <c r="D161" s="46" t="s">
        <v>3761</v>
      </c>
      <c r="E161" s="46" t="s">
        <v>3762</v>
      </c>
      <c r="F161" s="46" t="s">
        <v>3763</v>
      </c>
      <c r="G161" s="46" t="s">
        <v>68</v>
      </c>
      <c r="H161" s="46" t="s">
        <v>68</v>
      </c>
      <c r="I161" s="46" t="s">
        <v>445</v>
      </c>
      <c r="J161" s="46" t="s">
        <v>71</v>
      </c>
      <c r="K161" s="47">
        <v>140</v>
      </c>
      <c r="L161" s="47">
        <v>10</v>
      </c>
      <c r="M161" s="47">
        <v>150</v>
      </c>
      <c r="N161" s="46"/>
      <c r="O161" s="71" t="s">
        <v>68</v>
      </c>
      <c r="P161" s="64"/>
      <c r="Q161" s="46" t="s">
        <v>3013</v>
      </c>
      <c r="R161" s="46" t="s">
        <v>3679</v>
      </c>
      <c r="S161" s="49">
        <v>37.5</v>
      </c>
      <c r="T161" s="49">
        <v>187.5</v>
      </c>
      <c r="U161" s="67">
        <v>0.48666666666666669</v>
      </c>
      <c r="V161" s="67">
        <v>0.6</v>
      </c>
      <c r="W161" s="51">
        <v>7.1428571428571425E-2</v>
      </c>
      <c r="X161" s="52">
        <v>18.75</v>
      </c>
      <c r="Y161" s="52">
        <v>30</v>
      </c>
      <c r="Z161" s="52">
        <v>47.5</v>
      </c>
      <c r="AA161" s="52">
        <v>96.25</v>
      </c>
      <c r="AB161" s="53">
        <v>0.51333333333333331</v>
      </c>
      <c r="AC161" s="54">
        <v>91.25</v>
      </c>
      <c r="AD161" s="55">
        <v>0.48666666666666669</v>
      </c>
      <c r="AE161" s="56">
        <v>2</v>
      </c>
      <c r="AF161" s="57" t="s">
        <v>72</v>
      </c>
      <c r="AG161" s="58">
        <v>70</v>
      </c>
      <c r="AH161" s="58">
        <v>10</v>
      </c>
      <c r="AI161" s="58">
        <v>80</v>
      </c>
      <c r="AJ161" s="49">
        <v>20</v>
      </c>
      <c r="AK161" s="49">
        <v>100</v>
      </c>
      <c r="AL161" s="52">
        <v>10</v>
      </c>
      <c r="AM161" s="52">
        <v>30</v>
      </c>
      <c r="AN161" s="52">
        <v>40</v>
      </c>
      <c r="AO161" s="59">
        <v>0.4</v>
      </c>
      <c r="AP161" s="60">
        <v>60</v>
      </c>
      <c r="AQ161" s="61">
        <v>0.6</v>
      </c>
      <c r="AR161" s="60" t="s">
        <v>78</v>
      </c>
      <c r="AS161" s="62">
        <v>210</v>
      </c>
      <c r="AT161" s="62">
        <v>15</v>
      </c>
      <c r="AU161" s="62">
        <v>225</v>
      </c>
      <c r="AV161" s="62">
        <v>281.25</v>
      </c>
      <c r="AW161" s="47" t="s">
        <v>74</v>
      </c>
      <c r="AX161" s="64">
        <v>45149</v>
      </c>
      <c r="AY161" s="64" t="s">
        <v>3764</v>
      </c>
      <c r="BA161" s="64"/>
      <c r="BB161" s="64"/>
      <c r="BC161" s="64"/>
      <c r="BD161" s="70" t="s">
        <v>3765</v>
      </c>
      <c r="BE161" s="46" t="e">
        <v>#REF!</v>
      </c>
      <c r="BF161" s="46" t="s">
        <v>79</v>
      </c>
      <c r="BG161" s="65">
        <v>0.5</v>
      </c>
      <c r="BH161" s="66" t="s">
        <v>3766</v>
      </c>
      <c r="BI161" s="63" t="s">
        <v>3767</v>
      </c>
    </row>
    <row r="162" spans="1:61" ht="38.25" x14ac:dyDescent="0.2">
      <c r="A162" s="45" t="s">
        <v>3768</v>
      </c>
      <c r="B162" s="46"/>
      <c r="C162" s="46" t="s">
        <v>3760</v>
      </c>
      <c r="D162" s="46" t="s">
        <v>3761</v>
      </c>
      <c r="E162" s="46" t="s">
        <v>3762</v>
      </c>
      <c r="F162" s="46" t="s">
        <v>3763</v>
      </c>
      <c r="G162" s="46" t="s">
        <v>68</v>
      </c>
      <c r="H162" s="46" t="s">
        <v>68</v>
      </c>
      <c r="I162" s="46" t="s">
        <v>449</v>
      </c>
      <c r="J162" s="46" t="s">
        <v>71</v>
      </c>
      <c r="K162" s="47">
        <v>140</v>
      </c>
      <c r="L162" s="47">
        <v>25</v>
      </c>
      <c r="M162" s="47">
        <v>165</v>
      </c>
      <c r="N162" s="46"/>
      <c r="O162" s="71" t="s">
        <v>68</v>
      </c>
      <c r="P162" s="64"/>
      <c r="Q162" s="46" t="s">
        <v>3013</v>
      </c>
      <c r="R162" s="46" t="s">
        <v>3679</v>
      </c>
      <c r="S162" s="49">
        <v>41.25</v>
      </c>
      <c r="T162" s="49">
        <v>206.25</v>
      </c>
      <c r="U162" s="67">
        <v>0.43333333333333335</v>
      </c>
      <c r="V162" s="67">
        <v>0.48947368421052634</v>
      </c>
      <c r="W162" s="51">
        <v>0.17857142857142858</v>
      </c>
      <c r="X162" s="52">
        <v>20.625</v>
      </c>
      <c r="Y162" s="52">
        <v>30</v>
      </c>
      <c r="Z162" s="52">
        <v>66.25</v>
      </c>
      <c r="AA162" s="52">
        <v>116.875</v>
      </c>
      <c r="AB162" s="53">
        <v>0.56666666666666665</v>
      </c>
      <c r="AC162" s="68">
        <v>89.375</v>
      </c>
      <c r="AD162" s="55">
        <v>0.43333333333333335</v>
      </c>
      <c r="AE162" s="56">
        <v>2</v>
      </c>
      <c r="AF162" s="57" t="s">
        <v>72</v>
      </c>
      <c r="AG162" s="58">
        <v>70</v>
      </c>
      <c r="AH162" s="58">
        <v>25</v>
      </c>
      <c r="AI162" s="58">
        <v>95</v>
      </c>
      <c r="AJ162" s="49">
        <v>23.75</v>
      </c>
      <c r="AK162" s="49">
        <v>118.75</v>
      </c>
      <c r="AL162" s="52">
        <v>11.875</v>
      </c>
      <c r="AM162" s="52">
        <v>48.75</v>
      </c>
      <c r="AN162" s="52">
        <v>60.625</v>
      </c>
      <c r="AO162" s="59">
        <v>0.51052631578947372</v>
      </c>
      <c r="AP162" s="60">
        <v>58.125</v>
      </c>
      <c r="AQ162" s="61">
        <v>0.48947368421052634</v>
      </c>
      <c r="AR162" s="60" t="s">
        <v>78</v>
      </c>
      <c r="AS162" s="62">
        <v>210</v>
      </c>
      <c r="AT162" s="62">
        <v>38</v>
      </c>
      <c r="AU162" s="62">
        <v>248</v>
      </c>
      <c r="AV162" s="62">
        <v>310</v>
      </c>
      <c r="AW162" s="47" t="s">
        <v>74</v>
      </c>
      <c r="AX162" s="64">
        <v>45149</v>
      </c>
      <c r="AY162" s="64" t="s">
        <v>3769</v>
      </c>
      <c r="BA162" s="64"/>
      <c r="BB162" s="64"/>
      <c r="BC162" s="64"/>
      <c r="BD162" s="70" t="s">
        <v>3770</v>
      </c>
      <c r="BE162" s="46" t="e">
        <v>#REF!</v>
      </c>
      <c r="BF162" s="46" t="s">
        <v>79</v>
      </c>
      <c r="BG162" s="65">
        <v>0.5</v>
      </c>
      <c r="BH162" s="66" t="s">
        <v>3771</v>
      </c>
      <c r="BI162" s="63" t="s">
        <v>3772</v>
      </c>
    </row>
    <row r="163" spans="1:61" ht="76.5" x14ac:dyDescent="0.2">
      <c r="A163" s="45" t="s">
        <v>3773</v>
      </c>
      <c r="B163" s="46"/>
      <c r="C163" s="46" t="s">
        <v>3774</v>
      </c>
      <c r="D163" s="46" t="s">
        <v>2742</v>
      </c>
      <c r="E163" s="46"/>
      <c r="F163" s="46"/>
      <c r="G163" s="46"/>
      <c r="H163" s="46"/>
      <c r="I163" s="46"/>
      <c r="J163" s="46" t="s">
        <v>71</v>
      </c>
      <c r="K163" s="47">
        <v>500</v>
      </c>
      <c r="L163" s="47">
        <f>L165*2+L166+L168</f>
        <v>380</v>
      </c>
      <c r="M163" s="47">
        <v>880</v>
      </c>
      <c r="N163" s="46"/>
      <c r="O163" s="71" t="s">
        <v>3775</v>
      </c>
      <c r="P163" s="46" t="s">
        <v>3776</v>
      </c>
      <c r="Q163" s="46" t="s">
        <v>3013</v>
      </c>
      <c r="R163" s="46" t="s">
        <v>3679</v>
      </c>
      <c r="S163" s="49">
        <v>220</v>
      </c>
      <c r="T163" s="49">
        <v>1100</v>
      </c>
      <c r="U163" s="67">
        <v>0.32727272727272727</v>
      </c>
      <c r="V163" s="67">
        <v>0.35454545454545455</v>
      </c>
      <c r="W163" s="51">
        <v>0.76</v>
      </c>
      <c r="X163" s="52">
        <v>110</v>
      </c>
      <c r="Y163" s="52">
        <v>30</v>
      </c>
      <c r="Z163" s="52">
        <v>600</v>
      </c>
      <c r="AA163" s="52">
        <v>740</v>
      </c>
      <c r="AB163" s="53">
        <v>0.67272727272727273</v>
      </c>
      <c r="AC163" s="72">
        <v>360</v>
      </c>
      <c r="AD163" s="55">
        <v>0.32727272727272727</v>
      </c>
      <c r="AE163" s="73">
        <v>3</v>
      </c>
      <c r="AF163" s="57" t="s">
        <v>95</v>
      </c>
      <c r="AG163" s="58">
        <v>500</v>
      </c>
      <c r="AH163" s="58">
        <v>380</v>
      </c>
      <c r="AI163" s="58">
        <v>880</v>
      </c>
      <c r="AJ163" s="49">
        <v>220</v>
      </c>
      <c r="AK163" s="49">
        <v>1100</v>
      </c>
      <c r="AL163" s="52">
        <v>110</v>
      </c>
      <c r="AM163" s="52">
        <v>600</v>
      </c>
      <c r="AN163" s="52">
        <v>710</v>
      </c>
      <c r="AO163" s="59">
        <v>0.6454545454545455</v>
      </c>
      <c r="AP163" s="60">
        <v>390</v>
      </c>
      <c r="AQ163" s="61">
        <v>0.35454545454545455</v>
      </c>
      <c r="AR163" s="60" t="s">
        <v>78</v>
      </c>
      <c r="AS163" s="62">
        <v>800</v>
      </c>
      <c r="AT163" s="62">
        <v>608</v>
      </c>
      <c r="AU163" s="62">
        <v>1408</v>
      </c>
      <c r="AV163" s="62">
        <v>1760</v>
      </c>
      <c r="AW163" s="47" t="s">
        <v>74</v>
      </c>
      <c r="AX163" s="64">
        <v>45280</v>
      </c>
      <c r="AY163" s="64" t="s">
        <v>3777</v>
      </c>
      <c r="BA163" s="46" t="s">
        <v>74</v>
      </c>
      <c r="BB163" s="26"/>
      <c r="BC163" s="26"/>
      <c r="BD163" s="46"/>
      <c r="BE163" s="46" t="e">
        <v>#REF!</v>
      </c>
      <c r="BF163" s="46" t="s">
        <v>79</v>
      </c>
      <c r="BG163" s="65">
        <v>1</v>
      </c>
      <c r="BH163" s="66"/>
      <c r="BI163" s="63" t="s">
        <v>3778</v>
      </c>
    </row>
    <row r="164" spans="1:61" ht="76.5" x14ac:dyDescent="0.2">
      <c r="A164" s="45" t="s">
        <v>3779</v>
      </c>
      <c r="B164" s="46"/>
      <c r="C164" s="46" t="s">
        <v>3774</v>
      </c>
      <c r="D164" s="46" t="s">
        <v>3780</v>
      </c>
      <c r="E164" s="46"/>
      <c r="F164" s="46"/>
      <c r="G164" s="46"/>
      <c r="H164" s="46"/>
      <c r="I164" s="46"/>
      <c r="J164" s="46" t="s">
        <v>71</v>
      </c>
      <c r="K164" s="47">
        <v>600</v>
      </c>
      <c r="L164" s="47">
        <f>L165*3+L167+L169</f>
        <v>580</v>
      </c>
      <c r="M164" s="47">
        <v>1180</v>
      </c>
      <c r="N164" s="46"/>
      <c r="O164" s="71" t="s">
        <v>3781</v>
      </c>
      <c r="P164" s="46" t="s">
        <v>3776</v>
      </c>
      <c r="Q164" s="46" t="s">
        <v>3013</v>
      </c>
      <c r="R164" s="46" t="s">
        <v>3679</v>
      </c>
      <c r="S164" s="49">
        <v>295</v>
      </c>
      <c r="T164" s="49">
        <v>1475</v>
      </c>
      <c r="U164" s="28">
        <v>0.28644067796610168</v>
      </c>
      <c r="V164" s="67">
        <v>0.30677966101694915</v>
      </c>
      <c r="W164" s="51">
        <v>0.96666666666666667</v>
      </c>
      <c r="X164" s="52">
        <v>147.5</v>
      </c>
      <c r="Y164" s="52">
        <v>30</v>
      </c>
      <c r="Z164" s="52">
        <v>875</v>
      </c>
      <c r="AA164" s="52">
        <v>1052.5</v>
      </c>
      <c r="AB164" s="53">
        <v>0.71355932203389827</v>
      </c>
      <c r="AC164" s="72">
        <v>422.5</v>
      </c>
      <c r="AD164" s="55">
        <v>0.28644067796610168</v>
      </c>
      <c r="AE164" s="73">
        <v>3</v>
      </c>
      <c r="AF164" s="57" t="s">
        <v>95</v>
      </c>
      <c r="AG164" s="58">
        <v>600</v>
      </c>
      <c r="AH164" s="58">
        <v>580</v>
      </c>
      <c r="AI164" s="58">
        <v>1180</v>
      </c>
      <c r="AJ164" s="49">
        <v>295</v>
      </c>
      <c r="AK164" s="49">
        <v>1475</v>
      </c>
      <c r="AL164" s="52">
        <v>147.5</v>
      </c>
      <c r="AM164" s="52">
        <v>875</v>
      </c>
      <c r="AN164" s="52">
        <v>1022.5</v>
      </c>
      <c r="AO164" s="59">
        <v>0.6932203389830508</v>
      </c>
      <c r="AP164" s="60">
        <v>452.5</v>
      </c>
      <c r="AQ164" s="61">
        <v>0.30677966101694915</v>
      </c>
      <c r="AR164" s="60" t="s">
        <v>78</v>
      </c>
      <c r="AS164" s="62">
        <v>960</v>
      </c>
      <c r="AT164" s="62">
        <v>928</v>
      </c>
      <c r="AU164" s="62">
        <v>1888</v>
      </c>
      <c r="AV164" s="62">
        <v>2360</v>
      </c>
      <c r="AW164" s="47" t="s">
        <v>74</v>
      </c>
      <c r="AX164" s="64">
        <v>45280</v>
      </c>
      <c r="AY164" s="64" t="s">
        <v>3782</v>
      </c>
      <c r="BA164" s="46" t="s">
        <v>74</v>
      </c>
      <c r="BB164" s="26"/>
      <c r="BC164" s="26"/>
      <c r="BD164" s="46"/>
      <c r="BE164" s="46" t="e">
        <v>#REF!</v>
      </c>
      <c r="BF164" s="46" t="s">
        <v>79</v>
      </c>
      <c r="BG164" s="65">
        <v>1</v>
      </c>
      <c r="BH164" s="66"/>
      <c r="BI164" s="63" t="s">
        <v>3783</v>
      </c>
    </row>
    <row r="165" spans="1:61" ht="63.75" x14ac:dyDescent="0.2">
      <c r="A165" s="45" t="s">
        <v>3784</v>
      </c>
      <c r="B165" s="46"/>
      <c r="C165" s="46" t="s">
        <v>3785</v>
      </c>
      <c r="D165" s="46" t="s">
        <v>2157</v>
      </c>
      <c r="E165" s="46"/>
      <c r="F165" s="46"/>
      <c r="G165" s="46"/>
      <c r="H165" s="46"/>
      <c r="I165" s="46"/>
      <c r="J165" s="46" t="s">
        <v>71</v>
      </c>
      <c r="K165" s="47">
        <v>200</v>
      </c>
      <c r="L165" s="47">
        <v>100</v>
      </c>
      <c r="M165" s="47">
        <v>300</v>
      </c>
      <c r="N165" s="46"/>
      <c r="O165" s="71" t="s">
        <v>3786</v>
      </c>
      <c r="P165" s="46" t="s">
        <v>3787</v>
      </c>
      <c r="Q165" s="46" t="s">
        <v>3013</v>
      </c>
      <c r="R165" s="46" t="s">
        <v>3679</v>
      </c>
      <c r="S165" s="49">
        <v>75</v>
      </c>
      <c r="T165" s="49">
        <v>375</v>
      </c>
      <c r="U165" s="67">
        <v>0.35333333333333333</v>
      </c>
      <c r="V165" s="67">
        <v>0.43333333333333335</v>
      </c>
      <c r="W165" s="51">
        <v>0.5</v>
      </c>
      <c r="X165" s="52">
        <v>37.5</v>
      </c>
      <c r="Y165" s="52">
        <v>30</v>
      </c>
      <c r="Z165" s="52">
        <v>175</v>
      </c>
      <c r="AA165" s="52">
        <v>242.5</v>
      </c>
      <c r="AB165" s="53">
        <v>0.64666666666666661</v>
      </c>
      <c r="AC165" s="72">
        <v>132.5</v>
      </c>
      <c r="AD165" s="55">
        <v>0.35333333333333333</v>
      </c>
      <c r="AE165" s="73">
        <v>3</v>
      </c>
      <c r="AF165" s="57" t="s">
        <v>95</v>
      </c>
      <c r="AG165" s="58">
        <v>200</v>
      </c>
      <c r="AH165" s="58">
        <v>100</v>
      </c>
      <c r="AI165" s="58">
        <v>300</v>
      </c>
      <c r="AJ165" s="49">
        <v>75</v>
      </c>
      <c r="AK165" s="49">
        <v>375</v>
      </c>
      <c r="AL165" s="52">
        <v>37.5</v>
      </c>
      <c r="AM165" s="52">
        <v>175</v>
      </c>
      <c r="AN165" s="52">
        <v>212.5</v>
      </c>
      <c r="AO165" s="59">
        <v>0.56666666666666665</v>
      </c>
      <c r="AP165" s="60">
        <v>162.5</v>
      </c>
      <c r="AQ165" s="61">
        <v>0.43333333333333335</v>
      </c>
      <c r="AR165" s="60" t="s">
        <v>78</v>
      </c>
      <c r="AS165" s="62">
        <v>320</v>
      </c>
      <c r="AT165" s="62">
        <v>160</v>
      </c>
      <c r="AU165" s="62">
        <v>480</v>
      </c>
      <c r="AV165" s="62">
        <v>600</v>
      </c>
      <c r="AW165" s="47" t="s">
        <v>74</v>
      </c>
      <c r="AX165" s="64">
        <v>45280</v>
      </c>
      <c r="AY165" s="64" t="s">
        <v>3788</v>
      </c>
      <c r="BA165" s="46" t="s">
        <v>74</v>
      </c>
      <c r="BB165" s="26"/>
      <c r="BC165" s="26"/>
      <c r="BD165" s="46"/>
      <c r="BE165" s="46" t="e">
        <v>#REF!</v>
      </c>
      <c r="BF165" s="46" t="s">
        <v>79</v>
      </c>
      <c r="BG165" s="65">
        <v>0.5</v>
      </c>
      <c r="BH165" s="66"/>
      <c r="BI165" s="63" t="s">
        <v>3789</v>
      </c>
    </row>
    <row r="166" spans="1:61" ht="63.75" x14ac:dyDescent="0.2">
      <c r="A166" s="45" t="s">
        <v>3790</v>
      </c>
      <c r="B166" s="46"/>
      <c r="C166" s="46" t="s">
        <v>3791</v>
      </c>
      <c r="D166" s="46" t="s">
        <v>2742</v>
      </c>
      <c r="E166" s="46"/>
      <c r="F166" s="46"/>
      <c r="G166" s="46"/>
      <c r="H166" s="46"/>
      <c r="I166" s="46"/>
      <c r="J166" s="46" t="s">
        <v>71</v>
      </c>
      <c r="K166" s="47">
        <v>250</v>
      </c>
      <c r="L166" s="47">
        <v>100</v>
      </c>
      <c r="M166" s="47">
        <v>350</v>
      </c>
      <c r="N166" s="46"/>
      <c r="O166" s="71" t="s">
        <v>3792</v>
      </c>
      <c r="P166" s="46" t="s">
        <v>3793</v>
      </c>
      <c r="Q166" s="46" t="s">
        <v>3013</v>
      </c>
      <c r="R166" s="46" t="s">
        <v>3679</v>
      </c>
      <c r="S166" s="49">
        <v>87.5</v>
      </c>
      <c r="T166" s="49">
        <v>437.5</v>
      </c>
      <c r="U166" s="67">
        <v>0.40285714285714286</v>
      </c>
      <c r="V166" s="67">
        <v>0.47142857142857142</v>
      </c>
      <c r="W166" s="51">
        <v>0.4</v>
      </c>
      <c r="X166" s="52">
        <v>43.75</v>
      </c>
      <c r="Y166" s="52">
        <v>30</v>
      </c>
      <c r="Z166" s="52">
        <v>187.5</v>
      </c>
      <c r="AA166" s="52">
        <v>261.25</v>
      </c>
      <c r="AB166" s="53">
        <v>0.5971428571428572</v>
      </c>
      <c r="AC166" s="72">
        <v>176.25</v>
      </c>
      <c r="AD166" s="55">
        <v>0.40285714285714286</v>
      </c>
      <c r="AE166" s="73">
        <v>3</v>
      </c>
      <c r="AF166" s="57" t="s">
        <v>95</v>
      </c>
      <c r="AG166" s="58">
        <v>250</v>
      </c>
      <c r="AH166" s="58">
        <v>100</v>
      </c>
      <c r="AI166" s="58">
        <v>350</v>
      </c>
      <c r="AJ166" s="49">
        <v>87.5</v>
      </c>
      <c r="AK166" s="49">
        <v>437.5</v>
      </c>
      <c r="AL166" s="52">
        <v>43.75</v>
      </c>
      <c r="AM166" s="52">
        <v>187.5</v>
      </c>
      <c r="AN166" s="52">
        <v>231.25</v>
      </c>
      <c r="AO166" s="59">
        <v>0.52857142857142858</v>
      </c>
      <c r="AP166" s="60">
        <v>206.25</v>
      </c>
      <c r="AQ166" s="61">
        <v>0.47142857142857142</v>
      </c>
      <c r="AR166" s="60" t="s">
        <v>78</v>
      </c>
      <c r="AS166" s="62">
        <v>400</v>
      </c>
      <c r="AT166" s="62">
        <v>160</v>
      </c>
      <c r="AU166" s="62">
        <v>560</v>
      </c>
      <c r="AV166" s="62">
        <v>700</v>
      </c>
      <c r="AW166" s="47" t="s">
        <v>74</v>
      </c>
      <c r="AX166" s="64">
        <v>45280</v>
      </c>
      <c r="AY166" s="64" t="s">
        <v>3794</v>
      </c>
      <c r="BA166" s="46" t="s">
        <v>74</v>
      </c>
      <c r="BB166" s="26"/>
      <c r="BC166" s="26"/>
      <c r="BD166" s="46"/>
      <c r="BE166" s="46" t="e">
        <v>#REF!</v>
      </c>
      <c r="BF166" s="46" t="s">
        <v>79</v>
      </c>
      <c r="BG166" s="65">
        <v>0.5</v>
      </c>
      <c r="BH166" s="66"/>
      <c r="BI166" s="63" t="s">
        <v>3795</v>
      </c>
    </row>
    <row r="167" spans="1:61" ht="63.75" x14ac:dyDescent="0.2">
      <c r="A167" s="45" t="s">
        <v>3796</v>
      </c>
      <c r="B167" s="46"/>
      <c r="C167" s="46" t="s">
        <v>3791</v>
      </c>
      <c r="D167" s="46" t="s">
        <v>3780</v>
      </c>
      <c r="E167" s="46"/>
      <c r="F167" s="46"/>
      <c r="G167" s="46"/>
      <c r="H167" s="46"/>
      <c r="I167" s="46"/>
      <c r="J167" s="46" t="s">
        <v>71</v>
      </c>
      <c r="K167" s="47">
        <v>250</v>
      </c>
      <c r="L167" s="47">
        <v>150</v>
      </c>
      <c r="M167" s="47">
        <v>400</v>
      </c>
      <c r="N167" s="46"/>
      <c r="O167" s="71" t="s">
        <v>3797</v>
      </c>
      <c r="P167" s="46" t="s">
        <v>3793</v>
      </c>
      <c r="Q167" s="46" t="s">
        <v>3013</v>
      </c>
      <c r="R167" s="46" t="s">
        <v>3679</v>
      </c>
      <c r="S167" s="49">
        <v>100</v>
      </c>
      <c r="T167" s="49">
        <v>500</v>
      </c>
      <c r="U167" s="67">
        <v>0.34</v>
      </c>
      <c r="V167" s="67">
        <v>0.4</v>
      </c>
      <c r="W167" s="51">
        <v>0.6</v>
      </c>
      <c r="X167" s="52">
        <v>50</v>
      </c>
      <c r="Y167" s="52">
        <v>30</v>
      </c>
      <c r="Z167" s="52">
        <v>250</v>
      </c>
      <c r="AA167" s="52">
        <v>330</v>
      </c>
      <c r="AB167" s="53">
        <v>0.66</v>
      </c>
      <c r="AC167" s="72">
        <v>170</v>
      </c>
      <c r="AD167" s="55">
        <v>0.34</v>
      </c>
      <c r="AE167" s="73">
        <v>3</v>
      </c>
      <c r="AF167" s="57" t="s">
        <v>95</v>
      </c>
      <c r="AG167" s="58">
        <v>250</v>
      </c>
      <c r="AH167" s="58">
        <v>150</v>
      </c>
      <c r="AI167" s="58">
        <v>400</v>
      </c>
      <c r="AJ167" s="49">
        <v>100</v>
      </c>
      <c r="AK167" s="49">
        <v>500</v>
      </c>
      <c r="AL167" s="52">
        <v>50</v>
      </c>
      <c r="AM167" s="52">
        <v>250</v>
      </c>
      <c r="AN167" s="52">
        <v>300</v>
      </c>
      <c r="AO167" s="59">
        <v>0.6</v>
      </c>
      <c r="AP167" s="60">
        <v>200</v>
      </c>
      <c r="AQ167" s="61">
        <v>0.4</v>
      </c>
      <c r="AR167" s="60" t="s">
        <v>78</v>
      </c>
      <c r="AS167" s="62">
        <v>400</v>
      </c>
      <c r="AT167" s="62">
        <v>240</v>
      </c>
      <c r="AU167" s="62">
        <v>640</v>
      </c>
      <c r="AV167" s="62">
        <v>800</v>
      </c>
      <c r="AW167" s="47" t="s">
        <v>74</v>
      </c>
      <c r="AX167" s="64">
        <v>45280</v>
      </c>
      <c r="AY167" s="64" t="s">
        <v>3798</v>
      </c>
      <c r="BA167" s="46" t="s">
        <v>74</v>
      </c>
      <c r="BB167" s="26"/>
      <c r="BC167" s="26"/>
      <c r="BD167" s="46"/>
      <c r="BE167" s="46" t="e">
        <v>#REF!</v>
      </c>
      <c r="BF167" s="46" t="s">
        <v>79</v>
      </c>
      <c r="BG167" s="65">
        <v>0.5</v>
      </c>
      <c r="BH167" s="66"/>
      <c r="BI167" s="63" t="s">
        <v>3799</v>
      </c>
    </row>
    <row r="168" spans="1:61" ht="63.75" x14ac:dyDescent="0.2">
      <c r="A168" s="45" t="s">
        <v>3800</v>
      </c>
      <c r="B168" s="46"/>
      <c r="C168" s="46" t="s">
        <v>3801</v>
      </c>
      <c r="D168" s="46" t="s">
        <v>2742</v>
      </c>
      <c r="E168" s="46"/>
      <c r="F168" s="46"/>
      <c r="G168" s="46"/>
      <c r="H168" s="46"/>
      <c r="I168" s="46"/>
      <c r="J168" s="46" t="s">
        <v>71</v>
      </c>
      <c r="K168" s="47">
        <v>250</v>
      </c>
      <c r="L168" s="47">
        <v>80</v>
      </c>
      <c r="M168" s="47">
        <v>330</v>
      </c>
      <c r="N168" s="46"/>
      <c r="O168" s="71" t="s">
        <v>3802</v>
      </c>
      <c r="P168" s="46" t="s">
        <v>3803</v>
      </c>
      <c r="Q168" s="46" t="s">
        <v>3013</v>
      </c>
      <c r="R168" s="46" t="s">
        <v>3679</v>
      </c>
      <c r="S168" s="49">
        <v>82.5</v>
      </c>
      <c r="T168" s="49">
        <v>412.5</v>
      </c>
      <c r="U168" s="67">
        <v>0.43333333333333335</v>
      </c>
      <c r="V168" s="67">
        <v>0.5060606060606061</v>
      </c>
      <c r="W168" s="51">
        <v>0.32</v>
      </c>
      <c r="X168" s="52">
        <v>41.25</v>
      </c>
      <c r="Y168" s="52">
        <v>30</v>
      </c>
      <c r="Z168" s="52">
        <v>162.5</v>
      </c>
      <c r="AA168" s="52">
        <v>233.75</v>
      </c>
      <c r="AB168" s="53">
        <v>0.56666666666666665</v>
      </c>
      <c r="AC168" s="72">
        <v>178.75</v>
      </c>
      <c r="AD168" s="55">
        <v>0.43333333333333335</v>
      </c>
      <c r="AE168" s="73">
        <v>3</v>
      </c>
      <c r="AF168" s="57" t="s">
        <v>95</v>
      </c>
      <c r="AG168" s="58">
        <v>250</v>
      </c>
      <c r="AH168" s="58">
        <v>80</v>
      </c>
      <c r="AI168" s="58">
        <v>330</v>
      </c>
      <c r="AJ168" s="49">
        <v>82.5</v>
      </c>
      <c r="AK168" s="49">
        <v>412.5</v>
      </c>
      <c r="AL168" s="52">
        <v>41.25</v>
      </c>
      <c r="AM168" s="52">
        <v>162.5</v>
      </c>
      <c r="AN168" s="52">
        <v>203.75</v>
      </c>
      <c r="AO168" s="59">
        <v>0.49393939393939396</v>
      </c>
      <c r="AP168" s="60">
        <v>208.75</v>
      </c>
      <c r="AQ168" s="61">
        <v>0.5060606060606061</v>
      </c>
      <c r="AR168" s="60" t="s">
        <v>78</v>
      </c>
      <c r="AS168" s="62">
        <v>400</v>
      </c>
      <c r="AT168" s="62">
        <v>128</v>
      </c>
      <c r="AU168" s="62">
        <v>528</v>
      </c>
      <c r="AV168" s="62">
        <v>660</v>
      </c>
      <c r="AW168" s="47" t="s">
        <v>74</v>
      </c>
      <c r="AX168" s="64">
        <v>45280</v>
      </c>
      <c r="AY168" s="64" t="s">
        <v>3804</v>
      </c>
      <c r="BA168" s="46" t="s">
        <v>74</v>
      </c>
      <c r="BB168" s="26"/>
      <c r="BC168" s="26"/>
      <c r="BD168" s="46"/>
      <c r="BE168" s="46" t="e">
        <v>#REF!</v>
      </c>
      <c r="BF168" s="46" t="s">
        <v>79</v>
      </c>
      <c r="BG168" s="65">
        <v>0.5</v>
      </c>
      <c r="BH168" s="66"/>
      <c r="BI168" s="63" t="s">
        <v>3805</v>
      </c>
    </row>
    <row r="169" spans="1:61" ht="63.75" x14ac:dyDescent="0.2">
      <c r="A169" s="45" t="s">
        <v>3806</v>
      </c>
      <c r="B169" s="46"/>
      <c r="C169" s="46" t="s">
        <v>3801</v>
      </c>
      <c r="D169" s="46" t="s">
        <v>3780</v>
      </c>
      <c r="E169" s="46"/>
      <c r="F169" s="46"/>
      <c r="G169" s="46"/>
      <c r="H169" s="46"/>
      <c r="I169" s="46"/>
      <c r="J169" s="46" t="s">
        <v>71</v>
      </c>
      <c r="K169" s="47">
        <v>250</v>
      </c>
      <c r="L169" s="47">
        <v>130</v>
      </c>
      <c r="M169" s="47">
        <v>380</v>
      </c>
      <c r="N169" s="46"/>
      <c r="O169" s="71" t="s">
        <v>3807</v>
      </c>
      <c r="P169" s="46" t="s">
        <v>3803</v>
      </c>
      <c r="Q169" s="46" t="s">
        <v>3013</v>
      </c>
      <c r="R169" s="46" t="s">
        <v>3679</v>
      </c>
      <c r="S169" s="49">
        <v>95</v>
      </c>
      <c r="T169" s="49">
        <v>475</v>
      </c>
      <c r="U169" s="67">
        <v>0.36315789473684212</v>
      </c>
      <c r="V169" s="67">
        <v>0.4263157894736842</v>
      </c>
      <c r="W169" s="51">
        <v>0.52</v>
      </c>
      <c r="X169" s="52">
        <v>47.5</v>
      </c>
      <c r="Y169" s="52">
        <v>30</v>
      </c>
      <c r="Z169" s="52">
        <v>225</v>
      </c>
      <c r="AA169" s="52">
        <v>302.5</v>
      </c>
      <c r="AB169" s="53">
        <v>0.63684210526315788</v>
      </c>
      <c r="AC169" s="72">
        <v>172.5</v>
      </c>
      <c r="AD169" s="55">
        <v>0.36315789473684212</v>
      </c>
      <c r="AE169" s="73">
        <v>3</v>
      </c>
      <c r="AF169" s="57" t="s">
        <v>95</v>
      </c>
      <c r="AG169" s="58">
        <v>250</v>
      </c>
      <c r="AH169" s="58">
        <v>130</v>
      </c>
      <c r="AI169" s="58">
        <v>380</v>
      </c>
      <c r="AJ169" s="49">
        <v>95</v>
      </c>
      <c r="AK169" s="49">
        <v>475</v>
      </c>
      <c r="AL169" s="52">
        <v>47.5</v>
      </c>
      <c r="AM169" s="52">
        <v>225</v>
      </c>
      <c r="AN169" s="52">
        <v>272.5</v>
      </c>
      <c r="AO169" s="59">
        <v>0.5736842105263158</v>
      </c>
      <c r="AP169" s="60">
        <v>202.5</v>
      </c>
      <c r="AQ169" s="61">
        <v>0.4263157894736842</v>
      </c>
      <c r="AR169" s="60" t="s">
        <v>78</v>
      </c>
      <c r="AS169" s="62">
        <v>400</v>
      </c>
      <c r="AT169" s="62">
        <v>208</v>
      </c>
      <c r="AU169" s="62">
        <v>608</v>
      </c>
      <c r="AV169" s="62">
        <v>760</v>
      </c>
      <c r="AW169" s="47" t="s">
        <v>74</v>
      </c>
      <c r="AX169" s="64">
        <v>45280</v>
      </c>
      <c r="AY169" s="64" t="s">
        <v>3808</v>
      </c>
      <c r="BA169" s="46" t="s">
        <v>74</v>
      </c>
      <c r="BB169" s="26"/>
      <c r="BC169" s="26"/>
      <c r="BD169" s="46"/>
      <c r="BE169" s="46" t="e">
        <v>#REF!</v>
      </c>
      <c r="BF169" s="46" t="s">
        <v>79</v>
      </c>
      <c r="BG169" s="65">
        <v>0.5</v>
      </c>
      <c r="BH169" s="66"/>
      <c r="BI169" s="63" t="s">
        <v>3809</v>
      </c>
    </row>
    <row r="170" spans="1:61" ht="76.5" x14ac:dyDescent="0.2">
      <c r="A170" s="45" t="s">
        <v>3810</v>
      </c>
      <c r="B170" s="46"/>
      <c r="C170" s="46" t="s">
        <v>3811</v>
      </c>
      <c r="D170" s="46"/>
      <c r="E170" s="46"/>
      <c r="F170" s="46" t="s">
        <v>3812</v>
      </c>
      <c r="G170" s="46"/>
      <c r="H170" s="46"/>
      <c r="I170" s="46"/>
      <c r="J170" s="46" t="s">
        <v>71</v>
      </c>
      <c r="K170" s="47">
        <v>350</v>
      </c>
      <c r="L170" s="47">
        <v>1000</v>
      </c>
      <c r="M170" s="47">
        <v>1350</v>
      </c>
      <c r="N170" s="46"/>
      <c r="O170" s="71" t="s">
        <v>3811</v>
      </c>
      <c r="P170" s="46"/>
      <c r="Q170" s="46" t="s">
        <v>3013</v>
      </c>
      <c r="R170" s="46" t="s">
        <v>3679</v>
      </c>
      <c r="S170" s="49">
        <v>337.5</v>
      </c>
      <c r="T170" s="49">
        <v>1687.5</v>
      </c>
      <c r="U170" s="50">
        <v>8.9629629629629629E-2</v>
      </c>
      <c r="V170" s="78">
        <v>-4.7663551401869161E-2</v>
      </c>
      <c r="W170" s="77">
        <v>2.8571428571428572</v>
      </c>
      <c r="X170" s="52">
        <v>168.75</v>
      </c>
      <c r="Y170" s="52">
        <v>30</v>
      </c>
      <c r="Z170" s="52">
        <v>1337.5</v>
      </c>
      <c r="AA170" s="52">
        <v>1536.25</v>
      </c>
      <c r="AB170" s="53">
        <v>0.91037037037037039</v>
      </c>
      <c r="AC170" s="72">
        <v>151.25</v>
      </c>
      <c r="AD170" s="55">
        <v>8.9629629629629629E-2</v>
      </c>
      <c r="AE170" s="69">
        <v>1</v>
      </c>
      <c r="AF170" s="57" t="s">
        <v>77</v>
      </c>
      <c r="AG170" s="58">
        <v>70</v>
      </c>
      <c r="AH170" s="58">
        <v>1000</v>
      </c>
      <c r="AI170" s="58">
        <v>1070</v>
      </c>
      <c r="AJ170" s="49">
        <v>267.5</v>
      </c>
      <c r="AK170" s="49">
        <v>1337.5</v>
      </c>
      <c r="AL170" s="52">
        <v>133.75</v>
      </c>
      <c r="AM170" s="52">
        <v>1267.5</v>
      </c>
      <c r="AN170" s="52">
        <v>1401.25</v>
      </c>
      <c r="AO170" s="59">
        <v>1.0476635514018691</v>
      </c>
      <c r="AP170" s="79">
        <v>-63.75</v>
      </c>
      <c r="AQ170" s="80">
        <v>-4.7663551401869161E-2</v>
      </c>
      <c r="AR170" s="60" t="s">
        <v>73</v>
      </c>
      <c r="AS170" s="62">
        <v>455</v>
      </c>
      <c r="AT170" s="62">
        <v>1300</v>
      </c>
      <c r="AU170" s="62">
        <v>1755</v>
      </c>
      <c r="AV170" s="62">
        <v>2193.75</v>
      </c>
      <c r="AW170" s="47" t="s">
        <v>74</v>
      </c>
      <c r="AX170" s="64">
        <v>45547</v>
      </c>
      <c r="AY170" s="64" t="s">
        <v>3813</v>
      </c>
      <c r="BA170" s="46" t="s">
        <v>74</v>
      </c>
      <c r="BB170" s="26"/>
      <c r="BC170" s="26"/>
      <c r="BD170" s="70" t="s">
        <v>3814</v>
      </c>
      <c r="BE170" s="46" t="e">
        <v>#REF!</v>
      </c>
      <c r="BF170" s="46" t="s">
        <v>79</v>
      </c>
      <c r="BG170" s="65">
        <v>1</v>
      </c>
      <c r="BH170" s="66"/>
      <c r="BI170" s="63" t="s">
        <v>3815</v>
      </c>
    </row>
    <row r="171" spans="1:61" ht="63.75" x14ac:dyDescent="0.2">
      <c r="A171" s="45" t="s">
        <v>3816</v>
      </c>
      <c r="B171" s="46"/>
      <c r="C171" s="46" t="s">
        <v>3817</v>
      </c>
      <c r="D171" s="46"/>
      <c r="E171" s="46"/>
      <c r="F171" s="46" t="s">
        <v>3812</v>
      </c>
      <c r="G171" s="46"/>
      <c r="H171" s="46"/>
      <c r="I171" s="46"/>
      <c r="J171" s="46" t="s">
        <v>71</v>
      </c>
      <c r="K171" s="47">
        <v>350</v>
      </c>
      <c r="L171" s="47">
        <v>1600</v>
      </c>
      <c r="M171" s="47">
        <v>1950</v>
      </c>
      <c r="N171" s="46"/>
      <c r="O171" s="71" t="s">
        <v>3817</v>
      </c>
      <c r="P171" s="46"/>
      <c r="Q171" s="46" t="s">
        <v>3013</v>
      </c>
      <c r="R171" s="46" t="s">
        <v>3679</v>
      </c>
      <c r="S171" s="49">
        <v>487.5</v>
      </c>
      <c r="T171" s="49">
        <v>2437.5</v>
      </c>
      <c r="U171" s="50">
        <v>3.1282051282051283E-2</v>
      </c>
      <c r="V171" s="78">
        <v>-6.6467065868263467E-2</v>
      </c>
      <c r="W171" s="77">
        <v>4.5714285714285712</v>
      </c>
      <c r="X171" s="52">
        <v>243.75</v>
      </c>
      <c r="Y171" s="52">
        <v>30</v>
      </c>
      <c r="Z171" s="52">
        <v>2087.5</v>
      </c>
      <c r="AA171" s="52">
        <v>2361.25</v>
      </c>
      <c r="AB171" s="53">
        <v>0.9687179487179487</v>
      </c>
      <c r="AC171" s="75">
        <v>76.25</v>
      </c>
      <c r="AD171" s="55">
        <v>3.1282051282051283E-2</v>
      </c>
      <c r="AE171" s="69">
        <v>1</v>
      </c>
      <c r="AF171" s="57" t="s">
        <v>77</v>
      </c>
      <c r="AG171" s="58">
        <v>70</v>
      </c>
      <c r="AH171" s="58">
        <v>1600</v>
      </c>
      <c r="AI171" s="58">
        <v>1670</v>
      </c>
      <c r="AJ171" s="49">
        <v>417.5</v>
      </c>
      <c r="AK171" s="49">
        <v>2087.5</v>
      </c>
      <c r="AL171" s="52">
        <v>208.75</v>
      </c>
      <c r="AM171" s="52">
        <v>2017.5</v>
      </c>
      <c r="AN171" s="52">
        <v>2226.25</v>
      </c>
      <c r="AO171" s="59">
        <v>1.0664670658682636</v>
      </c>
      <c r="AP171" s="79">
        <v>-138.75</v>
      </c>
      <c r="AQ171" s="80">
        <v>-6.6467065868263467E-2</v>
      </c>
      <c r="AR171" s="60" t="s">
        <v>73</v>
      </c>
      <c r="AS171" s="62">
        <v>455</v>
      </c>
      <c r="AT171" s="62">
        <v>2080</v>
      </c>
      <c r="AU171" s="62">
        <v>2535</v>
      </c>
      <c r="AV171" s="62">
        <v>3168.75</v>
      </c>
      <c r="AW171" s="47" t="s">
        <v>74</v>
      </c>
      <c r="AX171" s="64">
        <v>45547</v>
      </c>
      <c r="AY171" s="64" t="s">
        <v>3818</v>
      </c>
      <c r="BA171" s="46" t="s">
        <v>74</v>
      </c>
      <c r="BB171" s="26"/>
      <c r="BC171" s="26"/>
      <c r="BD171" s="70" t="s">
        <v>3819</v>
      </c>
      <c r="BE171" s="46" t="e">
        <v>#REF!</v>
      </c>
      <c r="BF171" s="46" t="s">
        <v>79</v>
      </c>
      <c r="BG171" s="65">
        <v>1</v>
      </c>
      <c r="BH171" s="66"/>
      <c r="BI171" s="63" t="s">
        <v>3820</v>
      </c>
    </row>
  </sheetData>
  <hyperlinks>
    <hyperlink ref="BD5" r:id="rId1"/>
    <hyperlink ref="BD6" r:id="rId2"/>
    <hyperlink ref="BD7" r:id="rId3"/>
    <hyperlink ref="BD8" r:id="rId4"/>
    <hyperlink ref="BD9" r:id="rId5"/>
    <hyperlink ref="BD10" r:id="rId6"/>
    <hyperlink ref="BD11" r:id="rId7"/>
    <hyperlink ref="BD12" r:id="rId8"/>
    <hyperlink ref="BD13" r:id="rId9"/>
    <hyperlink ref="BD14" r:id="rId10"/>
    <hyperlink ref="BD15" r:id="rId11"/>
    <hyperlink ref="BD18" r:id="rId12"/>
    <hyperlink ref="BD19" r:id="rId13"/>
    <hyperlink ref="BD20" r:id="rId14"/>
    <hyperlink ref="BD21" r:id="rId15"/>
    <hyperlink ref="BD22" r:id="rId16"/>
    <hyperlink ref="BD23" r:id="rId17"/>
    <hyperlink ref="BD24" r:id="rId18"/>
    <hyperlink ref="BD25" r:id="rId19"/>
    <hyperlink ref="BD26" r:id="rId20"/>
    <hyperlink ref="BD27" r:id="rId21"/>
    <hyperlink ref="BD28" r:id="rId22"/>
    <hyperlink ref="BD29" r:id="rId23"/>
    <hyperlink ref="BD30" r:id="rId24"/>
    <hyperlink ref="BD31" r:id="rId25"/>
    <hyperlink ref="BD32" r:id="rId26"/>
    <hyperlink ref="BD33" r:id="rId27"/>
    <hyperlink ref="BD34" r:id="rId28"/>
    <hyperlink ref="BD35" r:id="rId29"/>
    <hyperlink ref="BD36" r:id="rId30"/>
    <hyperlink ref="BD37" r:id="rId31"/>
    <hyperlink ref="BD38" r:id="rId32"/>
    <hyperlink ref="BD39" r:id="rId33"/>
    <hyperlink ref="BD40" r:id="rId34"/>
    <hyperlink ref="BD41" r:id="rId35"/>
    <hyperlink ref="BD42" r:id="rId36"/>
    <hyperlink ref="BD43" r:id="rId37"/>
    <hyperlink ref="BD44" r:id="rId38"/>
    <hyperlink ref="BD47" r:id="rId39"/>
    <hyperlink ref="BD54" r:id="rId40"/>
    <hyperlink ref="BD55" r:id="rId41"/>
    <hyperlink ref="BD56" r:id="rId42"/>
    <hyperlink ref="BD57" r:id="rId43"/>
    <hyperlink ref="BD58" r:id="rId44"/>
    <hyperlink ref="BD59" r:id="rId45"/>
    <hyperlink ref="BD60" r:id="rId46"/>
    <hyperlink ref="BD61" r:id="rId47"/>
    <hyperlink ref="BD63" r:id="rId48"/>
    <hyperlink ref="BD68" r:id="rId49"/>
    <hyperlink ref="BD72" r:id="rId50"/>
    <hyperlink ref="BD73" r:id="rId51"/>
    <hyperlink ref="BD74" r:id="rId52"/>
    <hyperlink ref="BD75" r:id="rId53"/>
    <hyperlink ref="BD76" r:id="rId54"/>
    <hyperlink ref="BD77" r:id="rId55"/>
    <hyperlink ref="BD84" r:id="rId56"/>
    <hyperlink ref="AX93" r:id="rId57" display="https://www.leroymerlin.com.br/cadeado-45-mm-zamac-latonado-e-coat-com-2-chaves-stam_1566759199"/>
    <hyperlink ref="BD93" r:id="rId58"/>
    <hyperlink ref="BD95" r:id="rId59"/>
    <hyperlink ref="BD96" r:id="rId60"/>
    <hyperlink ref="BD97" r:id="rId61"/>
    <hyperlink ref="BD98" r:id="rId62"/>
    <hyperlink ref="BD99" r:id="rId63"/>
    <hyperlink ref="BD100" r:id="rId64"/>
    <hyperlink ref="BD101" r:id="rId65"/>
    <hyperlink ref="BD102" r:id="rId66"/>
    <hyperlink ref="BD103" r:id="rId67"/>
    <hyperlink ref="BD104" r:id="rId68"/>
    <hyperlink ref="BD139" r:id="rId69"/>
    <hyperlink ref="BD140" r:id="rId70"/>
    <hyperlink ref="BD141" r:id="rId71"/>
    <hyperlink ref="BD142" r:id="rId72"/>
    <hyperlink ref="BD143" r:id="rId73"/>
    <hyperlink ref="BD144" r:id="rId74"/>
    <hyperlink ref="BD145" r:id="rId75"/>
    <hyperlink ref="BD146" r:id="rId76"/>
    <hyperlink ref="BD152" r:id="rId77"/>
    <hyperlink ref="BD153" r:id="rId78"/>
    <hyperlink ref="BD154" r:id="rId79"/>
    <hyperlink ref="BD155" r:id="rId80"/>
    <hyperlink ref="BD156" r:id="rId81"/>
    <hyperlink ref="BD157" r:id="rId82"/>
    <hyperlink ref="BD158" r:id="rId83"/>
    <hyperlink ref="BD159" r:id="rId84"/>
    <hyperlink ref="BD160" r:id="rId85"/>
    <hyperlink ref="BD161" r:id="rId86"/>
    <hyperlink ref="BD162" r:id="rId87"/>
    <hyperlink ref="BD170" r:id="rId88"/>
    <hyperlink ref="BD171" r:id="rId89"/>
  </hyperlinks>
  <pageMargins left="0.511811024" right="0.511811024" top="0.78740157499999996" bottom="0.78740157499999996" header="0.31496062000000002" footer="0.31496062000000002"/>
  <legacyDrawing r:id="rId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64"/>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26.7109375" customWidth="1"/>
    <col min="11" max="11" width="18.42578125" customWidth="1"/>
    <col min="12" max="12" width="25.85546875" customWidth="1"/>
    <col min="13" max="13" width="19.42578125" customWidth="1"/>
    <col min="14" max="14" width="38.42578125" customWidth="1"/>
    <col min="15" max="15" width="39.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23.28515625" hidden="1" customWidth="1"/>
    <col min="61" max="61" width="28.285156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3821</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3822</v>
      </c>
      <c r="AZ1" s="88"/>
      <c r="BA1" s="9" t="s">
        <v>60</v>
      </c>
      <c r="BB1" s="9" t="s">
        <v>3823</v>
      </c>
      <c r="BC1" s="9" t="s">
        <v>3824</v>
      </c>
      <c r="BD1" s="9" t="s">
        <v>61</v>
      </c>
      <c r="BE1" s="9" t="s">
        <v>62</v>
      </c>
      <c r="BF1" s="9" t="s">
        <v>63</v>
      </c>
      <c r="BG1" s="22" t="s">
        <v>64</v>
      </c>
      <c r="BH1" s="9" t="s">
        <v>65</v>
      </c>
      <c r="BI1" s="9" t="s">
        <v>66</v>
      </c>
    </row>
    <row r="2" spans="1:61" ht="38.25" hidden="1" x14ac:dyDescent="0.2">
      <c r="A2" s="23" t="s">
        <v>3825</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3826</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AZ2" s="86"/>
      <c r="BA2" s="26"/>
      <c r="BB2" s="26"/>
      <c r="BC2" s="26"/>
      <c r="BD2" s="24"/>
      <c r="BE2" s="27" t="s">
        <v>3825</v>
      </c>
      <c r="BF2" s="24"/>
      <c r="BG2" s="33"/>
      <c r="BH2" s="27" t="s">
        <v>3827</v>
      </c>
      <c r="BI2" s="24" t="s">
        <v>68</v>
      </c>
    </row>
    <row r="3" spans="1:61" ht="38.25" hidden="1" x14ac:dyDescent="0.2">
      <c r="A3" s="34" t="s">
        <v>3828</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3826</v>
      </c>
      <c r="R3" s="38" t="s">
        <v>3829</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AZ3" s="86"/>
      <c r="BA3" s="37"/>
      <c r="BB3" s="37"/>
      <c r="BC3" s="37"/>
      <c r="BD3" s="35"/>
      <c r="BE3" s="35" t="e">
        <v>#REF!</v>
      </c>
      <c r="BF3" s="35"/>
      <c r="BG3" s="44"/>
      <c r="BH3" s="38" t="s">
        <v>3830</v>
      </c>
      <c r="BI3" s="35" t="s">
        <v>68</v>
      </c>
    </row>
    <row r="4" spans="1:61" ht="153" x14ac:dyDescent="0.2">
      <c r="A4" s="45" t="s">
        <v>3831</v>
      </c>
      <c r="B4" s="46"/>
      <c r="C4" s="46" t="s">
        <v>3832</v>
      </c>
      <c r="D4" s="46" t="s">
        <v>3833</v>
      </c>
      <c r="E4" s="46" t="s">
        <v>3834</v>
      </c>
      <c r="F4" s="46" t="s">
        <v>3530</v>
      </c>
      <c r="G4" s="46" t="s">
        <v>3835</v>
      </c>
      <c r="H4" s="46" t="s">
        <v>68</v>
      </c>
      <c r="I4" s="46" t="s">
        <v>68</v>
      </c>
      <c r="J4" s="46" t="s">
        <v>71</v>
      </c>
      <c r="K4" s="47">
        <v>450</v>
      </c>
      <c r="L4" s="47">
        <v>70</v>
      </c>
      <c r="M4" s="47">
        <v>520</v>
      </c>
      <c r="N4" s="46"/>
      <c r="O4" s="71" t="s">
        <v>68</v>
      </c>
      <c r="P4" s="64"/>
      <c r="Q4" s="46" t="s">
        <v>3826</v>
      </c>
      <c r="R4" s="46" t="s">
        <v>3829</v>
      </c>
      <c r="S4" s="49">
        <v>130</v>
      </c>
      <c r="T4" s="49">
        <v>650</v>
      </c>
      <c r="U4" s="67">
        <v>0.5461538461538461</v>
      </c>
      <c r="V4" s="67">
        <v>0.59230769230769231</v>
      </c>
      <c r="W4" s="51">
        <v>0.15555555555555556</v>
      </c>
      <c r="X4" s="52">
        <v>65</v>
      </c>
      <c r="Y4" s="52">
        <v>30</v>
      </c>
      <c r="Z4" s="52">
        <v>200</v>
      </c>
      <c r="AA4" s="52">
        <v>295</v>
      </c>
      <c r="AB4" s="53">
        <v>0.45384615384615384</v>
      </c>
      <c r="AC4" s="72">
        <v>355</v>
      </c>
      <c r="AD4" s="55">
        <v>0.5461538461538461</v>
      </c>
      <c r="AE4" s="73">
        <v>4</v>
      </c>
      <c r="AF4" s="57" t="s">
        <v>95</v>
      </c>
      <c r="AG4" s="58">
        <v>450</v>
      </c>
      <c r="AH4" s="58">
        <v>70</v>
      </c>
      <c r="AI4" s="58">
        <v>520</v>
      </c>
      <c r="AJ4" s="49">
        <v>130</v>
      </c>
      <c r="AK4" s="49">
        <v>650</v>
      </c>
      <c r="AL4" s="52">
        <v>65</v>
      </c>
      <c r="AM4" s="52">
        <v>200</v>
      </c>
      <c r="AN4" s="52">
        <v>265</v>
      </c>
      <c r="AO4" s="59">
        <v>0.40769230769230769</v>
      </c>
      <c r="AP4" s="60">
        <v>385</v>
      </c>
      <c r="AQ4" s="61">
        <v>0.59230769230769231</v>
      </c>
      <c r="AR4" s="60" t="s">
        <v>78</v>
      </c>
      <c r="AS4" s="62">
        <v>765</v>
      </c>
      <c r="AT4" s="62">
        <v>119</v>
      </c>
      <c r="AU4" s="62">
        <v>884</v>
      </c>
      <c r="AV4" s="62">
        <v>1105</v>
      </c>
      <c r="AW4" s="47" t="s">
        <v>107</v>
      </c>
      <c r="AX4" s="64">
        <v>44952</v>
      </c>
      <c r="AY4" s="64" t="s">
        <v>3836</v>
      </c>
      <c r="AZ4" s="86"/>
      <c r="BA4" s="64"/>
      <c r="BB4" s="64"/>
      <c r="BC4" s="64"/>
      <c r="BD4" s="46"/>
      <c r="BE4" s="46" t="e">
        <v>#REF!</v>
      </c>
      <c r="BF4" s="46" t="s">
        <v>3837</v>
      </c>
      <c r="BG4" s="65">
        <v>3</v>
      </c>
      <c r="BH4" s="66" t="s">
        <v>3838</v>
      </c>
      <c r="BI4" s="63" t="s">
        <v>3839</v>
      </c>
    </row>
    <row r="5" spans="1:61" ht="153" x14ac:dyDescent="0.2">
      <c r="A5" s="45" t="s">
        <v>3840</v>
      </c>
      <c r="B5" s="46"/>
      <c r="C5" s="46" t="s">
        <v>3832</v>
      </c>
      <c r="D5" s="46" t="s">
        <v>3833</v>
      </c>
      <c r="E5" s="46" t="s">
        <v>3834</v>
      </c>
      <c r="F5" s="46" t="s">
        <v>3536</v>
      </c>
      <c r="G5" s="46" t="s">
        <v>3835</v>
      </c>
      <c r="H5" s="46" t="s">
        <v>68</v>
      </c>
      <c r="I5" s="46" t="s">
        <v>68</v>
      </c>
      <c r="J5" s="46" t="s">
        <v>71</v>
      </c>
      <c r="K5" s="47">
        <v>650</v>
      </c>
      <c r="L5" s="47">
        <v>70</v>
      </c>
      <c r="M5" s="47">
        <v>720</v>
      </c>
      <c r="N5" s="46"/>
      <c r="O5" s="71" t="s">
        <v>68</v>
      </c>
      <c r="P5" s="64"/>
      <c r="Q5" s="46" t="s">
        <v>3826</v>
      </c>
      <c r="R5" s="46" t="s">
        <v>3829</v>
      </c>
      <c r="S5" s="49">
        <v>180</v>
      </c>
      <c r="T5" s="49">
        <v>900</v>
      </c>
      <c r="U5" s="67">
        <v>0.58888888888888891</v>
      </c>
      <c r="V5" s="67">
        <v>0.62222222222222223</v>
      </c>
      <c r="W5" s="51">
        <v>0.1076923076923077</v>
      </c>
      <c r="X5" s="52">
        <v>90</v>
      </c>
      <c r="Y5" s="52">
        <v>30</v>
      </c>
      <c r="Z5" s="52">
        <v>250</v>
      </c>
      <c r="AA5" s="52">
        <v>370</v>
      </c>
      <c r="AB5" s="53">
        <v>0.41111111111111109</v>
      </c>
      <c r="AC5" s="72">
        <v>530</v>
      </c>
      <c r="AD5" s="55">
        <v>0.58888888888888891</v>
      </c>
      <c r="AE5" s="73">
        <v>4</v>
      </c>
      <c r="AF5" s="57" t="s">
        <v>95</v>
      </c>
      <c r="AG5" s="58">
        <v>650</v>
      </c>
      <c r="AH5" s="58">
        <v>70</v>
      </c>
      <c r="AI5" s="58">
        <v>720</v>
      </c>
      <c r="AJ5" s="49">
        <v>180</v>
      </c>
      <c r="AK5" s="49">
        <v>900</v>
      </c>
      <c r="AL5" s="52">
        <v>90</v>
      </c>
      <c r="AM5" s="52">
        <v>250</v>
      </c>
      <c r="AN5" s="52">
        <v>340</v>
      </c>
      <c r="AO5" s="59">
        <v>0.37777777777777777</v>
      </c>
      <c r="AP5" s="60">
        <v>560</v>
      </c>
      <c r="AQ5" s="61">
        <v>0.62222222222222223</v>
      </c>
      <c r="AR5" s="60" t="s">
        <v>78</v>
      </c>
      <c r="AS5" s="62">
        <v>1105</v>
      </c>
      <c r="AT5" s="62">
        <v>119</v>
      </c>
      <c r="AU5" s="62">
        <v>1224</v>
      </c>
      <c r="AV5" s="62">
        <v>1530</v>
      </c>
      <c r="AW5" s="47" t="s">
        <v>107</v>
      </c>
      <c r="AX5" s="64">
        <v>44952</v>
      </c>
      <c r="AY5" s="64" t="s">
        <v>3841</v>
      </c>
      <c r="AZ5" s="86"/>
      <c r="BA5" s="64"/>
      <c r="BB5" s="64"/>
      <c r="BC5" s="64"/>
      <c r="BD5" s="46"/>
      <c r="BE5" s="46" t="e">
        <v>#REF!</v>
      </c>
      <c r="BF5" s="46" t="s">
        <v>3837</v>
      </c>
      <c r="BG5" s="65">
        <v>4</v>
      </c>
      <c r="BH5" s="66" t="s">
        <v>3842</v>
      </c>
      <c r="BI5" s="63" t="s">
        <v>3843</v>
      </c>
    </row>
    <row r="6" spans="1:61" ht="153" x14ac:dyDescent="0.2">
      <c r="A6" s="45" t="s">
        <v>3844</v>
      </c>
      <c r="B6" s="46"/>
      <c r="C6" s="46" t="s">
        <v>3832</v>
      </c>
      <c r="D6" s="46" t="s">
        <v>3833</v>
      </c>
      <c r="E6" s="46" t="s">
        <v>3845</v>
      </c>
      <c r="F6" s="46" t="s">
        <v>3530</v>
      </c>
      <c r="G6" s="46" t="s">
        <v>3835</v>
      </c>
      <c r="H6" s="46" t="s">
        <v>68</v>
      </c>
      <c r="I6" s="46" t="s">
        <v>68</v>
      </c>
      <c r="J6" s="46" t="s">
        <v>71</v>
      </c>
      <c r="K6" s="47">
        <v>650</v>
      </c>
      <c r="L6" s="47">
        <v>70</v>
      </c>
      <c r="M6" s="47">
        <v>720</v>
      </c>
      <c r="N6" s="46"/>
      <c r="O6" s="71" t="s">
        <v>68</v>
      </c>
      <c r="P6" s="64"/>
      <c r="Q6" s="46" t="s">
        <v>3826</v>
      </c>
      <c r="R6" s="46" t="s">
        <v>3829</v>
      </c>
      <c r="S6" s="49">
        <v>180</v>
      </c>
      <c r="T6" s="49">
        <v>900</v>
      </c>
      <c r="U6" s="67">
        <v>0.58888888888888891</v>
      </c>
      <c r="V6" s="67">
        <v>0.62222222222222223</v>
      </c>
      <c r="W6" s="51">
        <v>0.1076923076923077</v>
      </c>
      <c r="X6" s="52">
        <v>90</v>
      </c>
      <c r="Y6" s="52">
        <v>30</v>
      </c>
      <c r="Z6" s="52">
        <v>250</v>
      </c>
      <c r="AA6" s="52">
        <v>370</v>
      </c>
      <c r="AB6" s="53">
        <v>0.41111111111111109</v>
      </c>
      <c r="AC6" s="72">
        <v>530</v>
      </c>
      <c r="AD6" s="55">
        <v>0.58888888888888891</v>
      </c>
      <c r="AE6" s="73">
        <v>4</v>
      </c>
      <c r="AF6" s="57" t="s">
        <v>95</v>
      </c>
      <c r="AG6" s="58">
        <v>650</v>
      </c>
      <c r="AH6" s="58">
        <v>70</v>
      </c>
      <c r="AI6" s="58">
        <v>720</v>
      </c>
      <c r="AJ6" s="49">
        <v>180</v>
      </c>
      <c r="AK6" s="49">
        <v>900</v>
      </c>
      <c r="AL6" s="52">
        <v>90</v>
      </c>
      <c r="AM6" s="52">
        <v>250</v>
      </c>
      <c r="AN6" s="52">
        <v>340</v>
      </c>
      <c r="AO6" s="59">
        <v>0.37777777777777777</v>
      </c>
      <c r="AP6" s="60">
        <v>560</v>
      </c>
      <c r="AQ6" s="61">
        <v>0.62222222222222223</v>
      </c>
      <c r="AR6" s="60" t="s">
        <v>78</v>
      </c>
      <c r="AS6" s="62">
        <v>1105</v>
      </c>
      <c r="AT6" s="62">
        <v>119</v>
      </c>
      <c r="AU6" s="62">
        <v>1224</v>
      </c>
      <c r="AV6" s="62">
        <v>1530</v>
      </c>
      <c r="AW6" s="47" t="s">
        <v>107</v>
      </c>
      <c r="AX6" s="64">
        <v>44952</v>
      </c>
      <c r="AY6" s="64" t="s">
        <v>3846</v>
      </c>
      <c r="AZ6" s="86"/>
      <c r="BA6" s="64"/>
      <c r="BB6" s="64"/>
      <c r="BC6" s="64"/>
      <c r="BD6" s="46"/>
      <c r="BE6" s="46" t="e">
        <v>#REF!</v>
      </c>
      <c r="BF6" s="46" t="s">
        <v>3837</v>
      </c>
      <c r="BG6" s="65">
        <v>3</v>
      </c>
      <c r="BH6" s="66" t="s">
        <v>3847</v>
      </c>
      <c r="BI6" s="63" t="s">
        <v>3848</v>
      </c>
    </row>
    <row r="7" spans="1:61" ht="153" x14ac:dyDescent="0.2">
      <c r="A7" s="45" t="s">
        <v>3849</v>
      </c>
      <c r="B7" s="46"/>
      <c r="C7" s="46" t="s">
        <v>3832</v>
      </c>
      <c r="D7" s="46" t="s">
        <v>3833</v>
      </c>
      <c r="E7" s="46" t="s">
        <v>3845</v>
      </c>
      <c r="F7" s="46" t="s">
        <v>3536</v>
      </c>
      <c r="G7" s="46" t="s">
        <v>3835</v>
      </c>
      <c r="H7" s="46" t="s">
        <v>68</v>
      </c>
      <c r="I7" s="46" t="s">
        <v>68</v>
      </c>
      <c r="J7" s="46" t="s">
        <v>71</v>
      </c>
      <c r="K7" s="47">
        <v>850</v>
      </c>
      <c r="L7" s="47">
        <v>70</v>
      </c>
      <c r="M7" s="47">
        <v>920</v>
      </c>
      <c r="N7" s="46"/>
      <c r="O7" s="71" t="s">
        <v>68</v>
      </c>
      <c r="P7" s="64"/>
      <c r="Q7" s="46" t="s">
        <v>3826</v>
      </c>
      <c r="R7" s="46" t="s">
        <v>3829</v>
      </c>
      <c r="S7" s="49">
        <v>230</v>
      </c>
      <c r="T7" s="49">
        <v>1150</v>
      </c>
      <c r="U7" s="67">
        <v>0.61304347826086958</v>
      </c>
      <c r="V7" s="67">
        <v>0.63913043478260867</v>
      </c>
      <c r="W7" s="51">
        <v>8.2352941176470587E-2</v>
      </c>
      <c r="X7" s="52">
        <v>115</v>
      </c>
      <c r="Y7" s="52">
        <v>30</v>
      </c>
      <c r="Z7" s="52">
        <v>300</v>
      </c>
      <c r="AA7" s="52">
        <v>445</v>
      </c>
      <c r="AB7" s="53">
        <v>0.38695652173913042</v>
      </c>
      <c r="AC7" s="72">
        <v>705</v>
      </c>
      <c r="AD7" s="55">
        <v>0.61304347826086958</v>
      </c>
      <c r="AE7" s="73">
        <v>4</v>
      </c>
      <c r="AF7" s="57" t="s">
        <v>95</v>
      </c>
      <c r="AG7" s="58">
        <v>850</v>
      </c>
      <c r="AH7" s="58">
        <v>70</v>
      </c>
      <c r="AI7" s="58">
        <v>920</v>
      </c>
      <c r="AJ7" s="49">
        <v>230</v>
      </c>
      <c r="AK7" s="49">
        <v>1150</v>
      </c>
      <c r="AL7" s="52">
        <v>115</v>
      </c>
      <c r="AM7" s="52">
        <v>300</v>
      </c>
      <c r="AN7" s="52">
        <v>415</v>
      </c>
      <c r="AO7" s="59">
        <v>0.36086956521739133</v>
      </c>
      <c r="AP7" s="60">
        <v>735</v>
      </c>
      <c r="AQ7" s="61">
        <v>0.63913043478260867</v>
      </c>
      <c r="AR7" s="60" t="s">
        <v>78</v>
      </c>
      <c r="AS7" s="62">
        <v>1445</v>
      </c>
      <c r="AT7" s="62">
        <v>119</v>
      </c>
      <c r="AU7" s="62">
        <v>1564</v>
      </c>
      <c r="AV7" s="62">
        <v>1955</v>
      </c>
      <c r="AW7" s="47" t="s">
        <v>107</v>
      </c>
      <c r="AX7" s="64">
        <v>44952</v>
      </c>
      <c r="AY7" s="64" t="s">
        <v>3850</v>
      </c>
      <c r="AZ7" s="86"/>
      <c r="BA7" s="64"/>
      <c r="BB7" s="64"/>
      <c r="BC7" s="64"/>
      <c r="BD7" s="46"/>
      <c r="BE7" s="46" t="e">
        <v>#REF!</v>
      </c>
      <c r="BF7" s="46" t="s">
        <v>3837</v>
      </c>
      <c r="BG7" s="65">
        <v>4</v>
      </c>
      <c r="BH7" s="66" t="s">
        <v>3851</v>
      </c>
      <c r="BI7" s="63" t="s">
        <v>3852</v>
      </c>
    </row>
    <row r="8" spans="1:61" ht="165.75" x14ac:dyDescent="0.2">
      <c r="A8" s="45" t="s">
        <v>3853</v>
      </c>
      <c r="B8" s="46"/>
      <c r="C8" s="46" t="s">
        <v>3832</v>
      </c>
      <c r="D8" s="46" t="s">
        <v>3833</v>
      </c>
      <c r="E8" s="46" t="s">
        <v>3834</v>
      </c>
      <c r="F8" s="46" t="s">
        <v>3530</v>
      </c>
      <c r="G8" s="46" t="s">
        <v>3854</v>
      </c>
      <c r="H8" s="46" t="s">
        <v>68</v>
      </c>
      <c r="I8" s="46" t="s">
        <v>68</v>
      </c>
      <c r="J8" s="46" t="s">
        <v>3855</v>
      </c>
      <c r="K8" s="47">
        <v>500</v>
      </c>
      <c r="L8" s="47">
        <v>100</v>
      </c>
      <c r="M8" s="47">
        <v>600</v>
      </c>
      <c r="N8" s="46"/>
      <c r="O8" s="71" t="s">
        <v>68</v>
      </c>
      <c r="P8" s="64"/>
      <c r="Q8" s="46" t="s">
        <v>3826</v>
      </c>
      <c r="R8" s="46" t="s">
        <v>3829</v>
      </c>
      <c r="S8" s="49">
        <v>150</v>
      </c>
      <c r="T8" s="49">
        <v>750</v>
      </c>
      <c r="U8" s="67">
        <v>0.52666666666666662</v>
      </c>
      <c r="V8" s="67">
        <v>0.56666666666666665</v>
      </c>
      <c r="W8" s="51">
        <v>0.2</v>
      </c>
      <c r="X8" s="52">
        <v>75</v>
      </c>
      <c r="Y8" s="52">
        <v>30</v>
      </c>
      <c r="Z8" s="52">
        <v>250</v>
      </c>
      <c r="AA8" s="52">
        <v>355</v>
      </c>
      <c r="AB8" s="53">
        <v>0.47333333333333333</v>
      </c>
      <c r="AC8" s="72">
        <v>395</v>
      </c>
      <c r="AD8" s="55">
        <v>0.52666666666666662</v>
      </c>
      <c r="AE8" s="73">
        <v>4</v>
      </c>
      <c r="AF8" s="57" t="s">
        <v>95</v>
      </c>
      <c r="AG8" s="58">
        <v>500</v>
      </c>
      <c r="AH8" s="58">
        <v>100</v>
      </c>
      <c r="AI8" s="58">
        <v>600</v>
      </c>
      <c r="AJ8" s="49">
        <v>150</v>
      </c>
      <c r="AK8" s="49">
        <v>750</v>
      </c>
      <c r="AL8" s="52">
        <v>75</v>
      </c>
      <c r="AM8" s="52">
        <v>250</v>
      </c>
      <c r="AN8" s="52">
        <v>325</v>
      </c>
      <c r="AO8" s="59">
        <v>0.43333333333333335</v>
      </c>
      <c r="AP8" s="60">
        <v>425</v>
      </c>
      <c r="AQ8" s="61">
        <v>0.56666666666666665</v>
      </c>
      <c r="AR8" s="60" t="s">
        <v>78</v>
      </c>
      <c r="AS8" s="62">
        <v>850</v>
      </c>
      <c r="AT8" s="62">
        <v>170</v>
      </c>
      <c r="AU8" s="62">
        <v>1020</v>
      </c>
      <c r="AV8" s="62">
        <v>1275</v>
      </c>
      <c r="AW8" s="47" t="s">
        <v>107</v>
      </c>
      <c r="AX8" s="64">
        <v>44952</v>
      </c>
      <c r="AY8" s="64" t="s">
        <v>3856</v>
      </c>
      <c r="AZ8" s="86"/>
      <c r="BA8" s="64"/>
      <c r="BB8" s="64"/>
      <c r="BC8" s="64"/>
      <c r="BD8" s="46"/>
      <c r="BE8" s="46" t="e">
        <v>#REF!</v>
      </c>
      <c r="BF8" s="46" t="s">
        <v>3837</v>
      </c>
      <c r="BG8" s="65">
        <v>3</v>
      </c>
      <c r="BH8" s="66" t="s">
        <v>3857</v>
      </c>
      <c r="BI8" s="63" t="s">
        <v>3858</v>
      </c>
    </row>
    <row r="9" spans="1:61" ht="165.75" x14ac:dyDescent="0.2">
      <c r="A9" s="45" t="s">
        <v>3859</v>
      </c>
      <c r="B9" s="46"/>
      <c r="C9" s="46" t="s">
        <v>3832</v>
      </c>
      <c r="D9" s="46" t="s">
        <v>3833</v>
      </c>
      <c r="E9" s="46" t="s">
        <v>3834</v>
      </c>
      <c r="F9" s="46" t="s">
        <v>3536</v>
      </c>
      <c r="G9" s="46" t="s">
        <v>3854</v>
      </c>
      <c r="H9" s="46" t="s">
        <v>68</v>
      </c>
      <c r="I9" s="46" t="s">
        <v>68</v>
      </c>
      <c r="J9" s="46" t="s">
        <v>3855</v>
      </c>
      <c r="K9" s="47">
        <v>700</v>
      </c>
      <c r="L9" s="47">
        <v>100</v>
      </c>
      <c r="M9" s="47">
        <v>800</v>
      </c>
      <c r="N9" s="46"/>
      <c r="O9" s="71" t="s">
        <v>68</v>
      </c>
      <c r="P9" s="64"/>
      <c r="Q9" s="46" t="s">
        <v>3826</v>
      </c>
      <c r="R9" s="46" t="s">
        <v>3829</v>
      </c>
      <c r="S9" s="49">
        <v>200</v>
      </c>
      <c r="T9" s="49">
        <v>1000</v>
      </c>
      <c r="U9" s="67">
        <v>0.56999999999999995</v>
      </c>
      <c r="V9" s="67">
        <v>0.6</v>
      </c>
      <c r="W9" s="51">
        <v>0.14285714285714285</v>
      </c>
      <c r="X9" s="52">
        <v>100</v>
      </c>
      <c r="Y9" s="52">
        <v>30</v>
      </c>
      <c r="Z9" s="52">
        <v>300</v>
      </c>
      <c r="AA9" s="52">
        <v>430</v>
      </c>
      <c r="AB9" s="53">
        <v>0.43</v>
      </c>
      <c r="AC9" s="72">
        <v>570</v>
      </c>
      <c r="AD9" s="55">
        <v>0.56999999999999995</v>
      </c>
      <c r="AE9" s="73">
        <v>4</v>
      </c>
      <c r="AF9" s="57" t="s">
        <v>95</v>
      </c>
      <c r="AG9" s="58">
        <v>700</v>
      </c>
      <c r="AH9" s="58">
        <v>100</v>
      </c>
      <c r="AI9" s="58">
        <v>800</v>
      </c>
      <c r="AJ9" s="49">
        <v>200</v>
      </c>
      <c r="AK9" s="49">
        <v>1000</v>
      </c>
      <c r="AL9" s="52">
        <v>100</v>
      </c>
      <c r="AM9" s="52">
        <v>300</v>
      </c>
      <c r="AN9" s="52">
        <v>400</v>
      </c>
      <c r="AO9" s="59">
        <v>0.4</v>
      </c>
      <c r="AP9" s="60">
        <v>600</v>
      </c>
      <c r="AQ9" s="61">
        <v>0.6</v>
      </c>
      <c r="AR9" s="60" t="s">
        <v>78</v>
      </c>
      <c r="AS9" s="62">
        <v>1190</v>
      </c>
      <c r="AT9" s="62">
        <v>170</v>
      </c>
      <c r="AU9" s="62">
        <v>1360</v>
      </c>
      <c r="AV9" s="62">
        <v>1700</v>
      </c>
      <c r="AW9" s="47" t="s">
        <v>107</v>
      </c>
      <c r="AX9" s="64">
        <v>44952</v>
      </c>
      <c r="AY9" s="64" t="s">
        <v>3860</v>
      </c>
      <c r="AZ9" s="86"/>
      <c r="BA9" s="64"/>
      <c r="BB9" s="64"/>
      <c r="BC9" s="64"/>
      <c r="BD9" s="46"/>
      <c r="BE9" s="46" t="e">
        <v>#REF!</v>
      </c>
      <c r="BF9" s="46" t="s">
        <v>3837</v>
      </c>
      <c r="BG9" s="65">
        <v>4</v>
      </c>
      <c r="BH9" s="66" t="s">
        <v>3861</v>
      </c>
      <c r="BI9" s="63" t="s">
        <v>3862</v>
      </c>
    </row>
    <row r="10" spans="1:61" ht="165.75" x14ac:dyDescent="0.2">
      <c r="A10" s="45" t="s">
        <v>3863</v>
      </c>
      <c r="B10" s="46"/>
      <c r="C10" s="46" t="s">
        <v>3832</v>
      </c>
      <c r="D10" s="46" t="s">
        <v>3833</v>
      </c>
      <c r="E10" s="46" t="s">
        <v>3864</v>
      </c>
      <c r="F10" s="46" t="s">
        <v>3530</v>
      </c>
      <c r="G10" s="46" t="s">
        <v>3854</v>
      </c>
      <c r="H10" s="46" t="s">
        <v>68</v>
      </c>
      <c r="I10" s="46" t="s">
        <v>68</v>
      </c>
      <c r="J10" s="46" t="s">
        <v>3855</v>
      </c>
      <c r="K10" s="47">
        <v>700</v>
      </c>
      <c r="L10" s="47">
        <v>100</v>
      </c>
      <c r="M10" s="47">
        <v>800</v>
      </c>
      <c r="N10" s="46"/>
      <c r="O10" s="71" t="s">
        <v>68</v>
      </c>
      <c r="P10" s="64"/>
      <c r="Q10" s="46" t="s">
        <v>3826</v>
      </c>
      <c r="R10" s="46" t="s">
        <v>3829</v>
      </c>
      <c r="S10" s="49">
        <v>200</v>
      </c>
      <c r="T10" s="49">
        <v>1000</v>
      </c>
      <c r="U10" s="67">
        <v>0.56999999999999995</v>
      </c>
      <c r="V10" s="67">
        <v>0.6</v>
      </c>
      <c r="W10" s="51">
        <v>0.14285714285714285</v>
      </c>
      <c r="X10" s="52">
        <v>100</v>
      </c>
      <c r="Y10" s="52">
        <v>30</v>
      </c>
      <c r="Z10" s="52">
        <v>300</v>
      </c>
      <c r="AA10" s="52">
        <v>430</v>
      </c>
      <c r="AB10" s="53">
        <v>0.43</v>
      </c>
      <c r="AC10" s="72">
        <v>570</v>
      </c>
      <c r="AD10" s="55">
        <v>0.56999999999999995</v>
      </c>
      <c r="AE10" s="73">
        <v>4</v>
      </c>
      <c r="AF10" s="57" t="s">
        <v>95</v>
      </c>
      <c r="AG10" s="58">
        <v>700</v>
      </c>
      <c r="AH10" s="58">
        <v>100</v>
      </c>
      <c r="AI10" s="58">
        <v>800</v>
      </c>
      <c r="AJ10" s="49">
        <v>200</v>
      </c>
      <c r="AK10" s="49">
        <v>1000</v>
      </c>
      <c r="AL10" s="52">
        <v>100</v>
      </c>
      <c r="AM10" s="52">
        <v>300</v>
      </c>
      <c r="AN10" s="52">
        <v>400</v>
      </c>
      <c r="AO10" s="59">
        <v>0.4</v>
      </c>
      <c r="AP10" s="60">
        <v>600</v>
      </c>
      <c r="AQ10" s="61">
        <v>0.6</v>
      </c>
      <c r="AR10" s="60" t="s">
        <v>78</v>
      </c>
      <c r="AS10" s="62">
        <v>1190</v>
      </c>
      <c r="AT10" s="62">
        <v>170</v>
      </c>
      <c r="AU10" s="62">
        <v>1360</v>
      </c>
      <c r="AV10" s="62">
        <v>1700</v>
      </c>
      <c r="AW10" s="47" t="s">
        <v>107</v>
      </c>
      <c r="AX10" s="64">
        <v>44952</v>
      </c>
      <c r="AY10" s="64" t="s">
        <v>3865</v>
      </c>
      <c r="AZ10" s="86"/>
      <c r="BA10" s="64"/>
      <c r="BB10" s="64"/>
      <c r="BC10" s="64"/>
      <c r="BD10" s="46"/>
      <c r="BE10" s="46" t="e">
        <v>#REF!</v>
      </c>
      <c r="BF10" s="46" t="s">
        <v>3837</v>
      </c>
      <c r="BG10" s="65">
        <v>3</v>
      </c>
      <c r="BH10" s="66" t="s">
        <v>3866</v>
      </c>
      <c r="BI10" s="63" t="s">
        <v>3867</v>
      </c>
    </row>
    <row r="11" spans="1:61" ht="165.75" x14ac:dyDescent="0.2">
      <c r="A11" s="45" t="s">
        <v>3868</v>
      </c>
      <c r="B11" s="46"/>
      <c r="C11" s="46" t="s">
        <v>3832</v>
      </c>
      <c r="D11" s="46" t="s">
        <v>3833</v>
      </c>
      <c r="E11" s="46" t="s">
        <v>3864</v>
      </c>
      <c r="F11" s="46" t="s">
        <v>3536</v>
      </c>
      <c r="G11" s="46" t="s">
        <v>3854</v>
      </c>
      <c r="H11" s="46" t="s">
        <v>68</v>
      </c>
      <c r="I11" s="46" t="s">
        <v>68</v>
      </c>
      <c r="J11" s="46" t="s">
        <v>3855</v>
      </c>
      <c r="K11" s="47">
        <v>900</v>
      </c>
      <c r="L11" s="47">
        <v>100</v>
      </c>
      <c r="M11" s="47">
        <v>1000</v>
      </c>
      <c r="N11" s="46"/>
      <c r="O11" s="71" t="s">
        <v>68</v>
      </c>
      <c r="P11" s="64"/>
      <c r="Q11" s="46" t="s">
        <v>3826</v>
      </c>
      <c r="R11" s="46" t="s">
        <v>3829</v>
      </c>
      <c r="S11" s="49">
        <v>250</v>
      </c>
      <c r="T11" s="49">
        <v>1250</v>
      </c>
      <c r="U11" s="67">
        <v>0.59599999999999997</v>
      </c>
      <c r="V11" s="67">
        <v>0.62</v>
      </c>
      <c r="W11" s="51">
        <v>0.1111111111111111</v>
      </c>
      <c r="X11" s="52">
        <v>125</v>
      </c>
      <c r="Y11" s="52">
        <v>30</v>
      </c>
      <c r="Z11" s="52">
        <v>350</v>
      </c>
      <c r="AA11" s="52">
        <v>505</v>
      </c>
      <c r="AB11" s="53">
        <v>0.40400000000000003</v>
      </c>
      <c r="AC11" s="72">
        <v>745</v>
      </c>
      <c r="AD11" s="55">
        <v>0.59599999999999997</v>
      </c>
      <c r="AE11" s="73">
        <v>4</v>
      </c>
      <c r="AF11" s="57" t="s">
        <v>95</v>
      </c>
      <c r="AG11" s="58">
        <v>900</v>
      </c>
      <c r="AH11" s="58">
        <v>100</v>
      </c>
      <c r="AI11" s="58">
        <v>1000</v>
      </c>
      <c r="AJ11" s="49">
        <v>250</v>
      </c>
      <c r="AK11" s="49">
        <v>1250</v>
      </c>
      <c r="AL11" s="52">
        <v>125</v>
      </c>
      <c r="AM11" s="52">
        <v>350</v>
      </c>
      <c r="AN11" s="52">
        <v>475</v>
      </c>
      <c r="AO11" s="59">
        <v>0.38</v>
      </c>
      <c r="AP11" s="60">
        <v>775</v>
      </c>
      <c r="AQ11" s="61">
        <v>0.62</v>
      </c>
      <c r="AR11" s="60" t="s">
        <v>78</v>
      </c>
      <c r="AS11" s="62">
        <v>1530</v>
      </c>
      <c r="AT11" s="62">
        <v>170</v>
      </c>
      <c r="AU11" s="62">
        <v>1700</v>
      </c>
      <c r="AV11" s="62">
        <v>2125</v>
      </c>
      <c r="AW11" s="47" t="s">
        <v>107</v>
      </c>
      <c r="AX11" s="64">
        <v>44952</v>
      </c>
      <c r="AY11" s="64" t="s">
        <v>3869</v>
      </c>
      <c r="AZ11" s="86"/>
      <c r="BA11" s="64"/>
      <c r="BB11" s="64"/>
      <c r="BC11" s="64"/>
      <c r="BD11" s="46"/>
      <c r="BE11" s="46" t="e">
        <v>#REF!</v>
      </c>
      <c r="BF11" s="46" t="s">
        <v>3837</v>
      </c>
      <c r="BG11" s="65">
        <v>4</v>
      </c>
      <c r="BH11" s="66" t="s">
        <v>3870</v>
      </c>
      <c r="BI11" s="63" t="s">
        <v>3871</v>
      </c>
    </row>
    <row r="12" spans="1:61" ht="153" x14ac:dyDescent="0.2">
      <c r="A12" s="45" t="s">
        <v>3872</v>
      </c>
      <c r="B12" s="46"/>
      <c r="C12" s="46" t="s">
        <v>3832</v>
      </c>
      <c r="D12" s="46" t="s">
        <v>3873</v>
      </c>
      <c r="E12" s="46" t="s">
        <v>3834</v>
      </c>
      <c r="F12" s="46" t="s">
        <v>3835</v>
      </c>
      <c r="G12" s="46" t="s">
        <v>68</v>
      </c>
      <c r="H12" s="46" t="s">
        <v>68</v>
      </c>
      <c r="I12" s="46" t="s">
        <v>68</v>
      </c>
      <c r="J12" s="46" t="s">
        <v>71</v>
      </c>
      <c r="K12" s="47">
        <v>400</v>
      </c>
      <c r="L12" s="47">
        <v>30</v>
      </c>
      <c r="M12" s="47">
        <v>430</v>
      </c>
      <c r="N12" s="46"/>
      <c r="O12" s="71" t="s">
        <v>68</v>
      </c>
      <c r="P12" s="64"/>
      <c r="Q12" s="46" t="s">
        <v>3826</v>
      </c>
      <c r="R12" s="46" t="s">
        <v>3829</v>
      </c>
      <c r="S12" s="49">
        <v>107.5</v>
      </c>
      <c r="T12" s="49">
        <v>537.5</v>
      </c>
      <c r="U12" s="67">
        <v>0.58837209302325577</v>
      </c>
      <c r="V12" s="67">
        <v>0.64418604651162792</v>
      </c>
      <c r="W12" s="51">
        <v>7.4999999999999997E-2</v>
      </c>
      <c r="X12" s="52">
        <v>53.75</v>
      </c>
      <c r="Y12" s="52">
        <v>30</v>
      </c>
      <c r="Z12" s="52">
        <v>137.5</v>
      </c>
      <c r="AA12" s="52">
        <v>221.25</v>
      </c>
      <c r="AB12" s="53">
        <v>0.41162790697674417</v>
      </c>
      <c r="AC12" s="72">
        <v>316.25</v>
      </c>
      <c r="AD12" s="55">
        <v>0.58837209302325577</v>
      </c>
      <c r="AE12" s="73">
        <v>4</v>
      </c>
      <c r="AF12" s="57" t="s">
        <v>95</v>
      </c>
      <c r="AG12" s="58">
        <v>400</v>
      </c>
      <c r="AH12" s="58">
        <v>30</v>
      </c>
      <c r="AI12" s="58">
        <v>430</v>
      </c>
      <c r="AJ12" s="49">
        <v>107.5</v>
      </c>
      <c r="AK12" s="49">
        <v>537.5</v>
      </c>
      <c r="AL12" s="52">
        <v>53.75</v>
      </c>
      <c r="AM12" s="52">
        <v>137.5</v>
      </c>
      <c r="AN12" s="52">
        <v>191.25</v>
      </c>
      <c r="AO12" s="59">
        <v>0.35581395348837208</v>
      </c>
      <c r="AP12" s="60">
        <v>346.25</v>
      </c>
      <c r="AQ12" s="61">
        <v>0.64418604651162792</v>
      </c>
      <c r="AR12" s="60" t="s">
        <v>78</v>
      </c>
      <c r="AS12" s="62">
        <v>680</v>
      </c>
      <c r="AT12" s="62">
        <v>51</v>
      </c>
      <c r="AU12" s="62">
        <v>731</v>
      </c>
      <c r="AV12" s="62">
        <v>913.75</v>
      </c>
      <c r="AW12" s="47" t="s">
        <v>107</v>
      </c>
      <c r="AX12" s="64">
        <v>44952</v>
      </c>
      <c r="AY12" s="64" t="s">
        <v>3874</v>
      </c>
      <c r="AZ12" s="86"/>
      <c r="BA12" s="64"/>
      <c r="BB12" s="64"/>
      <c r="BC12" s="64"/>
      <c r="BD12" s="46"/>
      <c r="BE12" s="46" t="e">
        <v>#REF!</v>
      </c>
      <c r="BF12" s="46" t="s">
        <v>3837</v>
      </c>
      <c r="BG12" s="65">
        <v>3</v>
      </c>
      <c r="BH12" s="66" t="s">
        <v>3875</v>
      </c>
      <c r="BI12" s="63" t="s">
        <v>3876</v>
      </c>
    </row>
    <row r="13" spans="1:61" ht="153" x14ac:dyDescent="0.2">
      <c r="A13" s="45" t="s">
        <v>3877</v>
      </c>
      <c r="B13" s="46"/>
      <c r="C13" s="46" t="s">
        <v>3832</v>
      </c>
      <c r="D13" s="46" t="s">
        <v>3873</v>
      </c>
      <c r="E13" s="46" t="s">
        <v>3864</v>
      </c>
      <c r="F13" s="46" t="s">
        <v>3835</v>
      </c>
      <c r="G13" s="46" t="s">
        <v>68</v>
      </c>
      <c r="H13" s="46" t="s">
        <v>68</v>
      </c>
      <c r="I13" s="46" t="s">
        <v>68</v>
      </c>
      <c r="J13" s="46" t="s">
        <v>71</v>
      </c>
      <c r="K13" s="47">
        <v>600</v>
      </c>
      <c r="L13" s="47">
        <v>30</v>
      </c>
      <c r="M13" s="47">
        <v>630</v>
      </c>
      <c r="N13" s="46"/>
      <c r="O13" s="71" t="s">
        <v>68</v>
      </c>
      <c r="P13" s="64"/>
      <c r="Q13" s="46" t="s">
        <v>3826</v>
      </c>
      <c r="R13" s="46" t="s">
        <v>3829</v>
      </c>
      <c r="S13" s="49">
        <v>157.5</v>
      </c>
      <c r="T13" s="49">
        <v>787.5</v>
      </c>
      <c r="U13" s="67">
        <v>0.62380952380952381</v>
      </c>
      <c r="V13" s="67">
        <v>0.66190476190476188</v>
      </c>
      <c r="W13" s="51">
        <v>0.05</v>
      </c>
      <c r="X13" s="52">
        <v>78.75</v>
      </c>
      <c r="Y13" s="52">
        <v>30</v>
      </c>
      <c r="Z13" s="52">
        <v>187.5</v>
      </c>
      <c r="AA13" s="52">
        <v>296.25</v>
      </c>
      <c r="AB13" s="53">
        <v>0.37619047619047619</v>
      </c>
      <c r="AC13" s="72">
        <v>491.25</v>
      </c>
      <c r="AD13" s="55">
        <v>0.62380952380952381</v>
      </c>
      <c r="AE13" s="73">
        <v>4</v>
      </c>
      <c r="AF13" s="57" t="s">
        <v>95</v>
      </c>
      <c r="AG13" s="58">
        <v>600</v>
      </c>
      <c r="AH13" s="58">
        <v>30</v>
      </c>
      <c r="AI13" s="58">
        <v>630</v>
      </c>
      <c r="AJ13" s="49">
        <v>157.5</v>
      </c>
      <c r="AK13" s="49">
        <v>787.5</v>
      </c>
      <c r="AL13" s="52">
        <v>78.75</v>
      </c>
      <c r="AM13" s="52">
        <v>187.5</v>
      </c>
      <c r="AN13" s="52">
        <v>266.25</v>
      </c>
      <c r="AO13" s="59">
        <v>0.33809523809523812</v>
      </c>
      <c r="AP13" s="60">
        <v>521.25</v>
      </c>
      <c r="AQ13" s="61">
        <v>0.66190476190476188</v>
      </c>
      <c r="AR13" s="60" t="s">
        <v>78</v>
      </c>
      <c r="AS13" s="62">
        <v>1020</v>
      </c>
      <c r="AT13" s="62">
        <v>51</v>
      </c>
      <c r="AU13" s="62">
        <v>1071</v>
      </c>
      <c r="AV13" s="62">
        <v>1338.75</v>
      </c>
      <c r="AW13" s="47" t="s">
        <v>107</v>
      </c>
      <c r="AX13" s="64">
        <v>44952</v>
      </c>
      <c r="AY13" s="64" t="s">
        <v>3878</v>
      </c>
      <c r="AZ13" s="86"/>
      <c r="BA13" s="64"/>
      <c r="BB13" s="64"/>
      <c r="BC13" s="64"/>
      <c r="BD13" s="46"/>
      <c r="BE13" s="46" t="e">
        <v>#REF!</v>
      </c>
      <c r="BF13" s="46" t="s">
        <v>3837</v>
      </c>
      <c r="BG13" s="65">
        <v>3</v>
      </c>
      <c r="BH13" s="66" t="s">
        <v>3879</v>
      </c>
      <c r="BI13" s="63" t="s">
        <v>3880</v>
      </c>
    </row>
    <row r="14" spans="1:61" ht="153" x14ac:dyDescent="0.2">
      <c r="A14" s="45" t="s">
        <v>3881</v>
      </c>
      <c r="B14" s="46"/>
      <c r="C14" s="46" t="s">
        <v>3832</v>
      </c>
      <c r="D14" s="46" t="s">
        <v>3873</v>
      </c>
      <c r="E14" s="46" t="s">
        <v>3834</v>
      </c>
      <c r="F14" s="46" t="s">
        <v>3854</v>
      </c>
      <c r="G14" s="46" t="s">
        <v>68</v>
      </c>
      <c r="H14" s="46" t="s">
        <v>68</v>
      </c>
      <c r="I14" s="46" t="s">
        <v>68</v>
      </c>
      <c r="J14" s="46" t="s">
        <v>3855</v>
      </c>
      <c r="K14" s="47">
        <v>600</v>
      </c>
      <c r="L14" s="47">
        <v>50</v>
      </c>
      <c r="M14" s="47">
        <v>650</v>
      </c>
      <c r="N14" s="46"/>
      <c r="O14" s="71" t="s">
        <v>68</v>
      </c>
      <c r="P14" s="64"/>
      <c r="Q14" s="46" t="s">
        <v>3826</v>
      </c>
      <c r="R14" s="46" t="s">
        <v>3829</v>
      </c>
      <c r="S14" s="49">
        <v>162.5</v>
      </c>
      <c r="T14" s="49">
        <v>812.5</v>
      </c>
      <c r="U14" s="67">
        <v>0.60153846153846158</v>
      </c>
      <c r="V14" s="67">
        <v>0.63846153846153841</v>
      </c>
      <c r="W14" s="51">
        <v>8.3333333333333329E-2</v>
      </c>
      <c r="X14" s="52">
        <v>81.25</v>
      </c>
      <c r="Y14" s="52">
        <v>30</v>
      </c>
      <c r="Z14" s="52">
        <v>212.5</v>
      </c>
      <c r="AA14" s="52">
        <v>323.75</v>
      </c>
      <c r="AB14" s="53">
        <v>0.39846153846153848</v>
      </c>
      <c r="AC14" s="72">
        <v>488.75</v>
      </c>
      <c r="AD14" s="55">
        <v>0.60153846153846158</v>
      </c>
      <c r="AE14" s="73">
        <v>4</v>
      </c>
      <c r="AF14" s="57" t="s">
        <v>95</v>
      </c>
      <c r="AG14" s="58">
        <v>600</v>
      </c>
      <c r="AH14" s="58">
        <v>50</v>
      </c>
      <c r="AI14" s="58">
        <v>650</v>
      </c>
      <c r="AJ14" s="49">
        <v>162.5</v>
      </c>
      <c r="AK14" s="49">
        <v>812.5</v>
      </c>
      <c r="AL14" s="52">
        <v>81.25</v>
      </c>
      <c r="AM14" s="52">
        <v>212.5</v>
      </c>
      <c r="AN14" s="52">
        <v>293.75</v>
      </c>
      <c r="AO14" s="59">
        <v>0.36153846153846153</v>
      </c>
      <c r="AP14" s="60">
        <v>518.75</v>
      </c>
      <c r="AQ14" s="61">
        <v>0.63846153846153841</v>
      </c>
      <c r="AR14" s="60" t="s">
        <v>78</v>
      </c>
      <c r="AS14" s="62">
        <v>1020</v>
      </c>
      <c r="AT14" s="62">
        <v>85</v>
      </c>
      <c r="AU14" s="62">
        <v>1105</v>
      </c>
      <c r="AV14" s="62">
        <v>1381.25</v>
      </c>
      <c r="AW14" s="47" t="s">
        <v>107</v>
      </c>
      <c r="AX14" s="64">
        <v>44952</v>
      </c>
      <c r="AY14" s="64" t="s">
        <v>3882</v>
      </c>
      <c r="AZ14" s="86"/>
      <c r="BA14" s="64"/>
      <c r="BB14" s="64"/>
      <c r="BC14" s="64"/>
      <c r="BD14" s="46"/>
      <c r="BE14" s="46" t="e">
        <v>#REF!</v>
      </c>
      <c r="BF14" s="46" t="s">
        <v>3837</v>
      </c>
      <c r="BG14" s="65">
        <v>3</v>
      </c>
      <c r="BH14" s="66" t="s">
        <v>3883</v>
      </c>
      <c r="BI14" s="63" t="s">
        <v>3884</v>
      </c>
    </row>
    <row r="15" spans="1:61" ht="153" x14ac:dyDescent="0.2">
      <c r="A15" s="45" t="s">
        <v>3885</v>
      </c>
      <c r="B15" s="46"/>
      <c r="C15" s="46" t="s">
        <v>3832</v>
      </c>
      <c r="D15" s="46" t="s">
        <v>3873</v>
      </c>
      <c r="E15" s="46" t="s">
        <v>3864</v>
      </c>
      <c r="F15" s="46" t="s">
        <v>3854</v>
      </c>
      <c r="G15" s="46" t="s">
        <v>68</v>
      </c>
      <c r="H15" s="46" t="s">
        <v>68</v>
      </c>
      <c r="I15" s="46" t="s">
        <v>68</v>
      </c>
      <c r="J15" s="46" t="s">
        <v>3855</v>
      </c>
      <c r="K15" s="47">
        <v>800</v>
      </c>
      <c r="L15" s="47">
        <v>50</v>
      </c>
      <c r="M15" s="47">
        <v>850</v>
      </c>
      <c r="N15" s="46"/>
      <c r="O15" s="71" t="s">
        <v>68</v>
      </c>
      <c r="P15" s="64"/>
      <c r="Q15" s="46" t="s">
        <v>3826</v>
      </c>
      <c r="R15" s="46" t="s">
        <v>3829</v>
      </c>
      <c r="S15" s="49">
        <v>212.5</v>
      </c>
      <c r="T15" s="49">
        <v>1062.5</v>
      </c>
      <c r="U15" s="67">
        <v>0.62470588235294122</v>
      </c>
      <c r="V15" s="67">
        <v>0.65294117647058825</v>
      </c>
      <c r="W15" s="51">
        <v>6.25E-2</v>
      </c>
      <c r="X15" s="52">
        <v>106.25</v>
      </c>
      <c r="Y15" s="52">
        <v>30</v>
      </c>
      <c r="Z15" s="52">
        <v>262.5</v>
      </c>
      <c r="AA15" s="52">
        <v>398.75</v>
      </c>
      <c r="AB15" s="53">
        <v>0.37529411764705883</v>
      </c>
      <c r="AC15" s="72">
        <v>663.75</v>
      </c>
      <c r="AD15" s="55">
        <v>0.62470588235294122</v>
      </c>
      <c r="AE15" s="73">
        <v>4</v>
      </c>
      <c r="AF15" s="57" t="s">
        <v>95</v>
      </c>
      <c r="AG15" s="58">
        <v>800</v>
      </c>
      <c r="AH15" s="58">
        <v>50</v>
      </c>
      <c r="AI15" s="58">
        <v>850</v>
      </c>
      <c r="AJ15" s="49">
        <v>212.5</v>
      </c>
      <c r="AK15" s="49">
        <v>1062.5</v>
      </c>
      <c r="AL15" s="52">
        <v>106.25</v>
      </c>
      <c r="AM15" s="52">
        <v>262.5</v>
      </c>
      <c r="AN15" s="52">
        <v>368.75</v>
      </c>
      <c r="AO15" s="59">
        <v>0.34705882352941175</v>
      </c>
      <c r="AP15" s="60">
        <v>693.75</v>
      </c>
      <c r="AQ15" s="61">
        <v>0.65294117647058825</v>
      </c>
      <c r="AR15" s="60" t="s">
        <v>78</v>
      </c>
      <c r="AS15" s="62">
        <v>1360</v>
      </c>
      <c r="AT15" s="62">
        <v>85</v>
      </c>
      <c r="AU15" s="62">
        <v>1445</v>
      </c>
      <c r="AV15" s="62">
        <v>1806.25</v>
      </c>
      <c r="AW15" s="47" t="s">
        <v>107</v>
      </c>
      <c r="AX15" s="64">
        <v>44952</v>
      </c>
      <c r="AY15" s="64" t="s">
        <v>3886</v>
      </c>
      <c r="AZ15" s="86"/>
      <c r="BA15" s="64"/>
      <c r="BB15" s="64"/>
      <c r="BC15" s="64"/>
      <c r="BD15" s="46"/>
      <c r="BE15" s="46" t="e">
        <v>#REF!</v>
      </c>
      <c r="BF15" s="46" t="s">
        <v>3837</v>
      </c>
      <c r="BG15" s="65">
        <v>3</v>
      </c>
      <c r="BH15" s="66" t="s">
        <v>3887</v>
      </c>
      <c r="BI15" s="63" t="s">
        <v>3888</v>
      </c>
    </row>
    <row r="16" spans="1:61" ht="216.75" x14ac:dyDescent="0.2">
      <c r="A16" s="45" t="s">
        <v>3889</v>
      </c>
      <c r="B16" s="46"/>
      <c r="C16" s="46" t="s">
        <v>3890</v>
      </c>
      <c r="D16" s="46" t="s">
        <v>3891</v>
      </c>
      <c r="E16" s="46" t="s">
        <v>3892</v>
      </c>
      <c r="F16" s="46"/>
      <c r="G16" s="46"/>
      <c r="H16" s="46"/>
      <c r="I16" s="46"/>
      <c r="J16" s="46" t="s">
        <v>71</v>
      </c>
      <c r="K16" s="47">
        <v>540</v>
      </c>
      <c r="L16" s="47">
        <v>2500</v>
      </c>
      <c r="M16" s="47">
        <v>3040</v>
      </c>
      <c r="N16" s="46" t="s">
        <v>3893</v>
      </c>
      <c r="O16" s="71" t="s">
        <v>3894</v>
      </c>
      <c r="P16" s="46" t="s">
        <v>3895</v>
      </c>
      <c r="Q16" s="46" t="s">
        <v>3826</v>
      </c>
      <c r="R16" s="46" t="s">
        <v>3829</v>
      </c>
      <c r="S16" s="49">
        <v>760</v>
      </c>
      <c r="T16" s="49">
        <v>3800</v>
      </c>
      <c r="U16" s="50">
        <v>3.4210526315789476E-2</v>
      </c>
      <c r="V16" s="50">
        <v>4.2105263157894736E-2</v>
      </c>
      <c r="W16" s="77">
        <v>4.6296296296296298</v>
      </c>
      <c r="X16" s="52">
        <v>380</v>
      </c>
      <c r="Y16" s="52">
        <v>30</v>
      </c>
      <c r="Z16" s="52">
        <v>3260</v>
      </c>
      <c r="AA16" s="52">
        <v>3670</v>
      </c>
      <c r="AB16" s="53">
        <v>0.96578947368421053</v>
      </c>
      <c r="AC16" s="72">
        <v>130</v>
      </c>
      <c r="AD16" s="55">
        <v>3.4210526315789476E-2</v>
      </c>
      <c r="AE16" s="73">
        <v>4</v>
      </c>
      <c r="AF16" s="57" t="s">
        <v>95</v>
      </c>
      <c r="AG16" s="58">
        <v>540</v>
      </c>
      <c r="AH16" s="58">
        <v>2500</v>
      </c>
      <c r="AI16" s="58">
        <v>3040</v>
      </c>
      <c r="AJ16" s="49">
        <v>760</v>
      </c>
      <c r="AK16" s="49">
        <v>3800</v>
      </c>
      <c r="AL16" s="52">
        <v>380</v>
      </c>
      <c r="AM16" s="52">
        <v>3260</v>
      </c>
      <c r="AN16" s="52">
        <v>3640</v>
      </c>
      <c r="AO16" s="59">
        <v>0.95789473684210524</v>
      </c>
      <c r="AP16" s="60">
        <v>160</v>
      </c>
      <c r="AQ16" s="61">
        <v>4.2105263157894736E-2</v>
      </c>
      <c r="AR16" s="60" t="s">
        <v>73</v>
      </c>
      <c r="AS16" s="62">
        <v>918</v>
      </c>
      <c r="AT16" s="62">
        <v>4250</v>
      </c>
      <c r="AU16" s="62">
        <v>5168</v>
      </c>
      <c r="AV16" s="62">
        <v>6460</v>
      </c>
      <c r="AW16" s="47" t="s">
        <v>74</v>
      </c>
      <c r="AX16" s="64">
        <v>44952</v>
      </c>
      <c r="AY16" s="64" t="s">
        <v>3896</v>
      </c>
      <c r="AZ16" s="86"/>
      <c r="BA16" s="46" t="s">
        <v>3897</v>
      </c>
      <c r="BB16" s="26"/>
      <c r="BC16" s="26"/>
      <c r="BD16" s="70" t="s">
        <v>3898</v>
      </c>
      <c r="BE16" s="46" t="e">
        <v>#REF!</v>
      </c>
      <c r="BF16" s="46" t="s">
        <v>3837</v>
      </c>
      <c r="BG16" s="65">
        <v>2</v>
      </c>
      <c r="BH16" s="66"/>
      <c r="BI16" s="63" t="s">
        <v>3899</v>
      </c>
    </row>
    <row r="17" spans="1:61" ht="216.75" x14ac:dyDescent="0.2">
      <c r="A17" s="45" t="s">
        <v>3900</v>
      </c>
      <c r="B17" s="46"/>
      <c r="C17" s="46" t="s">
        <v>3890</v>
      </c>
      <c r="D17" s="46" t="s">
        <v>3891</v>
      </c>
      <c r="E17" s="46" t="s">
        <v>3901</v>
      </c>
      <c r="F17" s="46"/>
      <c r="G17" s="46"/>
      <c r="H17" s="46"/>
      <c r="I17" s="46"/>
      <c r="J17" s="46" t="s">
        <v>71</v>
      </c>
      <c r="K17" s="47">
        <v>700</v>
      </c>
      <c r="L17" s="47">
        <v>3500</v>
      </c>
      <c r="M17" s="47">
        <v>4200</v>
      </c>
      <c r="N17" s="46" t="s">
        <v>3893</v>
      </c>
      <c r="O17" s="71" t="s">
        <v>3902</v>
      </c>
      <c r="P17" s="46" t="s">
        <v>3895</v>
      </c>
      <c r="Q17" s="46" t="s">
        <v>3826</v>
      </c>
      <c r="R17" s="46" t="s">
        <v>3829</v>
      </c>
      <c r="S17" s="49">
        <v>1050</v>
      </c>
      <c r="T17" s="49">
        <v>5250</v>
      </c>
      <c r="U17" s="50">
        <v>2.7619047619047619E-2</v>
      </c>
      <c r="V17" s="50">
        <v>3.3333333333333333E-2</v>
      </c>
      <c r="W17" s="77">
        <v>5</v>
      </c>
      <c r="X17" s="52">
        <v>525</v>
      </c>
      <c r="Y17" s="52">
        <v>30</v>
      </c>
      <c r="Z17" s="52">
        <v>4550</v>
      </c>
      <c r="AA17" s="52">
        <v>5105</v>
      </c>
      <c r="AB17" s="53">
        <v>0.97238095238095235</v>
      </c>
      <c r="AC17" s="72">
        <v>145</v>
      </c>
      <c r="AD17" s="55">
        <v>2.7619047619047619E-2</v>
      </c>
      <c r="AE17" s="73">
        <v>4</v>
      </c>
      <c r="AF17" s="57" t="s">
        <v>95</v>
      </c>
      <c r="AG17" s="58">
        <v>700</v>
      </c>
      <c r="AH17" s="58">
        <v>3500</v>
      </c>
      <c r="AI17" s="58">
        <v>4200</v>
      </c>
      <c r="AJ17" s="49">
        <v>1050</v>
      </c>
      <c r="AK17" s="49">
        <v>5250</v>
      </c>
      <c r="AL17" s="52">
        <v>525</v>
      </c>
      <c r="AM17" s="52">
        <v>4550</v>
      </c>
      <c r="AN17" s="52">
        <v>5075</v>
      </c>
      <c r="AO17" s="59">
        <v>0.96666666666666667</v>
      </c>
      <c r="AP17" s="60">
        <v>175</v>
      </c>
      <c r="AQ17" s="61">
        <v>3.3333333333333333E-2</v>
      </c>
      <c r="AR17" s="60" t="s">
        <v>73</v>
      </c>
      <c r="AS17" s="62">
        <v>1190</v>
      </c>
      <c r="AT17" s="62">
        <v>5950</v>
      </c>
      <c r="AU17" s="62">
        <v>7140</v>
      </c>
      <c r="AV17" s="62">
        <v>8925</v>
      </c>
      <c r="AW17" s="47" t="s">
        <v>74</v>
      </c>
      <c r="AX17" s="64">
        <v>44952</v>
      </c>
      <c r="AY17" s="64" t="s">
        <v>3903</v>
      </c>
      <c r="AZ17" s="86"/>
      <c r="BA17" s="46" t="s">
        <v>3897</v>
      </c>
      <c r="BB17" s="26"/>
      <c r="BC17" s="26"/>
      <c r="BD17" s="70" t="s">
        <v>3904</v>
      </c>
      <c r="BE17" s="46" t="e">
        <v>#REF!</v>
      </c>
      <c r="BF17" s="46" t="s">
        <v>3837</v>
      </c>
      <c r="BG17" s="65">
        <v>2</v>
      </c>
      <c r="BH17" s="66"/>
      <c r="BI17" s="63" t="s">
        <v>3905</v>
      </c>
    </row>
    <row r="18" spans="1:61" ht="165.75" x14ac:dyDescent="0.2">
      <c r="A18" s="45" t="s">
        <v>3906</v>
      </c>
      <c r="B18" s="46"/>
      <c r="C18" s="46" t="s">
        <v>3907</v>
      </c>
      <c r="D18" s="46" t="s">
        <v>3908</v>
      </c>
      <c r="E18" s="46" t="s">
        <v>199</v>
      </c>
      <c r="F18" s="46" t="s">
        <v>68</v>
      </c>
      <c r="G18" s="46" t="s">
        <v>68</v>
      </c>
      <c r="H18" s="46" t="s">
        <v>68</v>
      </c>
      <c r="I18" s="46" t="s">
        <v>68</v>
      </c>
      <c r="J18" s="46" t="s">
        <v>71</v>
      </c>
      <c r="K18" s="47">
        <v>250</v>
      </c>
      <c r="L18" s="47">
        <v>0</v>
      </c>
      <c r="M18" s="47">
        <v>250</v>
      </c>
      <c r="N18" s="46" t="s">
        <v>3909</v>
      </c>
      <c r="O18" s="71" t="s">
        <v>3910</v>
      </c>
      <c r="P18" s="46" t="s">
        <v>3911</v>
      </c>
      <c r="Q18" s="46" t="s">
        <v>3826</v>
      </c>
      <c r="R18" s="46" t="s">
        <v>3829</v>
      </c>
      <c r="S18" s="49">
        <v>62.5</v>
      </c>
      <c r="T18" s="49">
        <v>312.5</v>
      </c>
      <c r="U18" s="67">
        <v>0.60399999999999998</v>
      </c>
      <c r="V18" s="67">
        <v>0.7</v>
      </c>
      <c r="W18" s="51">
        <v>0</v>
      </c>
      <c r="X18" s="52">
        <v>31.25</v>
      </c>
      <c r="Y18" s="52">
        <v>30</v>
      </c>
      <c r="Z18" s="52">
        <v>62.5</v>
      </c>
      <c r="AA18" s="52">
        <v>123.75</v>
      </c>
      <c r="AB18" s="53">
        <v>0.39600000000000002</v>
      </c>
      <c r="AC18" s="72">
        <v>188.75</v>
      </c>
      <c r="AD18" s="55">
        <v>0.60399999999999998</v>
      </c>
      <c r="AE18" s="73">
        <v>4</v>
      </c>
      <c r="AF18" s="57" t="s">
        <v>95</v>
      </c>
      <c r="AG18" s="58">
        <v>250</v>
      </c>
      <c r="AH18" s="58">
        <v>0</v>
      </c>
      <c r="AI18" s="58">
        <v>250</v>
      </c>
      <c r="AJ18" s="49">
        <v>62.5</v>
      </c>
      <c r="AK18" s="49">
        <v>312.5</v>
      </c>
      <c r="AL18" s="52">
        <v>31.25</v>
      </c>
      <c r="AM18" s="52">
        <v>62.5</v>
      </c>
      <c r="AN18" s="52">
        <v>93.75</v>
      </c>
      <c r="AO18" s="59">
        <v>0.3</v>
      </c>
      <c r="AP18" s="60">
        <v>218.75</v>
      </c>
      <c r="AQ18" s="61">
        <v>0.7</v>
      </c>
      <c r="AR18" s="60" t="s">
        <v>78</v>
      </c>
      <c r="AS18" s="62">
        <v>425</v>
      </c>
      <c r="AT18" s="62">
        <v>0</v>
      </c>
      <c r="AU18" s="62">
        <v>425</v>
      </c>
      <c r="AV18" s="62">
        <v>531.25</v>
      </c>
      <c r="AW18" s="47" t="s">
        <v>74</v>
      </c>
      <c r="AX18" s="64">
        <v>44952</v>
      </c>
      <c r="AY18" s="64" t="s">
        <v>3912</v>
      </c>
      <c r="AZ18" s="86"/>
      <c r="BA18" s="46" t="s">
        <v>3897</v>
      </c>
      <c r="BB18" s="26"/>
      <c r="BC18" s="26"/>
      <c r="BD18" s="46"/>
      <c r="BE18" s="46" t="e">
        <v>#REF!</v>
      </c>
      <c r="BF18" s="46" t="s">
        <v>3837</v>
      </c>
      <c r="BG18" s="65">
        <v>1.5</v>
      </c>
      <c r="BH18" s="66" t="s">
        <v>3913</v>
      </c>
      <c r="BI18" s="63" t="s">
        <v>3914</v>
      </c>
    </row>
    <row r="19" spans="1:61" ht="165.75" x14ac:dyDescent="0.2">
      <c r="A19" s="45" t="s">
        <v>3915</v>
      </c>
      <c r="B19" s="46"/>
      <c r="C19" s="46" t="s">
        <v>3907</v>
      </c>
      <c r="D19" s="46" t="s">
        <v>3908</v>
      </c>
      <c r="E19" s="46" t="s">
        <v>3916</v>
      </c>
      <c r="F19" s="46" t="s">
        <v>68</v>
      </c>
      <c r="G19" s="46" t="s">
        <v>68</v>
      </c>
      <c r="H19" s="46" t="s">
        <v>68</v>
      </c>
      <c r="I19" s="46" t="s">
        <v>68</v>
      </c>
      <c r="J19" s="46" t="s">
        <v>71</v>
      </c>
      <c r="K19" s="47">
        <v>350</v>
      </c>
      <c r="L19" s="47">
        <v>0</v>
      </c>
      <c r="M19" s="47">
        <v>350</v>
      </c>
      <c r="N19" s="46" t="s">
        <v>3917</v>
      </c>
      <c r="O19" s="71" t="s">
        <v>3918</v>
      </c>
      <c r="P19" s="46" t="s">
        <v>3919</v>
      </c>
      <c r="Q19" s="46" t="s">
        <v>3826</v>
      </c>
      <c r="R19" s="46" t="s">
        <v>3829</v>
      </c>
      <c r="S19" s="49">
        <v>87.5</v>
      </c>
      <c r="T19" s="49">
        <v>437.5</v>
      </c>
      <c r="U19" s="67">
        <v>0.63142857142857145</v>
      </c>
      <c r="V19" s="67">
        <v>0.7</v>
      </c>
      <c r="W19" s="51">
        <v>0</v>
      </c>
      <c r="X19" s="52">
        <v>43.75</v>
      </c>
      <c r="Y19" s="52">
        <v>30</v>
      </c>
      <c r="Z19" s="52">
        <v>87.5</v>
      </c>
      <c r="AA19" s="52">
        <v>161.25</v>
      </c>
      <c r="AB19" s="53">
        <v>0.36857142857142855</v>
      </c>
      <c r="AC19" s="72">
        <v>276.25</v>
      </c>
      <c r="AD19" s="55">
        <v>0.63142857142857145</v>
      </c>
      <c r="AE19" s="73">
        <v>4</v>
      </c>
      <c r="AF19" s="57" t="s">
        <v>95</v>
      </c>
      <c r="AG19" s="58">
        <v>350</v>
      </c>
      <c r="AH19" s="58">
        <v>0</v>
      </c>
      <c r="AI19" s="58">
        <v>350</v>
      </c>
      <c r="AJ19" s="49">
        <v>87.5</v>
      </c>
      <c r="AK19" s="49">
        <v>437.5</v>
      </c>
      <c r="AL19" s="52">
        <v>43.75</v>
      </c>
      <c r="AM19" s="52">
        <v>87.5</v>
      </c>
      <c r="AN19" s="52">
        <v>131.25</v>
      </c>
      <c r="AO19" s="59">
        <v>0.3</v>
      </c>
      <c r="AP19" s="60">
        <v>306.25</v>
      </c>
      <c r="AQ19" s="61">
        <v>0.7</v>
      </c>
      <c r="AR19" s="60" t="s">
        <v>78</v>
      </c>
      <c r="AS19" s="62">
        <v>595</v>
      </c>
      <c r="AT19" s="62">
        <v>0</v>
      </c>
      <c r="AU19" s="62">
        <v>595</v>
      </c>
      <c r="AV19" s="62">
        <v>743.75</v>
      </c>
      <c r="AW19" s="47" t="s">
        <v>74</v>
      </c>
      <c r="AX19" s="64">
        <v>44952</v>
      </c>
      <c r="AY19" s="64" t="s">
        <v>3920</v>
      </c>
      <c r="AZ19" s="86"/>
      <c r="BA19" s="46" t="s">
        <v>3897</v>
      </c>
      <c r="BB19" s="26"/>
      <c r="BC19" s="26"/>
      <c r="BD19" s="46"/>
      <c r="BE19" s="46" t="e">
        <v>#REF!</v>
      </c>
      <c r="BF19" s="46" t="s">
        <v>3837</v>
      </c>
      <c r="BG19" s="65">
        <v>1.5</v>
      </c>
      <c r="BH19" s="66" t="s">
        <v>3921</v>
      </c>
      <c r="BI19" s="63" t="s">
        <v>3922</v>
      </c>
    </row>
    <row r="20" spans="1:61" ht="51" x14ac:dyDescent="0.2">
      <c r="A20" s="45" t="s">
        <v>3923</v>
      </c>
      <c r="B20" s="46"/>
      <c r="C20" s="46" t="s">
        <v>3924</v>
      </c>
      <c r="D20" s="46" t="s">
        <v>3908</v>
      </c>
      <c r="E20" s="46" t="s">
        <v>3925</v>
      </c>
      <c r="F20" s="46" t="s">
        <v>68</v>
      </c>
      <c r="G20" s="46" t="s">
        <v>68</v>
      </c>
      <c r="H20" s="46" t="s">
        <v>68</v>
      </c>
      <c r="I20" s="46" t="s">
        <v>68</v>
      </c>
      <c r="J20" s="46" t="s">
        <v>71</v>
      </c>
      <c r="K20" s="47">
        <v>500</v>
      </c>
      <c r="L20" s="47">
        <v>1200</v>
      </c>
      <c r="M20" s="47">
        <v>1700</v>
      </c>
      <c r="N20" s="46"/>
      <c r="O20" s="71" t="s">
        <v>68</v>
      </c>
      <c r="P20" s="64"/>
      <c r="Q20" s="46" t="s">
        <v>3826</v>
      </c>
      <c r="R20" s="46" t="s">
        <v>3829</v>
      </c>
      <c r="S20" s="49">
        <v>425</v>
      </c>
      <c r="T20" s="49">
        <v>2125</v>
      </c>
      <c r="U20" s="50">
        <v>0.12117647058823529</v>
      </c>
      <c r="V20" s="50">
        <v>0.13529411764705881</v>
      </c>
      <c r="W20" s="77">
        <v>2.4</v>
      </c>
      <c r="X20" s="52">
        <v>212.5</v>
      </c>
      <c r="Y20" s="52">
        <v>30</v>
      </c>
      <c r="Z20" s="52">
        <v>1625</v>
      </c>
      <c r="AA20" s="52">
        <v>1867.5</v>
      </c>
      <c r="AB20" s="53">
        <v>0.87882352941176467</v>
      </c>
      <c r="AC20" s="72">
        <v>257.5</v>
      </c>
      <c r="AD20" s="55">
        <v>0.12117647058823529</v>
      </c>
      <c r="AE20" s="73">
        <v>4</v>
      </c>
      <c r="AF20" s="57" t="s">
        <v>95</v>
      </c>
      <c r="AG20" s="58">
        <v>500</v>
      </c>
      <c r="AH20" s="58">
        <v>1200</v>
      </c>
      <c r="AI20" s="58">
        <v>1700</v>
      </c>
      <c r="AJ20" s="49">
        <v>425</v>
      </c>
      <c r="AK20" s="49">
        <v>2125</v>
      </c>
      <c r="AL20" s="52">
        <v>212.5</v>
      </c>
      <c r="AM20" s="52">
        <v>1625</v>
      </c>
      <c r="AN20" s="52">
        <v>1837.5</v>
      </c>
      <c r="AO20" s="59">
        <v>0.86470588235294121</v>
      </c>
      <c r="AP20" s="60">
        <v>287.5</v>
      </c>
      <c r="AQ20" s="61">
        <v>0.13529411764705881</v>
      </c>
      <c r="AR20" s="60" t="s">
        <v>73</v>
      </c>
      <c r="AS20" s="62">
        <v>850</v>
      </c>
      <c r="AT20" s="62">
        <v>2040</v>
      </c>
      <c r="AU20" s="62">
        <v>2890</v>
      </c>
      <c r="AV20" s="62">
        <v>3612.5</v>
      </c>
      <c r="AW20" s="47" t="s">
        <v>107</v>
      </c>
      <c r="AX20" s="64">
        <v>44952</v>
      </c>
      <c r="AY20" s="64" t="s">
        <v>3926</v>
      </c>
      <c r="AZ20" s="86"/>
      <c r="BA20" s="64"/>
      <c r="BB20" s="64"/>
      <c r="BC20" s="64"/>
      <c r="BD20" s="46"/>
      <c r="BE20" s="46" t="e">
        <v>#REF!</v>
      </c>
      <c r="BF20" s="46" t="s">
        <v>3837</v>
      </c>
      <c r="BG20" s="65">
        <v>2</v>
      </c>
      <c r="BH20" s="66" t="s">
        <v>3927</v>
      </c>
      <c r="BI20" s="63" t="s">
        <v>3928</v>
      </c>
    </row>
    <row r="21" spans="1:61" ht="76.5" x14ac:dyDescent="0.2">
      <c r="A21" s="45" t="s">
        <v>3929</v>
      </c>
      <c r="B21" s="46"/>
      <c r="C21" s="46" t="s">
        <v>3924</v>
      </c>
      <c r="D21" s="46" t="s">
        <v>3908</v>
      </c>
      <c r="E21" s="46" t="s">
        <v>3930</v>
      </c>
      <c r="F21" s="46" t="s">
        <v>68</v>
      </c>
      <c r="G21" s="46" t="s">
        <v>68</v>
      </c>
      <c r="H21" s="46" t="s">
        <v>68</v>
      </c>
      <c r="I21" s="46" t="s">
        <v>68</v>
      </c>
      <c r="J21" s="46" t="s">
        <v>71</v>
      </c>
      <c r="K21" s="47">
        <v>300</v>
      </c>
      <c r="L21" s="47">
        <v>100</v>
      </c>
      <c r="M21" s="47">
        <v>400</v>
      </c>
      <c r="N21" s="46"/>
      <c r="O21" s="71" t="s">
        <v>68</v>
      </c>
      <c r="P21" s="64"/>
      <c r="Q21" s="46" t="s">
        <v>3826</v>
      </c>
      <c r="R21" s="46" t="s">
        <v>3829</v>
      </c>
      <c r="S21" s="49">
        <v>100</v>
      </c>
      <c r="T21" s="49">
        <v>500</v>
      </c>
      <c r="U21" s="67">
        <v>0.44</v>
      </c>
      <c r="V21" s="67">
        <v>0.5</v>
      </c>
      <c r="W21" s="51">
        <v>0.33333333333333331</v>
      </c>
      <c r="X21" s="52">
        <v>50</v>
      </c>
      <c r="Y21" s="52">
        <v>30</v>
      </c>
      <c r="Z21" s="52">
        <v>200</v>
      </c>
      <c r="AA21" s="52">
        <v>280</v>
      </c>
      <c r="AB21" s="53">
        <v>0.56000000000000005</v>
      </c>
      <c r="AC21" s="72">
        <v>220</v>
      </c>
      <c r="AD21" s="55">
        <v>0.44</v>
      </c>
      <c r="AE21" s="73">
        <v>4</v>
      </c>
      <c r="AF21" s="57" t="s">
        <v>95</v>
      </c>
      <c r="AG21" s="58">
        <v>300</v>
      </c>
      <c r="AH21" s="58">
        <v>100</v>
      </c>
      <c r="AI21" s="58">
        <v>400</v>
      </c>
      <c r="AJ21" s="49">
        <v>100</v>
      </c>
      <c r="AK21" s="49">
        <v>500</v>
      </c>
      <c r="AL21" s="52">
        <v>50</v>
      </c>
      <c r="AM21" s="52">
        <v>200</v>
      </c>
      <c r="AN21" s="52">
        <v>250</v>
      </c>
      <c r="AO21" s="59">
        <v>0.5</v>
      </c>
      <c r="AP21" s="60">
        <v>250</v>
      </c>
      <c r="AQ21" s="61">
        <v>0.5</v>
      </c>
      <c r="AR21" s="60" t="s">
        <v>78</v>
      </c>
      <c r="AS21" s="62">
        <v>510</v>
      </c>
      <c r="AT21" s="62">
        <v>170</v>
      </c>
      <c r="AU21" s="62">
        <v>680</v>
      </c>
      <c r="AV21" s="62">
        <v>850</v>
      </c>
      <c r="AW21" s="47" t="s">
        <v>107</v>
      </c>
      <c r="AX21" s="64">
        <v>44952</v>
      </c>
      <c r="AY21" s="64" t="s">
        <v>3931</v>
      </c>
      <c r="AZ21" s="86"/>
      <c r="BA21" s="64"/>
      <c r="BB21" s="64"/>
      <c r="BC21" s="64"/>
      <c r="BD21" s="46"/>
      <c r="BE21" s="46" t="e">
        <v>#REF!</v>
      </c>
      <c r="BF21" s="46" t="s">
        <v>3837</v>
      </c>
      <c r="BG21" s="65">
        <v>2</v>
      </c>
      <c r="BH21" s="66" t="s">
        <v>3932</v>
      </c>
      <c r="BI21" s="63" t="s">
        <v>3933</v>
      </c>
    </row>
    <row r="22" spans="1:61" ht="409.5" x14ac:dyDescent="0.2">
      <c r="A22" s="45" t="s">
        <v>3934</v>
      </c>
      <c r="B22" s="46"/>
      <c r="C22" s="46" t="s">
        <v>3935</v>
      </c>
      <c r="D22" s="46" t="s">
        <v>3908</v>
      </c>
      <c r="E22" s="46" t="s">
        <v>199</v>
      </c>
      <c r="F22" s="46" t="s">
        <v>68</v>
      </c>
      <c r="G22" s="46" t="s">
        <v>68</v>
      </c>
      <c r="H22" s="46" t="s">
        <v>68</v>
      </c>
      <c r="I22" s="46" t="s">
        <v>68</v>
      </c>
      <c r="J22" s="46" t="s">
        <v>71</v>
      </c>
      <c r="K22" s="47">
        <v>200</v>
      </c>
      <c r="L22" s="47">
        <v>200</v>
      </c>
      <c r="M22" s="47">
        <v>400</v>
      </c>
      <c r="N22" s="46" t="s">
        <v>3936</v>
      </c>
      <c r="O22" s="71" t="s">
        <v>3937</v>
      </c>
      <c r="P22" s="46" t="s">
        <v>3938</v>
      </c>
      <c r="Q22" s="46" t="s">
        <v>3826</v>
      </c>
      <c r="R22" s="46" t="s">
        <v>3829</v>
      </c>
      <c r="S22" s="49">
        <v>100</v>
      </c>
      <c r="T22" s="49">
        <v>500</v>
      </c>
      <c r="U22" s="28">
        <v>0.24</v>
      </c>
      <c r="V22" s="67">
        <v>0.3</v>
      </c>
      <c r="W22" s="51">
        <v>1</v>
      </c>
      <c r="X22" s="52">
        <v>50</v>
      </c>
      <c r="Y22" s="52">
        <v>30</v>
      </c>
      <c r="Z22" s="52">
        <v>300</v>
      </c>
      <c r="AA22" s="52">
        <v>380</v>
      </c>
      <c r="AB22" s="53">
        <v>0.76</v>
      </c>
      <c r="AC22" s="54">
        <v>120</v>
      </c>
      <c r="AD22" s="55">
        <v>0.24</v>
      </c>
      <c r="AE22" s="73">
        <v>4</v>
      </c>
      <c r="AF22" s="57" t="s">
        <v>95</v>
      </c>
      <c r="AG22" s="58">
        <v>200</v>
      </c>
      <c r="AH22" s="58">
        <v>200</v>
      </c>
      <c r="AI22" s="58">
        <v>400</v>
      </c>
      <c r="AJ22" s="49">
        <v>100</v>
      </c>
      <c r="AK22" s="49">
        <v>500</v>
      </c>
      <c r="AL22" s="52">
        <v>50</v>
      </c>
      <c r="AM22" s="52">
        <v>300</v>
      </c>
      <c r="AN22" s="52">
        <v>350</v>
      </c>
      <c r="AO22" s="59">
        <v>0.7</v>
      </c>
      <c r="AP22" s="60">
        <v>150</v>
      </c>
      <c r="AQ22" s="61">
        <v>0.3</v>
      </c>
      <c r="AR22" s="60" t="s">
        <v>78</v>
      </c>
      <c r="AS22" s="62">
        <v>340</v>
      </c>
      <c r="AT22" s="62">
        <v>340</v>
      </c>
      <c r="AU22" s="62">
        <v>680</v>
      </c>
      <c r="AV22" s="62">
        <v>850</v>
      </c>
      <c r="AW22" s="47" t="s">
        <v>107</v>
      </c>
      <c r="AX22" s="64">
        <v>44952</v>
      </c>
      <c r="AY22" s="64" t="s">
        <v>3939</v>
      </c>
      <c r="AZ22" s="86"/>
      <c r="BA22" s="46" t="s">
        <v>3940</v>
      </c>
      <c r="BB22" s="46" t="s">
        <v>3941</v>
      </c>
      <c r="BC22" s="46" t="s">
        <v>3942</v>
      </c>
      <c r="BD22" s="46"/>
      <c r="BE22" s="46" t="e">
        <v>#REF!</v>
      </c>
      <c r="BF22" s="46" t="s">
        <v>3837</v>
      </c>
      <c r="BG22" s="65">
        <v>1.5</v>
      </c>
      <c r="BH22" s="66" t="s">
        <v>3943</v>
      </c>
      <c r="BI22" s="63" t="s">
        <v>3944</v>
      </c>
    </row>
    <row r="23" spans="1:61" ht="409.5" x14ac:dyDescent="0.2">
      <c r="A23" s="45" t="s">
        <v>3945</v>
      </c>
      <c r="B23" s="46"/>
      <c r="C23" s="46" t="s">
        <v>3946</v>
      </c>
      <c r="D23" s="46" t="s">
        <v>3908</v>
      </c>
      <c r="E23" s="46" t="s">
        <v>199</v>
      </c>
      <c r="F23" s="46" t="s">
        <v>68</v>
      </c>
      <c r="G23" s="46" t="s">
        <v>68</v>
      </c>
      <c r="H23" s="46" t="s">
        <v>68</v>
      </c>
      <c r="I23" s="46" t="s">
        <v>68</v>
      </c>
      <c r="J23" s="46" t="s">
        <v>71</v>
      </c>
      <c r="K23" s="47">
        <v>230</v>
      </c>
      <c r="L23" s="47">
        <v>230</v>
      </c>
      <c r="M23" s="47">
        <v>460</v>
      </c>
      <c r="N23" s="46" t="s">
        <v>3947</v>
      </c>
      <c r="O23" s="71" t="s">
        <v>3948</v>
      </c>
      <c r="P23" s="46" t="s">
        <v>3949</v>
      </c>
      <c r="Q23" s="46" t="s">
        <v>3826</v>
      </c>
      <c r="R23" s="46" t="s">
        <v>3829</v>
      </c>
      <c r="S23" s="49">
        <v>115</v>
      </c>
      <c r="T23" s="49">
        <v>575</v>
      </c>
      <c r="U23" s="28">
        <v>0.24782608695652175</v>
      </c>
      <c r="V23" s="67">
        <v>0.3</v>
      </c>
      <c r="W23" s="51">
        <v>1</v>
      </c>
      <c r="X23" s="52">
        <v>57.5</v>
      </c>
      <c r="Y23" s="52">
        <v>30</v>
      </c>
      <c r="Z23" s="52">
        <v>345</v>
      </c>
      <c r="AA23" s="52">
        <v>432.5</v>
      </c>
      <c r="AB23" s="53">
        <v>0.75217391304347825</v>
      </c>
      <c r="AC23" s="72">
        <v>142.5</v>
      </c>
      <c r="AD23" s="55">
        <v>0.24782608695652175</v>
      </c>
      <c r="AE23" s="73">
        <v>4</v>
      </c>
      <c r="AF23" s="57" t="s">
        <v>95</v>
      </c>
      <c r="AG23" s="58">
        <v>230</v>
      </c>
      <c r="AH23" s="58">
        <v>230</v>
      </c>
      <c r="AI23" s="58">
        <v>460</v>
      </c>
      <c r="AJ23" s="49">
        <v>115</v>
      </c>
      <c r="AK23" s="49">
        <v>575</v>
      </c>
      <c r="AL23" s="52">
        <v>57.5</v>
      </c>
      <c r="AM23" s="52">
        <v>345</v>
      </c>
      <c r="AN23" s="52">
        <v>402.5</v>
      </c>
      <c r="AO23" s="59">
        <v>0.7</v>
      </c>
      <c r="AP23" s="60">
        <v>172.5</v>
      </c>
      <c r="AQ23" s="61">
        <v>0.3</v>
      </c>
      <c r="AR23" s="60" t="s">
        <v>78</v>
      </c>
      <c r="AS23" s="62">
        <v>391</v>
      </c>
      <c r="AT23" s="62">
        <v>391</v>
      </c>
      <c r="AU23" s="62">
        <v>782</v>
      </c>
      <c r="AV23" s="62">
        <v>977.5</v>
      </c>
      <c r="AW23" s="47" t="s">
        <v>107</v>
      </c>
      <c r="AX23" s="64">
        <v>44952</v>
      </c>
      <c r="AY23" s="64" t="s">
        <v>3950</v>
      </c>
      <c r="AZ23" s="86"/>
      <c r="BA23" s="46" t="s">
        <v>3940</v>
      </c>
      <c r="BB23" s="46" t="s">
        <v>3941</v>
      </c>
      <c r="BC23" s="46" t="s">
        <v>3942</v>
      </c>
      <c r="BD23" s="46"/>
      <c r="BE23" s="46" t="e">
        <v>#REF!</v>
      </c>
      <c r="BF23" s="46" t="s">
        <v>3837</v>
      </c>
      <c r="BG23" s="65">
        <v>1.5</v>
      </c>
      <c r="BH23" s="66" t="s">
        <v>3951</v>
      </c>
      <c r="BI23" s="63" t="s">
        <v>3952</v>
      </c>
    </row>
    <row r="24" spans="1:61" ht="76.5" x14ac:dyDescent="0.2">
      <c r="A24" s="45" t="s">
        <v>3953</v>
      </c>
      <c r="B24" s="46"/>
      <c r="C24" s="46" t="s">
        <v>3954</v>
      </c>
      <c r="D24" s="46" t="s">
        <v>3908</v>
      </c>
      <c r="E24" s="46" t="s">
        <v>199</v>
      </c>
      <c r="F24" s="46" t="s">
        <v>68</v>
      </c>
      <c r="G24" s="46" t="s">
        <v>68</v>
      </c>
      <c r="H24" s="46" t="s">
        <v>68</v>
      </c>
      <c r="I24" s="46" t="s">
        <v>68</v>
      </c>
      <c r="J24" s="46" t="s">
        <v>71</v>
      </c>
      <c r="K24" s="47">
        <v>300</v>
      </c>
      <c r="L24" s="47">
        <v>800</v>
      </c>
      <c r="M24" s="47">
        <v>1100</v>
      </c>
      <c r="N24" s="46"/>
      <c r="O24" s="71" t="s">
        <v>68</v>
      </c>
      <c r="P24" s="64"/>
      <c r="Q24" s="46" t="s">
        <v>3826</v>
      </c>
      <c r="R24" s="46" t="s">
        <v>3829</v>
      </c>
      <c r="S24" s="49">
        <v>275</v>
      </c>
      <c r="T24" s="49">
        <v>1375</v>
      </c>
      <c r="U24" s="50">
        <v>9.636363636363636E-2</v>
      </c>
      <c r="V24" s="50">
        <v>0.11818181818181818</v>
      </c>
      <c r="W24" s="77">
        <v>2.6666666666666665</v>
      </c>
      <c r="X24" s="52">
        <v>137.5</v>
      </c>
      <c r="Y24" s="52">
        <v>30</v>
      </c>
      <c r="Z24" s="52">
        <v>1075</v>
      </c>
      <c r="AA24" s="52">
        <v>1242.5</v>
      </c>
      <c r="AB24" s="53">
        <v>0.90363636363636368</v>
      </c>
      <c r="AC24" s="72">
        <v>132.5</v>
      </c>
      <c r="AD24" s="55">
        <v>9.636363636363636E-2</v>
      </c>
      <c r="AE24" s="73">
        <v>4</v>
      </c>
      <c r="AF24" s="57" t="s">
        <v>95</v>
      </c>
      <c r="AG24" s="58">
        <v>300</v>
      </c>
      <c r="AH24" s="58">
        <v>800</v>
      </c>
      <c r="AI24" s="58">
        <v>1100</v>
      </c>
      <c r="AJ24" s="49">
        <v>275</v>
      </c>
      <c r="AK24" s="49">
        <v>1375</v>
      </c>
      <c r="AL24" s="52">
        <v>137.5</v>
      </c>
      <c r="AM24" s="52">
        <v>1075</v>
      </c>
      <c r="AN24" s="52">
        <v>1212.5</v>
      </c>
      <c r="AO24" s="59">
        <v>0.88181818181818183</v>
      </c>
      <c r="AP24" s="60">
        <v>162.5</v>
      </c>
      <c r="AQ24" s="61">
        <v>0.11818181818181818</v>
      </c>
      <c r="AR24" s="60" t="s">
        <v>73</v>
      </c>
      <c r="AS24" s="62">
        <v>510</v>
      </c>
      <c r="AT24" s="62">
        <v>1360</v>
      </c>
      <c r="AU24" s="62">
        <v>1870</v>
      </c>
      <c r="AV24" s="62">
        <v>2337.5</v>
      </c>
      <c r="AW24" s="47" t="s">
        <v>107</v>
      </c>
      <c r="AX24" s="64">
        <v>44952</v>
      </c>
      <c r="AY24" s="64" t="s">
        <v>3955</v>
      </c>
      <c r="AZ24" s="86"/>
      <c r="BA24" s="64"/>
      <c r="BB24" s="64"/>
      <c r="BC24" s="64"/>
      <c r="BD24" s="46"/>
      <c r="BE24" s="46" t="e">
        <v>#REF!</v>
      </c>
      <c r="BF24" s="46" t="s">
        <v>3837</v>
      </c>
      <c r="BG24" s="65">
        <v>2</v>
      </c>
      <c r="BH24" s="66" t="s">
        <v>3956</v>
      </c>
      <c r="BI24" s="63" t="s">
        <v>3957</v>
      </c>
    </row>
    <row r="25" spans="1:61" ht="409.5" x14ac:dyDescent="0.2">
      <c r="A25" s="45" t="s">
        <v>3958</v>
      </c>
      <c r="B25" s="46"/>
      <c r="C25" s="46" t="s">
        <v>3959</v>
      </c>
      <c r="D25" s="46" t="s">
        <v>3908</v>
      </c>
      <c r="E25" s="46" t="s">
        <v>68</v>
      </c>
      <c r="F25" s="46" t="s">
        <v>68</v>
      </c>
      <c r="G25" s="46" t="s">
        <v>68</v>
      </c>
      <c r="H25" s="46" t="s">
        <v>68</v>
      </c>
      <c r="I25" s="46" t="s">
        <v>68</v>
      </c>
      <c r="J25" s="46" t="s">
        <v>71</v>
      </c>
      <c r="K25" s="47">
        <v>145</v>
      </c>
      <c r="L25" s="47">
        <v>40</v>
      </c>
      <c r="M25" s="47">
        <v>185</v>
      </c>
      <c r="N25" s="46" t="s">
        <v>3960</v>
      </c>
      <c r="O25" s="71" t="s">
        <v>3961</v>
      </c>
      <c r="P25" s="46" t="s">
        <v>3962</v>
      </c>
      <c r="Q25" s="46" t="s">
        <v>3826</v>
      </c>
      <c r="R25" s="46" t="s">
        <v>3829</v>
      </c>
      <c r="S25" s="49">
        <v>46.25</v>
      </c>
      <c r="T25" s="49">
        <v>231.25</v>
      </c>
      <c r="U25" s="67">
        <v>0.39729729729729729</v>
      </c>
      <c r="V25" s="67">
        <v>0.41555555555555557</v>
      </c>
      <c r="W25" s="51">
        <v>0.27586206896551724</v>
      </c>
      <c r="X25" s="52">
        <v>23.125</v>
      </c>
      <c r="Y25" s="52">
        <v>30</v>
      </c>
      <c r="Z25" s="52">
        <v>86.25</v>
      </c>
      <c r="AA25" s="52">
        <v>139.375</v>
      </c>
      <c r="AB25" s="53">
        <v>0.60270270270270265</v>
      </c>
      <c r="AC25" s="54">
        <v>91.875</v>
      </c>
      <c r="AD25" s="55">
        <v>0.39729729729729729</v>
      </c>
      <c r="AE25" s="56">
        <v>2</v>
      </c>
      <c r="AF25" s="57" t="s">
        <v>72</v>
      </c>
      <c r="AG25" s="58">
        <v>72.5</v>
      </c>
      <c r="AH25" s="58">
        <v>40</v>
      </c>
      <c r="AI25" s="58">
        <v>112.5</v>
      </c>
      <c r="AJ25" s="49">
        <v>28.125</v>
      </c>
      <c r="AK25" s="49">
        <v>140.625</v>
      </c>
      <c r="AL25" s="52">
        <v>14.0625</v>
      </c>
      <c r="AM25" s="52">
        <v>68.125</v>
      </c>
      <c r="AN25" s="52">
        <v>82.1875</v>
      </c>
      <c r="AO25" s="59">
        <v>0.58444444444444443</v>
      </c>
      <c r="AP25" s="60">
        <v>58.4375</v>
      </c>
      <c r="AQ25" s="61">
        <v>0.41555555555555557</v>
      </c>
      <c r="AR25" s="60" t="s">
        <v>78</v>
      </c>
      <c r="AS25" s="62">
        <v>218</v>
      </c>
      <c r="AT25" s="62">
        <v>60</v>
      </c>
      <c r="AU25" s="62">
        <v>278</v>
      </c>
      <c r="AV25" s="62">
        <v>347.5</v>
      </c>
      <c r="AW25" s="47" t="s">
        <v>74</v>
      </c>
      <c r="AX25" s="64">
        <v>44952</v>
      </c>
      <c r="AY25" s="64" t="s">
        <v>3963</v>
      </c>
      <c r="AZ25" s="86"/>
      <c r="BA25" s="46" t="s">
        <v>3940</v>
      </c>
      <c r="BB25" s="46" t="s">
        <v>3964</v>
      </c>
      <c r="BC25" s="46" t="s">
        <v>3942</v>
      </c>
      <c r="BD25" s="70" t="s">
        <v>3965</v>
      </c>
      <c r="BE25" s="46" t="e">
        <v>#REF!</v>
      </c>
      <c r="BF25" s="46" t="s">
        <v>79</v>
      </c>
      <c r="BG25" s="65">
        <v>0.25</v>
      </c>
      <c r="BH25" s="66" t="s">
        <v>3966</v>
      </c>
      <c r="BI25" s="63" t="s">
        <v>3967</v>
      </c>
    </row>
    <row r="26" spans="1:61" ht="38.25" x14ac:dyDescent="0.2">
      <c r="A26" s="45" t="s">
        <v>3968</v>
      </c>
      <c r="B26" s="46"/>
      <c r="C26" s="46" t="s">
        <v>3969</v>
      </c>
      <c r="D26" s="46" t="s">
        <v>3908</v>
      </c>
      <c r="E26" s="46" t="s">
        <v>68</v>
      </c>
      <c r="F26" s="46" t="s">
        <v>68</v>
      </c>
      <c r="G26" s="46" t="s">
        <v>68</v>
      </c>
      <c r="H26" s="46" t="s">
        <v>68</v>
      </c>
      <c r="I26" s="46" t="s">
        <v>68</v>
      </c>
      <c r="J26" s="46" t="s">
        <v>71</v>
      </c>
      <c r="K26" s="47">
        <v>250</v>
      </c>
      <c r="L26" s="47">
        <v>50</v>
      </c>
      <c r="M26" s="47">
        <v>300</v>
      </c>
      <c r="N26" s="46"/>
      <c r="O26" s="71" t="s">
        <v>68</v>
      </c>
      <c r="P26" s="64"/>
      <c r="Q26" s="46" t="s">
        <v>3826</v>
      </c>
      <c r="R26" s="46" t="s">
        <v>3829</v>
      </c>
      <c r="S26" s="49">
        <v>75</v>
      </c>
      <c r="T26" s="49">
        <v>375</v>
      </c>
      <c r="U26" s="67">
        <v>0.48666666666666669</v>
      </c>
      <c r="V26" s="67">
        <v>0.56666666666666665</v>
      </c>
      <c r="W26" s="51">
        <v>0.2</v>
      </c>
      <c r="X26" s="52">
        <v>37.5</v>
      </c>
      <c r="Y26" s="52">
        <v>30</v>
      </c>
      <c r="Z26" s="52">
        <v>125</v>
      </c>
      <c r="AA26" s="52">
        <v>192.5</v>
      </c>
      <c r="AB26" s="53">
        <v>0.51333333333333331</v>
      </c>
      <c r="AC26" s="72">
        <v>182.5</v>
      </c>
      <c r="AD26" s="55">
        <v>0.48666666666666669</v>
      </c>
      <c r="AE26" s="73">
        <v>4</v>
      </c>
      <c r="AF26" s="57" t="s">
        <v>95</v>
      </c>
      <c r="AG26" s="58">
        <v>250</v>
      </c>
      <c r="AH26" s="58">
        <v>50</v>
      </c>
      <c r="AI26" s="58">
        <v>300</v>
      </c>
      <c r="AJ26" s="49">
        <v>75</v>
      </c>
      <c r="AK26" s="49">
        <v>375</v>
      </c>
      <c r="AL26" s="52">
        <v>37.5</v>
      </c>
      <c r="AM26" s="52">
        <v>125</v>
      </c>
      <c r="AN26" s="52">
        <v>162.5</v>
      </c>
      <c r="AO26" s="59">
        <v>0.43333333333333335</v>
      </c>
      <c r="AP26" s="60">
        <v>212.5</v>
      </c>
      <c r="AQ26" s="61">
        <v>0.56666666666666665</v>
      </c>
      <c r="AR26" s="60" t="s">
        <v>78</v>
      </c>
      <c r="AS26" s="62">
        <v>425</v>
      </c>
      <c r="AT26" s="62">
        <v>85</v>
      </c>
      <c r="AU26" s="62">
        <v>510</v>
      </c>
      <c r="AV26" s="62">
        <v>637.5</v>
      </c>
      <c r="AW26" s="47" t="s">
        <v>107</v>
      </c>
      <c r="AX26" s="64">
        <v>44952</v>
      </c>
      <c r="AY26" s="64" t="s">
        <v>3970</v>
      </c>
      <c r="AZ26" s="86"/>
      <c r="BA26" s="64"/>
      <c r="BB26" s="64"/>
      <c r="BC26" s="64"/>
      <c r="BD26" s="46"/>
      <c r="BE26" s="46" t="e">
        <v>#REF!</v>
      </c>
      <c r="BF26" s="46" t="s">
        <v>3837</v>
      </c>
      <c r="BG26" s="65">
        <v>1</v>
      </c>
      <c r="BH26" s="66" t="s">
        <v>3971</v>
      </c>
      <c r="BI26" s="63" t="s">
        <v>3972</v>
      </c>
    </row>
    <row r="27" spans="1:61" ht="165.75" x14ac:dyDescent="0.2">
      <c r="A27" s="45" t="s">
        <v>3973</v>
      </c>
      <c r="B27" s="46"/>
      <c r="C27" s="46" t="s">
        <v>3974</v>
      </c>
      <c r="D27" s="46" t="s">
        <v>3908</v>
      </c>
      <c r="E27" s="46" t="s">
        <v>68</v>
      </c>
      <c r="F27" s="46" t="s">
        <v>68</v>
      </c>
      <c r="G27" s="46" t="s">
        <v>68</v>
      </c>
      <c r="H27" s="46" t="s">
        <v>68</v>
      </c>
      <c r="I27" s="46" t="s">
        <v>68</v>
      </c>
      <c r="J27" s="46" t="s">
        <v>71</v>
      </c>
      <c r="K27" s="47">
        <v>300</v>
      </c>
      <c r="L27" s="47">
        <v>200</v>
      </c>
      <c r="M27" s="47">
        <v>500</v>
      </c>
      <c r="N27" s="46"/>
      <c r="O27" s="71" t="s">
        <v>3975</v>
      </c>
      <c r="P27" s="46" t="s">
        <v>3976</v>
      </c>
      <c r="Q27" s="46" t="s">
        <v>3826</v>
      </c>
      <c r="R27" s="46" t="s">
        <v>3829</v>
      </c>
      <c r="S27" s="49">
        <v>125</v>
      </c>
      <c r="T27" s="49">
        <v>625</v>
      </c>
      <c r="U27" s="67">
        <v>0.33200000000000002</v>
      </c>
      <c r="V27" s="67">
        <v>0.38</v>
      </c>
      <c r="W27" s="51">
        <v>0.66666666666666663</v>
      </c>
      <c r="X27" s="52">
        <v>62.5</v>
      </c>
      <c r="Y27" s="52">
        <v>30</v>
      </c>
      <c r="Z27" s="52">
        <v>325</v>
      </c>
      <c r="AA27" s="52">
        <v>417.5</v>
      </c>
      <c r="AB27" s="53">
        <v>0.66800000000000004</v>
      </c>
      <c r="AC27" s="72">
        <v>207.5</v>
      </c>
      <c r="AD27" s="55">
        <v>0.33200000000000002</v>
      </c>
      <c r="AE27" s="73">
        <v>4</v>
      </c>
      <c r="AF27" s="57" t="s">
        <v>95</v>
      </c>
      <c r="AG27" s="58">
        <v>300</v>
      </c>
      <c r="AH27" s="58">
        <v>200</v>
      </c>
      <c r="AI27" s="58">
        <v>500</v>
      </c>
      <c r="AJ27" s="49">
        <v>125</v>
      </c>
      <c r="AK27" s="49">
        <v>625</v>
      </c>
      <c r="AL27" s="52">
        <v>62.5</v>
      </c>
      <c r="AM27" s="52">
        <v>325</v>
      </c>
      <c r="AN27" s="52">
        <v>387.5</v>
      </c>
      <c r="AO27" s="59">
        <v>0.62</v>
      </c>
      <c r="AP27" s="60">
        <v>237.5</v>
      </c>
      <c r="AQ27" s="61">
        <v>0.38</v>
      </c>
      <c r="AR27" s="60" t="s">
        <v>78</v>
      </c>
      <c r="AS27" s="62">
        <v>510</v>
      </c>
      <c r="AT27" s="62">
        <v>340</v>
      </c>
      <c r="AU27" s="62">
        <v>850</v>
      </c>
      <c r="AV27" s="62">
        <v>1062.5</v>
      </c>
      <c r="AW27" s="47" t="s">
        <v>74</v>
      </c>
      <c r="AX27" s="64">
        <v>44952</v>
      </c>
      <c r="AY27" s="64" t="s">
        <v>3977</v>
      </c>
      <c r="AZ27" s="86"/>
      <c r="BA27" s="46" t="s">
        <v>74</v>
      </c>
      <c r="BB27" s="26"/>
      <c r="BC27" s="26"/>
      <c r="BD27" s="46"/>
      <c r="BE27" s="46" t="e">
        <v>#REF!</v>
      </c>
      <c r="BF27" s="46" t="s">
        <v>3837</v>
      </c>
      <c r="BG27" s="65">
        <v>1</v>
      </c>
      <c r="BH27" s="66" t="s">
        <v>3978</v>
      </c>
      <c r="BI27" s="63" t="s">
        <v>3979</v>
      </c>
    </row>
    <row r="28" spans="1:61" ht="165.75" x14ac:dyDescent="0.2">
      <c r="A28" s="45" t="s">
        <v>3980</v>
      </c>
      <c r="B28" s="46"/>
      <c r="C28" s="46" t="s">
        <v>3981</v>
      </c>
      <c r="D28" s="46" t="s">
        <v>3982</v>
      </c>
      <c r="E28" s="46" t="s">
        <v>68</v>
      </c>
      <c r="F28" s="46" t="s">
        <v>68</v>
      </c>
      <c r="G28" s="46" t="s">
        <v>68</v>
      </c>
      <c r="H28" s="46" t="s">
        <v>68</v>
      </c>
      <c r="I28" s="46" t="s">
        <v>454</v>
      </c>
      <c r="J28" s="46" t="s">
        <v>71</v>
      </c>
      <c r="K28" s="47">
        <v>300</v>
      </c>
      <c r="L28" s="47">
        <v>400</v>
      </c>
      <c r="M28" s="47">
        <v>700</v>
      </c>
      <c r="N28" s="46" t="s">
        <v>3983</v>
      </c>
      <c r="O28" s="71" t="s">
        <v>3984</v>
      </c>
      <c r="P28" s="46" t="s">
        <v>3976</v>
      </c>
      <c r="Q28" s="46" t="s">
        <v>3826</v>
      </c>
      <c r="R28" s="46" t="s">
        <v>3829</v>
      </c>
      <c r="S28" s="49">
        <v>175</v>
      </c>
      <c r="T28" s="49">
        <v>875</v>
      </c>
      <c r="U28" s="28">
        <v>0.20857142857142857</v>
      </c>
      <c r="V28" s="28">
        <v>0.24285714285714285</v>
      </c>
      <c r="W28" s="74">
        <v>1.3333333333333333</v>
      </c>
      <c r="X28" s="52">
        <v>87.5</v>
      </c>
      <c r="Y28" s="52">
        <v>30</v>
      </c>
      <c r="Z28" s="52">
        <v>575</v>
      </c>
      <c r="AA28" s="52">
        <v>692.5</v>
      </c>
      <c r="AB28" s="53">
        <v>0.79142857142857148</v>
      </c>
      <c r="AC28" s="72">
        <v>182.5</v>
      </c>
      <c r="AD28" s="55">
        <v>0.20857142857142857</v>
      </c>
      <c r="AE28" s="73">
        <v>4</v>
      </c>
      <c r="AF28" s="57" t="s">
        <v>95</v>
      </c>
      <c r="AG28" s="58">
        <v>300</v>
      </c>
      <c r="AH28" s="58">
        <v>400</v>
      </c>
      <c r="AI28" s="58">
        <v>700</v>
      </c>
      <c r="AJ28" s="49">
        <v>175</v>
      </c>
      <c r="AK28" s="49">
        <v>875</v>
      </c>
      <c r="AL28" s="52">
        <v>87.5</v>
      </c>
      <c r="AM28" s="52">
        <v>575</v>
      </c>
      <c r="AN28" s="52">
        <v>662.5</v>
      </c>
      <c r="AO28" s="59">
        <v>0.75714285714285712</v>
      </c>
      <c r="AP28" s="60">
        <v>212.5</v>
      </c>
      <c r="AQ28" s="61">
        <v>0.24285714285714285</v>
      </c>
      <c r="AR28" s="60" t="s">
        <v>78</v>
      </c>
      <c r="AS28" s="62">
        <v>510</v>
      </c>
      <c r="AT28" s="62">
        <v>680</v>
      </c>
      <c r="AU28" s="62">
        <v>1190</v>
      </c>
      <c r="AV28" s="62">
        <v>1487.5</v>
      </c>
      <c r="AW28" s="47" t="s">
        <v>74</v>
      </c>
      <c r="AX28" s="64">
        <v>44952</v>
      </c>
      <c r="AY28" s="64" t="s">
        <v>3985</v>
      </c>
      <c r="AZ28" s="86"/>
      <c r="BA28" s="46" t="s">
        <v>74</v>
      </c>
      <c r="BB28" s="26"/>
      <c r="BC28" s="26"/>
      <c r="BD28" s="46"/>
      <c r="BE28" s="46" t="e">
        <v>#REF!</v>
      </c>
      <c r="BF28" s="46" t="s">
        <v>3837</v>
      </c>
      <c r="BG28" s="65">
        <v>1</v>
      </c>
      <c r="BH28" s="66" t="s">
        <v>3986</v>
      </c>
      <c r="BI28" s="63" t="s">
        <v>3987</v>
      </c>
    </row>
    <row r="29" spans="1:61" ht="165.75" x14ac:dyDescent="0.2">
      <c r="A29" s="45" t="s">
        <v>3988</v>
      </c>
      <c r="B29" s="46"/>
      <c r="C29" s="46" t="s">
        <v>3981</v>
      </c>
      <c r="D29" s="46" t="s">
        <v>3982</v>
      </c>
      <c r="E29" s="46" t="s">
        <v>68</v>
      </c>
      <c r="F29" s="46" t="s">
        <v>68</v>
      </c>
      <c r="G29" s="46" t="s">
        <v>68</v>
      </c>
      <c r="H29" s="46" t="s">
        <v>68</v>
      </c>
      <c r="I29" s="46" t="s">
        <v>445</v>
      </c>
      <c r="J29" s="46" t="s">
        <v>71</v>
      </c>
      <c r="K29" s="47">
        <v>320</v>
      </c>
      <c r="L29" s="47">
        <v>550</v>
      </c>
      <c r="M29" s="47">
        <v>870</v>
      </c>
      <c r="N29" s="46" t="s">
        <v>3983</v>
      </c>
      <c r="O29" s="71" t="s">
        <v>3989</v>
      </c>
      <c r="P29" s="46" t="s">
        <v>3976</v>
      </c>
      <c r="Q29" s="46" t="s">
        <v>3826</v>
      </c>
      <c r="R29" s="46" t="s">
        <v>3829</v>
      </c>
      <c r="S29" s="49">
        <v>217.5</v>
      </c>
      <c r="T29" s="49">
        <v>1087.5</v>
      </c>
      <c r="U29" s="50">
        <v>0.16666666666666666</v>
      </c>
      <c r="V29" s="50">
        <v>0.19425287356321838</v>
      </c>
      <c r="W29" s="77">
        <v>1.71875</v>
      </c>
      <c r="X29" s="52">
        <v>108.75</v>
      </c>
      <c r="Y29" s="52">
        <v>30</v>
      </c>
      <c r="Z29" s="52">
        <v>767.5</v>
      </c>
      <c r="AA29" s="52">
        <v>906.25</v>
      </c>
      <c r="AB29" s="53">
        <v>0.83333333333333337</v>
      </c>
      <c r="AC29" s="72">
        <v>181.25</v>
      </c>
      <c r="AD29" s="55">
        <v>0.16666666666666666</v>
      </c>
      <c r="AE29" s="73">
        <v>4</v>
      </c>
      <c r="AF29" s="57" t="s">
        <v>95</v>
      </c>
      <c r="AG29" s="58">
        <v>320</v>
      </c>
      <c r="AH29" s="58">
        <v>550</v>
      </c>
      <c r="AI29" s="58">
        <v>870</v>
      </c>
      <c r="AJ29" s="49">
        <v>217.5</v>
      </c>
      <c r="AK29" s="49">
        <v>1087.5</v>
      </c>
      <c r="AL29" s="52">
        <v>108.75</v>
      </c>
      <c r="AM29" s="52">
        <v>767.5</v>
      </c>
      <c r="AN29" s="52">
        <v>876.25</v>
      </c>
      <c r="AO29" s="59">
        <v>0.80574712643678159</v>
      </c>
      <c r="AP29" s="60">
        <v>211.25</v>
      </c>
      <c r="AQ29" s="61">
        <v>0.19425287356321838</v>
      </c>
      <c r="AR29" s="60" t="s">
        <v>73</v>
      </c>
      <c r="AS29" s="62">
        <v>544</v>
      </c>
      <c r="AT29" s="62">
        <v>935</v>
      </c>
      <c r="AU29" s="62">
        <v>1479</v>
      </c>
      <c r="AV29" s="62">
        <v>1848.75</v>
      </c>
      <c r="AW29" s="47" t="s">
        <v>74</v>
      </c>
      <c r="AX29" s="64">
        <v>44952</v>
      </c>
      <c r="AY29" s="64" t="s">
        <v>3990</v>
      </c>
      <c r="AZ29" s="86"/>
      <c r="BA29" s="46" t="s">
        <v>74</v>
      </c>
      <c r="BB29" s="26"/>
      <c r="BC29" s="26"/>
      <c r="BD29" s="46"/>
      <c r="BE29" s="46" t="e">
        <v>#REF!</v>
      </c>
      <c r="BF29" s="46" t="s">
        <v>3837</v>
      </c>
      <c r="BG29" s="65">
        <v>1</v>
      </c>
      <c r="BH29" s="66" t="s">
        <v>3991</v>
      </c>
      <c r="BI29" s="63" t="s">
        <v>3992</v>
      </c>
    </row>
    <row r="30" spans="1:61" ht="178.5" x14ac:dyDescent="0.2">
      <c r="A30" s="45" t="s">
        <v>3993</v>
      </c>
      <c r="B30" s="46"/>
      <c r="C30" s="46" t="s">
        <v>3994</v>
      </c>
      <c r="D30" s="46" t="s">
        <v>3995</v>
      </c>
      <c r="E30" s="46" t="s">
        <v>68</v>
      </c>
      <c r="F30" s="46" t="s">
        <v>68</v>
      </c>
      <c r="G30" s="46" t="s">
        <v>68</v>
      </c>
      <c r="H30" s="46" t="s">
        <v>68</v>
      </c>
      <c r="I30" s="46" t="s">
        <v>68</v>
      </c>
      <c r="J30" s="46" t="s">
        <v>71</v>
      </c>
      <c r="K30" s="47">
        <v>250</v>
      </c>
      <c r="L30" s="47">
        <v>0</v>
      </c>
      <c r="M30" s="47">
        <v>250</v>
      </c>
      <c r="N30" s="46" t="s">
        <v>3996</v>
      </c>
      <c r="O30" s="71" t="s">
        <v>3997</v>
      </c>
      <c r="P30" s="46" t="s">
        <v>3998</v>
      </c>
      <c r="Q30" s="46" t="s">
        <v>3826</v>
      </c>
      <c r="R30" s="46" t="s">
        <v>3829</v>
      </c>
      <c r="S30" s="49">
        <v>62.5</v>
      </c>
      <c r="T30" s="49">
        <v>312.5</v>
      </c>
      <c r="U30" s="67">
        <v>0.60399999999999998</v>
      </c>
      <c r="V30" s="67">
        <v>0.7</v>
      </c>
      <c r="W30" s="51">
        <v>0</v>
      </c>
      <c r="X30" s="52">
        <v>31.25</v>
      </c>
      <c r="Y30" s="52">
        <v>30</v>
      </c>
      <c r="Z30" s="52">
        <v>62.5</v>
      </c>
      <c r="AA30" s="52">
        <v>123.75</v>
      </c>
      <c r="AB30" s="53">
        <v>0.39600000000000002</v>
      </c>
      <c r="AC30" s="72">
        <v>188.75</v>
      </c>
      <c r="AD30" s="55">
        <v>0.60399999999999998</v>
      </c>
      <c r="AE30" s="73">
        <v>4</v>
      </c>
      <c r="AF30" s="57" t="s">
        <v>95</v>
      </c>
      <c r="AG30" s="58">
        <v>250</v>
      </c>
      <c r="AH30" s="58">
        <v>0</v>
      </c>
      <c r="AI30" s="58">
        <v>250</v>
      </c>
      <c r="AJ30" s="49">
        <v>62.5</v>
      </c>
      <c r="AK30" s="49">
        <v>312.5</v>
      </c>
      <c r="AL30" s="52">
        <v>31.25</v>
      </c>
      <c r="AM30" s="52">
        <v>62.5</v>
      </c>
      <c r="AN30" s="52">
        <v>93.75</v>
      </c>
      <c r="AO30" s="59">
        <v>0.3</v>
      </c>
      <c r="AP30" s="60">
        <v>218.75</v>
      </c>
      <c r="AQ30" s="61">
        <v>0.7</v>
      </c>
      <c r="AR30" s="60" t="s">
        <v>78</v>
      </c>
      <c r="AS30" s="62">
        <v>425</v>
      </c>
      <c r="AT30" s="62">
        <v>0</v>
      </c>
      <c r="AU30" s="62">
        <v>425</v>
      </c>
      <c r="AV30" s="62">
        <v>531.25</v>
      </c>
      <c r="AW30" s="47" t="s">
        <v>74</v>
      </c>
      <c r="AX30" s="64">
        <v>44952</v>
      </c>
      <c r="AY30" s="64" t="s">
        <v>3999</v>
      </c>
      <c r="AZ30" s="86"/>
      <c r="BA30" s="46" t="s">
        <v>74</v>
      </c>
      <c r="BB30" s="26"/>
      <c r="BC30" s="26"/>
      <c r="BD30" s="46"/>
      <c r="BE30" s="46" t="e">
        <v>#REF!</v>
      </c>
      <c r="BF30" s="46" t="s">
        <v>3837</v>
      </c>
      <c r="BG30" s="65">
        <v>0.75</v>
      </c>
      <c r="BH30" s="66" t="s">
        <v>4000</v>
      </c>
      <c r="BI30" s="63" t="s">
        <v>4001</v>
      </c>
    </row>
    <row r="31" spans="1:61" ht="102" x14ac:dyDescent="0.2">
      <c r="A31" s="45" t="s">
        <v>4002</v>
      </c>
      <c r="B31" s="46"/>
      <c r="C31" s="46" t="s">
        <v>4003</v>
      </c>
      <c r="D31" s="46" t="s">
        <v>3530</v>
      </c>
      <c r="E31" s="46" t="s">
        <v>4004</v>
      </c>
      <c r="F31" s="46"/>
      <c r="G31" s="46" t="s">
        <v>68</v>
      </c>
      <c r="H31" s="46" t="s">
        <v>68</v>
      </c>
      <c r="I31" s="46" t="s">
        <v>68</v>
      </c>
      <c r="J31" s="46" t="s">
        <v>71</v>
      </c>
      <c r="K31" s="47">
        <v>190</v>
      </c>
      <c r="L31" s="47">
        <v>70</v>
      </c>
      <c r="M31" s="47">
        <v>260</v>
      </c>
      <c r="N31" s="46"/>
      <c r="O31" s="71" t="s">
        <v>68</v>
      </c>
      <c r="P31" s="64"/>
      <c r="Q31" s="46" t="s">
        <v>3826</v>
      </c>
      <c r="R31" s="46" t="s">
        <v>3829</v>
      </c>
      <c r="S31" s="49">
        <v>65</v>
      </c>
      <c r="T31" s="49">
        <v>325</v>
      </c>
      <c r="U31" s="67">
        <v>0.3923076923076923</v>
      </c>
      <c r="V31" s="67">
        <v>0.48461538461538461</v>
      </c>
      <c r="W31" s="51">
        <v>0.36842105263157893</v>
      </c>
      <c r="X31" s="52">
        <v>32.5</v>
      </c>
      <c r="Y31" s="52">
        <v>30</v>
      </c>
      <c r="Z31" s="52">
        <v>135</v>
      </c>
      <c r="AA31" s="52">
        <v>197.5</v>
      </c>
      <c r="AB31" s="53">
        <v>0.60769230769230764</v>
      </c>
      <c r="AC31" s="72">
        <v>127.5</v>
      </c>
      <c r="AD31" s="55">
        <v>0.3923076923076923</v>
      </c>
      <c r="AE31" s="73">
        <v>4</v>
      </c>
      <c r="AF31" s="57" t="s">
        <v>95</v>
      </c>
      <c r="AG31" s="58">
        <v>190</v>
      </c>
      <c r="AH31" s="58">
        <v>70</v>
      </c>
      <c r="AI31" s="58">
        <v>260</v>
      </c>
      <c r="AJ31" s="49">
        <v>65</v>
      </c>
      <c r="AK31" s="49">
        <v>325</v>
      </c>
      <c r="AL31" s="52">
        <v>32.5</v>
      </c>
      <c r="AM31" s="52">
        <v>135</v>
      </c>
      <c r="AN31" s="52">
        <v>167.5</v>
      </c>
      <c r="AO31" s="59">
        <v>0.51538461538461533</v>
      </c>
      <c r="AP31" s="60">
        <v>157.5</v>
      </c>
      <c r="AQ31" s="61">
        <v>0.48461538461538461</v>
      </c>
      <c r="AR31" s="60" t="s">
        <v>78</v>
      </c>
      <c r="AS31" s="62">
        <v>323</v>
      </c>
      <c r="AT31" s="62">
        <v>119</v>
      </c>
      <c r="AU31" s="62">
        <v>442</v>
      </c>
      <c r="AV31" s="62">
        <v>552.5</v>
      </c>
      <c r="AW31" s="47" t="s">
        <v>107</v>
      </c>
      <c r="AX31" s="64">
        <v>44952</v>
      </c>
      <c r="AY31" s="64" t="s">
        <v>4005</v>
      </c>
      <c r="AZ31" s="86"/>
      <c r="BA31" s="64"/>
      <c r="BB31" s="64"/>
      <c r="BC31" s="64"/>
      <c r="BD31" s="46"/>
      <c r="BE31" s="46" t="e">
        <v>#REF!</v>
      </c>
      <c r="BF31" s="46" t="s">
        <v>3837</v>
      </c>
      <c r="BG31" s="65">
        <v>1</v>
      </c>
      <c r="BH31" s="66" t="s">
        <v>4006</v>
      </c>
      <c r="BI31" s="63" t="s">
        <v>4007</v>
      </c>
    </row>
    <row r="32" spans="1:61" ht="114.75" x14ac:dyDescent="0.2">
      <c r="A32" s="45" t="s">
        <v>4008</v>
      </c>
      <c r="B32" s="46"/>
      <c r="C32" s="46" t="s">
        <v>4003</v>
      </c>
      <c r="D32" s="46" t="s">
        <v>4009</v>
      </c>
      <c r="E32" s="46" t="s">
        <v>1450</v>
      </c>
      <c r="F32" s="46"/>
      <c r="G32" s="46" t="s">
        <v>68</v>
      </c>
      <c r="H32" s="46" t="s">
        <v>68</v>
      </c>
      <c r="I32" s="46" t="s">
        <v>68</v>
      </c>
      <c r="J32" s="46" t="s">
        <v>71</v>
      </c>
      <c r="K32" s="47">
        <v>310</v>
      </c>
      <c r="L32" s="47">
        <v>170</v>
      </c>
      <c r="M32" s="47">
        <v>480</v>
      </c>
      <c r="N32" s="46"/>
      <c r="O32" s="71" t="s">
        <v>68</v>
      </c>
      <c r="P32" s="64"/>
      <c r="Q32" s="46" t="s">
        <v>3826</v>
      </c>
      <c r="R32" s="46" t="s">
        <v>3829</v>
      </c>
      <c r="S32" s="49">
        <v>120</v>
      </c>
      <c r="T32" s="49">
        <v>600</v>
      </c>
      <c r="U32" s="67">
        <v>0.36666666666666664</v>
      </c>
      <c r="V32" s="67">
        <v>0.41666666666666669</v>
      </c>
      <c r="W32" s="51">
        <v>0.54838709677419351</v>
      </c>
      <c r="X32" s="52">
        <v>60</v>
      </c>
      <c r="Y32" s="52">
        <v>30</v>
      </c>
      <c r="Z32" s="52">
        <v>290</v>
      </c>
      <c r="AA32" s="52">
        <v>380</v>
      </c>
      <c r="AB32" s="53">
        <v>0.6333333333333333</v>
      </c>
      <c r="AC32" s="72">
        <v>220</v>
      </c>
      <c r="AD32" s="55">
        <v>0.36666666666666664</v>
      </c>
      <c r="AE32" s="73">
        <v>4</v>
      </c>
      <c r="AF32" s="57" t="s">
        <v>95</v>
      </c>
      <c r="AG32" s="58">
        <v>310</v>
      </c>
      <c r="AH32" s="58">
        <v>170</v>
      </c>
      <c r="AI32" s="58">
        <v>480</v>
      </c>
      <c r="AJ32" s="49">
        <v>120</v>
      </c>
      <c r="AK32" s="49">
        <v>600</v>
      </c>
      <c r="AL32" s="52">
        <v>60</v>
      </c>
      <c r="AM32" s="52">
        <v>290</v>
      </c>
      <c r="AN32" s="52">
        <v>350</v>
      </c>
      <c r="AO32" s="59">
        <v>0.58333333333333337</v>
      </c>
      <c r="AP32" s="60">
        <v>250</v>
      </c>
      <c r="AQ32" s="61">
        <v>0.41666666666666669</v>
      </c>
      <c r="AR32" s="60" t="s">
        <v>78</v>
      </c>
      <c r="AS32" s="62">
        <v>527</v>
      </c>
      <c r="AT32" s="62">
        <v>289</v>
      </c>
      <c r="AU32" s="62">
        <v>816</v>
      </c>
      <c r="AV32" s="62">
        <v>1020</v>
      </c>
      <c r="AW32" s="47" t="s">
        <v>107</v>
      </c>
      <c r="AX32" s="64">
        <v>44952</v>
      </c>
      <c r="AY32" s="64" t="s">
        <v>4010</v>
      </c>
      <c r="AZ32" s="86"/>
      <c r="BA32" s="64"/>
      <c r="BB32" s="64"/>
      <c r="BC32" s="64"/>
      <c r="BD32" s="46"/>
      <c r="BE32" s="46" t="e">
        <v>#REF!</v>
      </c>
      <c r="BF32" s="46" t="s">
        <v>3837</v>
      </c>
      <c r="BG32" s="65">
        <v>2</v>
      </c>
      <c r="BH32" s="66" t="s">
        <v>4011</v>
      </c>
      <c r="BI32" s="63" t="s">
        <v>4012</v>
      </c>
    </row>
    <row r="33" spans="1:61" ht="127.5" x14ac:dyDescent="0.2">
      <c r="A33" s="45" t="s">
        <v>4013</v>
      </c>
      <c r="B33" s="46"/>
      <c r="C33" s="46" t="s">
        <v>4003</v>
      </c>
      <c r="D33" s="46" t="s">
        <v>4009</v>
      </c>
      <c r="E33" s="46" t="s">
        <v>4014</v>
      </c>
      <c r="F33" s="46"/>
      <c r="G33" s="46" t="s">
        <v>68</v>
      </c>
      <c r="H33" s="46" t="s">
        <v>68</v>
      </c>
      <c r="I33" s="46" t="s">
        <v>68</v>
      </c>
      <c r="J33" s="46" t="s">
        <v>71</v>
      </c>
      <c r="K33" s="47">
        <v>350</v>
      </c>
      <c r="L33" s="47">
        <v>220</v>
      </c>
      <c r="M33" s="47">
        <v>570</v>
      </c>
      <c r="N33" s="46"/>
      <c r="O33" s="71" t="s">
        <v>68</v>
      </c>
      <c r="P33" s="64"/>
      <c r="Q33" s="46" t="s">
        <v>3826</v>
      </c>
      <c r="R33" s="46" t="s">
        <v>3829</v>
      </c>
      <c r="S33" s="49">
        <v>142.5</v>
      </c>
      <c r="T33" s="49">
        <v>712.5</v>
      </c>
      <c r="U33" s="67">
        <v>0.34912280701754383</v>
      </c>
      <c r="V33" s="67">
        <v>0.39122807017543859</v>
      </c>
      <c r="W33" s="51">
        <v>0.62857142857142856</v>
      </c>
      <c r="X33" s="52">
        <v>71.25</v>
      </c>
      <c r="Y33" s="52">
        <v>30</v>
      </c>
      <c r="Z33" s="52">
        <v>362.5</v>
      </c>
      <c r="AA33" s="52">
        <v>463.75</v>
      </c>
      <c r="AB33" s="53">
        <v>0.65087719298245617</v>
      </c>
      <c r="AC33" s="72">
        <v>248.75</v>
      </c>
      <c r="AD33" s="55">
        <v>0.34912280701754383</v>
      </c>
      <c r="AE33" s="73">
        <v>4</v>
      </c>
      <c r="AF33" s="57" t="s">
        <v>95</v>
      </c>
      <c r="AG33" s="58">
        <v>350</v>
      </c>
      <c r="AH33" s="58">
        <v>220</v>
      </c>
      <c r="AI33" s="58">
        <v>570</v>
      </c>
      <c r="AJ33" s="49">
        <v>142.5</v>
      </c>
      <c r="AK33" s="49">
        <v>712.5</v>
      </c>
      <c r="AL33" s="52">
        <v>71.25</v>
      </c>
      <c r="AM33" s="52">
        <v>362.5</v>
      </c>
      <c r="AN33" s="52">
        <v>433.75</v>
      </c>
      <c r="AO33" s="59">
        <v>0.60877192982456141</v>
      </c>
      <c r="AP33" s="60">
        <v>278.75</v>
      </c>
      <c r="AQ33" s="61">
        <v>0.39122807017543859</v>
      </c>
      <c r="AR33" s="60" t="s">
        <v>78</v>
      </c>
      <c r="AS33" s="62">
        <v>595</v>
      </c>
      <c r="AT33" s="62">
        <v>374</v>
      </c>
      <c r="AU33" s="62">
        <v>969</v>
      </c>
      <c r="AV33" s="62">
        <v>1211.25</v>
      </c>
      <c r="AW33" s="47" t="s">
        <v>107</v>
      </c>
      <c r="AX33" s="64">
        <v>44952</v>
      </c>
      <c r="AY33" s="64" t="s">
        <v>4015</v>
      </c>
      <c r="AZ33" s="86"/>
      <c r="BA33" s="64"/>
      <c r="BB33" s="64"/>
      <c r="BC33" s="64"/>
      <c r="BD33" s="46"/>
      <c r="BE33" s="46" t="e">
        <v>#REF!</v>
      </c>
      <c r="BF33" s="46" t="s">
        <v>3837</v>
      </c>
      <c r="BG33" s="65">
        <v>2</v>
      </c>
      <c r="BH33" s="66" t="s">
        <v>4016</v>
      </c>
      <c r="BI33" s="63" t="s">
        <v>4017</v>
      </c>
    </row>
    <row r="34" spans="1:61" ht="102" x14ac:dyDescent="0.2">
      <c r="A34" s="45" t="s">
        <v>4018</v>
      </c>
      <c r="B34" s="46"/>
      <c r="C34" s="46" t="s">
        <v>4019</v>
      </c>
      <c r="D34" s="46" t="s">
        <v>4020</v>
      </c>
      <c r="E34" s="46" t="s">
        <v>4021</v>
      </c>
      <c r="F34" s="46"/>
      <c r="G34" s="46" t="s">
        <v>68</v>
      </c>
      <c r="H34" s="46" t="s">
        <v>68</v>
      </c>
      <c r="I34" s="46" t="s">
        <v>68</v>
      </c>
      <c r="J34" s="46" t="s">
        <v>71</v>
      </c>
      <c r="K34" s="47">
        <v>350</v>
      </c>
      <c r="L34" s="47">
        <v>250</v>
      </c>
      <c r="M34" s="47">
        <v>600</v>
      </c>
      <c r="N34" s="46"/>
      <c r="O34" s="71" t="s">
        <v>68</v>
      </c>
      <c r="P34" s="64"/>
      <c r="Q34" s="46" t="s">
        <v>3826</v>
      </c>
      <c r="R34" s="46" t="s">
        <v>3829</v>
      </c>
      <c r="S34" s="49">
        <v>150</v>
      </c>
      <c r="T34" s="49">
        <v>750</v>
      </c>
      <c r="U34" s="67">
        <v>0.32666666666666666</v>
      </c>
      <c r="V34" s="67">
        <v>0.36666666666666664</v>
      </c>
      <c r="W34" s="51">
        <v>0.7142857142857143</v>
      </c>
      <c r="X34" s="52">
        <v>75</v>
      </c>
      <c r="Y34" s="52">
        <v>30</v>
      </c>
      <c r="Z34" s="52">
        <v>400</v>
      </c>
      <c r="AA34" s="52">
        <v>505</v>
      </c>
      <c r="AB34" s="53">
        <v>0.67333333333333334</v>
      </c>
      <c r="AC34" s="72">
        <v>245</v>
      </c>
      <c r="AD34" s="55">
        <v>0.32666666666666666</v>
      </c>
      <c r="AE34" s="73">
        <v>4</v>
      </c>
      <c r="AF34" s="57" t="s">
        <v>95</v>
      </c>
      <c r="AG34" s="58">
        <v>350</v>
      </c>
      <c r="AH34" s="58">
        <v>250</v>
      </c>
      <c r="AI34" s="58">
        <v>600</v>
      </c>
      <c r="AJ34" s="49">
        <v>150</v>
      </c>
      <c r="AK34" s="49">
        <v>750</v>
      </c>
      <c r="AL34" s="52">
        <v>75</v>
      </c>
      <c r="AM34" s="52">
        <v>400</v>
      </c>
      <c r="AN34" s="52">
        <v>475</v>
      </c>
      <c r="AO34" s="59">
        <v>0.6333333333333333</v>
      </c>
      <c r="AP34" s="60">
        <v>275</v>
      </c>
      <c r="AQ34" s="61">
        <v>0.36666666666666664</v>
      </c>
      <c r="AR34" s="60" t="s">
        <v>78</v>
      </c>
      <c r="AS34" s="62">
        <v>595</v>
      </c>
      <c r="AT34" s="62">
        <v>425</v>
      </c>
      <c r="AU34" s="62">
        <v>1020</v>
      </c>
      <c r="AV34" s="62">
        <v>1275</v>
      </c>
      <c r="AW34" s="47" t="s">
        <v>107</v>
      </c>
      <c r="AX34" s="64">
        <v>44952</v>
      </c>
      <c r="AY34" s="64" t="s">
        <v>4022</v>
      </c>
      <c r="AZ34" s="86"/>
      <c r="BA34" s="64"/>
      <c r="BB34" s="64"/>
      <c r="BC34" s="64"/>
      <c r="BD34" s="46"/>
      <c r="BE34" s="46" t="e">
        <v>#REF!</v>
      </c>
      <c r="BF34" s="46" t="s">
        <v>3837</v>
      </c>
      <c r="BG34" s="65">
        <v>2</v>
      </c>
      <c r="BH34" s="66" t="s">
        <v>4023</v>
      </c>
      <c r="BI34" s="63" t="s">
        <v>4024</v>
      </c>
    </row>
    <row r="35" spans="1:61" ht="102" x14ac:dyDescent="0.2">
      <c r="A35" s="45" t="s">
        <v>4025</v>
      </c>
      <c r="B35" s="46"/>
      <c r="C35" s="46" t="s">
        <v>4019</v>
      </c>
      <c r="D35" s="46" t="s">
        <v>4020</v>
      </c>
      <c r="E35" s="46" t="s">
        <v>3845</v>
      </c>
      <c r="F35" s="46"/>
      <c r="G35" s="46" t="s">
        <v>68</v>
      </c>
      <c r="H35" s="46" t="s">
        <v>68</v>
      </c>
      <c r="I35" s="46" t="s">
        <v>68</v>
      </c>
      <c r="J35" s="46" t="s">
        <v>71</v>
      </c>
      <c r="K35" s="47">
        <v>390</v>
      </c>
      <c r="L35" s="47">
        <v>370</v>
      </c>
      <c r="M35" s="47">
        <v>760</v>
      </c>
      <c r="N35" s="46"/>
      <c r="O35" s="71" t="s">
        <v>68</v>
      </c>
      <c r="P35" s="64"/>
      <c r="Q35" s="46" t="s">
        <v>3826</v>
      </c>
      <c r="R35" s="46" t="s">
        <v>3829</v>
      </c>
      <c r="S35" s="49">
        <v>190</v>
      </c>
      <c r="T35" s="49">
        <v>950</v>
      </c>
      <c r="U35" s="28">
        <v>0.27894736842105261</v>
      </c>
      <c r="V35" s="67">
        <v>0.31052631578947371</v>
      </c>
      <c r="W35" s="51">
        <v>0.94871794871794868</v>
      </c>
      <c r="X35" s="52">
        <v>95</v>
      </c>
      <c r="Y35" s="52">
        <v>30</v>
      </c>
      <c r="Z35" s="52">
        <v>560</v>
      </c>
      <c r="AA35" s="52">
        <v>685</v>
      </c>
      <c r="AB35" s="53">
        <v>0.72105263157894739</v>
      </c>
      <c r="AC35" s="72">
        <v>265</v>
      </c>
      <c r="AD35" s="55">
        <v>0.27894736842105261</v>
      </c>
      <c r="AE35" s="73">
        <v>4</v>
      </c>
      <c r="AF35" s="57" t="s">
        <v>95</v>
      </c>
      <c r="AG35" s="58">
        <v>390</v>
      </c>
      <c r="AH35" s="58">
        <v>370</v>
      </c>
      <c r="AI35" s="58">
        <v>760</v>
      </c>
      <c r="AJ35" s="49">
        <v>190</v>
      </c>
      <c r="AK35" s="49">
        <v>950</v>
      </c>
      <c r="AL35" s="52">
        <v>95</v>
      </c>
      <c r="AM35" s="52">
        <v>560</v>
      </c>
      <c r="AN35" s="52">
        <v>655</v>
      </c>
      <c r="AO35" s="59">
        <v>0.68947368421052635</v>
      </c>
      <c r="AP35" s="60">
        <v>295</v>
      </c>
      <c r="AQ35" s="61">
        <v>0.31052631578947371</v>
      </c>
      <c r="AR35" s="60" t="s">
        <v>78</v>
      </c>
      <c r="AS35" s="62">
        <v>663</v>
      </c>
      <c r="AT35" s="62">
        <v>629</v>
      </c>
      <c r="AU35" s="62">
        <v>1292</v>
      </c>
      <c r="AV35" s="62">
        <v>1615</v>
      </c>
      <c r="AW35" s="47" t="s">
        <v>107</v>
      </c>
      <c r="AX35" s="64">
        <v>44952</v>
      </c>
      <c r="AY35" s="64" t="s">
        <v>4026</v>
      </c>
      <c r="AZ35" s="86"/>
      <c r="BA35" s="64"/>
      <c r="BB35" s="64"/>
      <c r="BC35" s="64"/>
      <c r="BD35" s="46"/>
      <c r="BE35" s="46" t="e">
        <v>#REF!</v>
      </c>
      <c r="BF35" s="46" t="s">
        <v>3837</v>
      </c>
      <c r="BG35" s="65">
        <v>2</v>
      </c>
      <c r="BH35" s="66" t="s">
        <v>4027</v>
      </c>
      <c r="BI35" s="63" t="s">
        <v>4028</v>
      </c>
    </row>
    <row r="36" spans="1:61" ht="102" x14ac:dyDescent="0.2">
      <c r="A36" s="45" t="s">
        <v>4029</v>
      </c>
      <c r="B36" s="46"/>
      <c r="C36" s="46" t="s">
        <v>4019</v>
      </c>
      <c r="D36" s="46" t="s">
        <v>3908</v>
      </c>
      <c r="E36" s="46" t="s">
        <v>3925</v>
      </c>
      <c r="F36" s="46" t="s">
        <v>68</v>
      </c>
      <c r="G36" s="46" t="s">
        <v>68</v>
      </c>
      <c r="H36" s="46" t="s">
        <v>68</v>
      </c>
      <c r="I36" s="46" t="s">
        <v>68</v>
      </c>
      <c r="J36" s="46" t="s">
        <v>71</v>
      </c>
      <c r="K36" s="47">
        <v>450</v>
      </c>
      <c r="L36" s="47">
        <v>1000</v>
      </c>
      <c r="M36" s="47">
        <v>1450</v>
      </c>
      <c r="N36" s="46"/>
      <c r="O36" s="71" t="s">
        <v>68</v>
      </c>
      <c r="P36" s="64"/>
      <c r="Q36" s="46" t="s">
        <v>3826</v>
      </c>
      <c r="R36" s="46" t="s">
        <v>3829</v>
      </c>
      <c r="S36" s="49">
        <v>362.5</v>
      </c>
      <c r="T36" s="49">
        <v>1812.5</v>
      </c>
      <c r="U36" s="50">
        <v>0.13172413793103449</v>
      </c>
      <c r="V36" s="50">
        <v>0.14827586206896551</v>
      </c>
      <c r="W36" s="77">
        <v>2.2222222222222223</v>
      </c>
      <c r="X36" s="52">
        <v>181.25</v>
      </c>
      <c r="Y36" s="52">
        <v>30</v>
      </c>
      <c r="Z36" s="52">
        <v>1362.5</v>
      </c>
      <c r="AA36" s="52">
        <v>1573.75</v>
      </c>
      <c r="AB36" s="53">
        <v>0.86827586206896556</v>
      </c>
      <c r="AC36" s="72">
        <v>238.75</v>
      </c>
      <c r="AD36" s="55">
        <v>0.13172413793103449</v>
      </c>
      <c r="AE36" s="73">
        <v>4</v>
      </c>
      <c r="AF36" s="57" t="s">
        <v>95</v>
      </c>
      <c r="AG36" s="58">
        <v>450</v>
      </c>
      <c r="AH36" s="58">
        <v>1000</v>
      </c>
      <c r="AI36" s="58">
        <v>1450</v>
      </c>
      <c r="AJ36" s="49">
        <v>362.5</v>
      </c>
      <c r="AK36" s="49">
        <v>1812.5</v>
      </c>
      <c r="AL36" s="52">
        <v>181.25</v>
      </c>
      <c r="AM36" s="52">
        <v>1362.5</v>
      </c>
      <c r="AN36" s="52">
        <v>1543.75</v>
      </c>
      <c r="AO36" s="59">
        <v>0.85172413793103452</v>
      </c>
      <c r="AP36" s="60">
        <v>268.75</v>
      </c>
      <c r="AQ36" s="61">
        <v>0.14827586206896551</v>
      </c>
      <c r="AR36" s="60" t="s">
        <v>73</v>
      </c>
      <c r="AS36" s="62">
        <v>765</v>
      </c>
      <c r="AT36" s="62">
        <v>1700</v>
      </c>
      <c r="AU36" s="62">
        <v>2465</v>
      </c>
      <c r="AV36" s="62">
        <v>3081.25</v>
      </c>
      <c r="AW36" s="47" t="s">
        <v>107</v>
      </c>
      <c r="AX36" s="64">
        <v>44952</v>
      </c>
      <c r="AY36" s="64" t="s">
        <v>4030</v>
      </c>
      <c r="AZ36" s="86"/>
      <c r="BA36" s="64"/>
      <c r="BB36" s="64"/>
      <c r="BC36" s="64"/>
      <c r="BD36" s="46"/>
      <c r="BE36" s="46" t="e">
        <v>#REF!</v>
      </c>
      <c r="BF36" s="46" t="s">
        <v>3837</v>
      </c>
      <c r="BG36" s="65">
        <v>2</v>
      </c>
      <c r="BH36" s="66" t="s">
        <v>4031</v>
      </c>
      <c r="BI36" s="63" t="s">
        <v>4032</v>
      </c>
    </row>
    <row r="37" spans="1:61" ht="51" x14ac:dyDescent="0.2">
      <c r="A37" s="45" t="s">
        <v>4033</v>
      </c>
      <c r="B37" s="46"/>
      <c r="C37" s="46" t="s">
        <v>4034</v>
      </c>
      <c r="D37" s="46"/>
      <c r="E37" s="46"/>
      <c r="F37" s="46" t="s">
        <v>68</v>
      </c>
      <c r="G37" s="46" t="s">
        <v>68</v>
      </c>
      <c r="H37" s="46" t="s">
        <v>68</v>
      </c>
      <c r="I37" s="46" t="s">
        <v>68</v>
      </c>
      <c r="J37" s="46" t="s">
        <v>71</v>
      </c>
      <c r="K37" s="47">
        <v>200</v>
      </c>
      <c r="L37" s="47">
        <v>50</v>
      </c>
      <c r="M37" s="47">
        <v>250</v>
      </c>
      <c r="N37" s="46"/>
      <c r="O37" s="71" t="s">
        <v>68</v>
      </c>
      <c r="P37" s="64"/>
      <c r="Q37" s="46" t="s">
        <v>3826</v>
      </c>
      <c r="R37" s="46" t="s">
        <v>3829</v>
      </c>
      <c r="S37" s="49">
        <v>62.5</v>
      </c>
      <c r="T37" s="49">
        <v>312.5</v>
      </c>
      <c r="U37" s="67">
        <v>0.44400000000000001</v>
      </c>
      <c r="V37" s="67">
        <v>0.54</v>
      </c>
      <c r="W37" s="51">
        <v>0.25</v>
      </c>
      <c r="X37" s="52">
        <v>31.25</v>
      </c>
      <c r="Y37" s="52">
        <v>30</v>
      </c>
      <c r="Z37" s="52">
        <v>112.5</v>
      </c>
      <c r="AA37" s="52">
        <v>173.75</v>
      </c>
      <c r="AB37" s="53">
        <v>0.55600000000000005</v>
      </c>
      <c r="AC37" s="72">
        <v>138.75</v>
      </c>
      <c r="AD37" s="55">
        <v>0.44400000000000001</v>
      </c>
      <c r="AE37" s="73">
        <v>4</v>
      </c>
      <c r="AF37" s="57" t="s">
        <v>95</v>
      </c>
      <c r="AG37" s="58">
        <v>200</v>
      </c>
      <c r="AH37" s="58">
        <v>50</v>
      </c>
      <c r="AI37" s="58">
        <v>250</v>
      </c>
      <c r="AJ37" s="49">
        <v>62.5</v>
      </c>
      <c r="AK37" s="49">
        <v>312.5</v>
      </c>
      <c r="AL37" s="52">
        <v>31.25</v>
      </c>
      <c r="AM37" s="52">
        <v>112.5</v>
      </c>
      <c r="AN37" s="52">
        <v>143.75</v>
      </c>
      <c r="AO37" s="59">
        <v>0.46</v>
      </c>
      <c r="AP37" s="60">
        <v>168.75</v>
      </c>
      <c r="AQ37" s="61">
        <v>0.54</v>
      </c>
      <c r="AR37" s="60" t="s">
        <v>78</v>
      </c>
      <c r="AS37" s="62">
        <v>340</v>
      </c>
      <c r="AT37" s="62">
        <v>85</v>
      </c>
      <c r="AU37" s="62">
        <v>425</v>
      </c>
      <c r="AV37" s="62">
        <v>531.25</v>
      </c>
      <c r="AW37" s="47" t="s">
        <v>107</v>
      </c>
      <c r="AX37" s="64">
        <v>44952</v>
      </c>
      <c r="AY37" s="64" t="s">
        <v>4035</v>
      </c>
      <c r="AZ37" s="86"/>
      <c r="BA37" s="64"/>
      <c r="BB37" s="64"/>
      <c r="BC37" s="64"/>
      <c r="BD37" s="46"/>
      <c r="BE37" s="46" t="e">
        <v>#REF!</v>
      </c>
      <c r="BF37" s="46" t="s">
        <v>3837</v>
      </c>
      <c r="BG37" s="65">
        <v>1</v>
      </c>
      <c r="BH37" s="66" t="s">
        <v>4036</v>
      </c>
      <c r="BI37" s="63" t="s">
        <v>4034</v>
      </c>
    </row>
    <row r="38" spans="1:61" ht="63.75" x14ac:dyDescent="0.2">
      <c r="A38" s="45" t="s">
        <v>4037</v>
      </c>
      <c r="B38" s="46"/>
      <c r="C38" s="46" t="s">
        <v>4038</v>
      </c>
      <c r="D38" s="46"/>
      <c r="E38" s="46"/>
      <c r="F38" s="46" t="s">
        <v>68</v>
      </c>
      <c r="G38" s="46" t="s">
        <v>68</v>
      </c>
      <c r="H38" s="46" t="s">
        <v>68</v>
      </c>
      <c r="I38" s="46" t="s">
        <v>68</v>
      </c>
      <c r="J38" s="46" t="s">
        <v>71</v>
      </c>
      <c r="K38" s="47">
        <v>200</v>
      </c>
      <c r="L38" s="47">
        <v>50</v>
      </c>
      <c r="M38" s="47">
        <v>250</v>
      </c>
      <c r="N38" s="46"/>
      <c r="O38" s="71" t="s">
        <v>68</v>
      </c>
      <c r="P38" s="64"/>
      <c r="Q38" s="46" t="s">
        <v>3826</v>
      </c>
      <c r="R38" s="46" t="s">
        <v>3829</v>
      </c>
      <c r="S38" s="49">
        <v>62.5</v>
      </c>
      <c r="T38" s="49">
        <v>312.5</v>
      </c>
      <c r="U38" s="67">
        <v>0.44400000000000001</v>
      </c>
      <c r="V38" s="67">
        <v>0.54</v>
      </c>
      <c r="W38" s="51">
        <v>0.25</v>
      </c>
      <c r="X38" s="52">
        <v>31.25</v>
      </c>
      <c r="Y38" s="52">
        <v>30</v>
      </c>
      <c r="Z38" s="52">
        <v>112.5</v>
      </c>
      <c r="AA38" s="52">
        <v>173.75</v>
      </c>
      <c r="AB38" s="53">
        <v>0.55600000000000005</v>
      </c>
      <c r="AC38" s="72">
        <v>138.75</v>
      </c>
      <c r="AD38" s="55">
        <v>0.44400000000000001</v>
      </c>
      <c r="AE38" s="73">
        <v>4</v>
      </c>
      <c r="AF38" s="57" t="s">
        <v>95</v>
      </c>
      <c r="AG38" s="58">
        <v>200</v>
      </c>
      <c r="AH38" s="58">
        <v>50</v>
      </c>
      <c r="AI38" s="58">
        <v>250</v>
      </c>
      <c r="AJ38" s="49">
        <v>62.5</v>
      </c>
      <c r="AK38" s="49">
        <v>312.5</v>
      </c>
      <c r="AL38" s="52">
        <v>31.25</v>
      </c>
      <c r="AM38" s="52">
        <v>112.5</v>
      </c>
      <c r="AN38" s="52">
        <v>143.75</v>
      </c>
      <c r="AO38" s="59">
        <v>0.46</v>
      </c>
      <c r="AP38" s="60">
        <v>168.75</v>
      </c>
      <c r="AQ38" s="61">
        <v>0.54</v>
      </c>
      <c r="AR38" s="60" t="s">
        <v>78</v>
      </c>
      <c r="AS38" s="62">
        <v>340</v>
      </c>
      <c r="AT38" s="62">
        <v>85</v>
      </c>
      <c r="AU38" s="62">
        <v>425</v>
      </c>
      <c r="AV38" s="62">
        <v>531.25</v>
      </c>
      <c r="AW38" s="47" t="s">
        <v>107</v>
      </c>
      <c r="AX38" s="64">
        <v>44952</v>
      </c>
      <c r="AY38" s="64" t="s">
        <v>4039</v>
      </c>
      <c r="AZ38" s="86"/>
      <c r="BA38" s="64"/>
      <c r="BB38" s="64"/>
      <c r="BC38" s="64"/>
      <c r="BD38" s="46"/>
      <c r="BE38" s="46" t="e">
        <v>#REF!</v>
      </c>
      <c r="BF38" s="46" t="s">
        <v>3837</v>
      </c>
      <c r="BG38" s="65">
        <v>1</v>
      </c>
      <c r="BH38" s="66" t="s">
        <v>4040</v>
      </c>
      <c r="BI38" s="63" t="s">
        <v>4038</v>
      </c>
    </row>
    <row r="39" spans="1:61" ht="127.5" x14ac:dyDescent="0.2">
      <c r="A39" s="45" t="s">
        <v>4041</v>
      </c>
      <c r="B39" s="46"/>
      <c r="C39" s="46" t="s">
        <v>4042</v>
      </c>
      <c r="D39" s="46" t="s">
        <v>3908</v>
      </c>
      <c r="E39" s="46" t="s">
        <v>4043</v>
      </c>
      <c r="F39" s="46" t="s">
        <v>3834</v>
      </c>
      <c r="G39" s="46" t="s">
        <v>68</v>
      </c>
      <c r="H39" s="46" t="s">
        <v>68</v>
      </c>
      <c r="I39" s="46" t="s">
        <v>68</v>
      </c>
      <c r="J39" s="46" t="s">
        <v>71</v>
      </c>
      <c r="K39" s="47">
        <v>450</v>
      </c>
      <c r="L39" s="47">
        <v>0</v>
      </c>
      <c r="M39" s="47">
        <v>450</v>
      </c>
      <c r="N39" s="46"/>
      <c r="O39" s="71" t="s">
        <v>68</v>
      </c>
      <c r="P39" s="64"/>
      <c r="Q39" s="46" t="s">
        <v>3826</v>
      </c>
      <c r="R39" s="46" t="s">
        <v>3829</v>
      </c>
      <c r="S39" s="49">
        <v>112.5</v>
      </c>
      <c r="T39" s="49">
        <v>562.5</v>
      </c>
      <c r="U39" s="67">
        <v>0.64666666666666661</v>
      </c>
      <c r="V39" s="67">
        <v>0.7</v>
      </c>
      <c r="W39" s="51">
        <v>0</v>
      </c>
      <c r="X39" s="52">
        <v>56.25</v>
      </c>
      <c r="Y39" s="52">
        <v>30</v>
      </c>
      <c r="Z39" s="52">
        <v>112.5</v>
      </c>
      <c r="AA39" s="52">
        <v>198.75</v>
      </c>
      <c r="AB39" s="53">
        <v>0.35333333333333333</v>
      </c>
      <c r="AC39" s="72">
        <v>363.75</v>
      </c>
      <c r="AD39" s="55">
        <v>0.64666666666666661</v>
      </c>
      <c r="AE39" s="73">
        <v>4</v>
      </c>
      <c r="AF39" s="57" t="s">
        <v>95</v>
      </c>
      <c r="AG39" s="58">
        <v>450</v>
      </c>
      <c r="AH39" s="58">
        <v>0</v>
      </c>
      <c r="AI39" s="58">
        <v>450</v>
      </c>
      <c r="AJ39" s="49">
        <v>112.5</v>
      </c>
      <c r="AK39" s="49">
        <v>562.5</v>
      </c>
      <c r="AL39" s="52">
        <v>56.25</v>
      </c>
      <c r="AM39" s="52">
        <v>112.5</v>
      </c>
      <c r="AN39" s="52">
        <v>168.75</v>
      </c>
      <c r="AO39" s="59">
        <v>0.3</v>
      </c>
      <c r="AP39" s="60">
        <v>393.75</v>
      </c>
      <c r="AQ39" s="61">
        <v>0.7</v>
      </c>
      <c r="AR39" s="60" t="s">
        <v>78</v>
      </c>
      <c r="AS39" s="62">
        <v>765</v>
      </c>
      <c r="AT39" s="62">
        <v>0</v>
      </c>
      <c r="AU39" s="62">
        <v>765</v>
      </c>
      <c r="AV39" s="62">
        <v>956.25</v>
      </c>
      <c r="AW39" s="47" t="s">
        <v>107</v>
      </c>
      <c r="AX39" s="64">
        <v>44952</v>
      </c>
      <c r="AY39" s="64" t="s">
        <v>4044</v>
      </c>
      <c r="AZ39" s="86"/>
      <c r="BA39" s="64"/>
      <c r="BB39" s="64"/>
      <c r="BC39" s="64"/>
      <c r="BD39" s="46"/>
      <c r="BE39" s="46" t="e">
        <v>#REF!</v>
      </c>
      <c r="BF39" s="46" t="s">
        <v>3837</v>
      </c>
      <c r="BG39" s="65">
        <v>1.5</v>
      </c>
      <c r="BH39" s="66" t="s">
        <v>4045</v>
      </c>
      <c r="BI39" s="63" t="s">
        <v>4046</v>
      </c>
    </row>
    <row r="40" spans="1:61" ht="127.5" x14ac:dyDescent="0.2">
      <c r="A40" s="45" t="s">
        <v>4047</v>
      </c>
      <c r="B40" s="46"/>
      <c r="C40" s="46" t="s">
        <v>4042</v>
      </c>
      <c r="D40" s="46" t="s">
        <v>3908</v>
      </c>
      <c r="E40" s="46" t="s">
        <v>4043</v>
      </c>
      <c r="F40" s="46" t="s">
        <v>4048</v>
      </c>
      <c r="G40" s="46" t="s">
        <v>68</v>
      </c>
      <c r="H40" s="46" t="s">
        <v>68</v>
      </c>
      <c r="I40" s="46" t="s">
        <v>68</v>
      </c>
      <c r="J40" s="46" t="s">
        <v>71</v>
      </c>
      <c r="K40" s="47">
        <v>600</v>
      </c>
      <c r="L40" s="47">
        <v>0</v>
      </c>
      <c r="M40" s="47">
        <v>600</v>
      </c>
      <c r="N40" s="46"/>
      <c r="O40" s="71" t="s">
        <v>68</v>
      </c>
      <c r="P40" s="64"/>
      <c r="Q40" s="46" t="s">
        <v>3826</v>
      </c>
      <c r="R40" s="46" t="s">
        <v>3829</v>
      </c>
      <c r="S40" s="49">
        <v>150</v>
      </c>
      <c r="T40" s="49">
        <v>750</v>
      </c>
      <c r="U40" s="67">
        <v>0.66</v>
      </c>
      <c r="V40" s="67">
        <v>0.7</v>
      </c>
      <c r="W40" s="51">
        <v>0</v>
      </c>
      <c r="X40" s="52">
        <v>75</v>
      </c>
      <c r="Y40" s="52">
        <v>30</v>
      </c>
      <c r="Z40" s="52">
        <v>150</v>
      </c>
      <c r="AA40" s="52">
        <v>255</v>
      </c>
      <c r="AB40" s="53">
        <v>0.34</v>
      </c>
      <c r="AC40" s="72">
        <v>495</v>
      </c>
      <c r="AD40" s="55">
        <v>0.66</v>
      </c>
      <c r="AE40" s="73">
        <v>4</v>
      </c>
      <c r="AF40" s="57" t="s">
        <v>95</v>
      </c>
      <c r="AG40" s="58">
        <v>600</v>
      </c>
      <c r="AH40" s="58">
        <v>0</v>
      </c>
      <c r="AI40" s="58">
        <v>600</v>
      </c>
      <c r="AJ40" s="49">
        <v>150</v>
      </c>
      <c r="AK40" s="49">
        <v>750</v>
      </c>
      <c r="AL40" s="52">
        <v>75</v>
      </c>
      <c r="AM40" s="52">
        <v>150</v>
      </c>
      <c r="AN40" s="52">
        <v>225</v>
      </c>
      <c r="AO40" s="59">
        <v>0.3</v>
      </c>
      <c r="AP40" s="60">
        <v>525</v>
      </c>
      <c r="AQ40" s="61">
        <v>0.7</v>
      </c>
      <c r="AR40" s="60" t="s">
        <v>78</v>
      </c>
      <c r="AS40" s="62">
        <v>1020</v>
      </c>
      <c r="AT40" s="62">
        <v>0</v>
      </c>
      <c r="AU40" s="62">
        <v>1020</v>
      </c>
      <c r="AV40" s="62">
        <v>1275</v>
      </c>
      <c r="AW40" s="47" t="s">
        <v>107</v>
      </c>
      <c r="AX40" s="64">
        <v>44952</v>
      </c>
      <c r="AY40" s="64" t="s">
        <v>4049</v>
      </c>
      <c r="AZ40" s="86"/>
      <c r="BA40" s="64"/>
      <c r="BB40" s="64"/>
      <c r="BC40" s="64"/>
      <c r="BD40" s="46"/>
      <c r="BE40" s="46" t="e">
        <v>#REF!</v>
      </c>
      <c r="BF40" s="46" t="s">
        <v>3837</v>
      </c>
      <c r="BG40" s="65">
        <v>1.5</v>
      </c>
      <c r="BH40" s="66" t="s">
        <v>4050</v>
      </c>
      <c r="BI40" s="63" t="s">
        <v>4051</v>
      </c>
    </row>
    <row r="41" spans="1:61" ht="127.5" x14ac:dyDescent="0.2">
      <c r="A41" s="45" t="s">
        <v>4052</v>
      </c>
      <c r="B41" s="46"/>
      <c r="C41" s="46" t="s">
        <v>4042</v>
      </c>
      <c r="D41" s="46" t="s">
        <v>3908</v>
      </c>
      <c r="E41" s="46" t="s">
        <v>4043</v>
      </c>
      <c r="F41" s="46" t="s">
        <v>4053</v>
      </c>
      <c r="G41" s="46" t="s">
        <v>68</v>
      </c>
      <c r="H41" s="46" t="s">
        <v>68</v>
      </c>
      <c r="I41" s="46" t="s">
        <v>68</v>
      </c>
      <c r="J41" s="46" t="s">
        <v>71</v>
      </c>
      <c r="K41" s="47">
        <v>800</v>
      </c>
      <c r="L41" s="47">
        <v>0</v>
      </c>
      <c r="M41" s="47">
        <v>800</v>
      </c>
      <c r="N41" s="46"/>
      <c r="O41" s="71" t="s">
        <v>68</v>
      </c>
      <c r="P41" s="64"/>
      <c r="Q41" s="46" t="s">
        <v>3826</v>
      </c>
      <c r="R41" s="46" t="s">
        <v>3829</v>
      </c>
      <c r="S41" s="49">
        <v>200</v>
      </c>
      <c r="T41" s="49">
        <v>1000</v>
      </c>
      <c r="U41" s="67">
        <v>0.67</v>
      </c>
      <c r="V41" s="67">
        <v>0.7</v>
      </c>
      <c r="W41" s="51">
        <v>0</v>
      </c>
      <c r="X41" s="52">
        <v>100</v>
      </c>
      <c r="Y41" s="52">
        <v>30</v>
      </c>
      <c r="Z41" s="52">
        <v>200</v>
      </c>
      <c r="AA41" s="52">
        <v>330</v>
      </c>
      <c r="AB41" s="53">
        <v>0.33</v>
      </c>
      <c r="AC41" s="72">
        <v>670</v>
      </c>
      <c r="AD41" s="55">
        <v>0.67</v>
      </c>
      <c r="AE41" s="73">
        <v>4</v>
      </c>
      <c r="AF41" s="57" t="s">
        <v>95</v>
      </c>
      <c r="AG41" s="58">
        <v>800</v>
      </c>
      <c r="AH41" s="58">
        <v>0</v>
      </c>
      <c r="AI41" s="58">
        <v>800</v>
      </c>
      <c r="AJ41" s="49">
        <v>200</v>
      </c>
      <c r="AK41" s="49">
        <v>1000</v>
      </c>
      <c r="AL41" s="52">
        <v>100</v>
      </c>
      <c r="AM41" s="52">
        <v>200</v>
      </c>
      <c r="AN41" s="52">
        <v>300</v>
      </c>
      <c r="AO41" s="59">
        <v>0.3</v>
      </c>
      <c r="AP41" s="60">
        <v>700</v>
      </c>
      <c r="AQ41" s="61">
        <v>0.7</v>
      </c>
      <c r="AR41" s="60" t="s">
        <v>78</v>
      </c>
      <c r="AS41" s="62">
        <v>1360</v>
      </c>
      <c r="AT41" s="62">
        <v>0</v>
      </c>
      <c r="AU41" s="62">
        <v>1360</v>
      </c>
      <c r="AV41" s="62">
        <v>1700</v>
      </c>
      <c r="AW41" s="47" t="s">
        <v>107</v>
      </c>
      <c r="AX41" s="64">
        <v>44952</v>
      </c>
      <c r="AY41" s="64" t="s">
        <v>4054</v>
      </c>
      <c r="AZ41" s="86"/>
      <c r="BA41" s="64"/>
      <c r="BB41" s="64"/>
      <c r="BC41" s="64"/>
      <c r="BD41" s="46"/>
      <c r="BE41" s="46" t="e">
        <v>#REF!</v>
      </c>
      <c r="BF41" s="46" t="s">
        <v>3837</v>
      </c>
      <c r="BG41" s="65">
        <v>1.5</v>
      </c>
      <c r="BH41" s="66" t="s">
        <v>4055</v>
      </c>
      <c r="BI41" s="63" t="s">
        <v>4056</v>
      </c>
    </row>
    <row r="42" spans="1:61" ht="127.5" x14ac:dyDescent="0.2">
      <c r="A42" s="45" t="s">
        <v>4057</v>
      </c>
      <c r="B42" s="46"/>
      <c r="C42" s="46" t="s">
        <v>4058</v>
      </c>
      <c r="D42" s="46" t="s">
        <v>3908</v>
      </c>
      <c r="E42" s="46" t="s">
        <v>4059</v>
      </c>
      <c r="F42" s="46" t="s">
        <v>3834</v>
      </c>
      <c r="G42" s="46" t="s">
        <v>68</v>
      </c>
      <c r="H42" s="46" t="s">
        <v>68</v>
      </c>
      <c r="I42" s="46" t="s">
        <v>68</v>
      </c>
      <c r="J42" s="46" t="s">
        <v>71</v>
      </c>
      <c r="K42" s="47">
        <v>550</v>
      </c>
      <c r="L42" s="47">
        <v>0</v>
      </c>
      <c r="M42" s="47">
        <v>550</v>
      </c>
      <c r="N42" s="46"/>
      <c r="O42" s="71" t="s">
        <v>68</v>
      </c>
      <c r="P42" s="64"/>
      <c r="Q42" s="46" t="s">
        <v>3826</v>
      </c>
      <c r="R42" s="46" t="s">
        <v>3829</v>
      </c>
      <c r="S42" s="49">
        <v>137.5</v>
      </c>
      <c r="T42" s="49">
        <v>687.5</v>
      </c>
      <c r="U42" s="67">
        <v>0.65636363636363637</v>
      </c>
      <c r="V42" s="67">
        <v>0.7</v>
      </c>
      <c r="W42" s="51">
        <v>0</v>
      </c>
      <c r="X42" s="52">
        <v>68.75</v>
      </c>
      <c r="Y42" s="52">
        <v>30</v>
      </c>
      <c r="Z42" s="52">
        <v>137.5</v>
      </c>
      <c r="AA42" s="52">
        <v>236.25</v>
      </c>
      <c r="AB42" s="53">
        <v>0.34363636363636363</v>
      </c>
      <c r="AC42" s="72">
        <v>451.25</v>
      </c>
      <c r="AD42" s="55">
        <v>0.65636363636363637</v>
      </c>
      <c r="AE42" s="73">
        <v>4</v>
      </c>
      <c r="AF42" s="57" t="s">
        <v>95</v>
      </c>
      <c r="AG42" s="58">
        <v>550</v>
      </c>
      <c r="AH42" s="58">
        <v>0</v>
      </c>
      <c r="AI42" s="58">
        <v>550</v>
      </c>
      <c r="AJ42" s="49">
        <v>137.5</v>
      </c>
      <c r="AK42" s="49">
        <v>687.5</v>
      </c>
      <c r="AL42" s="52">
        <v>68.75</v>
      </c>
      <c r="AM42" s="52">
        <v>137.5</v>
      </c>
      <c r="AN42" s="52">
        <v>206.25</v>
      </c>
      <c r="AO42" s="59">
        <v>0.3</v>
      </c>
      <c r="AP42" s="60">
        <v>481.25</v>
      </c>
      <c r="AQ42" s="61">
        <v>0.7</v>
      </c>
      <c r="AR42" s="60" t="s">
        <v>78</v>
      </c>
      <c r="AS42" s="62">
        <v>935</v>
      </c>
      <c r="AT42" s="62">
        <v>0</v>
      </c>
      <c r="AU42" s="62">
        <v>935</v>
      </c>
      <c r="AV42" s="62">
        <v>1168.75</v>
      </c>
      <c r="AW42" s="47" t="s">
        <v>107</v>
      </c>
      <c r="AX42" s="64">
        <v>44952</v>
      </c>
      <c r="AY42" s="64" t="s">
        <v>4060</v>
      </c>
      <c r="AZ42" s="86"/>
      <c r="BA42" s="64"/>
      <c r="BB42" s="64"/>
      <c r="BC42" s="64"/>
      <c r="BD42" s="46"/>
      <c r="BE42" s="46" t="e">
        <v>#REF!</v>
      </c>
      <c r="BF42" s="46" t="s">
        <v>3837</v>
      </c>
      <c r="BG42" s="65">
        <v>3</v>
      </c>
      <c r="BH42" s="66" t="s">
        <v>4061</v>
      </c>
      <c r="BI42" s="63" t="s">
        <v>4062</v>
      </c>
    </row>
    <row r="43" spans="1:61" ht="140.25" x14ac:dyDescent="0.2">
      <c r="A43" s="45" t="s">
        <v>4063</v>
      </c>
      <c r="B43" s="46"/>
      <c r="C43" s="46" t="s">
        <v>4058</v>
      </c>
      <c r="D43" s="46" t="s">
        <v>3908</v>
      </c>
      <c r="E43" s="46" t="s">
        <v>4059</v>
      </c>
      <c r="F43" s="46" t="s">
        <v>4048</v>
      </c>
      <c r="G43" s="46" t="s">
        <v>68</v>
      </c>
      <c r="H43" s="46" t="s">
        <v>68</v>
      </c>
      <c r="I43" s="46" t="s">
        <v>68</v>
      </c>
      <c r="J43" s="46" t="s">
        <v>71</v>
      </c>
      <c r="K43" s="47">
        <v>750</v>
      </c>
      <c r="L43" s="47">
        <v>0</v>
      </c>
      <c r="M43" s="47">
        <v>750</v>
      </c>
      <c r="N43" s="46"/>
      <c r="O43" s="71" t="s">
        <v>68</v>
      </c>
      <c r="P43" s="64"/>
      <c r="Q43" s="46" t="s">
        <v>3826</v>
      </c>
      <c r="R43" s="46" t="s">
        <v>3829</v>
      </c>
      <c r="S43" s="49">
        <v>187.5</v>
      </c>
      <c r="T43" s="49">
        <v>937.5</v>
      </c>
      <c r="U43" s="67">
        <v>0.66800000000000004</v>
      </c>
      <c r="V43" s="67">
        <v>0.7</v>
      </c>
      <c r="W43" s="51">
        <v>0</v>
      </c>
      <c r="X43" s="52">
        <v>93.75</v>
      </c>
      <c r="Y43" s="52">
        <v>30</v>
      </c>
      <c r="Z43" s="52">
        <v>187.5</v>
      </c>
      <c r="AA43" s="52">
        <v>311.25</v>
      </c>
      <c r="AB43" s="53">
        <v>0.33200000000000002</v>
      </c>
      <c r="AC43" s="72">
        <v>626.25</v>
      </c>
      <c r="AD43" s="55">
        <v>0.66800000000000004</v>
      </c>
      <c r="AE43" s="73">
        <v>4</v>
      </c>
      <c r="AF43" s="57" t="s">
        <v>95</v>
      </c>
      <c r="AG43" s="58">
        <v>750</v>
      </c>
      <c r="AH43" s="58">
        <v>0</v>
      </c>
      <c r="AI43" s="58">
        <v>750</v>
      </c>
      <c r="AJ43" s="49">
        <v>187.5</v>
      </c>
      <c r="AK43" s="49">
        <v>937.5</v>
      </c>
      <c r="AL43" s="52">
        <v>93.75</v>
      </c>
      <c r="AM43" s="52">
        <v>187.5</v>
      </c>
      <c r="AN43" s="52">
        <v>281.25</v>
      </c>
      <c r="AO43" s="59">
        <v>0.3</v>
      </c>
      <c r="AP43" s="60">
        <v>656.25</v>
      </c>
      <c r="AQ43" s="61">
        <v>0.7</v>
      </c>
      <c r="AR43" s="60" t="s">
        <v>78</v>
      </c>
      <c r="AS43" s="62">
        <v>1275</v>
      </c>
      <c r="AT43" s="62">
        <v>0</v>
      </c>
      <c r="AU43" s="62">
        <v>1275</v>
      </c>
      <c r="AV43" s="62">
        <v>1593.75</v>
      </c>
      <c r="AW43" s="47" t="s">
        <v>107</v>
      </c>
      <c r="AX43" s="64">
        <v>44952</v>
      </c>
      <c r="AY43" s="64" t="s">
        <v>4064</v>
      </c>
      <c r="AZ43" s="86"/>
      <c r="BA43" s="64"/>
      <c r="BB43" s="64"/>
      <c r="BC43" s="64"/>
      <c r="BD43" s="46"/>
      <c r="BE43" s="46" t="e">
        <v>#REF!</v>
      </c>
      <c r="BF43" s="46" t="s">
        <v>3837</v>
      </c>
      <c r="BG43" s="65">
        <v>3</v>
      </c>
      <c r="BH43" s="66" t="s">
        <v>4065</v>
      </c>
      <c r="BI43" s="63" t="s">
        <v>4066</v>
      </c>
    </row>
    <row r="44" spans="1:61" ht="127.5" x14ac:dyDescent="0.2">
      <c r="A44" s="45" t="s">
        <v>4067</v>
      </c>
      <c r="B44" s="46"/>
      <c r="C44" s="46" t="s">
        <v>4058</v>
      </c>
      <c r="D44" s="46" t="s">
        <v>3908</v>
      </c>
      <c r="E44" s="46" t="s">
        <v>4059</v>
      </c>
      <c r="F44" s="46" t="s">
        <v>4053</v>
      </c>
      <c r="G44" s="46" t="s">
        <v>68</v>
      </c>
      <c r="H44" s="46" t="s">
        <v>68</v>
      </c>
      <c r="I44" s="46" t="s">
        <v>68</v>
      </c>
      <c r="J44" s="46" t="s">
        <v>71</v>
      </c>
      <c r="K44" s="47">
        <v>110</v>
      </c>
      <c r="L44" s="47">
        <v>0</v>
      </c>
      <c r="M44" s="47">
        <v>110</v>
      </c>
      <c r="N44" s="46"/>
      <c r="O44" s="71" t="s">
        <v>68</v>
      </c>
      <c r="P44" s="64"/>
      <c r="Q44" s="46" t="s">
        <v>3826</v>
      </c>
      <c r="R44" s="46" t="s">
        <v>3829</v>
      </c>
      <c r="S44" s="49">
        <v>27.5</v>
      </c>
      <c r="T44" s="49">
        <v>137.5</v>
      </c>
      <c r="U44" s="67">
        <v>0.48181818181818181</v>
      </c>
      <c r="V44" s="67">
        <v>0.7</v>
      </c>
      <c r="W44" s="51">
        <v>0</v>
      </c>
      <c r="X44" s="52">
        <v>13.75</v>
      </c>
      <c r="Y44" s="52">
        <v>30</v>
      </c>
      <c r="Z44" s="52">
        <v>27.5</v>
      </c>
      <c r="AA44" s="52">
        <v>71.25</v>
      </c>
      <c r="AB44" s="53">
        <v>0.51818181818181819</v>
      </c>
      <c r="AC44" s="75">
        <v>66.25</v>
      </c>
      <c r="AD44" s="55">
        <v>0.48181818181818181</v>
      </c>
      <c r="AE44" s="73">
        <v>4</v>
      </c>
      <c r="AF44" s="57" t="s">
        <v>95</v>
      </c>
      <c r="AG44" s="58">
        <v>110</v>
      </c>
      <c r="AH44" s="58">
        <v>0</v>
      </c>
      <c r="AI44" s="58">
        <v>110</v>
      </c>
      <c r="AJ44" s="49">
        <v>27.5</v>
      </c>
      <c r="AK44" s="49">
        <v>137.5</v>
      </c>
      <c r="AL44" s="52">
        <v>13.75</v>
      </c>
      <c r="AM44" s="52">
        <v>27.5</v>
      </c>
      <c r="AN44" s="52">
        <v>41.25</v>
      </c>
      <c r="AO44" s="59">
        <v>0.3</v>
      </c>
      <c r="AP44" s="60">
        <v>96.25</v>
      </c>
      <c r="AQ44" s="61">
        <v>0.7</v>
      </c>
      <c r="AR44" s="60" t="s">
        <v>78</v>
      </c>
      <c r="AS44" s="62">
        <v>187</v>
      </c>
      <c r="AT44" s="62">
        <v>0</v>
      </c>
      <c r="AU44" s="62">
        <v>187</v>
      </c>
      <c r="AV44" s="62">
        <v>233.75</v>
      </c>
      <c r="AW44" s="47" t="s">
        <v>107</v>
      </c>
      <c r="AX44" s="64">
        <v>44952</v>
      </c>
      <c r="AY44" s="64" t="s">
        <v>4068</v>
      </c>
      <c r="AZ44" s="86"/>
      <c r="BA44" s="64"/>
      <c r="BB44" s="64"/>
      <c r="BC44" s="64"/>
      <c r="BD44" s="46"/>
      <c r="BE44" s="46" t="e">
        <v>#REF!</v>
      </c>
      <c r="BF44" s="46" t="s">
        <v>3837</v>
      </c>
      <c r="BG44" s="65">
        <v>3</v>
      </c>
      <c r="BH44" s="66" t="s">
        <v>4069</v>
      </c>
      <c r="BI44" s="63" t="s">
        <v>4070</v>
      </c>
    </row>
    <row r="45" spans="1:61" ht="102" x14ac:dyDescent="0.2">
      <c r="A45" s="45" t="s">
        <v>4071</v>
      </c>
      <c r="B45" s="46"/>
      <c r="C45" s="46" t="s">
        <v>4072</v>
      </c>
      <c r="D45" s="46" t="s">
        <v>3908</v>
      </c>
      <c r="E45" s="46" t="s">
        <v>4020</v>
      </c>
      <c r="F45" s="46" t="s">
        <v>4073</v>
      </c>
      <c r="G45" s="46" t="s">
        <v>68</v>
      </c>
      <c r="H45" s="46" t="s">
        <v>68</v>
      </c>
      <c r="I45" s="46" t="s">
        <v>68</v>
      </c>
      <c r="J45" s="46" t="s">
        <v>71</v>
      </c>
      <c r="K45" s="47">
        <v>400</v>
      </c>
      <c r="L45" s="47">
        <v>750</v>
      </c>
      <c r="M45" s="47">
        <v>1150</v>
      </c>
      <c r="N45" s="46"/>
      <c r="O45" s="71" t="s">
        <v>68</v>
      </c>
      <c r="P45" s="64"/>
      <c r="Q45" s="46" t="s">
        <v>3826</v>
      </c>
      <c r="R45" s="46" t="s">
        <v>3829</v>
      </c>
      <c r="S45" s="49">
        <v>287.5</v>
      </c>
      <c r="T45" s="49">
        <v>1437.5</v>
      </c>
      <c r="U45" s="50">
        <v>0.15739130434782608</v>
      </c>
      <c r="V45" s="50">
        <v>0.17826086956521739</v>
      </c>
      <c r="W45" s="77">
        <v>1.875</v>
      </c>
      <c r="X45" s="52">
        <v>143.75</v>
      </c>
      <c r="Y45" s="52">
        <v>30</v>
      </c>
      <c r="Z45" s="52">
        <v>1037.5</v>
      </c>
      <c r="AA45" s="52">
        <v>1211.25</v>
      </c>
      <c r="AB45" s="53">
        <v>0.84260869565217389</v>
      </c>
      <c r="AC45" s="72">
        <v>226.25</v>
      </c>
      <c r="AD45" s="55">
        <v>0.15739130434782608</v>
      </c>
      <c r="AE45" s="73">
        <v>4</v>
      </c>
      <c r="AF45" s="57" t="s">
        <v>95</v>
      </c>
      <c r="AG45" s="58">
        <v>400</v>
      </c>
      <c r="AH45" s="58">
        <v>750</v>
      </c>
      <c r="AI45" s="58">
        <v>1150</v>
      </c>
      <c r="AJ45" s="49">
        <v>287.5</v>
      </c>
      <c r="AK45" s="49">
        <v>1437.5</v>
      </c>
      <c r="AL45" s="52">
        <v>143.75</v>
      </c>
      <c r="AM45" s="52">
        <v>1037.5</v>
      </c>
      <c r="AN45" s="52">
        <v>1181.25</v>
      </c>
      <c r="AO45" s="59">
        <v>0.82173913043478264</v>
      </c>
      <c r="AP45" s="60">
        <v>256.25</v>
      </c>
      <c r="AQ45" s="61">
        <v>0.17826086956521739</v>
      </c>
      <c r="AR45" s="60" t="s">
        <v>73</v>
      </c>
      <c r="AS45" s="62">
        <v>680</v>
      </c>
      <c r="AT45" s="62">
        <v>1275</v>
      </c>
      <c r="AU45" s="62">
        <v>1955</v>
      </c>
      <c r="AV45" s="62">
        <v>2443.75</v>
      </c>
      <c r="AW45" s="47" t="s">
        <v>107</v>
      </c>
      <c r="AX45" s="64">
        <v>44957</v>
      </c>
      <c r="AY45" s="64" t="s">
        <v>4074</v>
      </c>
      <c r="AZ45" s="86"/>
      <c r="BA45" s="64"/>
      <c r="BB45" s="64"/>
      <c r="BC45" s="64"/>
      <c r="BD45" s="46"/>
      <c r="BE45" s="46" t="e">
        <v>#REF!</v>
      </c>
      <c r="BF45" s="46" t="s">
        <v>3837</v>
      </c>
      <c r="BG45" s="65">
        <v>2</v>
      </c>
      <c r="BH45" s="66" t="s">
        <v>4075</v>
      </c>
      <c r="BI45" s="63" t="s">
        <v>4076</v>
      </c>
    </row>
    <row r="46" spans="1:61" ht="102" x14ac:dyDescent="0.2">
      <c r="A46" s="45" t="s">
        <v>4077</v>
      </c>
      <c r="B46" s="46"/>
      <c r="C46" s="46" t="s">
        <v>4072</v>
      </c>
      <c r="D46" s="46" t="s">
        <v>3908</v>
      </c>
      <c r="E46" s="46" t="s">
        <v>4020</v>
      </c>
      <c r="F46" s="46" t="s">
        <v>4078</v>
      </c>
      <c r="G46" s="46" t="s">
        <v>68</v>
      </c>
      <c r="H46" s="46" t="s">
        <v>68</v>
      </c>
      <c r="I46" s="46" t="s">
        <v>68</v>
      </c>
      <c r="J46" s="46" t="s">
        <v>71</v>
      </c>
      <c r="K46" s="47">
        <v>500</v>
      </c>
      <c r="L46" s="47">
        <v>1450</v>
      </c>
      <c r="M46" s="47">
        <v>1950</v>
      </c>
      <c r="N46" s="46"/>
      <c r="O46" s="71" t="s">
        <v>68</v>
      </c>
      <c r="P46" s="64"/>
      <c r="Q46" s="46" t="s">
        <v>3826</v>
      </c>
      <c r="R46" s="46" t="s">
        <v>3829</v>
      </c>
      <c r="S46" s="49">
        <v>487.5</v>
      </c>
      <c r="T46" s="49">
        <v>2437.5</v>
      </c>
      <c r="U46" s="50">
        <v>9.2820512820512818E-2</v>
      </c>
      <c r="V46" s="50">
        <v>0.10512820512820513</v>
      </c>
      <c r="W46" s="77">
        <v>2.9</v>
      </c>
      <c r="X46" s="52">
        <v>243.75</v>
      </c>
      <c r="Y46" s="52">
        <v>30</v>
      </c>
      <c r="Z46" s="52">
        <v>1937.5</v>
      </c>
      <c r="AA46" s="52">
        <v>2211.25</v>
      </c>
      <c r="AB46" s="53">
        <v>0.90717948717948715</v>
      </c>
      <c r="AC46" s="72">
        <v>226.25</v>
      </c>
      <c r="AD46" s="55">
        <v>9.2820512820512818E-2</v>
      </c>
      <c r="AE46" s="73">
        <v>4</v>
      </c>
      <c r="AF46" s="57" t="s">
        <v>95</v>
      </c>
      <c r="AG46" s="58">
        <v>500</v>
      </c>
      <c r="AH46" s="58">
        <v>1450</v>
      </c>
      <c r="AI46" s="58">
        <v>1950</v>
      </c>
      <c r="AJ46" s="49">
        <v>487.5</v>
      </c>
      <c r="AK46" s="49">
        <v>2437.5</v>
      </c>
      <c r="AL46" s="52">
        <v>243.75</v>
      </c>
      <c r="AM46" s="52">
        <v>1937.5</v>
      </c>
      <c r="AN46" s="52">
        <v>2181.25</v>
      </c>
      <c r="AO46" s="59">
        <v>0.89487179487179491</v>
      </c>
      <c r="AP46" s="60">
        <v>256.25</v>
      </c>
      <c r="AQ46" s="61">
        <v>0.10512820512820513</v>
      </c>
      <c r="AR46" s="60" t="s">
        <v>73</v>
      </c>
      <c r="AS46" s="62">
        <v>850</v>
      </c>
      <c r="AT46" s="62">
        <v>2465</v>
      </c>
      <c r="AU46" s="62">
        <v>3315</v>
      </c>
      <c r="AV46" s="62">
        <v>4143.75</v>
      </c>
      <c r="AW46" s="47" t="s">
        <v>107</v>
      </c>
      <c r="AX46" s="64">
        <v>44957</v>
      </c>
      <c r="AY46" s="64" t="s">
        <v>4079</v>
      </c>
      <c r="AZ46" s="86"/>
      <c r="BA46" s="64"/>
      <c r="BB46" s="64"/>
      <c r="BC46" s="64"/>
      <c r="BD46" s="46"/>
      <c r="BE46" s="46" t="e">
        <v>#REF!</v>
      </c>
      <c r="BF46" s="46" t="s">
        <v>3837</v>
      </c>
      <c r="BG46" s="65">
        <v>2</v>
      </c>
      <c r="BH46" s="66" t="s">
        <v>4080</v>
      </c>
      <c r="BI46" s="63" t="s">
        <v>4081</v>
      </c>
    </row>
    <row r="47" spans="1:61" ht="114.75" x14ac:dyDescent="0.2">
      <c r="A47" s="45" t="s">
        <v>4082</v>
      </c>
      <c r="B47" s="46"/>
      <c r="C47" s="46" t="s">
        <v>4072</v>
      </c>
      <c r="D47" s="46" t="s">
        <v>3908</v>
      </c>
      <c r="E47" s="46" t="s">
        <v>4020</v>
      </c>
      <c r="F47" s="46" t="s">
        <v>4053</v>
      </c>
      <c r="G47" s="46" t="s">
        <v>68</v>
      </c>
      <c r="H47" s="46" t="s">
        <v>68</v>
      </c>
      <c r="I47" s="46" t="s">
        <v>68</v>
      </c>
      <c r="J47" s="46" t="s">
        <v>71</v>
      </c>
      <c r="K47" s="47">
        <v>750</v>
      </c>
      <c r="L47" s="47">
        <v>2850</v>
      </c>
      <c r="M47" s="47">
        <v>3600</v>
      </c>
      <c r="N47" s="46"/>
      <c r="O47" s="71" t="s">
        <v>68</v>
      </c>
      <c r="P47" s="64"/>
      <c r="Q47" s="46" t="s">
        <v>3826</v>
      </c>
      <c r="R47" s="46" t="s">
        <v>3829</v>
      </c>
      <c r="S47" s="49">
        <v>900</v>
      </c>
      <c r="T47" s="49">
        <v>4500</v>
      </c>
      <c r="U47" s="50">
        <v>0.06</v>
      </c>
      <c r="V47" s="50">
        <v>6.6666666666666666E-2</v>
      </c>
      <c r="W47" s="77">
        <v>3.8</v>
      </c>
      <c r="X47" s="52">
        <v>450</v>
      </c>
      <c r="Y47" s="52">
        <v>30</v>
      </c>
      <c r="Z47" s="52">
        <v>3750</v>
      </c>
      <c r="AA47" s="52">
        <v>4230</v>
      </c>
      <c r="AB47" s="53">
        <v>0.94</v>
      </c>
      <c r="AC47" s="72">
        <v>270</v>
      </c>
      <c r="AD47" s="55">
        <v>0.06</v>
      </c>
      <c r="AE47" s="73">
        <v>4</v>
      </c>
      <c r="AF47" s="57" t="s">
        <v>95</v>
      </c>
      <c r="AG47" s="58">
        <v>750</v>
      </c>
      <c r="AH47" s="58">
        <v>2850</v>
      </c>
      <c r="AI47" s="58">
        <v>3600</v>
      </c>
      <c r="AJ47" s="49">
        <v>900</v>
      </c>
      <c r="AK47" s="49">
        <v>4500</v>
      </c>
      <c r="AL47" s="52">
        <v>450</v>
      </c>
      <c r="AM47" s="52">
        <v>3750</v>
      </c>
      <c r="AN47" s="52">
        <v>4200</v>
      </c>
      <c r="AO47" s="59">
        <v>0.93333333333333335</v>
      </c>
      <c r="AP47" s="60">
        <v>300</v>
      </c>
      <c r="AQ47" s="61">
        <v>6.6666666666666666E-2</v>
      </c>
      <c r="AR47" s="60" t="s">
        <v>73</v>
      </c>
      <c r="AS47" s="62">
        <v>1275</v>
      </c>
      <c r="AT47" s="62">
        <v>4845</v>
      </c>
      <c r="AU47" s="62">
        <v>6120</v>
      </c>
      <c r="AV47" s="62">
        <v>7650</v>
      </c>
      <c r="AW47" s="47" t="s">
        <v>107</v>
      </c>
      <c r="AX47" s="64">
        <v>44957</v>
      </c>
      <c r="AY47" s="64" t="s">
        <v>4083</v>
      </c>
      <c r="AZ47" s="86"/>
      <c r="BA47" s="64"/>
      <c r="BB47" s="64"/>
      <c r="BC47" s="64"/>
      <c r="BD47" s="46"/>
      <c r="BE47" s="46" t="e">
        <v>#REF!</v>
      </c>
      <c r="BF47" s="46" t="s">
        <v>3837</v>
      </c>
      <c r="BG47" s="65">
        <v>2</v>
      </c>
      <c r="BH47" s="66" t="s">
        <v>4084</v>
      </c>
      <c r="BI47" s="63" t="s">
        <v>4085</v>
      </c>
    </row>
    <row r="48" spans="1:61" ht="165.75" x14ac:dyDescent="0.2">
      <c r="A48" s="45" t="s">
        <v>4086</v>
      </c>
      <c r="B48" s="46"/>
      <c r="C48" s="46" t="s">
        <v>4087</v>
      </c>
      <c r="D48" s="46" t="s">
        <v>3908</v>
      </c>
      <c r="E48" s="46" t="s">
        <v>4088</v>
      </c>
      <c r="F48" s="46" t="s">
        <v>4089</v>
      </c>
      <c r="G48" s="46" t="s">
        <v>68</v>
      </c>
      <c r="H48" s="46" t="s">
        <v>68</v>
      </c>
      <c r="I48" s="46" t="s">
        <v>68</v>
      </c>
      <c r="J48" s="46" t="s">
        <v>71</v>
      </c>
      <c r="K48" s="47">
        <v>200</v>
      </c>
      <c r="L48" s="47">
        <v>100</v>
      </c>
      <c r="M48" s="47">
        <v>300</v>
      </c>
      <c r="N48" s="46" t="s">
        <v>4090</v>
      </c>
      <c r="O48" s="71" t="s">
        <v>4091</v>
      </c>
      <c r="P48" s="46" t="s">
        <v>4092</v>
      </c>
      <c r="Q48" s="46" t="s">
        <v>3826</v>
      </c>
      <c r="R48" s="46" t="s">
        <v>3829</v>
      </c>
      <c r="S48" s="49">
        <v>75</v>
      </c>
      <c r="T48" s="49">
        <v>375</v>
      </c>
      <c r="U48" s="67">
        <v>0.35333333333333333</v>
      </c>
      <c r="V48" s="67">
        <v>0.3</v>
      </c>
      <c r="W48" s="51">
        <v>0.5</v>
      </c>
      <c r="X48" s="52">
        <v>37.5</v>
      </c>
      <c r="Y48" s="52">
        <v>30</v>
      </c>
      <c r="Z48" s="52">
        <v>175</v>
      </c>
      <c r="AA48" s="52">
        <v>242.5</v>
      </c>
      <c r="AB48" s="53">
        <v>0.64666666666666661</v>
      </c>
      <c r="AC48" s="72">
        <v>132.5</v>
      </c>
      <c r="AD48" s="55">
        <v>0.35333333333333333</v>
      </c>
      <c r="AE48" s="56">
        <v>2</v>
      </c>
      <c r="AF48" s="57" t="s">
        <v>72</v>
      </c>
      <c r="AG48" s="58">
        <v>100</v>
      </c>
      <c r="AH48" s="58">
        <v>100</v>
      </c>
      <c r="AI48" s="58">
        <v>200</v>
      </c>
      <c r="AJ48" s="49">
        <v>50</v>
      </c>
      <c r="AK48" s="49">
        <v>250</v>
      </c>
      <c r="AL48" s="52">
        <v>25</v>
      </c>
      <c r="AM48" s="52">
        <v>150</v>
      </c>
      <c r="AN48" s="52">
        <v>175</v>
      </c>
      <c r="AO48" s="59">
        <v>0.7</v>
      </c>
      <c r="AP48" s="60">
        <v>75</v>
      </c>
      <c r="AQ48" s="61">
        <v>0.3</v>
      </c>
      <c r="AR48" s="60" t="s">
        <v>78</v>
      </c>
      <c r="AS48" s="62">
        <v>300</v>
      </c>
      <c r="AT48" s="62">
        <v>150</v>
      </c>
      <c r="AU48" s="62">
        <v>450</v>
      </c>
      <c r="AV48" s="62">
        <v>562.5</v>
      </c>
      <c r="AW48" s="47" t="s">
        <v>74</v>
      </c>
      <c r="AX48" s="64">
        <v>44957</v>
      </c>
      <c r="AY48" s="64" t="s">
        <v>4093</v>
      </c>
      <c r="AZ48" s="86"/>
      <c r="BA48" s="46" t="s">
        <v>74</v>
      </c>
      <c r="BB48" s="26"/>
      <c r="BC48" s="26"/>
      <c r="BD48" s="46"/>
      <c r="BE48" s="46" t="e">
        <v>#REF!</v>
      </c>
      <c r="BF48" s="46" t="s">
        <v>3837</v>
      </c>
      <c r="BG48" s="65">
        <v>1</v>
      </c>
      <c r="BH48" s="66" t="s">
        <v>4094</v>
      </c>
      <c r="BI48" s="63" t="s">
        <v>4095</v>
      </c>
    </row>
    <row r="49" spans="1:61" ht="165.75" x14ac:dyDescent="0.2">
      <c r="A49" s="45" t="s">
        <v>4096</v>
      </c>
      <c r="B49" s="46"/>
      <c r="C49" s="46" t="s">
        <v>4087</v>
      </c>
      <c r="D49" s="46" t="s">
        <v>3908</v>
      </c>
      <c r="E49" s="46" t="s">
        <v>4097</v>
      </c>
      <c r="F49" s="46" t="s">
        <v>4098</v>
      </c>
      <c r="G49" s="46" t="s">
        <v>68</v>
      </c>
      <c r="H49" s="46" t="s">
        <v>68</v>
      </c>
      <c r="I49" s="46" t="s">
        <v>68</v>
      </c>
      <c r="J49" s="46" t="s">
        <v>71</v>
      </c>
      <c r="K49" s="47">
        <v>220</v>
      </c>
      <c r="L49" s="47">
        <v>150</v>
      </c>
      <c r="M49" s="47">
        <v>370</v>
      </c>
      <c r="N49" s="46" t="s">
        <v>4099</v>
      </c>
      <c r="O49" s="71" t="s">
        <v>4100</v>
      </c>
      <c r="P49" s="46" t="s">
        <v>4092</v>
      </c>
      <c r="Q49" s="46" t="s">
        <v>3826</v>
      </c>
      <c r="R49" s="46" t="s">
        <v>3829</v>
      </c>
      <c r="S49" s="49">
        <v>92.5</v>
      </c>
      <c r="T49" s="49">
        <v>462.5</v>
      </c>
      <c r="U49" s="67">
        <v>0.3108108108108108</v>
      </c>
      <c r="V49" s="28">
        <v>0.23846153846153847</v>
      </c>
      <c r="W49" s="51">
        <v>0.68181818181818177</v>
      </c>
      <c r="X49" s="52">
        <v>46.25</v>
      </c>
      <c r="Y49" s="52">
        <v>30</v>
      </c>
      <c r="Z49" s="52">
        <v>242.5</v>
      </c>
      <c r="AA49" s="52">
        <v>318.75</v>
      </c>
      <c r="AB49" s="53">
        <v>0.68918918918918914</v>
      </c>
      <c r="AC49" s="72">
        <v>143.75</v>
      </c>
      <c r="AD49" s="55">
        <v>0.3108108108108108</v>
      </c>
      <c r="AE49" s="56">
        <v>2</v>
      </c>
      <c r="AF49" s="57" t="s">
        <v>72</v>
      </c>
      <c r="AG49" s="58">
        <v>110</v>
      </c>
      <c r="AH49" s="58">
        <v>150</v>
      </c>
      <c r="AI49" s="58">
        <v>260</v>
      </c>
      <c r="AJ49" s="49">
        <v>65</v>
      </c>
      <c r="AK49" s="49">
        <v>325</v>
      </c>
      <c r="AL49" s="52">
        <v>32.5</v>
      </c>
      <c r="AM49" s="52">
        <v>215</v>
      </c>
      <c r="AN49" s="52">
        <v>247.5</v>
      </c>
      <c r="AO49" s="59">
        <v>0.7615384615384615</v>
      </c>
      <c r="AP49" s="60">
        <v>77.5</v>
      </c>
      <c r="AQ49" s="61">
        <v>0.23846153846153847</v>
      </c>
      <c r="AR49" s="60" t="s">
        <v>78</v>
      </c>
      <c r="AS49" s="62">
        <v>330</v>
      </c>
      <c r="AT49" s="62">
        <v>225</v>
      </c>
      <c r="AU49" s="62">
        <v>555</v>
      </c>
      <c r="AV49" s="62">
        <v>693.75</v>
      </c>
      <c r="AW49" s="47" t="s">
        <v>74</v>
      </c>
      <c r="AX49" s="64">
        <v>44957</v>
      </c>
      <c r="AY49" s="64" t="s">
        <v>4101</v>
      </c>
      <c r="AZ49" s="86"/>
      <c r="BA49" s="46" t="s">
        <v>74</v>
      </c>
      <c r="BB49" s="26"/>
      <c r="BC49" s="26"/>
      <c r="BD49" s="46"/>
      <c r="BE49" s="46" t="e">
        <v>#REF!</v>
      </c>
      <c r="BF49" s="46" t="s">
        <v>79</v>
      </c>
      <c r="BG49" s="65">
        <v>0.5</v>
      </c>
      <c r="BH49" s="66" t="s">
        <v>4102</v>
      </c>
      <c r="BI49" s="63" t="s">
        <v>4103</v>
      </c>
    </row>
    <row r="50" spans="1:61" ht="89.25" x14ac:dyDescent="0.2">
      <c r="A50" s="45" t="s">
        <v>4104</v>
      </c>
      <c r="B50" s="46"/>
      <c r="C50" s="46" t="s">
        <v>4105</v>
      </c>
      <c r="D50" s="46" t="s">
        <v>3908</v>
      </c>
      <c r="E50" s="46" t="s">
        <v>4020</v>
      </c>
      <c r="F50" s="46" t="s">
        <v>4073</v>
      </c>
      <c r="G50" s="46" t="s">
        <v>68</v>
      </c>
      <c r="H50" s="46" t="s">
        <v>68</v>
      </c>
      <c r="I50" s="46" t="s">
        <v>68</v>
      </c>
      <c r="J50" s="46" t="s">
        <v>71</v>
      </c>
      <c r="K50" s="47">
        <v>400</v>
      </c>
      <c r="L50" s="47">
        <v>180</v>
      </c>
      <c r="M50" s="47">
        <v>580</v>
      </c>
      <c r="N50" s="46"/>
      <c r="O50" s="71" t="s">
        <v>68</v>
      </c>
      <c r="P50" s="64"/>
      <c r="Q50" s="46" t="s">
        <v>3826</v>
      </c>
      <c r="R50" s="46" t="s">
        <v>3829</v>
      </c>
      <c r="S50" s="49">
        <v>145</v>
      </c>
      <c r="T50" s="49">
        <v>725</v>
      </c>
      <c r="U50" s="67">
        <v>0.41034482758620688</v>
      </c>
      <c r="V50" s="67">
        <v>0.4517241379310345</v>
      </c>
      <c r="W50" s="51">
        <v>0.45</v>
      </c>
      <c r="X50" s="52">
        <v>72.5</v>
      </c>
      <c r="Y50" s="52">
        <v>30</v>
      </c>
      <c r="Z50" s="52">
        <v>325</v>
      </c>
      <c r="AA50" s="52">
        <v>427.5</v>
      </c>
      <c r="AB50" s="53">
        <v>0.58965517241379306</v>
      </c>
      <c r="AC50" s="72">
        <v>297.5</v>
      </c>
      <c r="AD50" s="55">
        <v>0.41034482758620688</v>
      </c>
      <c r="AE50" s="73">
        <v>4</v>
      </c>
      <c r="AF50" s="57" t="s">
        <v>95</v>
      </c>
      <c r="AG50" s="58">
        <v>400</v>
      </c>
      <c r="AH50" s="58">
        <v>180</v>
      </c>
      <c r="AI50" s="58">
        <v>580</v>
      </c>
      <c r="AJ50" s="49">
        <v>145</v>
      </c>
      <c r="AK50" s="49">
        <v>725</v>
      </c>
      <c r="AL50" s="52">
        <v>72.5</v>
      </c>
      <c r="AM50" s="52">
        <v>325</v>
      </c>
      <c r="AN50" s="52">
        <v>397.5</v>
      </c>
      <c r="AO50" s="59">
        <v>0.5482758620689655</v>
      </c>
      <c r="AP50" s="60">
        <v>327.5</v>
      </c>
      <c r="AQ50" s="61">
        <v>0.4517241379310345</v>
      </c>
      <c r="AR50" s="60" t="s">
        <v>78</v>
      </c>
      <c r="AS50" s="62">
        <v>680</v>
      </c>
      <c r="AT50" s="62">
        <v>306</v>
      </c>
      <c r="AU50" s="62">
        <v>986</v>
      </c>
      <c r="AV50" s="62">
        <v>1232.5</v>
      </c>
      <c r="AW50" s="47" t="s">
        <v>107</v>
      </c>
      <c r="AX50" s="64">
        <v>44957</v>
      </c>
      <c r="AY50" s="64" t="s">
        <v>4106</v>
      </c>
      <c r="AZ50" s="86"/>
      <c r="BA50" s="64"/>
      <c r="BB50" s="64"/>
      <c r="BC50" s="64"/>
      <c r="BD50" s="46"/>
      <c r="BE50" s="46" t="e">
        <v>#REF!</v>
      </c>
      <c r="BF50" s="46" t="s">
        <v>3837</v>
      </c>
      <c r="BG50" s="65">
        <v>2</v>
      </c>
      <c r="BH50" s="66" t="s">
        <v>4107</v>
      </c>
      <c r="BI50" s="63" t="s">
        <v>4108</v>
      </c>
    </row>
    <row r="51" spans="1:61" ht="89.25" x14ac:dyDescent="0.2">
      <c r="A51" s="45" t="s">
        <v>4109</v>
      </c>
      <c r="B51" s="46"/>
      <c r="C51" s="46" t="s">
        <v>4105</v>
      </c>
      <c r="D51" s="46" t="s">
        <v>3908</v>
      </c>
      <c r="E51" s="46" t="s">
        <v>4020</v>
      </c>
      <c r="F51" s="46" t="s">
        <v>4078</v>
      </c>
      <c r="G51" s="46" t="s">
        <v>68</v>
      </c>
      <c r="H51" s="46" t="s">
        <v>68</v>
      </c>
      <c r="I51" s="46" t="s">
        <v>68</v>
      </c>
      <c r="J51" s="46" t="s">
        <v>71</v>
      </c>
      <c r="K51" s="47">
        <v>400</v>
      </c>
      <c r="L51" s="47">
        <v>350</v>
      </c>
      <c r="M51" s="47">
        <v>750</v>
      </c>
      <c r="N51" s="46"/>
      <c r="O51" s="71" t="s">
        <v>68</v>
      </c>
      <c r="P51" s="64"/>
      <c r="Q51" s="46" t="s">
        <v>3826</v>
      </c>
      <c r="R51" s="46" t="s">
        <v>3829</v>
      </c>
      <c r="S51" s="49">
        <v>187.5</v>
      </c>
      <c r="T51" s="49">
        <v>937.5</v>
      </c>
      <c r="U51" s="28">
        <v>0.29466666666666669</v>
      </c>
      <c r="V51" s="67">
        <v>0.32666666666666666</v>
      </c>
      <c r="W51" s="51">
        <v>0.875</v>
      </c>
      <c r="X51" s="52">
        <v>93.75</v>
      </c>
      <c r="Y51" s="52">
        <v>30</v>
      </c>
      <c r="Z51" s="52">
        <v>537.5</v>
      </c>
      <c r="AA51" s="52">
        <v>661.25</v>
      </c>
      <c r="AB51" s="53">
        <v>0.70533333333333337</v>
      </c>
      <c r="AC51" s="72">
        <v>276.25</v>
      </c>
      <c r="AD51" s="55">
        <v>0.29466666666666669</v>
      </c>
      <c r="AE51" s="73">
        <v>4</v>
      </c>
      <c r="AF51" s="57" t="s">
        <v>95</v>
      </c>
      <c r="AG51" s="58">
        <v>400</v>
      </c>
      <c r="AH51" s="58">
        <v>350</v>
      </c>
      <c r="AI51" s="58">
        <v>750</v>
      </c>
      <c r="AJ51" s="49">
        <v>187.5</v>
      </c>
      <c r="AK51" s="49">
        <v>937.5</v>
      </c>
      <c r="AL51" s="52">
        <v>93.75</v>
      </c>
      <c r="AM51" s="52">
        <v>537.5</v>
      </c>
      <c r="AN51" s="52">
        <v>631.25</v>
      </c>
      <c r="AO51" s="59">
        <v>0.67333333333333334</v>
      </c>
      <c r="AP51" s="60">
        <v>306.25</v>
      </c>
      <c r="AQ51" s="61">
        <v>0.32666666666666666</v>
      </c>
      <c r="AR51" s="60" t="s">
        <v>78</v>
      </c>
      <c r="AS51" s="62">
        <v>680</v>
      </c>
      <c r="AT51" s="62">
        <v>595</v>
      </c>
      <c r="AU51" s="62">
        <v>1275</v>
      </c>
      <c r="AV51" s="62">
        <v>1593.75</v>
      </c>
      <c r="AW51" s="47" t="s">
        <v>107</v>
      </c>
      <c r="AX51" s="64">
        <v>44957</v>
      </c>
      <c r="AY51" s="64" t="s">
        <v>4110</v>
      </c>
      <c r="AZ51" s="86"/>
      <c r="BA51" s="64"/>
      <c r="BB51" s="64"/>
      <c r="BC51" s="64"/>
      <c r="BD51" s="46"/>
      <c r="BE51" s="46" t="e">
        <v>#REF!</v>
      </c>
      <c r="BF51" s="46" t="s">
        <v>3837</v>
      </c>
      <c r="BG51" s="65">
        <v>2</v>
      </c>
      <c r="BH51" s="66" t="s">
        <v>4111</v>
      </c>
      <c r="BI51" s="63" t="s">
        <v>4112</v>
      </c>
    </row>
    <row r="52" spans="1:61" ht="102" x14ac:dyDescent="0.2">
      <c r="A52" s="45" t="s">
        <v>4113</v>
      </c>
      <c r="B52" s="46"/>
      <c r="C52" s="46" t="s">
        <v>4105</v>
      </c>
      <c r="D52" s="46" t="s">
        <v>3908</v>
      </c>
      <c r="E52" s="46" t="s">
        <v>4020</v>
      </c>
      <c r="F52" s="46" t="s">
        <v>4053</v>
      </c>
      <c r="G52" s="46" t="s">
        <v>68</v>
      </c>
      <c r="H52" s="46" t="s">
        <v>68</v>
      </c>
      <c r="I52" s="46" t="s">
        <v>68</v>
      </c>
      <c r="J52" s="46" t="s">
        <v>71</v>
      </c>
      <c r="K52" s="47">
        <v>400</v>
      </c>
      <c r="L52" s="47">
        <v>500</v>
      </c>
      <c r="M52" s="47">
        <v>900</v>
      </c>
      <c r="N52" s="46"/>
      <c r="O52" s="71" t="s">
        <v>68</v>
      </c>
      <c r="P52" s="64"/>
      <c r="Q52" s="46" t="s">
        <v>3826</v>
      </c>
      <c r="R52" s="46" t="s">
        <v>3829</v>
      </c>
      <c r="S52" s="49">
        <v>225</v>
      </c>
      <c r="T52" s="49">
        <v>1125</v>
      </c>
      <c r="U52" s="28">
        <v>0.22888888888888889</v>
      </c>
      <c r="V52" s="28">
        <v>0.25555555555555554</v>
      </c>
      <c r="W52" s="74">
        <v>1.25</v>
      </c>
      <c r="X52" s="52">
        <v>112.5</v>
      </c>
      <c r="Y52" s="52">
        <v>30</v>
      </c>
      <c r="Z52" s="52">
        <v>725</v>
      </c>
      <c r="AA52" s="52">
        <v>867.5</v>
      </c>
      <c r="AB52" s="53">
        <v>0.77111111111111108</v>
      </c>
      <c r="AC52" s="72">
        <v>257.5</v>
      </c>
      <c r="AD52" s="55">
        <v>0.22888888888888889</v>
      </c>
      <c r="AE52" s="73">
        <v>4</v>
      </c>
      <c r="AF52" s="57" t="s">
        <v>95</v>
      </c>
      <c r="AG52" s="58">
        <v>400</v>
      </c>
      <c r="AH52" s="58">
        <v>500</v>
      </c>
      <c r="AI52" s="58">
        <v>900</v>
      </c>
      <c r="AJ52" s="49">
        <v>225</v>
      </c>
      <c r="AK52" s="49">
        <v>1125</v>
      </c>
      <c r="AL52" s="52">
        <v>112.5</v>
      </c>
      <c r="AM52" s="52">
        <v>725</v>
      </c>
      <c r="AN52" s="52">
        <v>837.5</v>
      </c>
      <c r="AO52" s="59">
        <v>0.74444444444444446</v>
      </c>
      <c r="AP52" s="60">
        <v>287.5</v>
      </c>
      <c r="AQ52" s="61">
        <v>0.25555555555555554</v>
      </c>
      <c r="AR52" s="60" t="s">
        <v>78</v>
      </c>
      <c r="AS52" s="62">
        <v>680</v>
      </c>
      <c r="AT52" s="62">
        <v>850</v>
      </c>
      <c r="AU52" s="62">
        <v>1530</v>
      </c>
      <c r="AV52" s="62">
        <v>1912.5</v>
      </c>
      <c r="AW52" s="47" t="s">
        <v>107</v>
      </c>
      <c r="AX52" s="64">
        <v>44957</v>
      </c>
      <c r="AY52" s="64" t="s">
        <v>4114</v>
      </c>
      <c r="AZ52" s="86"/>
      <c r="BA52" s="64"/>
      <c r="BB52" s="64"/>
      <c r="BC52" s="64"/>
      <c r="BD52" s="46"/>
      <c r="BE52" s="46" t="e">
        <v>#REF!</v>
      </c>
      <c r="BF52" s="46" t="s">
        <v>3837</v>
      </c>
      <c r="BG52" s="65">
        <v>2</v>
      </c>
      <c r="BH52" s="66" t="s">
        <v>4115</v>
      </c>
      <c r="BI52" s="63" t="s">
        <v>4116</v>
      </c>
    </row>
    <row r="53" spans="1:61" ht="409.5" x14ac:dyDescent="0.2">
      <c r="A53" s="45" t="s">
        <v>4117</v>
      </c>
      <c r="B53" s="46"/>
      <c r="C53" s="46" t="s">
        <v>4118</v>
      </c>
      <c r="D53" s="46" t="s">
        <v>4020</v>
      </c>
      <c r="E53" s="46"/>
      <c r="F53" s="46" t="s">
        <v>68</v>
      </c>
      <c r="G53" s="46" t="s">
        <v>68</v>
      </c>
      <c r="H53" s="46" t="s">
        <v>68</v>
      </c>
      <c r="I53" s="46" t="s">
        <v>68</v>
      </c>
      <c r="J53" s="46" t="s">
        <v>71</v>
      </c>
      <c r="K53" s="47">
        <v>300</v>
      </c>
      <c r="L53" s="47">
        <v>350</v>
      </c>
      <c r="M53" s="47">
        <v>650</v>
      </c>
      <c r="N53" s="46" t="s">
        <v>4119</v>
      </c>
      <c r="O53" s="71" t="s">
        <v>4120</v>
      </c>
      <c r="P53" s="46" t="s">
        <v>4121</v>
      </c>
      <c r="Q53" s="46" t="s">
        <v>3826</v>
      </c>
      <c r="R53" s="46" t="s">
        <v>3829</v>
      </c>
      <c r="S53" s="49">
        <v>162.5</v>
      </c>
      <c r="T53" s="49">
        <v>812.5</v>
      </c>
      <c r="U53" s="28">
        <v>0.2323076923076923</v>
      </c>
      <c r="V53" s="28">
        <v>0.26923076923076922</v>
      </c>
      <c r="W53" s="74">
        <v>1.1666666666666667</v>
      </c>
      <c r="X53" s="52">
        <v>81.25</v>
      </c>
      <c r="Y53" s="52">
        <v>30</v>
      </c>
      <c r="Z53" s="52">
        <v>512.5</v>
      </c>
      <c r="AA53" s="52">
        <v>623.75</v>
      </c>
      <c r="AB53" s="53">
        <v>0.76769230769230767</v>
      </c>
      <c r="AC53" s="72">
        <v>188.75</v>
      </c>
      <c r="AD53" s="55">
        <v>0.2323076923076923</v>
      </c>
      <c r="AE53" s="73">
        <v>4</v>
      </c>
      <c r="AF53" s="57" t="s">
        <v>95</v>
      </c>
      <c r="AG53" s="58">
        <v>300</v>
      </c>
      <c r="AH53" s="58">
        <v>350</v>
      </c>
      <c r="AI53" s="58">
        <v>650</v>
      </c>
      <c r="AJ53" s="49">
        <v>162.5</v>
      </c>
      <c r="AK53" s="49">
        <v>812.5</v>
      </c>
      <c r="AL53" s="52">
        <v>81.25</v>
      </c>
      <c r="AM53" s="52">
        <v>512.5</v>
      </c>
      <c r="AN53" s="52">
        <v>593.75</v>
      </c>
      <c r="AO53" s="59">
        <v>0.73076923076923073</v>
      </c>
      <c r="AP53" s="60">
        <v>218.75</v>
      </c>
      <c r="AQ53" s="61">
        <v>0.26923076923076922</v>
      </c>
      <c r="AR53" s="60" t="s">
        <v>78</v>
      </c>
      <c r="AS53" s="62">
        <v>510</v>
      </c>
      <c r="AT53" s="62">
        <v>595</v>
      </c>
      <c r="AU53" s="62">
        <v>1105</v>
      </c>
      <c r="AV53" s="62">
        <v>1381.25</v>
      </c>
      <c r="AW53" s="47" t="s">
        <v>74</v>
      </c>
      <c r="AX53" s="64">
        <v>44963</v>
      </c>
      <c r="AY53" s="64" t="s">
        <v>4122</v>
      </c>
      <c r="AZ53" s="86"/>
      <c r="BA53" s="46" t="s">
        <v>107</v>
      </c>
      <c r="BB53" s="46" t="s">
        <v>4123</v>
      </c>
      <c r="BC53" s="46" t="s">
        <v>3942</v>
      </c>
      <c r="BD53" s="46"/>
      <c r="BE53" s="46" t="e">
        <v>#REF!</v>
      </c>
      <c r="BF53" s="46" t="s">
        <v>3837</v>
      </c>
      <c r="BG53" s="65">
        <v>2</v>
      </c>
      <c r="BH53" s="66" t="s">
        <v>4124</v>
      </c>
      <c r="BI53" s="63" t="s">
        <v>4125</v>
      </c>
    </row>
    <row r="54" spans="1:61" ht="409.5" x14ac:dyDescent="0.2">
      <c r="A54" s="45" t="s">
        <v>4126</v>
      </c>
      <c r="B54" s="46"/>
      <c r="C54" s="46" t="s">
        <v>4127</v>
      </c>
      <c r="D54" s="46" t="s">
        <v>4020</v>
      </c>
      <c r="E54" s="46"/>
      <c r="F54" s="46" t="s">
        <v>68</v>
      </c>
      <c r="G54" s="46" t="s">
        <v>68</v>
      </c>
      <c r="H54" s="46" t="s">
        <v>68</v>
      </c>
      <c r="I54" s="46" t="s">
        <v>68</v>
      </c>
      <c r="J54" s="46" t="s">
        <v>71</v>
      </c>
      <c r="K54" s="47">
        <v>250</v>
      </c>
      <c r="L54" s="47">
        <v>300</v>
      </c>
      <c r="M54" s="47">
        <v>550</v>
      </c>
      <c r="N54" s="46" t="s">
        <v>4128</v>
      </c>
      <c r="O54" s="71" t="s">
        <v>4129</v>
      </c>
      <c r="P54" s="46" t="s">
        <v>4130</v>
      </c>
      <c r="Q54" s="46" t="s">
        <v>3826</v>
      </c>
      <c r="R54" s="46" t="s">
        <v>3829</v>
      </c>
      <c r="S54" s="49">
        <v>137.5</v>
      </c>
      <c r="T54" s="49">
        <v>687.5</v>
      </c>
      <c r="U54" s="28">
        <v>0.22</v>
      </c>
      <c r="V54" s="28">
        <v>0.26363636363636361</v>
      </c>
      <c r="W54" s="74">
        <v>1.2</v>
      </c>
      <c r="X54" s="52">
        <v>68.75</v>
      </c>
      <c r="Y54" s="52">
        <v>30</v>
      </c>
      <c r="Z54" s="52">
        <v>437.5</v>
      </c>
      <c r="AA54" s="52">
        <v>536.25</v>
      </c>
      <c r="AB54" s="53">
        <v>0.78</v>
      </c>
      <c r="AC54" s="72">
        <v>151.25</v>
      </c>
      <c r="AD54" s="55">
        <v>0.22</v>
      </c>
      <c r="AE54" s="73">
        <v>4</v>
      </c>
      <c r="AF54" s="57" t="s">
        <v>95</v>
      </c>
      <c r="AG54" s="58">
        <v>250</v>
      </c>
      <c r="AH54" s="58">
        <v>300</v>
      </c>
      <c r="AI54" s="58">
        <v>550</v>
      </c>
      <c r="AJ54" s="49">
        <v>137.5</v>
      </c>
      <c r="AK54" s="49">
        <v>687.5</v>
      </c>
      <c r="AL54" s="52">
        <v>68.75</v>
      </c>
      <c r="AM54" s="52">
        <v>437.5</v>
      </c>
      <c r="AN54" s="52">
        <v>506.25</v>
      </c>
      <c r="AO54" s="59">
        <v>0.73636363636363633</v>
      </c>
      <c r="AP54" s="60">
        <v>181.25</v>
      </c>
      <c r="AQ54" s="61">
        <v>0.26363636363636361</v>
      </c>
      <c r="AR54" s="60" t="s">
        <v>78</v>
      </c>
      <c r="AS54" s="62">
        <v>425</v>
      </c>
      <c r="AT54" s="62">
        <v>510</v>
      </c>
      <c r="AU54" s="62">
        <v>935</v>
      </c>
      <c r="AV54" s="62">
        <v>1168.75</v>
      </c>
      <c r="AW54" s="47" t="s">
        <v>74</v>
      </c>
      <c r="AX54" s="64">
        <v>44963</v>
      </c>
      <c r="AY54" s="64" t="s">
        <v>4131</v>
      </c>
      <c r="AZ54" s="86"/>
      <c r="BA54" s="46" t="s">
        <v>107</v>
      </c>
      <c r="BB54" s="46" t="s">
        <v>4132</v>
      </c>
      <c r="BC54" s="46" t="s">
        <v>3942</v>
      </c>
      <c r="BD54" s="46"/>
      <c r="BE54" s="46" t="e">
        <v>#REF!</v>
      </c>
      <c r="BF54" s="46" t="s">
        <v>3837</v>
      </c>
      <c r="BG54" s="65">
        <v>2</v>
      </c>
      <c r="BH54" s="66" t="s">
        <v>4133</v>
      </c>
      <c r="BI54" s="63" t="s">
        <v>4134</v>
      </c>
    </row>
    <row r="55" spans="1:61" ht="409.5" x14ac:dyDescent="0.2">
      <c r="A55" s="45" t="s">
        <v>4135</v>
      </c>
      <c r="B55" s="46"/>
      <c r="C55" s="46" t="s">
        <v>4136</v>
      </c>
      <c r="D55" s="46" t="s">
        <v>4020</v>
      </c>
      <c r="E55" s="46"/>
      <c r="F55" s="46"/>
      <c r="G55" s="46"/>
      <c r="H55" s="46"/>
      <c r="I55" s="46"/>
      <c r="J55" s="46" t="s">
        <v>71</v>
      </c>
      <c r="K55" s="47">
        <v>250</v>
      </c>
      <c r="L55" s="47">
        <v>100</v>
      </c>
      <c r="M55" s="47">
        <v>350</v>
      </c>
      <c r="N55" s="46" t="s">
        <v>4137</v>
      </c>
      <c r="O55" s="71" t="s">
        <v>4138</v>
      </c>
      <c r="P55" s="46" t="s">
        <v>4139</v>
      </c>
      <c r="Q55" s="46" t="s">
        <v>3826</v>
      </c>
      <c r="R55" s="46" t="s">
        <v>3829</v>
      </c>
      <c r="S55" s="49">
        <v>87.5</v>
      </c>
      <c r="T55" s="49">
        <v>437.5</v>
      </c>
      <c r="U55" s="67">
        <v>0.40285714285714286</v>
      </c>
      <c r="V55" s="67">
        <v>0.47142857142857142</v>
      </c>
      <c r="W55" s="51">
        <v>0.4</v>
      </c>
      <c r="X55" s="52">
        <v>43.75</v>
      </c>
      <c r="Y55" s="52">
        <v>30</v>
      </c>
      <c r="Z55" s="52">
        <v>187.5</v>
      </c>
      <c r="AA55" s="52">
        <v>261.25</v>
      </c>
      <c r="AB55" s="53">
        <v>0.5971428571428572</v>
      </c>
      <c r="AC55" s="72">
        <v>176.25</v>
      </c>
      <c r="AD55" s="55">
        <v>0.40285714285714286</v>
      </c>
      <c r="AE55" s="73">
        <v>4</v>
      </c>
      <c r="AF55" s="57" t="s">
        <v>95</v>
      </c>
      <c r="AG55" s="58">
        <v>250</v>
      </c>
      <c r="AH55" s="58">
        <v>100</v>
      </c>
      <c r="AI55" s="58">
        <v>350</v>
      </c>
      <c r="AJ55" s="49">
        <v>87.5</v>
      </c>
      <c r="AK55" s="49">
        <v>437.5</v>
      </c>
      <c r="AL55" s="52">
        <v>43.75</v>
      </c>
      <c r="AM55" s="52">
        <v>187.5</v>
      </c>
      <c r="AN55" s="52">
        <v>231.25</v>
      </c>
      <c r="AO55" s="59">
        <v>0.52857142857142858</v>
      </c>
      <c r="AP55" s="60">
        <v>206.25</v>
      </c>
      <c r="AQ55" s="61">
        <v>0.47142857142857142</v>
      </c>
      <c r="AR55" s="60" t="s">
        <v>78</v>
      </c>
      <c r="AS55" s="62">
        <v>425</v>
      </c>
      <c r="AT55" s="62">
        <v>170</v>
      </c>
      <c r="AU55" s="62">
        <v>595</v>
      </c>
      <c r="AV55" s="62">
        <v>743.75</v>
      </c>
      <c r="AW55" s="47" t="s">
        <v>74</v>
      </c>
      <c r="AX55" s="64">
        <v>45188</v>
      </c>
      <c r="AY55" s="64" t="s">
        <v>4140</v>
      </c>
      <c r="AZ55" s="86"/>
      <c r="BA55" s="46" t="s">
        <v>107</v>
      </c>
      <c r="BB55" s="46" t="s">
        <v>4141</v>
      </c>
      <c r="BC55" s="46" t="s">
        <v>3942</v>
      </c>
      <c r="BD55" s="46"/>
      <c r="BE55" s="46" t="e">
        <v>#REF!</v>
      </c>
      <c r="BF55" s="46" t="s">
        <v>3837</v>
      </c>
      <c r="BG55" s="65">
        <v>2</v>
      </c>
      <c r="BH55" s="66"/>
      <c r="BI55" s="63" t="s">
        <v>4142</v>
      </c>
    </row>
    <row r="56" spans="1:61" ht="409.5" x14ac:dyDescent="0.2">
      <c r="A56" s="45" t="s">
        <v>4143</v>
      </c>
      <c r="B56" s="46"/>
      <c r="C56" s="46" t="s">
        <v>4144</v>
      </c>
      <c r="D56" s="46" t="s">
        <v>4020</v>
      </c>
      <c r="E56" s="46"/>
      <c r="F56" s="46"/>
      <c r="G56" s="46"/>
      <c r="H56" s="46"/>
      <c r="I56" s="46"/>
      <c r="J56" s="46" t="s">
        <v>71</v>
      </c>
      <c r="K56" s="47">
        <v>350</v>
      </c>
      <c r="L56" s="47">
        <v>50</v>
      </c>
      <c r="M56" s="47">
        <v>400</v>
      </c>
      <c r="N56" s="46" t="s">
        <v>4145</v>
      </c>
      <c r="O56" s="71" t="s">
        <v>4146</v>
      </c>
      <c r="P56" s="46" t="s">
        <v>4147</v>
      </c>
      <c r="Q56" s="46" t="s">
        <v>3826</v>
      </c>
      <c r="R56" s="46" t="s">
        <v>3829</v>
      </c>
      <c r="S56" s="49">
        <v>100</v>
      </c>
      <c r="T56" s="49">
        <v>500</v>
      </c>
      <c r="U56" s="67">
        <v>0.54</v>
      </c>
      <c r="V56" s="67">
        <v>0.6</v>
      </c>
      <c r="W56" s="51">
        <v>0.14285714285714285</v>
      </c>
      <c r="X56" s="52">
        <v>50</v>
      </c>
      <c r="Y56" s="52">
        <v>30</v>
      </c>
      <c r="Z56" s="52">
        <v>150</v>
      </c>
      <c r="AA56" s="52">
        <v>230</v>
      </c>
      <c r="AB56" s="53">
        <v>0.46</v>
      </c>
      <c r="AC56" s="72">
        <v>270</v>
      </c>
      <c r="AD56" s="55">
        <v>0.54</v>
      </c>
      <c r="AE56" s="73">
        <v>4</v>
      </c>
      <c r="AF56" s="57" t="s">
        <v>95</v>
      </c>
      <c r="AG56" s="58">
        <v>350</v>
      </c>
      <c r="AH56" s="58">
        <v>50</v>
      </c>
      <c r="AI56" s="58">
        <v>400</v>
      </c>
      <c r="AJ56" s="49">
        <v>100</v>
      </c>
      <c r="AK56" s="49">
        <v>500</v>
      </c>
      <c r="AL56" s="52">
        <v>50</v>
      </c>
      <c r="AM56" s="52">
        <v>150</v>
      </c>
      <c r="AN56" s="52">
        <v>200</v>
      </c>
      <c r="AO56" s="59">
        <v>0.4</v>
      </c>
      <c r="AP56" s="60">
        <v>300</v>
      </c>
      <c r="AQ56" s="61">
        <v>0.6</v>
      </c>
      <c r="AR56" s="60" t="s">
        <v>78</v>
      </c>
      <c r="AS56" s="62">
        <v>595</v>
      </c>
      <c r="AT56" s="62">
        <v>85</v>
      </c>
      <c r="AU56" s="62">
        <v>680</v>
      </c>
      <c r="AV56" s="62">
        <v>850</v>
      </c>
      <c r="AW56" s="47" t="s">
        <v>74</v>
      </c>
      <c r="AX56" s="64">
        <v>45188</v>
      </c>
      <c r="AY56" s="64" t="s">
        <v>4148</v>
      </c>
      <c r="AZ56" s="86"/>
      <c r="BA56" s="46" t="s">
        <v>107</v>
      </c>
      <c r="BB56" s="46" t="s">
        <v>4149</v>
      </c>
      <c r="BC56" s="46" t="s">
        <v>3942</v>
      </c>
      <c r="BD56" s="46"/>
      <c r="BE56" s="46" t="e">
        <v>#REF!</v>
      </c>
      <c r="BF56" s="46" t="s">
        <v>3837</v>
      </c>
      <c r="BG56" s="65">
        <v>2</v>
      </c>
      <c r="BH56" s="66"/>
      <c r="BI56" s="63" t="s">
        <v>4150</v>
      </c>
    </row>
    <row r="57" spans="1:61" ht="409.5" x14ac:dyDescent="0.2">
      <c r="A57" s="45" t="s">
        <v>4151</v>
      </c>
      <c r="B57" s="46"/>
      <c r="C57" s="46" t="s">
        <v>4152</v>
      </c>
      <c r="D57" s="46" t="s">
        <v>4020</v>
      </c>
      <c r="E57" s="46"/>
      <c r="F57" s="46"/>
      <c r="G57" s="46"/>
      <c r="H57" s="46"/>
      <c r="I57" s="46"/>
      <c r="J57" s="46" t="s">
        <v>71</v>
      </c>
      <c r="K57" s="47">
        <v>250</v>
      </c>
      <c r="L57" s="47">
        <v>50</v>
      </c>
      <c r="M57" s="47">
        <v>300</v>
      </c>
      <c r="N57" s="46" t="s">
        <v>4153</v>
      </c>
      <c r="O57" s="71" t="s">
        <v>4154</v>
      </c>
      <c r="P57" s="46" t="s">
        <v>4155</v>
      </c>
      <c r="Q57" s="46" t="s">
        <v>3826</v>
      </c>
      <c r="R57" s="46" t="s">
        <v>3829</v>
      </c>
      <c r="S57" s="49">
        <v>75</v>
      </c>
      <c r="T57" s="49">
        <v>375</v>
      </c>
      <c r="U57" s="67">
        <v>0.48666666666666669</v>
      </c>
      <c r="V57" s="67">
        <v>0.56666666666666665</v>
      </c>
      <c r="W57" s="51">
        <v>0.2</v>
      </c>
      <c r="X57" s="52">
        <v>37.5</v>
      </c>
      <c r="Y57" s="52">
        <v>30</v>
      </c>
      <c r="Z57" s="52">
        <v>125</v>
      </c>
      <c r="AA57" s="52">
        <v>192.5</v>
      </c>
      <c r="AB57" s="53">
        <v>0.51333333333333331</v>
      </c>
      <c r="AC57" s="72">
        <v>182.5</v>
      </c>
      <c r="AD57" s="55">
        <v>0.48666666666666669</v>
      </c>
      <c r="AE57" s="73">
        <v>4</v>
      </c>
      <c r="AF57" s="57" t="s">
        <v>95</v>
      </c>
      <c r="AG57" s="58">
        <v>250</v>
      </c>
      <c r="AH57" s="58">
        <v>50</v>
      </c>
      <c r="AI57" s="58">
        <v>300</v>
      </c>
      <c r="AJ57" s="49">
        <v>75</v>
      </c>
      <c r="AK57" s="49">
        <v>375</v>
      </c>
      <c r="AL57" s="52">
        <v>37.5</v>
      </c>
      <c r="AM57" s="52">
        <v>125</v>
      </c>
      <c r="AN57" s="52">
        <v>162.5</v>
      </c>
      <c r="AO57" s="59">
        <v>0.43333333333333335</v>
      </c>
      <c r="AP57" s="60">
        <v>212.5</v>
      </c>
      <c r="AQ57" s="61">
        <v>0.56666666666666665</v>
      </c>
      <c r="AR57" s="60" t="s">
        <v>78</v>
      </c>
      <c r="AS57" s="62">
        <v>425</v>
      </c>
      <c r="AT57" s="62">
        <v>85</v>
      </c>
      <c r="AU57" s="62">
        <v>510</v>
      </c>
      <c r="AV57" s="62">
        <v>637.5</v>
      </c>
      <c r="AW57" s="47" t="s">
        <v>74</v>
      </c>
      <c r="AX57" s="64">
        <v>45188</v>
      </c>
      <c r="AY57" s="64" t="s">
        <v>4156</v>
      </c>
      <c r="AZ57" s="86"/>
      <c r="BA57" s="46" t="s">
        <v>107</v>
      </c>
      <c r="BB57" s="46" t="s">
        <v>4149</v>
      </c>
      <c r="BC57" s="46" t="s">
        <v>3942</v>
      </c>
      <c r="BD57" s="46"/>
      <c r="BE57" s="46" t="e">
        <v>#REF!</v>
      </c>
      <c r="BF57" s="46" t="s">
        <v>3837</v>
      </c>
      <c r="BG57" s="65">
        <v>2</v>
      </c>
      <c r="BH57" s="66"/>
      <c r="BI57" s="63" t="s">
        <v>4157</v>
      </c>
    </row>
    <row r="58" spans="1:61" ht="409.5" x14ac:dyDescent="0.2">
      <c r="A58" s="45" t="s">
        <v>4158</v>
      </c>
      <c r="B58" s="46"/>
      <c r="C58" s="46" t="s">
        <v>4159</v>
      </c>
      <c r="D58" s="46" t="s">
        <v>4020</v>
      </c>
      <c r="E58" s="46"/>
      <c r="F58" s="46"/>
      <c r="G58" s="46"/>
      <c r="H58" s="46"/>
      <c r="I58" s="46"/>
      <c r="J58" s="46" t="s">
        <v>71</v>
      </c>
      <c r="K58" s="47">
        <v>300</v>
      </c>
      <c r="L58" s="47">
        <v>50</v>
      </c>
      <c r="M58" s="47">
        <v>350</v>
      </c>
      <c r="N58" s="46" t="s">
        <v>4160</v>
      </c>
      <c r="O58" s="71" t="s">
        <v>4161</v>
      </c>
      <c r="P58" s="46" t="s">
        <v>4162</v>
      </c>
      <c r="Q58" s="46" t="s">
        <v>3826</v>
      </c>
      <c r="R58" s="46" t="s">
        <v>3829</v>
      </c>
      <c r="S58" s="49">
        <v>87.5</v>
      </c>
      <c r="T58" s="49">
        <v>437.5</v>
      </c>
      <c r="U58" s="67">
        <v>0.51714285714285713</v>
      </c>
      <c r="V58" s="67">
        <v>0.58571428571428574</v>
      </c>
      <c r="W58" s="51">
        <v>0.16666666666666666</v>
      </c>
      <c r="X58" s="52">
        <v>43.75</v>
      </c>
      <c r="Y58" s="52">
        <v>30</v>
      </c>
      <c r="Z58" s="52">
        <v>137.5</v>
      </c>
      <c r="AA58" s="52">
        <v>211.25</v>
      </c>
      <c r="AB58" s="53">
        <v>0.48285714285714287</v>
      </c>
      <c r="AC58" s="72">
        <v>226.25</v>
      </c>
      <c r="AD58" s="55">
        <v>0.51714285714285713</v>
      </c>
      <c r="AE58" s="73">
        <v>4</v>
      </c>
      <c r="AF58" s="57" t="s">
        <v>95</v>
      </c>
      <c r="AG58" s="58">
        <v>300</v>
      </c>
      <c r="AH58" s="58">
        <v>50</v>
      </c>
      <c r="AI58" s="58">
        <v>350</v>
      </c>
      <c r="AJ58" s="49">
        <v>87.5</v>
      </c>
      <c r="AK58" s="49">
        <v>437.5</v>
      </c>
      <c r="AL58" s="52">
        <v>43.75</v>
      </c>
      <c r="AM58" s="52">
        <v>137.5</v>
      </c>
      <c r="AN58" s="52">
        <v>181.25</v>
      </c>
      <c r="AO58" s="59">
        <v>0.41428571428571431</v>
      </c>
      <c r="AP58" s="60">
        <v>256.25</v>
      </c>
      <c r="AQ58" s="61">
        <v>0.58571428571428574</v>
      </c>
      <c r="AR58" s="60" t="s">
        <v>78</v>
      </c>
      <c r="AS58" s="62">
        <v>510</v>
      </c>
      <c r="AT58" s="62">
        <v>85</v>
      </c>
      <c r="AU58" s="62">
        <v>595</v>
      </c>
      <c r="AV58" s="62">
        <v>743.75</v>
      </c>
      <c r="AW58" s="47" t="s">
        <v>74</v>
      </c>
      <c r="AX58" s="64">
        <v>45188</v>
      </c>
      <c r="AY58" s="64" t="s">
        <v>4163</v>
      </c>
      <c r="AZ58" s="86"/>
      <c r="BA58" s="46" t="s">
        <v>107</v>
      </c>
      <c r="BB58" s="46" t="s">
        <v>4164</v>
      </c>
      <c r="BC58" s="46" t="s">
        <v>3942</v>
      </c>
      <c r="BD58" s="46"/>
      <c r="BE58" s="46" t="e">
        <v>#REF!</v>
      </c>
      <c r="BF58" s="46" t="s">
        <v>3837</v>
      </c>
      <c r="BG58" s="65">
        <v>2</v>
      </c>
      <c r="BH58" s="66"/>
      <c r="BI58" s="63" t="s">
        <v>4165</v>
      </c>
    </row>
    <row r="59" spans="1:61" ht="409.5" x14ac:dyDescent="0.2">
      <c r="A59" s="45" t="s">
        <v>4166</v>
      </c>
      <c r="B59" s="46"/>
      <c r="C59" s="46" t="s">
        <v>4167</v>
      </c>
      <c r="D59" s="46" t="s">
        <v>4020</v>
      </c>
      <c r="E59" s="46"/>
      <c r="F59" s="46"/>
      <c r="G59" s="46"/>
      <c r="H59" s="46"/>
      <c r="I59" s="46"/>
      <c r="J59" s="46" t="s">
        <v>71</v>
      </c>
      <c r="K59" s="47">
        <v>400</v>
      </c>
      <c r="L59" s="47">
        <f t="shared" ref="L59:L60" si="0">250+150</f>
        <v>400</v>
      </c>
      <c r="M59" s="47">
        <v>800</v>
      </c>
      <c r="N59" s="46" t="s">
        <v>4168</v>
      </c>
      <c r="O59" s="71" t="s">
        <v>4169</v>
      </c>
      <c r="P59" s="46" t="s">
        <v>4170</v>
      </c>
      <c r="Q59" s="46" t="s">
        <v>3826</v>
      </c>
      <c r="R59" s="46" t="s">
        <v>3829</v>
      </c>
      <c r="S59" s="49">
        <v>200</v>
      </c>
      <c r="T59" s="49">
        <v>1000</v>
      </c>
      <c r="U59" s="28">
        <v>0.27</v>
      </c>
      <c r="V59" s="67">
        <v>0.3</v>
      </c>
      <c r="W59" s="51">
        <v>1</v>
      </c>
      <c r="X59" s="52">
        <v>100</v>
      </c>
      <c r="Y59" s="52">
        <v>30</v>
      </c>
      <c r="Z59" s="52">
        <v>600</v>
      </c>
      <c r="AA59" s="52">
        <v>730</v>
      </c>
      <c r="AB59" s="53">
        <v>0.73</v>
      </c>
      <c r="AC59" s="72">
        <v>270</v>
      </c>
      <c r="AD59" s="55">
        <v>0.27</v>
      </c>
      <c r="AE59" s="73">
        <v>4</v>
      </c>
      <c r="AF59" s="57" t="s">
        <v>95</v>
      </c>
      <c r="AG59" s="58">
        <v>400</v>
      </c>
      <c r="AH59" s="58">
        <v>400</v>
      </c>
      <c r="AI59" s="58">
        <v>800</v>
      </c>
      <c r="AJ59" s="49">
        <v>200</v>
      </c>
      <c r="AK59" s="49">
        <v>1000</v>
      </c>
      <c r="AL59" s="52">
        <v>100</v>
      </c>
      <c r="AM59" s="52">
        <v>600</v>
      </c>
      <c r="AN59" s="52">
        <v>700</v>
      </c>
      <c r="AO59" s="59">
        <v>0.7</v>
      </c>
      <c r="AP59" s="60">
        <v>300</v>
      </c>
      <c r="AQ59" s="61">
        <v>0.3</v>
      </c>
      <c r="AR59" s="60" t="s">
        <v>78</v>
      </c>
      <c r="AS59" s="62">
        <v>680</v>
      </c>
      <c r="AT59" s="62">
        <v>680</v>
      </c>
      <c r="AU59" s="62">
        <v>1360</v>
      </c>
      <c r="AV59" s="62">
        <v>1700</v>
      </c>
      <c r="AW59" s="47" t="s">
        <v>74</v>
      </c>
      <c r="AX59" s="64">
        <v>45188</v>
      </c>
      <c r="AY59" s="64" t="s">
        <v>4171</v>
      </c>
      <c r="AZ59" s="86"/>
      <c r="BA59" s="46" t="s">
        <v>107</v>
      </c>
      <c r="BB59" s="46" t="s">
        <v>4172</v>
      </c>
      <c r="BC59" s="46" t="s">
        <v>3942</v>
      </c>
      <c r="BD59" s="46"/>
      <c r="BE59" s="46" t="e">
        <v>#REF!</v>
      </c>
      <c r="BF59" s="46" t="s">
        <v>3837</v>
      </c>
      <c r="BG59" s="65">
        <v>2</v>
      </c>
      <c r="BH59" s="66"/>
      <c r="BI59" s="63" t="s">
        <v>4173</v>
      </c>
    </row>
    <row r="60" spans="1:61" ht="409.5" x14ac:dyDescent="0.2">
      <c r="A60" s="45" t="s">
        <v>4174</v>
      </c>
      <c r="B60" s="46"/>
      <c r="C60" s="46" t="s">
        <v>4175</v>
      </c>
      <c r="D60" s="46" t="s">
        <v>4020</v>
      </c>
      <c r="E60" s="46"/>
      <c r="F60" s="46"/>
      <c r="G60" s="46"/>
      <c r="H60" s="46"/>
      <c r="I60" s="46"/>
      <c r="J60" s="46" t="s">
        <v>71</v>
      </c>
      <c r="K60" s="47">
        <v>350</v>
      </c>
      <c r="L60" s="47">
        <f t="shared" si="0"/>
        <v>400</v>
      </c>
      <c r="M60" s="47">
        <v>750</v>
      </c>
      <c r="N60" s="46" t="s">
        <v>4176</v>
      </c>
      <c r="O60" s="71" t="s">
        <v>4177</v>
      </c>
      <c r="P60" s="46" t="s">
        <v>4170</v>
      </c>
      <c r="Q60" s="46" t="s">
        <v>3826</v>
      </c>
      <c r="R60" s="46" t="s">
        <v>3829</v>
      </c>
      <c r="S60" s="49">
        <v>187.5</v>
      </c>
      <c r="T60" s="49">
        <v>937.5</v>
      </c>
      <c r="U60" s="28">
        <v>0.24133333333333334</v>
      </c>
      <c r="V60" s="28">
        <v>0.27333333333333332</v>
      </c>
      <c r="W60" s="74">
        <v>1.1428571428571428</v>
      </c>
      <c r="X60" s="52">
        <v>93.75</v>
      </c>
      <c r="Y60" s="52">
        <v>30</v>
      </c>
      <c r="Z60" s="52">
        <v>587.5</v>
      </c>
      <c r="AA60" s="52">
        <v>711.25</v>
      </c>
      <c r="AB60" s="53">
        <v>0.75866666666666671</v>
      </c>
      <c r="AC60" s="72">
        <v>226.25</v>
      </c>
      <c r="AD60" s="55">
        <v>0.24133333333333334</v>
      </c>
      <c r="AE60" s="73">
        <v>4</v>
      </c>
      <c r="AF60" s="57" t="s">
        <v>95</v>
      </c>
      <c r="AG60" s="58">
        <v>350</v>
      </c>
      <c r="AH60" s="58">
        <v>400</v>
      </c>
      <c r="AI60" s="58">
        <v>750</v>
      </c>
      <c r="AJ60" s="49">
        <v>187.5</v>
      </c>
      <c r="AK60" s="49">
        <v>937.5</v>
      </c>
      <c r="AL60" s="52">
        <v>93.75</v>
      </c>
      <c r="AM60" s="52">
        <v>587.5</v>
      </c>
      <c r="AN60" s="52">
        <v>681.25</v>
      </c>
      <c r="AO60" s="59">
        <v>0.72666666666666668</v>
      </c>
      <c r="AP60" s="60">
        <v>256.25</v>
      </c>
      <c r="AQ60" s="61">
        <v>0.27333333333333332</v>
      </c>
      <c r="AR60" s="60" t="s">
        <v>78</v>
      </c>
      <c r="AS60" s="62">
        <v>595</v>
      </c>
      <c r="AT60" s="62">
        <v>680</v>
      </c>
      <c r="AU60" s="62">
        <v>1275</v>
      </c>
      <c r="AV60" s="62">
        <v>1593.75</v>
      </c>
      <c r="AW60" s="47" t="s">
        <v>74</v>
      </c>
      <c r="AX60" s="64">
        <v>45188</v>
      </c>
      <c r="AY60" s="64" t="s">
        <v>4178</v>
      </c>
      <c r="AZ60" s="86"/>
      <c r="BA60" s="46" t="s">
        <v>107</v>
      </c>
      <c r="BB60" s="46" t="s">
        <v>4172</v>
      </c>
      <c r="BC60" s="46" t="s">
        <v>3942</v>
      </c>
      <c r="BD60" s="46"/>
      <c r="BE60" s="46" t="e">
        <v>#REF!</v>
      </c>
      <c r="BF60" s="46" t="s">
        <v>3837</v>
      </c>
      <c r="BG60" s="65">
        <v>2</v>
      </c>
      <c r="BH60" s="66"/>
      <c r="BI60" s="63" t="s">
        <v>4179</v>
      </c>
    </row>
    <row r="61" spans="1:61" ht="409.5" x14ac:dyDescent="0.2">
      <c r="A61" s="45" t="s">
        <v>4180</v>
      </c>
      <c r="B61" s="46"/>
      <c r="C61" s="46" t="s">
        <v>4181</v>
      </c>
      <c r="D61" s="46" t="s">
        <v>3982</v>
      </c>
      <c r="E61" s="46"/>
      <c r="F61" s="46"/>
      <c r="G61" s="46"/>
      <c r="H61" s="46"/>
      <c r="I61" s="46"/>
      <c r="J61" s="46" t="s">
        <v>71</v>
      </c>
      <c r="K61" s="47">
        <v>400</v>
      </c>
      <c r="L61" s="47">
        <v>100</v>
      </c>
      <c r="M61" s="47">
        <v>500</v>
      </c>
      <c r="N61" s="46" t="s">
        <v>4182</v>
      </c>
      <c r="O61" s="71" t="s">
        <v>4183</v>
      </c>
      <c r="P61" s="46" t="s">
        <v>4184</v>
      </c>
      <c r="Q61" s="46" t="s">
        <v>3826</v>
      </c>
      <c r="R61" s="46" t="s">
        <v>3829</v>
      </c>
      <c r="S61" s="49">
        <v>125</v>
      </c>
      <c r="T61" s="49">
        <v>625</v>
      </c>
      <c r="U61" s="67">
        <v>0.49199999999999999</v>
      </c>
      <c r="V61" s="67">
        <v>0.54</v>
      </c>
      <c r="W61" s="51">
        <v>0.25</v>
      </c>
      <c r="X61" s="52">
        <v>62.5</v>
      </c>
      <c r="Y61" s="52">
        <v>30</v>
      </c>
      <c r="Z61" s="52">
        <v>225</v>
      </c>
      <c r="AA61" s="52">
        <v>317.5</v>
      </c>
      <c r="AB61" s="53">
        <v>0.50800000000000001</v>
      </c>
      <c r="AC61" s="72">
        <v>307.5</v>
      </c>
      <c r="AD61" s="55">
        <v>0.49199999999999999</v>
      </c>
      <c r="AE61" s="73">
        <v>4</v>
      </c>
      <c r="AF61" s="57" t="s">
        <v>95</v>
      </c>
      <c r="AG61" s="58">
        <v>400</v>
      </c>
      <c r="AH61" s="58">
        <v>100</v>
      </c>
      <c r="AI61" s="58">
        <v>500</v>
      </c>
      <c r="AJ61" s="49">
        <v>125</v>
      </c>
      <c r="AK61" s="49">
        <v>625</v>
      </c>
      <c r="AL61" s="52">
        <v>62.5</v>
      </c>
      <c r="AM61" s="52">
        <v>225</v>
      </c>
      <c r="AN61" s="52">
        <v>287.5</v>
      </c>
      <c r="AO61" s="59">
        <v>0.46</v>
      </c>
      <c r="AP61" s="60">
        <v>337.5</v>
      </c>
      <c r="AQ61" s="61">
        <v>0.54</v>
      </c>
      <c r="AR61" s="60" t="s">
        <v>78</v>
      </c>
      <c r="AS61" s="62">
        <v>680</v>
      </c>
      <c r="AT61" s="62">
        <v>170</v>
      </c>
      <c r="AU61" s="62">
        <v>850</v>
      </c>
      <c r="AV61" s="62">
        <v>1062.5</v>
      </c>
      <c r="AW61" s="47" t="s">
        <v>74</v>
      </c>
      <c r="AX61" s="64">
        <v>45188</v>
      </c>
      <c r="AY61" s="64" t="s">
        <v>4185</v>
      </c>
      <c r="AZ61" s="86"/>
      <c r="BA61" s="46" t="s">
        <v>107</v>
      </c>
      <c r="BB61" s="46" t="s">
        <v>4186</v>
      </c>
      <c r="BC61" s="46" t="s">
        <v>3942</v>
      </c>
      <c r="BD61" s="46"/>
      <c r="BE61" s="46" t="e">
        <v>#REF!</v>
      </c>
      <c r="BF61" s="46" t="s">
        <v>3837</v>
      </c>
      <c r="BG61" s="65">
        <v>2</v>
      </c>
      <c r="BH61" s="66"/>
      <c r="BI61" s="63" t="s">
        <v>4187</v>
      </c>
    </row>
    <row r="62" spans="1:61" ht="178.5" x14ac:dyDescent="0.2">
      <c r="A62" s="45" t="s">
        <v>4188</v>
      </c>
      <c r="B62" s="46"/>
      <c r="C62" s="46" t="s">
        <v>4189</v>
      </c>
      <c r="D62" s="46" t="s">
        <v>3982</v>
      </c>
      <c r="E62" s="46"/>
      <c r="F62" s="46"/>
      <c r="G62" s="46"/>
      <c r="H62" s="46"/>
      <c r="I62" s="46"/>
      <c r="J62" s="46" t="s">
        <v>71</v>
      </c>
      <c r="K62" s="47">
        <v>250</v>
      </c>
      <c r="L62" s="47">
        <v>100</v>
      </c>
      <c r="M62" s="47">
        <v>350</v>
      </c>
      <c r="N62" s="46" t="s">
        <v>4190</v>
      </c>
      <c r="O62" s="71" t="s">
        <v>4191</v>
      </c>
      <c r="P62" s="46" t="s">
        <v>4192</v>
      </c>
      <c r="Q62" s="46" t="s">
        <v>3826</v>
      </c>
      <c r="R62" s="46" t="s">
        <v>3829</v>
      </c>
      <c r="S62" s="49">
        <v>87.5</v>
      </c>
      <c r="T62" s="49">
        <v>437.5</v>
      </c>
      <c r="U62" s="67">
        <v>0.40285714285714286</v>
      </c>
      <c r="V62" s="67">
        <v>0.47142857142857142</v>
      </c>
      <c r="W62" s="51">
        <v>0.4</v>
      </c>
      <c r="X62" s="52">
        <v>43.75</v>
      </c>
      <c r="Y62" s="52">
        <v>30</v>
      </c>
      <c r="Z62" s="52">
        <v>187.5</v>
      </c>
      <c r="AA62" s="52">
        <v>261.25</v>
      </c>
      <c r="AB62" s="53">
        <v>0.5971428571428572</v>
      </c>
      <c r="AC62" s="72">
        <v>176.25</v>
      </c>
      <c r="AD62" s="55">
        <v>0.40285714285714286</v>
      </c>
      <c r="AE62" s="73">
        <v>4</v>
      </c>
      <c r="AF62" s="57" t="s">
        <v>95</v>
      </c>
      <c r="AG62" s="58">
        <v>250</v>
      </c>
      <c r="AH62" s="58">
        <v>100</v>
      </c>
      <c r="AI62" s="58">
        <v>350</v>
      </c>
      <c r="AJ62" s="49">
        <v>87.5</v>
      </c>
      <c r="AK62" s="49">
        <v>437.5</v>
      </c>
      <c r="AL62" s="52">
        <v>43.75</v>
      </c>
      <c r="AM62" s="52">
        <v>187.5</v>
      </c>
      <c r="AN62" s="52">
        <v>231.25</v>
      </c>
      <c r="AO62" s="59">
        <v>0.52857142857142858</v>
      </c>
      <c r="AP62" s="60">
        <v>206.25</v>
      </c>
      <c r="AQ62" s="61">
        <v>0.47142857142857142</v>
      </c>
      <c r="AR62" s="60" t="s">
        <v>78</v>
      </c>
      <c r="AS62" s="62">
        <v>425</v>
      </c>
      <c r="AT62" s="62">
        <v>170</v>
      </c>
      <c r="AU62" s="62">
        <v>595</v>
      </c>
      <c r="AV62" s="62">
        <v>743.75</v>
      </c>
      <c r="AW62" s="47" t="s">
        <v>74</v>
      </c>
      <c r="AX62" s="64">
        <v>45320</v>
      </c>
      <c r="AY62" s="64" t="s">
        <v>4193</v>
      </c>
      <c r="AZ62" s="86"/>
      <c r="BA62" s="46" t="s">
        <v>74</v>
      </c>
      <c r="BB62" s="24"/>
      <c r="BC62" s="24"/>
      <c r="BD62" s="46"/>
      <c r="BE62" s="46" t="e">
        <v>#REF!</v>
      </c>
      <c r="BF62" s="46" t="s">
        <v>3837</v>
      </c>
      <c r="BG62" s="65">
        <v>2</v>
      </c>
      <c r="BH62" s="66"/>
      <c r="BI62" s="63" t="s">
        <v>4194</v>
      </c>
    </row>
    <row r="63" spans="1:61" ht="178.5" x14ac:dyDescent="0.2">
      <c r="A63" s="45" t="s">
        <v>4195</v>
      </c>
      <c r="B63" s="46"/>
      <c r="C63" s="46" t="s">
        <v>4196</v>
      </c>
      <c r="D63" s="46" t="s">
        <v>4020</v>
      </c>
      <c r="E63" s="46"/>
      <c r="F63" s="46"/>
      <c r="G63" s="46"/>
      <c r="H63" s="46"/>
      <c r="I63" s="46"/>
      <c r="J63" s="46" t="s">
        <v>71</v>
      </c>
      <c r="K63" s="47">
        <v>250</v>
      </c>
      <c r="L63" s="47">
        <v>200</v>
      </c>
      <c r="M63" s="47">
        <v>450</v>
      </c>
      <c r="N63" s="46" t="s">
        <v>4190</v>
      </c>
      <c r="O63" s="71" t="s">
        <v>4197</v>
      </c>
      <c r="P63" s="46" t="s">
        <v>4192</v>
      </c>
      <c r="Q63" s="46" t="s">
        <v>3826</v>
      </c>
      <c r="R63" s="46" t="s">
        <v>3829</v>
      </c>
      <c r="S63" s="49">
        <v>112.5</v>
      </c>
      <c r="T63" s="49">
        <v>562.5</v>
      </c>
      <c r="U63" s="28">
        <v>0.2911111111111111</v>
      </c>
      <c r="V63" s="67">
        <v>0.34444444444444444</v>
      </c>
      <c r="W63" s="51">
        <v>0.8</v>
      </c>
      <c r="X63" s="52">
        <v>56.25</v>
      </c>
      <c r="Y63" s="52">
        <v>30</v>
      </c>
      <c r="Z63" s="52">
        <v>312.5</v>
      </c>
      <c r="AA63" s="52">
        <v>398.75</v>
      </c>
      <c r="AB63" s="53">
        <v>0.7088888888888889</v>
      </c>
      <c r="AC63" s="72">
        <v>163.75</v>
      </c>
      <c r="AD63" s="55">
        <v>0.2911111111111111</v>
      </c>
      <c r="AE63" s="73">
        <v>4</v>
      </c>
      <c r="AF63" s="57" t="s">
        <v>95</v>
      </c>
      <c r="AG63" s="58">
        <v>250</v>
      </c>
      <c r="AH63" s="58">
        <v>200</v>
      </c>
      <c r="AI63" s="58">
        <v>450</v>
      </c>
      <c r="AJ63" s="49">
        <v>112.5</v>
      </c>
      <c r="AK63" s="49">
        <v>562.5</v>
      </c>
      <c r="AL63" s="52">
        <v>56.25</v>
      </c>
      <c r="AM63" s="52">
        <v>312.5</v>
      </c>
      <c r="AN63" s="52">
        <v>368.75</v>
      </c>
      <c r="AO63" s="59">
        <v>0.65555555555555556</v>
      </c>
      <c r="AP63" s="60">
        <v>193.75</v>
      </c>
      <c r="AQ63" s="61">
        <v>0.34444444444444444</v>
      </c>
      <c r="AR63" s="60" t="s">
        <v>78</v>
      </c>
      <c r="AS63" s="62">
        <v>425</v>
      </c>
      <c r="AT63" s="62">
        <v>340</v>
      </c>
      <c r="AU63" s="62">
        <v>765</v>
      </c>
      <c r="AV63" s="62">
        <v>956.25</v>
      </c>
      <c r="AW63" s="47" t="s">
        <v>74</v>
      </c>
      <c r="AX63" s="64">
        <v>45320</v>
      </c>
      <c r="AY63" s="64" t="s">
        <v>4198</v>
      </c>
      <c r="AZ63" s="86"/>
      <c r="BA63" s="46" t="s">
        <v>74</v>
      </c>
      <c r="BB63" s="24"/>
      <c r="BC63" s="24"/>
      <c r="BD63" s="46"/>
      <c r="BE63" s="46" t="e">
        <v>#REF!</v>
      </c>
      <c r="BF63" s="46" t="s">
        <v>3837</v>
      </c>
      <c r="BG63" s="65">
        <v>2</v>
      </c>
      <c r="BH63" s="66"/>
      <c r="BI63" s="63" t="s">
        <v>4199</v>
      </c>
    </row>
    <row r="64" spans="1:61" ht="409.5" x14ac:dyDescent="0.2">
      <c r="A64" s="45" t="s">
        <v>4200</v>
      </c>
      <c r="B64" s="46"/>
      <c r="C64" s="46" t="s">
        <v>4201</v>
      </c>
      <c r="D64" s="46"/>
      <c r="E64" s="46"/>
      <c r="F64" s="46" t="s">
        <v>68</v>
      </c>
      <c r="G64" s="46" t="s">
        <v>68</v>
      </c>
      <c r="H64" s="46" t="s">
        <v>68</v>
      </c>
      <c r="I64" s="46" t="s">
        <v>68</v>
      </c>
      <c r="J64" s="46" t="s">
        <v>71</v>
      </c>
      <c r="K64" s="47">
        <v>250</v>
      </c>
      <c r="L64" s="47">
        <v>0</v>
      </c>
      <c r="M64" s="47">
        <v>250</v>
      </c>
      <c r="N64" s="46" t="s">
        <v>4202</v>
      </c>
      <c r="O64" s="71" t="s">
        <v>4203</v>
      </c>
      <c r="P64" s="46" t="s">
        <v>4204</v>
      </c>
      <c r="Q64" s="46" t="s">
        <v>3826</v>
      </c>
      <c r="R64" s="46" t="s">
        <v>3829</v>
      </c>
      <c r="S64" s="49">
        <v>62.5</v>
      </c>
      <c r="T64" s="49">
        <v>312.5</v>
      </c>
      <c r="U64" s="67">
        <v>0.60399999999999998</v>
      </c>
      <c r="V64" s="67">
        <v>0.7</v>
      </c>
      <c r="W64" s="51">
        <v>0</v>
      </c>
      <c r="X64" s="52">
        <v>31.25</v>
      </c>
      <c r="Y64" s="52">
        <v>30</v>
      </c>
      <c r="Z64" s="52">
        <v>62.5</v>
      </c>
      <c r="AA64" s="52">
        <v>123.75</v>
      </c>
      <c r="AB64" s="53">
        <v>0.39600000000000002</v>
      </c>
      <c r="AC64" s="72">
        <v>188.75</v>
      </c>
      <c r="AD64" s="55">
        <v>0.60399999999999998</v>
      </c>
      <c r="AE64" s="73">
        <v>4</v>
      </c>
      <c r="AF64" s="57" t="s">
        <v>95</v>
      </c>
      <c r="AG64" s="58">
        <v>250</v>
      </c>
      <c r="AH64" s="58">
        <v>0</v>
      </c>
      <c r="AI64" s="58">
        <v>250</v>
      </c>
      <c r="AJ64" s="49">
        <v>62.5</v>
      </c>
      <c r="AK64" s="49">
        <v>312.5</v>
      </c>
      <c r="AL64" s="52">
        <v>31.25</v>
      </c>
      <c r="AM64" s="52">
        <v>62.5</v>
      </c>
      <c r="AN64" s="52">
        <v>93.75</v>
      </c>
      <c r="AO64" s="59">
        <v>0.3</v>
      </c>
      <c r="AP64" s="60">
        <v>218.75</v>
      </c>
      <c r="AQ64" s="61">
        <v>0.7</v>
      </c>
      <c r="AR64" s="60" t="s">
        <v>78</v>
      </c>
      <c r="AS64" s="62">
        <v>425</v>
      </c>
      <c r="AT64" s="62">
        <v>0</v>
      </c>
      <c r="AU64" s="62">
        <v>425</v>
      </c>
      <c r="AV64" s="62">
        <v>531.25</v>
      </c>
      <c r="AW64" s="47" t="s">
        <v>74</v>
      </c>
      <c r="AX64" s="64">
        <v>44964</v>
      </c>
      <c r="AY64" s="64" t="s">
        <v>4205</v>
      </c>
      <c r="AZ64" s="86"/>
      <c r="BA64" s="46" t="s">
        <v>107</v>
      </c>
      <c r="BB64" s="46" t="s">
        <v>4206</v>
      </c>
      <c r="BC64" s="46" t="s">
        <v>3942</v>
      </c>
      <c r="BD64" s="46"/>
      <c r="BE64" s="46" t="e">
        <v>#REF!</v>
      </c>
      <c r="BF64" s="46" t="s">
        <v>3837</v>
      </c>
      <c r="BG64" s="65">
        <v>1.5</v>
      </c>
      <c r="BH64" s="66" t="s">
        <v>4207</v>
      </c>
      <c r="BI64" s="63" t="s">
        <v>4201</v>
      </c>
    </row>
    <row r="65" spans="1:61" ht="409.5" x14ac:dyDescent="0.2">
      <c r="A65" s="45" t="s">
        <v>4208</v>
      </c>
      <c r="B65" s="46"/>
      <c r="C65" s="46" t="s">
        <v>4209</v>
      </c>
      <c r="D65" s="46"/>
      <c r="E65" s="46"/>
      <c r="F65" s="46" t="s">
        <v>68</v>
      </c>
      <c r="G65" s="46" t="s">
        <v>68</v>
      </c>
      <c r="H65" s="46" t="s">
        <v>68</v>
      </c>
      <c r="I65" s="46" t="s">
        <v>68</v>
      </c>
      <c r="J65" s="46" t="s">
        <v>71</v>
      </c>
      <c r="K65" s="47">
        <v>300</v>
      </c>
      <c r="L65" s="47">
        <v>0</v>
      </c>
      <c r="M65" s="47">
        <v>300</v>
      </c>
      <c r="N65" s="46" t="s">
        <v>4210</v>
      </c>
      <c r="O65" s="71" t="s">
        <v>4211</v>
      </c>
      <c r="P65" s="46" t="s">
        <v>4212</v>
      </c>
      <c r="Q65" s="46" t="s">
        <v>3826</v>
      </c>
      <c r="R65" s="46" t="s">
        <v>3829</v>
      </c>
      <c r="S65" s="49">
        <v>75</v>
      </c>
      <c r="T65" s="49">
        <v>375</v>
      </c>
      <c r="U65" s="67">
        <v>0.62</v>
      </c>
      <c r="V65" s="67">
        <v>0.7</v>
      </c>
      <c r="W65" s="51">
        <v>0</v>
      </c>
      <c r="X65" s="52">
        <v>37.5</v>
      </c>
      <c r="Y65" s="52">
        <v>30</v>
      </c>
      <c r="Z65" s="52">
        <v>75</v>
      </c>
      <c r="AA65" s="52">
        <v>142.5</v>
      </c>
      <c r="AB65" s="53">
        <v>0.38</v>
      </c>
      <c r="AC65" s="72">
        <v>232.5</v>
      </c>
      <c r="AD65" s="55">
        <v>0.62</v>
      </c>
      <c r="AE65" s="73">
        <v>4</v>
      </c>
      <c r="AF65" s="57" t="s">
        <v>95</v>
      </c>
      <c r="AG65" s="58">
        <v>300</v>
      </c>
      <c r="AH65" s="58">
        <v>0</v>
      </c>
      <c r="AI65" s="58">
        <v>300</v>
      </c>
      <c r="AJ65" s="49">
        <v>75</v>
      </c>
      <c r="AK65" s="49">
        <v>375</v>
      </c>
      <c r="AL65" s="52">
        <v>37.5</v>
      </c>
      <c r="AM65" s="52">
        <v>75</v>
      </c>
      <c r="AN65" s="52">
        <v>112.5</v>
      </c>
      <c r="AO65" s="59">
        <v>0.3</v>
      </c>
      <c r="AP65" s="60">
        <v>262.5</v>
      </c>
      <c r="AQ65" s="61">
        <v>0.7</v>
      </c>
      <c r="AR65" s="60" t="s">
        <v>78</v>
      </c>
      <c r="AS65" s="62">
        <v>510</v>
      </c>
      <c r="AT65" s="62">
        <v>0</v>
      </c>
      <c r="AU65" s="62">
        <v>510</v>
      </c>
      <c r="AV65" s="62">
        <v>637.5</v>
      </c>
      <c r="AW65" s="47" t="s">
        <v>74</v>
      </c>
      <c r="AX65" s="64">
        <v>44964</v>
      </c>
      <c r="AY65" s="64" t="s">
        <v>4213</v>
      </c>
      <c r="AZ65" s="86"/>
      <c r="BA65" s="46" t="s">
        <v>107</v>
      </c>
      <c r="BB65" s="46" t="s">
        <v>4206</v>
      </c>
      <c r="BC65" s="46" t="s">
        <v>3942</v>
      </c>
      <c r="BD65" s="46"/>
      <c r="BE65" s="46" t="e">
        <v>#REF!</v>
      </c>
      <c r="BF65" s="46" t="s">
        <v>3837</v>
      </c>
      <c r="BG65" s="65">
        <v>1.5</v>
      </c>
      <c r="BH65" s="66" t="s">
        <v>4214</v>
      </c>
      <c r="BI65" s="63" t="s">
        <v>4209</v>
      </c>
    </row>
    <row r="66" spans="1:61" ht="409.5" x14ac:dyDescent="0.2">
      <c r="A66" s="45" t="s">
        <v>4215</v>
      </c>
      <c r="B66" s="46"/>
      <c r="C66" s="46" t="s">
        <v>4209</v>
      </c>
      <c r="D66" s="46" t="s">
        <v>4216</v>
      </c>
      <c r="E66" s="46"/>
      <c r="F66" s="46"/>
      <c r="G66" s="46" t="s">
        <v>68</v>
      </c>
      <c r="H66" s="46" t="s">
        <v>68</v>
      </c>
      <c r="I66" s="46" t="s">
        <v>68</v>
      </c>
      <c r="J66" s="46" t="s">
        <v>71</v>
      </c>
      <c r="K66" s="47">
        <v>1200</v>
      </c>
      <c r="L66" s="47">
        <v>0</v>
      </c>
      <c r="M66" s="47">
        <v>1200</v>
      </c>
      <c r="N66" s="46" t="s">
        <v>4217</v>
      </c>
      <c r="O66" s="71" t="s">
        <v>4218</v>
      </c>
      <c r="P66" s="46" t="s">
        <v>4219</v>
      </c>
      <c r="Q66" s="46" t="s">
        <v>3826</v>
      </c>
      <c r="R66" s="46" t="s">
        <v>3829</v>
      </c>
      <c r="S66" s="49">
        <v>300</v>
      </c>
      <c r="T66" s="49">
        <v>1500</v>
      </c>
      <c r="U66" s="67">
        <v>0.68</v>
      </c>
      <c r="V66" s="67">
        <v>0.7</v>
      </c>
      <c r="W66" s="51">
        <v>0</v>
      </c>
      <c r="X66" s="52">
        <v>150</v>
      </c>
      <c r="Y66" s="52">
        <v>30</v>
      </c>
      <c r="Z66" s="52">
        <v>300</v>
      </c>
      <c r="AA66" s="52">
        <v>480</v>
      </c>
      <c r="AB66" s="53">
        <v>0.32</v>
      </c>
      <c r="AC66" s="72">
        <v>1020</v>
      </c>
      <c r="AD66" s="55">
        <v>0.68</v>
      </c>
      <c r="AE66" s="73">
        <v>4</v>
      </c>
      <c r="AF66" s="57" t="s">
        <v>95</v>
      </c>
      <c r="AG66" s="58">
        <v>1200</v>
      </c>
      <c r="AH66" s="58">
        <v>0</v>
      </c>
      <c r="AI66" s="58">
        <v>1200</v>
      </c>
      <c r="AJ66" s="49">
        <v>300</v>
      </c>
      <c r="AK66" s="49">
        <v>1500</v>
      </c>
      <c r="AL66" s="52">
        <v>150</v>
      </c>
      <c r="AM66" s="52">
        <v>300</v>
      </c>
      <c r="AN66" s="52">
        <v>450</v>
      </c>
      <c r="AO66" s="59">
        <v>0.3</v>
      </c>
      <c r="AP66" s="60">
        <v>1050</v>
      </c>
      <c r="AQ66" s="61">
        <v>0.7</v>
      </c>
      <c r="AR66" s="60" t="s">
        <v>78</v>
      </c>
      <c r="AS66" s="62">
        <v>2040</v>
      </c>
      <c r="AT66" s="62">
        <v>0</v>
      </c>
      <c r="AU66" s="62">
        <v>2040</v>
      </c>
      <c r="AV66" s="62">
        <v>2550</v>
      </c>
      <c r="AW66" s="47" t="s">
        <v>74</v>
      </c>
      <c r="AX66" s="64">
        <v>44964</v>
      </c>
      <c r="AY66" s="64" t="s">
        <v>4220</v>
      </c>
      <c r="AZ66" s="86"/>
      <c r="BA66" s="46" t="s">
        <v>107</v>
      </c>
      <c r="BB66" s="46" t="s">
        <v>4206</v>
      </c>
      <c r="BC66" s="46" t="s">
        <v>3942</v>
      </c>
      <c r="BD66" s="46"/>
      <c r="BE66" s="46" t="e">
        <v>#REF!</v>
      </c>
      <c r="BF66" s="46" t="s">
        <v>3837</v>
      </c>
      <c r="BG66" s="65">
        <v>1.5</v>
      </c>
      <c r="BH66" s="66" t="s">
        <v>4221</v>
      </c>
      <c r="BI66" s="63" t="s">
        <v>4222</v>
      </c>
    </row>
    <row r="67" spans="1:61" ht="409.5" x14ac:dyDescent="0.2">
      <c r="A67" s="45" t="s">
        <v>4223</v>
      </c>
      <c r="B67" s="46"/>
      <c r="C67" s="46" t="s">
        <v>4224</v>
      </c>
      <c r="D67" s="46" t="s">
        <v>4225</v>
      </c>
      <c r="E67" s="46"/>
      <c r="F67" s="46" t="s">
        <v>68</v>
      </c>
      <c r="G67" s="46" t="s">
        <v>68</v>
      </c>
      <c r="H67" s="46" t="s">
        <v>68</v>
      </c>
      <c r="I67" s="46" t="s">
        <v>68</v>
      </c>
      <c r="J67" s="46" t="s">
        <v>71</v>
      </c>
      <c r="K67" s="47">
        <v>350</v>
      </c>
      <c r="L67" s="47">
        <v>0</v>
      </c>
      <c r="M67" s="47">
        <v>350</v>
      </c>
      <c r="N67" s="46" t="s">
        <v>4226</v>
      </c>
      <c r="O67" s="71" t="s">
        <v>4227</v>
      </c>
      <c r="P67" s="46" t="s">
        <v>4228</v>
      </c>
      <c r="Q67" s="46" t="s">
        <v>3826</v>
      </c>
      <c r="R67" s="46" t="s">
        <v>3829</v>
      </c>
      <c r="S67" s="49">
        <v>87.5</v>
      </c>
      <c r="T67" s="49">
        <v>437.5</v>
      </c>
      <c r="U67" s="67">
        <v>0.63142857142857145</v>
      </c>
      <c r="V67" s="67">
        <v>0.7</v>
      </c>
      <c r="W67" s="51">
        <v>0</v>
      </c>
      <c r="X67" s="52">
        <v>43.75</v>
      </c>
      <c r="Y67" s="52">
        <v>30</v>
      </c>
      <c r="Z67" s="52">
        <v>87.5</v>
      </c>
      <c r="AA67" s="52">
        <v>161.25</v>
      </c>
      <c r="AB67" s="53">
        <v>0.36857142857142855</v>
      </c>
      <c r="AC67" s="72">
        <v>276.25</v>
      </c>
      <c r="AD67" s="55">
        <v>0.63142857142857145</v>
      </c>
      <c r="AE67" s="73">
        <v>4</v>
      </c>
      <c r="AF67" s="57" t="s">
        <v>95</v>
      </c>
      <c r="AG67" s="58">
        <v>350</v>
      </c>
      <c r="AH67" s="58">
        <v>0</v>
      </c>
      <c r="AI67" s="58">
        <v>350</v>
      </c>
      <c r="AJ67" s="49">
        <v>87.5</v>
      </c>
      <c r="AK67" s="49">
        <v>437.5</v>
      </c>
      <c r="AL67" s="52">
        <v>43.75</v>
      </c>
      <c r="AM67" s="52">
        <v>87.5</v>
      </c>
      <c r="AN67" s="52">
        <v>131.25</v>
      </c>
      <c r="AO67" s="59">
        <v>0.3</v>
      </c>
      <c r="AP67" s="60">
        <v>306.25</v>
      </c>
      <c r="AQ67" s="61">
        <v>0.7</v>
      </c>
      <c r="AR67" s="60" t="s">
        <v>78</v>
      </c>
      <c r="AS67" s="62">
        <v>595</v>
      </c>
      <c r="AT67" s="62">
        <v>0</v>
      </c>
      <c r="AU67" s="62">
        <v>595</v>
      </c>
      <c r="AV67" s="62">
        <v>743.75</v>
      </c>
      <c r="AW67" s="47" t="s">
        <v>74</v>
      </c>
      <c r="AX67" s="64">
        <v>44964</v>
      </c>
      <c r="AY67" s="64" t="s">
        <v>4229</v>
      </c>
      <c r="AZ67" s="86"/>
      <c r="BA67" s="46" t="s">
        <v>107</v>
      </c>
      <c r="BB67" s="46" t="s">
        <v>4230</v>
      </c>
      <c r="BC67" s="46" t="s">
        <v>3942</v>
      </c>
      <c r="BD67" s="46"/>
      <c r="BE67" s="46" t="e">
        <v>#REF!</v>
      </c>
      <c r="BF67" s="46" t="s">
        <v>3837</v>
      </c>
      <c r="BG67" s="65">
        <v>1</v>
      </c>
      <c r="BH67" s="66" t="s">
        <v>4231</v>
      </c>
      <c r="BI67" s="63" t="s">
        <v>4232</v>
      </c>
    </row>
    <row r="68" spans="1:61" ht="409.5" x14ac:dyDescent="0.2">
      <c r="A68" s="45" t="s">
        <v>4233</v>
      </c>
      <c r="B68" s="46"/>
      <c r="C68" s="46" t="s">
        <v>4224</v>
      </c>
      <c r="D68" s="46" t="s">
        <v>4078</v>
      </c>
      <c r="E68" s="46"/>
      <c r="F68" s="46" t="s">
        <v>68</v>
      </c>
      <c r="G68" s="46" t="s">
        <v>68</v>
      </c>
      <c r="H68" s="46" t="s">
        <v>68</v>
      </c>
      <c r="I68" s="46" t="s">
        <v>68</v>
      </c>
      <c r="J68" s="46" t="s">
        <v>71</v>
      </c>
      <c r="K68" s="47">
        <v>450</v>
      </c>
      <c r="L68" s="47">
        <v>0</v>
      </c>
      <c r="M68" s="47">
        <v>450</v>
      </c>
      <c r="N68" s="46" t="s">
        <v>4226</v>
      </c>
      <c r="O68" s="71" t="s">
        <v>4234</v>
      </c>
      <c r="P68" s="46" t="s">
        <v>4228</v>
      </c>
      <c r="Q68" s="46" t="s">
        <v>3826</v>
      </c>
      <c r="R68" s="46" t="s">
        <v>3829</v>
      </c>
      <c r="S68" s="49">
        <v>112.5</v>
      </c>
      <c r="T68" s="49">
        <v>562.5</v>
      </c>
      <c r="U68" s="67">
        <v>0.64666666666666661</v>
      </c>
      <c r="V68" s="67">
        <v>0.7</v>
      </c>
      <c r="W68" s="51">
        <v>0</v>
      </c>
      <c r="X68" s="52">
        <v>56.25</v>
      </c>
      <c r="Y68" s="52">
        <v>30</v>
      </c>
      <c r="Z68" s="52">
        <v>112.5</v>
      </c>
      <c r="AA68" s="52">
        <v>198.75</v>
      </c>
      <c r="AB68" s="53">
        <v>0.35333333333333333</v>
      </c>
      <c r="AC68" s="72">
        <v>363.75</v>
      </c>
      <c r="AD68" s="55">
        <v>0.64666666666666661</v>
      </c>
      <c r="AE68" s="73">
        <v>4</v>
      </c>
      <c r="AF68" s="57" t="s">
        <v>95</v>
      </c>
      <c r="AG68" s="58">
        <v>450</v>
      </c>
      <c r="AH68" s="58">
        <v>0</v>
      </c>
      <c r="AI68" s="58">
        <v>450</v>
      </c>
      <c r="AJ68" s="49">
        <v>112.5</v>
      </c>
      <c r="AK68" s="49">
        <v>562.5</v>
      </c>
      <c r="AL68" s="52">
        <v>56.25</v>
      </c>
      <c r="AM68" s="52">
        <v>112.5</v>
      </c>
      <c r="AN68" s="52">
        <v>168.75</v>
      </c>
      <c r="AO68" s="59">
        <v>0.3</v>
      </c>
      <c r="AP68" s="60">
        <v>393.75</v>
      </c>
      <c r="AQ68" s="61">
        <v>0.7</v>
      </c>
      <c r="AR68" s="60" t="s">
        <v>78</v>
      </c>
      <c r="AS68" s="62">
        <v>765</v>
      </c>
      <c r="AT68" s="62">
        <v>0</v>
      </c>
      <c r="AU68" s="62">
        <v>765</v>
      </c>
      <c r="AV68" s="62">
        <v>956.25</v>
      </c>
      <c r="AW68" s="47" t="s">
        <v>74</v>
      </c>
      <c r="AX68" s="64">
        <v>44964</v>
      </c>
      <c r="AY68" s="64" t="s">
        <v>4235</v>
      </c>
      <c r="AZ68" s="86"/>
      <c r="BA68" s="46" t="s">
        <v>107</v>
      </c>
      <c r="BB68" s="46" t="s">
        <v>4230</v>
      </c>
      <c r="BC68" s="46" t="s">
        <v>3942</v>
      </c>
      <c r="BD68" s="46"/>
      <c r="BE68" s="46" t="e">
        <v>#REF!</v>
      </c>
      <c r="BF68" s="46" t="s">
        <v>3837</v>
      </c>
      <c r="BG68" s="65">
        <v>1</v>
      </c>
      <c r="BH68" s="66" t="s">
        <v>4236</v>
      </c>
      <c r="BI68" s="63" t="s">
        <v>4237</v>
      </c>
    </row>
    <row r="69" spans="1:61" ht="409.5" x14ac:dyDescent="0.2">
      <c r="A69" s="45" t="s">
        <v>4238</v>
      </c>
      <c r="B69" s="46"/>
      <c r="C69" s="46" t="s">
        <v>4224</v>
      </c>
      <c r="D69" s="46" t="s">
        <v>4053</v>
      </c>
      <c r="E69" s="46"/>
      <c r="F69" s="46" t="s">
        <v>68</v>
      </c>
      <c r="G69" s="46" t="s">
        <v>68</v>
      </c>
      <c r="H69" s="46" t="s">
        <v>68</v>
      </c>
      <c r="I69" s="46" t="s">
        <v>68</v>
      </c>
      <c r="J69" s="46" t="s">
        <v>71</v>
      </c>
      <c r="K69" s="47">
        <v>600</v>
      </c>
      <c r="L69" s="47">
        <v>0</v>
      </c>
      <c r="M69" s="47">
        <v>600</v>
      </c>
      <c r="N69" s="46" t="s">
        <v>4226</v>
      </c>
      <c r="O69" s="71" t="s">
        <v>4239</v>
      </c>
      <c r="P69" s="46" t="s">
        <v>4228</v>
      </c>
      <c r="Q69" s="46" t="s">
        <v>3826</v>
      </c>
      <c r="R69" s="46" t="s">
        <v>3829</v>
      </c>
      <c r="S69" s="49">
        <v>150</v>
      </c>
      <c r="T69" s="49">
        <v>750</v>
      </c>
      <c r="U69" s="67">
        <v>0.66</v>
      </c>
      <c r="V69" s="67">
        <v>0.7</v>
      </c>
      <c r="W69" s="51">
        <v>0</v>
      </c>
      <c r="X69" s="52">
        <v>75</v>
      </c>
      <c r="Y69" s="52">
        <v>30</v>
      </c>
      <c r="Z69" s="52">
        <v>150</v>
      </c>
      <c r="AA69" s="52">
        <v>255</v>
      </c>
      <c r="AB69" s="53">
        <v>0.34</v>
      </c>
      <c r="AC69" s="72">
        <v>495</v>
      </c>
      <c r="AD69" s="55">
        <v>0.66</v>
      </c>
      <c r="AE69" s="73">
        <v>4</v>
      </c>
      <c r="AF69" s="57" t="s">
        <v>95</v>
      </c>
      <c r="AG69" s="58">
        <v>600</v>
      </c>
      <c r="AH69" s="58">
        <v>0</v>
      </c>
      <c r="AI69" s="58">
        <v>600</v>
      </c>
      <c r="AJ69" s="49">
        <v>150</v>
      </c>
      <c r="AK69" s="49">
        <v>750</v>
      </c>
      <c r="AL69" s="52">
        <v>75</v>
      </c>
      <c r="AM69" s="52">
        <v>150</v>
      </c>
      <c r="AN69" s="52">
        <v>225</v>
      </c>
      <c r="AO69" s="59">
        <v>0.3</v>
      </c>
      <c r="AP69" s="60">
        <v>525</v>
      </c>
      <c r="AQ69" s="61">
        <v>0.7</v>
      </c>
      <c r="AR69" s="60" t="s">
        <v>78</v>
      </c>
      <c r="AS69" s="62">
        <v>1020</v>
      </c>
      <c r="AT69" s="62">
        <v>0</v>
      </c>
      <c r="AU69" s="62">
        <v>1020</v>
      </c>
      <c r="AV69" s="62">
        <v>1275</v>
      </c>
      <c r="AW69" s="47" t="s">
        <v>74</v>
      </c>
      <c r="AX69" s="64">
        <v>44964</v>
      </c>
      <c r="AY69" s="64" t="s">
        <v>4240</v>
      </c>
      <c r="AZ69" s="86"/>
      <c r="BA69" s="46" t="s">
        <v>107</v>
      </c>
      <c r="BB69" s="46" t="s">
        <v>4230</v>
      </c>
      <c r="BC69" s="46" t="s">
        <v>3942</v>
      </c>
      <c r="BD69" s="46"/>
      <c r="BE69" s="46" t="e">
        <v>#REF!</v>
      </c>
      <c r="BF69" s="46" t="s">
        <v>3837</v>
      </c>
      <c r="BG69" s="65">
        <v>1</v>
      </c>
      <c r="BH69" s="66" t="s">
        <v>4241</v>
      </c>
      <c r="BI69" s="63" t="s">
        <v>4242</v>
      </c>
    </row>
    <row r="70" spans="1:61" ht="216.75" x14ac:dyDescent="0.2">
      <c r="A70" s="45" t="s">
        <v>4243</v>
      </c>
      <c r="B70" s="46"/>
      <c r="C70" s="46" t="s">
        <v>3994</v>
      </c>
      <c r="D70" s="46" t="s">
        <v>3995</v>
      </c>
      <c r="E70" s="46" t="s">
        <v>4216</v>
      </c>
      <c r="F70" s="46" t="s">
        <v>68</v>
      </c>
      <c r="G70" s="46" t="s">
        <v>68</v>
      </c>
      <c r="H70" s="46" t="s">
        <v>68</v>
      </c>
      <c r="I70" s="46" t="s">
        <v>68</v>
      </c>
      <c r="J70" s="46" t="s">
        <v>71</v>
      </c>
      <c r="K70" s="47">
        <v>1000</v>
      </c>
      <c r="L70" s="47">
        <v>0</v>
      </c>
      <c r="M70" s="47">
        <v>1000</v>
      </c>
      <c r="N70" s="46" t="s">
        <v>4244</v>
      </c>
      <c r="O70" s="71" t="s">
        <v>4245</v>
      </c>
      <c r="P70" s="46" t="s">
        <v>4246</v>
      </c>
      <c r="Q70" s="46" t="s">
        <v>3826</v>
      </c>
      <c r="R70" s="46" t="s">
        <v>3829</v>
      </c>
      <c r="S70" s="49">
        <v>250</v>
      </c>
      <c r="T70" s="49">
        <v>1250</v>
      </c>
      <c r="U70" s="67">
        <v>0.67600000000000005</v>
      </c>
      <c r="V70" s="67">
        <v>0.7</v>
      </c>
      <c r="W70" s="51">
        <v>0</v>
      </c>
      <c r="X70" s="52">
        <v>125</v>
      </c>
      <c r="Y70" s="52">
        <v>30</v>
      </c>
      <c r="Z70" s="52">
        <v>250</v>
      </c>
      <c r="AA70" s="52">
        <v>405</v>
      </c>
      <c r="AB70" s="53">
        <v>0.32400000000000001</v>
      </c>
      <c r="AC70" s="72">
        <v>845</v>
      </c>
      <c r="AD70" s="55">
        <v>0.67600000000000005</v>
      </c>
      <c r="AE70" s="73">
        <v>4</v>
      </c>
      <c r="AF70" s="57" t="s">
        <v>95</v>
      </c>
      <c r="AG70" s="58">
        <v>1000</v>
      </c>
      <c r="AH70" s="58">
        <v>0</v>
      </c>
      <c r="AI70" s="58">
        <v>1000</v>
      </c>
      <c r="AJ70" s="49">
        <v>250</v>
      </c>
      <c r="AK70" s="49">
        <v>1250</v>
      </c>
      <c r="AL70" s="52">
        <v>125</v>
      </c>
      <c r="AM70" s="52">
        <v>250</v>
      </c>
      <c r="AN70" s="52">
        <v>375</v>
      </c>
      <c r="AO70" s="59">
        <v>0.3</v>
      </c>
      <c r="AP70" s="60">
        <v>875</v>
      </c>
      <c r="AQ70" s="61">
        <v>0.7</v>
      </c>
      <c r="AR70" s="60" t="s">
        <v>78</v>
      </c>
      <c r="AS70" s="62">
        <v>1700</v>
      </c>
      <c r="AT70" s="62">
        <v>0</v>
      </c>
      <c r="AU70" s="62">
        <v>1700</v>
      </c>
      <c r="AV70" s="62">
        <v>2125</v>
      </c>
      <c r="AW70" s="47" t="s">
        <v>74</v>
      </c>
      <c r="AX70" s="64">
        <v>44986</v>
      </c>
      <c r="AY70" s="46" t="s">
        <v>4247</v>
      </c>
      <c r="AZ70" s="86"/>
      <c r="BA70" s="46" t="s">
        <v>74</v>
      </c>
      <c r="BB70" s="26"/>
      <c r="BC70" s="24"/>
      <c r="BD70" s="46"/>
      <c r="BE70" s="46" t="e">
        <v>#REF!</v>
      </c>
      <c r="BF70" s="46" t="s">
        <v>3837</v>
      </c>
      <c r="BG70" s="65">
        <v>4</v>
      </c>
      <c r="BH70" s="66" t="s">
        <v>4248</v>
      </c>
      <c r="BI70" s="63" t="s">
        <v>4249</v>
      </c>
    </row>
    <row r="71" spans="1:61" ht="51" x14ac:dyDescent="0.2">
      <c r="A71" s="45" t="s">
        <v>4250</v>
      </c>
      <c r="B71" s="46"/>
      <c r="C71" s="46" t="s">
        <v>4251</v>
      </c>
      <c r="D71" s="46" t="s">
        <v>4020</v>
      </c>
      <c r="E71" s="46"/>
      <c r="F71" s="46" t="s">
        <v>68</v>
      </c>
      <c r="G71" s="46" t="s">
        <v>68</v>
      </c>
      <c r="H71" s="46" t="s">
        <v>68</v>
      </c>
      <c r="I71" s="46" t="s">
        <v>68</v>
      </c>
      <c r="J71" s="46" t="s">
        <v>71</v>
      </c>
      <c r="K71" s="47">
        <v>200</v>
      </c>
      <c r="L71" s="47">
        <v>150</v>
      </c>
      <c r="M71" s="47">
        <v>350</v>
      </c>
      <c r="N71" s="46"/>
      <c r="O71" s="71" t="s">
        <v>68</v>
      </c>
      <c r="P71" s="64"/>
      <c r="Q71" s="46" t="s">
        <v>3826</v>
      </c>
      <c r="R71" s="46" t="s">
        <v>3829</v>
      </c>
      <c r="S71" s="49">
        <v>87.5</v>
      </c>
      <c r="T71" s="49">
        <v>437.5</v>
      </c>
      <c r="U71" s="28">
        <v>0.28857142857142859</v>
      </c>
      <c r="V71" s="28">
        <v>0.22</v>
      </c>
      <c r="W71" s="51">
        <v>0.75</v>
      </c>
      <c r="X71" s="52">
        <v>43.75</v>
      </c>
      <c r="Y71" s="52">
        <v>30</v>
      </c>
      <c r="Z71" s="52">
        <v>237.5</v>
      </c>
      <c r="AA71" s="52">
        <v>311.25</v>
      </c>
      <c r="AB71" s="53">
        <v>0.71142857142857141</v>
      </c>
      <c r="AC71" s="72">
        <v>126.25</v>
      </c>
      <c r="AD71" s="55">
        <v>0.28857142857142859</v>
      </c>
      <c r="AE71" s="56">
        <v>2</v>
      </c>
      <c r="AF71" s="57" t="s">
        <v>72</v>
      </c>
      <c r="AG71" s="58">
        <v>100</v>
      </c>
      <c r="AH71" s="58">
        <v>150</v>
      </c>
      <c r="AI71" s="58">
        <v>250</v>
      </c>
      <c r="AJ71" s="49">
        <v>62.5</v>
      </c>
      <c r="AK71" s="49">
        <v>312.5</v>
      </c>
      <c r="AL71" s="52">
        <v>31.25</v>
      </c>
      <c r="AM71" s="52">
        <v>212.5</v>
      </c>
      <c r="AN71" s="52">
        <v>243.75</v>
      </c>
      <c r="AO71" s="59">
        <v>0.78</v>
      </c>
      <c r="AP71" s="60">
        <v>68.75</v>
      </c>
      <c r="AQ71" s="61">
        <v>0.22</v>
      </c>
      <c r="AR71" s="60" t="s">
        <v>78</v>
      </c>
      <c r="AS71" s="62">
        <v>300</v>
      </c>
      <c r="AT71" s="62">
        <v>225</v>
      </c>
      <c r="AU71" s="62">
        <v>525</v>
      </c>
      <c r="AV71" s="62">
        <v>656.25</v>
      </c>
      <c r="AW71" s="47" t="s">
        <v>107</v>
      </c>
      <c r="AX71" s="64">
        <v>45156</v>
      </c>
      <c r="AY71" s="64" t="s">
        <v>4252</v>
      </c>
      <c r="AZ71" s="86"/>
      <c r="BA71" s="46"/>
      <c r="BB71" s="64"/>
      <c r="BC71" s="64"/>
      <c r="BD71" s="46"/>
      <c r="BE71" s="46" t="e">
        <v>#REF!</v>
      </c>
      <c r="BF71" s="46" t="s">
        <v>3837</v>
      </c>
      <c r="BG71" s="65">
        <v>1</v>
      </c>
      <c r="BH71" s="66" t="s">
        <v>4253</v>
      </c>
      <c r="BI71" s="63" t="s">
        <v>4254</v>
      </c>
    </row>
    <row r="72" spans="1:61" ht="178.5" x14ac:dyDescent="0.2">
      <c r="A72" s="45" t="s">
        <v>4255</v>
      </c>
      <c r="B72" s="46"/>
      <c r="C72" s="46" t="s">
        <v>4256</v>
      </c>
      <c r="D72" s="46" t="s">
        <v>4020</v>
      </c>
      <c r="E72" s="46" t="s">
        <v>68</v>
      </c>
      <c r="F72" s="46" t="s">
        <v>68</v>
      </c>
      <c r="G72" s="46" t="s">
        <v>68</v>
      </c>
      <c r="H72" s="46" t="s">
        <v>68</v>
      </c>
      <c r="I72" s="46" t="s">
        <v>68</v>
      </c>
      <c r="J72" s="46" t="s">
        <v>71</v>
      </c>
      <c r="K72" s="47">
        <v>200</v>
      </c>
      <c r="L72" s="47">
        <v>120</v>
      </c>
      <c r="M72" s="47">
        <v>320</v>
      </c>
      <c r="N72" s="46" t="s">
        <v>4257</v>
      </c>
      <c r="O72" s="71" t="s">
        <v>4258</v>
      </c>
      <c r="P72" s="46" t="s">
        <v>4259</v>
      </c>
      <c r="Q72" s="46" t="s">
        <v>3826</v>
      </c>
      <c r="R72" s="46" t="s">
        <v>3829</v>
      </c>
      <c r="S72" s="49">
        <v>80</v>
      </c>
      <c r="T72" s="49">
        <v>400</v>
      </c>
      <c r="U72" s="67">
        <v>0.32500000000000001</v>
      </c>
      <c r="V72" s="28">
        <v>0.26363636363636361</v>
      </c>
      <c r="W72" s="51">
        <v>0.6</v>
      </c>
      <c r="X72" s="52">
        <v>40</v>
      </c>
      <c r="Y72" s="52">
        <v>30</v>
      </c>
      <c r="Z72" s="52">
        <v>200</v>
      </c>
      <c r="AA72" s="52">
        <v>270</v>
      </c>
      <c r="AB72" s="53">
        <v>0.67500000000000004</v>
      </c>
      <c r="AC72" s="72">
        <v>130</v>
      </c>
      <c r="AD72" s="55">
        <v>0.32500000000000001</v>
      </c>
      <c r="AE72" s="56">
        <v>2</v>
      </c>
      <c r="AF72" s="57" t="s">
        <v>72</v>
      </c>
      <c r="AG72" s="58">
        <v>100</v>
      </c>
      <c r="AH72" s="58">
        <v>120</v>
      </c>
      <c r="AI72" s="58">
        <v>220</v>
      </c>
      <c r="AJ72" s="49">
        <v>55</v>
      </c>
      <c r="AK72" s="49">
        <v>275</v>
      </c>
      <c r="AL72" s="52">
        <v>27.5</v>
      </c>
      <c r="AM72" s="52">
        <v>175</v>
      </c>
      <c r="AN72" s="52">
        <v>202.5</v>
      </c>
      <c r="AO72" s="59">
        <v>0.73636363636363633</v>
      </c>
      <c r="AP72" s="60">
        <v>72.5</v>
      </c>
      <c r="AQ72" s="61">
        <v>0.26363636363636361</v>
      </c>
      <c r="AR72" s="60" t="s">
        <v>78</v>
      </c>
      <c r="AS72" s="62">
        <v>300</v>
      </c>
      <c r="AT72" s="62">
        <v>180</v>
      </c>
      <c r="AU72" s="62">
        <v>480</v>
      </c>
      <c r="AV72" s="62">
        <v>600</v>
      </c>
      <c r="AW72" s="63" t="s">
        <v>74</v>
      </c>
      <c r="AX72" s="64">
        <v>45156</v>
      </c>
      <c r="AY72" s="64" t="s">
        <v>4260</v>
      </c>
      <c r="AZ72" s="86"/>
      <c r="BA72" s="46" t="s">
        <v>74</v>
      </c>
      <c r="BB72" s="26"/>
      <c r="BC72" s="26"/>
      <c r="BD72" s="46"/>
      <c r="BE72" s="46" t="e">
        <v>#REF!</v>
      </c>
      <c r="BF72" s="46" t="s">
        <v>79</v>
      </c>
      <c r="BG72" s="65">
        <v>0.75</v>
      </c>
      <c r="BH72" s="66"/>
      <c r="BI72" s="63" t="s">
        <v>4261</v>
      </c>
    </row>
    <row r="73" spans="1:61" ht="178.5" x14ac:dyDescent="0.2">
      <c r="A73" s="45" t="s">
        <v>4262</v>
      </c>
      <c r="B73" s="46"/>
      <c r="C73" s="46" t="s">
        <v>4263</v>
      </c>
      <c r="D73" s="46" t="s">
        <v>4020</v>
      </c>
      <c r="E73" s="46" t="s">
        <v>68</v>
      </c>
      <c r="F73" s="46" t="s">
        <v>68</v>
      </c>
      <c r="G73" s="46" t="s">
        <v>68</v>
      </c>
      <c r="H73" s="46" t="s">
        <v>68</v>
      </c>
      <c r="I73" s="46" t="s">
        <v>68</v>
      </c>
      <c r="J73" s="46" t="s">
        <v>71</v>
      </c>
      <c r="K73" s="47">
        <v>200</v>
      </c>
      <c r="L73" s="47">
        <v>80</v>
      </c>
      <c r="M73" s="47">
        <v>280</v>
      </c>
      <c r="N73" s="46" t="s">
        <v>4257</v>
      </c>
      <c r="O73" s="71" t="s">
        <v>4264</v>
      </c>
      <c r="P73" s="46" t="s">
        <v>4265</v>
      </c>
      <c r="Q73" s="46" t="s">
        <v>3826</v>
      </c>
      <c r="R73" s="46" t="s">
        <v>3829</v>
      </c>
      <c r="S73" s="49">
        <v>70</v>
      </c>
      <c r="T73" s="49">
        <v>350</v>
      </c>
      <c r="U73" s="67">
        <v>0.38571428571428573</v>
      </c>
      <c r="V73" s="67">
        <v>0.34444444444444444</v>
      </c>
      <c r="W73" s="51">
        <v>0.4</v>
      </c>
      <c r="X73" s="52">
        <v>35</v>
      </c>
      <c r="Y73" s="52">
        <v>30</v>
      </c>
      <c r="Z73" s="52">
        <v>150</v>
      </c>
      <c r="AA73" s="52">
        <v>215</v>
      </c>
      <c r="AB73" s="53">
        <v>0.61428571428571432</v>
      </c>
      <c r="AC73" s="72">
        <v>135</v>
      </c>
      <c r="AD73" s="55">
        <v>0.38571428571428573</v>
      </c>
      <c r="AE73" s="56">
        <v>2</v>
      </c>
      <c r="AF73" s="57" t="s">
        <v>72</v>
      </c>
      <c r="AG73" s="58">
        <v>100</v>
      </c>
      <c r="AH73" s="58">
        <v>80</v>
      </c>
      <c r="AI73" s="58">
        <v>180</v>
      </c>
      <c r="AJ73" s="49">
        <v>45</v>
      </c>
      <c r="AK73" s="49">
        <v>225</v>
      </c>
      <c r="AL73" s="52">
        <v>22.5</v>
      </c>
      <c r="AM73" s="52">
        <v>125</v>
      </c>
      <c r="AN73" s="52">
        <v>147.5</v>
      </c>
      <c r="AO73" s="59">
        <v>0.65555555555555556</v>
      </c>
      <c r="AP73" s="60">
        <v>77.5</v>
      </c>
      <c r="AQ73" s="61">
        <v>0.34444444444444444</v>
      </c>
      <c r="AR73" s="60" t="s">
        <v>78</v>
      </c>
      <c r="AS73" s="62">
        <v>300</v>
      </c>
      <c r="AT73" s="62">
        <v>120</v>
      </c>
      <c r="AU73" s="62">
        <v>420</v>
      </c>
      <c r="AV73" s="62">
        <v>525</v>
      </c>
      <c r="AW73" s="63" t="s">
        <v>74</v>
      </c>
      <c r="AX73" s="64">
        <v>45156</v>
      </c>
      <c r="AY73" s="64" t="s">
        <v>4266</v>
      </c>
      <c r="AZ73" s="86"/>
      <c r="BA73" s="46" t="s">
        <v>74</v>
      </c>
      <c r="BB73" s="26"/>
      <c r="BC73" s="26"/>
      <c r="BD73" s="46"/>
      <c r="BE73" s="46" t="e">
        <v>#REF!</v>
      </c>
      <c r="BF73" s="46" t="s">
        <v>79</v>
      </c>
      <c r="BG73" s="65">
        <v>0.75</v>
      </c>
      <c r="BH73" s="66"/>
      <c r="BI73" s="63" t="s">
        <v>4267</v>
      </c>
    </row>
    <row r="74" spans="1:61" ht="357" x14ac:dyDescent="0.2">
      <c r="A74" s="45" t="s">
        <v>4268</v>
      </c>
      <c r="B74" s="46"/>
      <c r="C74" s="46" t="s">
        <v>4269</v>
      </c>
      <c r="D74" s="46" t="s">
        <v>4020</v>
      </c>
      <c r="E74" s="46" t="s">
        <v>4270</v>
      </c>
      <c r="F74" s="46"/>
      <c r="G74" s="46"/>
      <c r="H74" s="46"/>
      <c r="I74" s="46"/>
      <c r="J74" s="46" t="s">
        <v>71</v>
      </c>
      <c r="K74" s="47">
        <v>350</v>
      </c>
      <c r="L74" s="47">
        <f>250+150</f>
        <v>400</v>
      </c>
      <c r="M74" s="47">
        <v>750</v>
      </c>
      <c r="N74" s="46" t="s">
        <v>4176</v>
      </c>
      <c r="O74" s="71" t="s">
        <v>4271</v>
      </c>
      <c r="P74" s="46" t="s">
        <v>4272</v>
      </c>
      <c r="Q74" s="46" t="s">
        <v>3826</v>
      </c>
      <c r="R74" s="46" t="s">
        <v>3829</v>
      </c>
      <c r="S74" s="49">
        <v>187.5</v>
      </c>
      <c r="T74" s="49">
        <v>937.5</v>
      </c>
      <c r="U74" s="28">
        <v>0.24133333333333334</v>
      </c>
      <c r="V74" s="50">
        <v>0.14347826086956522</v>
      </c>
      <c r="W74" s="74">
        <v>1.1428571428571428</v>
      </c>
      <c r="X74" s="52">
        <v>93.75</v>
      </c>
      <c r="Y74" s="52">
        <v>30</v>
      </c>
      <c r="Z74" s="52">
        <v>587.5</v>
      </c>
      <c r="AA74" s="52">
        <v>711.25</v>
      </c>
      <c r="AB74" s="53">
        <v>0.75866666666666671</v>
      </c>
      <c r="AC74" s="72">
        <v>226.25</v>
      </c>
      <c r="AD74" s="55">
        <v>0.24133333333333334</v>
      </c>
      <c r="AE74" s="56">
        <v>2</v>
      </c>
      <c r="AF74" s="57" t="s">
        <v>72</v>
      </c>
      <c r="AG74" s="58">
        <v>175</v>
      </c>
      <c r="AH74" s="58">
        <v>400</v>
      </c>
      <c r="AI74" s="58">
        <v>575</v>
      </c>
      <c r="AJ74" s="49">
        <v>143.75</v>
      </c>
      <c r="AK74" s="49">
        <v>718.75</v>
      </c>
      <c r="AL74" s="52">
        <v>71.875</v>
      </c>
      <c r="AM74" s="52">
        <v>543.75</v>
      </c>
      <c r="AN74" s="52">
        <v>615.625</v>
      </c>
      <c r="AO74" s="59">
        <v>0.85652173913043483</v>
      </c>
      <c r="AP74" s="60">
        <v>103.125</v>
      </c>
      <c r="AQ74" s="61">
        <v>0.14347826086956522</v>
      </c>
      <c r="AR74" s="60" t="s">
        <v>73</v>
      </c>
      <c r="AS74" s="62">
        <v>525</v>
      </c>
      <c r="AT74" s="62">
        <v>600</v>
      </c>
      <c r="AU74" s="62">
        <v>1125</v>
      </c>
      <c r="AV74" s="62">
        <v>1406.25</v>
      </c>
      <c r="AW74" s="47" t="s">
        <v>107</v>
      </c>
      <c r="AX74" s="64">
        <v>45188</v>
      </c>
      <c r="AY74" s="64" t="s">
        <v>4273</v>
      </c>
      <c r="AZ74" s="86"/>
      <c r="BA74" s="46" t="s">
        <v>107</v>
      </c>
      <c r="BB74" s="46" t="s">
        <v>4172</v>
      </c>
      <c r="BC74" s="46" t="s">
        <v>3942</v>
      </c>
      <c r="BD74" s="46"/>
      <c r="BE74" s="46" t="e">
        <v>#REF!</v>
      </c>
      <c r="BF74" s="46" t="s">
        <v>3837</v>
      </c>
      <c r="BG74" s="65">
        <v>2</v>
      </c>
      <c r="BH74" s="66"/>
      <c r="BI74" s="63" t="s">
        <v>4274</v>
      </c>
    </row>
    <row r="75" spans="1:61" ht="89.25" x14ac:dyDescent="0.2">
      <c r="A75" s="45" t="s">
        <v>4275</v>
      </c>
      <c r="B75" s="46"/>
      <c r="C75" s="46" t="s">
        <v>4276</v>
      </c>
      <c r="D75" s="46"/>
      <c r="E75" s="46"/>
      <c r="F75" s="46"/>
      <c r="G75" s="46"/>
      <c r="H75" s="46"/>
      <c r="I75" s="46"/>
      <c r="J75" s="46" t="s">
        <v>71</v>
      </c>
      <c r="K75" s="47">
        <v>1000</v>
      </c>
      <c r="L75" s="47">
        <v>0</v>
      </c>
      <c r="M75" s="47">
        <v>1000</v>
      </c>
      <c r="N75" s="46"/>
      <c r="O75" s="71" t="s">
        <v>4277</v>
      </c>
      <c r="P75" s="64"/>
      <c r="Q75" s="46" t="s">
        <v>3826</v>
      </c>
      <c r="R75" s="46" t="s">
        <v>3829</v>
      </c>
      <c r="S75" s="49">
        <v>250</v>
      </c>
      <c r="T75" s="49">
        <v>1250</v>
      </c>
      <c r="U75" s="67">
        <v>0.67600000000000005</v>
      </c>
      <c r="V75" s="67">
        <v>0.7</v>
      </c>
      <c r="W75" s="51">
        <v>0</v>
      </c>
      <c r="X75" s="52">
        <v>125</v>
      </c>
      <c r="Y75" s="52">
        <v>30</v>
      </c>
      <c r="Z75" s="52">
        <v>250</v>
      </c>
      <c r="AA75" s="52">
        <v>405</v>
      </c>
      <c r="AB75" s="53">
        <v>0.32400000000000001</v>
      </c>
      <c r="AC75" s="72">
        <v>845</v>
      </c>
      <c r="AD75" s="55">
        <v>0.67600000000000005</v>
      </c>
      <c r="AE75" s="73">
        <v>4</v>
      </c>
      <c r="AF75" s="57" t="s">
        <v>95</v>
      </c>
      <c r="AG75" s="58">
        <v>1000</v>
      </c>
      <c r="AH75" s="58">
        <v>0</v>
      </c>
      <c r="AI75" s="58">
        <v>1000</v>
      </c>
      <c r="AJ75" s="49">
        <v>250</v>
      </c>
      <c r="AK75" s="49">
        <v>1250</v>
      </c>
      <c r="AL75" s="52">
        <v>125</v>
      </c>
      <c r="AM75" s="52">
        <v>250</v>
      </c>
      <c r="AN75" s="52">
        <v>375</v>
      </c>
      <c r="AO75" s="59">
        <v>0.3</v>
      </c>
      <c r="AP75" s="60">
        <v>875</v>
      </c>
      <c r="AQ75" s="61">
        <v>0.7</v>
      </c>
      <c r="AR75" s="60" t="s">
        <v>78</v>
      </c>
      <c r="AS75" s="62">
        <v>1700</v>
      </c>
      <c r="AT75" s="62">
        <v>0</v>
      </c>
      <c r="AU75" s="62">
        <v>1700</v>
      </c>
      <c r="AV75" s="62">
        <v>2125</v>
      </c>
      <c r="AW75" s="63" t="s">
        <v>74</v>
      </c>
      <c r="AX75" s="64">
        <v>45188</v>
      </c>
      <c r="AY75" s="64" t="s">
        <v>4278</v>
      </c>
      <c r="AZ75" s="86"/>
      <c r="BA75" s="46" t="s">
        <v>74</v>
      </c>
      <c r="BB75" s="26"/>
      <c r="BC75" s="26"/>
      <c r="BD75" s="46"/>
      <c r="BE75" s="46" t="e">
        <v>#REF!</v>
      </c>
      <c r="BF75" s="46" t="s">
        <v>3837</v>
      </c>
      <c r="BG75" s="65">
        <v>2</v>
      </c>
      <c r="BH75" s="66"/>
      <c r="BI75" s="63" t="s">
        <v>4276</v>
      </c>
    </row>
    <row r="76" spans="1:61" ht="63.75" x14ac:dyDescent="0.2">
      <c r="A76" s="45" t="s">
        <v>4279</v>
      </c>
      <c r="B76" s="46"/>
      <c r="C76" s="46" t="s">
        <v>4280</v>
      </c>
      <c r="D76" s="46" t="s">
        <v>4020</v>
      </c>
      <c r="E76" s="46"/>
      <c r="F76" s="46"/>
      <c r="G76" s="46"/>
      <c r="H76" s="46"/>
      <c r="I76" s="46"/>
      <c r="J76" s="46" t="s">
        <v>71</v>
      </c>
      <c r="K76" s="47">
        <v>200</v>
      </c>
      <c r="L76" s="47">
        <v>50</v>
      </c>
      <c r="M76" s="47">
        <v>250</v>
      </c>
      <c r="N76" s="46"/>
      <c r="O76" s="71" t="s">
        <v>4281</v>
      </c>
      <c r="P76" s="64"/>
      <c r="Q76" s="46" t="s">
        <v>3826</v>
      </c>
      <c r="R76" s="46" t="s">
        <v>3829</v>
      </c>
      <c r="S76" s="49">
        <v>62.5</v>
      </c>
      <c r="T76" s="49">
        <v>312.5</v>
      </c>
      <c r="U76" s="67">
        <v>0.44400000000000001</v>
      </c>
      <c r="V76" s="67">
        <v>0.54</v>
      </c>
      <c r="W76" s="51">
        <v>0.25</v>
      </c>
      <c r="X76" s="52">
        <v>31.25</v>
      </c>
      <c r="Y76" s="52">
        <v>30</v>
      </c>
      <c r="Z76" s="52">
        <v>112.5</v>
      </c>
      <c r="AA76" s="52">
        <v>173.75</v>
      </c>
      <c r="AB76" s="53">
        <v>0.55600000000000005</v>
      </c>
      <c r="AC76" s="72">
        <v>138.75</v>
      </c>
      <c r="AD76" s="55">
        <v>0.44400000000000001</v>
      </c>
      <c r="AE76" s="73">
        <v>4</v>
      </c>
      <c r="AF76" s="57" t="s">
        <v>95</v>
      </c>
      <c r="AG76" s="58">
        <v>200</v>
      </c>
      <c r="AH76" s="58">
        <v>50</v>
      </c>
      <c r="AI76" s="58">
        <v>250</v>
      </c>
      <c r="AJ76" s="49">
        <v>62.5</v>
      </c>
      <c r="AK76" s="49">
        <v>312.5</v>
      </c>
      <c r="AL76" s="52">
        <v>31.25</v>
      </c>
      <c r="AM76" s="52">
        <v>112.5</v>
      </c>
      <c r="AN76" s="52">
        <v>143.75</v>
      </c>
      <c r="AO76" s="59">
        <v>0.46</v>
      </c>
      <c r="AP76" s="60">
        <v>168.75</v>
      </c>
      <c r="AQ76" s="61">
        <v>0.54</v>
      </c>
      <c r="AR76" s="64" t="s">
        <v>78</v>
      </c>
      <c r="AS76" s="62">
        <v>340</v>
      </c>
      <c r="AT76" s="62">
        <v>85</v>
      </c>
      <c r="AU76" s="62">
        <v>425</v>
      </c>
      <c r="AV76" s="62">
        <v>531.25</v>
      </c>
      <c r="AW76" s="63" t="s">
        <v>74</v>
      </c>
      <c r="AX76" s="64">
        <v>45188</v>
      </c>
      <c r="AY76" s="64" t="s">
        <v>4282</v>
      </c>
      <c r="AZ76" s="86"/>
      <c r="BA76" s="46" t="s">
        <v>74</v>
      </c>
      <c r="BB76" s="26"/>
      <c r="BC76" s="26"/>
      <c r="BD76" s="46"/>
      <c r="BE76" s="46" t="e">
        <v>#REF!</v>
      </c>
      <c r="BF76" s="46" t="s">
        <v>3837</v>
      </c>
      <c r="BG76" s="65">
        <v>2</v>
      </c>
      <c r="BH76" s="66"/>
      <c r="BI76" s="63" t="s">
        <v>4283</v>
      </c>
    </row>
    <row r="77" spans="1:61" ht="216.75" x14ac:dyDescent="0.2">
      <c r="A77" s="45" t="s">
        <v>4284</v>
      </c>
      <c r="B77" s="46"/>
      <c r="C77" s="46" t="s">
        <v>4285</v>
      </c>
      <c r="D77" s="46" t="s">
        <v>4286</v>
      </c>
      <c r="E77" s="46" t="s">
        <v>4287</v>
      </c>
      <c r="F77" s="46"/>
      <c r="G77" s="46"/>
      <c r="H77" s="46"/>
      <c r="I77" s="46"/>
      <c r="J77" s="46" t="s">
        <v>71</v>
      </c>
      <c r="K77" s="47">
        <f>600+800</f>
        <v>1400</v>
      </c>
      <c r="L77" s="47">
        <v>650</v>
      </c>
      <c r="M77" s="47">
        <v>2050</v>
      </c>
      <c r="N77" s="46" t="s">
        <v>4288</v>
      </c>
      <c r="O77" s="71" t="s">
        <v>4289</v>
      </c>
      <c r="P77" s="46" t="s">
        <v>4290</v>
      </c>
      <c r="Q77" s="46" t="s">
        <v>3826</v>
      </c>
      <c r="R77" s="46" t="s">
        <v>3829</v>
      </c>
      <c r="S77" s="49">
        <v>512.5</v>
      </c>
      <c r="T77" s="49">
        <v>2562.5</v>
      </c>
      <c r="U77" s="67">
        <v>0.43463414634146341</v>
      </c>
      <c r="V77" s="67">
        <v>0.44634146341463415</v>
      </c>
      <c r="W77" s="51">
        <v>0.4642857142857143</v>
      </c>
      <c r="X77" s="52">
        <v>256.25</v>
      </c>
      <c r="Y77" s="52">
        <v>30</v>
      </c>
      <c r="Z77" s="52">
        <v>1162.5</v>
      </c>
      <c r="AA77" s="52">
        <v>1448.75</v>
      </c>
      <c r="AB77" s="53">
        <v>0.56536585365853653</v>
      </c>
      <c r="AC77" s="72">
        <v>1113.75</v>
      </c>
      <c r="AD77" s="55">
        <v>0.43463414634146341</v>
      </c>
      <c r="AE77" s="73">
        <v>4</v>
      </c>
      <c r="AF77" s="57" t="s">
        <v>95</v>
      </c>
      <c r="AG77" s="58">
        <v>1400</v>
      </c>
      <c r="AH77" s="58">
        <v>650</v>
      </c>
      <c r="AI77" s="58">
        <v>2050</v>
      </c>
      <c r="AJ77" s="49">
        <v>512.5</v>
      </c>
      <c r="AK77" s="49">
        <v>2562.5</v>
      </c>
      <c r="AL77" s="52">
        <v>256.25</v>
      </c>
      <c r="AM77" s="52">
        <v>1162.5</v>
      </c>
      <c r="AN77" s="52">
        <v>1418.75</v>
      </c>
      <c r="AO77" s="59">
        <v>0.5536585365853659</v>
      </c>
      <c r="AP77" s="60">
        <v>1143.75</v>
      </c>
      <c r="AQ77" s="61">
        <v>0.44634146341463415</v>
      </c>
      <c r="AR77" s="60" t="s">
        <v>78</v>
      </c>
      <c r="AS77" s="62">
        <v>2380</v>
      </c>
      <c r="AT77" s="62">
        <v>1105</v>
      </c>
      <c r="AU77" s="62">
        <v>3485</v>
      </c>
      <c r="AV77" s="62">
        <v>4356.25</v>
      </c>
      <c r="AW77" s="63" t="s">
        <v>74</v>
      </c>
      <c r="AX77" s="64">
        <v>45287</v>
      </c>
      <c r="AY77" s="64" t="s">
        <v>4291</v>
      </c>
      <c r="AZ77" s="86"/>
      <c r="BA77" s="46" t="s">
        <v>74</v>
      </c>
      <c r="BB77" s="26"/>
      <c r="BC77" s="26"/>
      <c r="BD77" s="46"/>
      <c r="BE77" s="46" t="e">
        <v>#REF!</v>
      </c>
      <c r="BF77" s="46" t="s">
        <v>3837</v>
      </c>
      <c r="BG77" s="65">
        <v>8</v>
      </c>
      <c r="BH77" s="66"/>
      <c r="BI77" s="63" t="s">
        <v>4292</v>
      </c>
    </row>
    <row r="78" spans="1:61" ht="178.5" x14ac:dyDescent="0.2">
      <c r="A78" s="45" t="s">
        <v>4293</v>
      </c>
      <c r="B78" s="46"/>
      <c r="C78" s="46" t="s">
        <v>4294</v>
      </c>
      <c r="D78" s="46" t="s">
        <v>4295</v>
      </c>
      <c r="E78" s="46" t="s">
        <v>4296</v>
      </c>
      <c r="F78" s="46"/>
      <c r="G78" s="46"/>
      <c r="H78" s="46"/>
      <c r="I78" s="46"/>
      <c r="J78" s="46" t="s">
        <v>71</v>
      </c>
      <c r="K78" s="47">
        <v>300</v>
      </c>
      <c r="L78" s="47">
        <v>680</v>
      </c>
      <c r="M78" s="47">
        <v>980</v>
      </c>
      <c r="N78" s="46" t="s">
        <v>4297</v>
      </c>
      <c r="O78" s="71" t="s">
        <v>4298</v>
      </c>
      <c r="P78" s="46" t="s">
        <v>4265</v>
      </c>
      <c r="Q78" s="46" t="s">
        <v>3826</v>
      </c>
      <c r="R78" s="46" t="s">
        <v>3829</v>
      </c>
      <c r="S78" s="49">
        <v>245</v>
      </c>
      <c r="T78" s="49">
        <v>1225</v>
      </c>
      <c r="U78" s="50">
        <v>0.12040816326530612</v>
      </c>
      <c r="V78" s="50">
        <v>0.14489795918367346</v>
      </c>
      <c r="W78" s="77">
        <v>2.2666666666666666</v>
      </c>
      <c r="X78" s="52">
        <v>122.5</v>
      </c>
      <c r="Y78" s="52">
        <v>30</v>
      </c>
      <c r="Z78" s="52">
        <v>925</v>
      </c>
      <c r="AA78" s="52">
        <v>1077.5</v>
      </c>
      <c r="AB78" s="53">
        <v>0.87959183673469388</v>
      </c>
      <c r="AC78" s="72">
        <v>147.5</v>
      </c>
      <c r="AD78" s="55">
        <v>0.12040816326530612</v>
      </c>
      <c r="AE78" s="73">
        <v>4</v>
      </c>
      <c r="AF78" s="57" t="s">
        <v>95</v>
      </c>
      <c r="AG78" s="58">
        <v>300</v>
      </c>
      <c r="AH78" s="58">
        <v>680</v>
      </c>
      <c r="AI78" s="58">
        <v>980</v>
      </c>
      <c r="AJ78" s="49">
        <v>245</v>
      </c>
      <c r="AK78" s="49">
        <v>1225</v>
      </c>
      <c r="AL78" s="52">
        <v>122.5</v>
      </c>
      <c r="AM78" s="52">
        <v>925</v>
      </c>
      <c r="AN78" s="52">
        <v>1047.5</v>
      </c>
      <c r="AO78" s="59">
        <v>0.85510204081632657</v>
      </c>
      <c r="AP78" s="60">
        <v>177.5</v>
      </c>
      <c r="AQ78" s="61">
        <v>0.14489795918367346</v>
      </c>
      <c r="AR78" s="60" t="s">
        <v>73</v>
      </c>
      <c r="AS78" s="62">
        <v>510</v>
      </c>
      <c r="AT78" s="62">
        <v>1156</v>
      </c>
      <c r="AU78" s="62">
        <v>1666</v>
      </c>
      <c r="AV78" s="62">
        <v>2082.5</v>
      </c>
      <c r="AW78" s="63" t="s">
        <v>74</v>
      </c>
      <c r="AX78" s="64">
        <v>45300</v>
      </c>
      <c r="AY78" s="64" t="s">
        <v>4299</v>
      </c>
      <c r="AZ78" s="86"/>
      <c r="BA78" s="46" t="s">
        <v>74</v>
      </c>
      <c r="BB78" s="26"/>
      <c r="BC78" s="26"/>
      <c r="BD78" s="70" t="s">
        <v>4300</v>
      </c>
      <c r="BE78" s="46" t="e">
        <v>#REF!</v>
      </c>
      <c r="BF78" s="46" t="s">
        <v>3837</v>
      </c>
      <c r="BG78" s="65">
        <v>1.5</v>
      </c>
      <c r="BH78" s="66"/>
      <c r="BI78" s="63" t="s">
        <v>4301</v>
      </c>
    </row>
    <row r="79" spans="1:61" ht="178.5" x14ac:dyDescent="0.2">
      <c r="A79" s="45" t="s">
        <v>4302</v>
      </c>
      <c r="B79" s="46"/>
      <c r="C79" s="46" t="s">
        <v>4294</v>
      </c>
      <c r="D79" s="46" t="s">
        <v>4295</v>
      </c>
      <c r="E79" s="46" t="s">
        <v>4303</v>
      </c>
      <c r="F79" s="46"/>
      <c r="G79" s="46"/>
      <c r="H79" s="46"/>
      <c r="I79" s="46"/>
      <c r="J79" s="46" t="s">
        <v>71</v>
      </c>
      <c r="K79" s="47">
        <v>350</v>
      </c>
      <c r="L79" s="47">
        <v>850</v>
      </c>
      <c r="M79" s="47">
        <v>1200</v>
      </c>
      <c r="N79" s="46" t="s">
        <v>4297</v>
      </c>
      <c r="O79" s="71" t="s">
        <v>4304</v>
      </c>
      <c r="P79" s="46" t="s">
        <v>4265</v>
      </c>
      <c r="Q79" s="46" t="s">
        <v>3826</v>
      </c>
      <c r="R79" s="46" t="s">
        <v>3829</v>
      </c>
      <c r="S79" s="49">
        <v>300</v>
      </c>
      <c r="T79" s="49">
        <v>1500</v>
      </c>
      <c r="U79" s="50">
        <v>0.11333333333333333</v>
      </c>
      <c r="V79" s="50">
        <v>0.13333333333333333</v>
      </c>
      <c r="W79" s="77">
        <v>2.4285714285714284</v>
      </c>
      <c r="X79" s="52">
        <v>150</v>
      </c>
      <c r="Y79" s="52">
        <v>30</v>
      </c>
      <c r="Z79" s="52">
        <v>1150</v>
      </c>
      <c r="AA79" s="52">
        <v>1330</v>
      </c>
      <c r="AB79" s="53">
        <v>0.88666666666666671</v>
      </c>
      <c r="AC79" s="72">
        <v>170</v>
      </c>
      <c r="AD79" s="55">
        <v>0.11333333333333333</v>
      </c>
      <c r="AE79" s="73">
        <v>4</v>
      </c>
      <c r="AF79" s="57" t="s">
        <v>95</v>
      </c>
      <c r="AG79" s="58">
        <v>350</v>
      </c>
      <c r="AH79" s="58">
        <v>850</v>
      </c>
      <c r="AI79" s="58">
        <v>1200</v>
      </c>
      <c r="AJ79" s="49">
        <v>300</v>
      </c>
      <c r="AK79" s="49">
        <v>1500</v>
      </c>
      <c r="AL79" s="52">
        <v>150</v>
      </c>
      <c r="AM79" s="52">
        <v>1150</v>
      </c>
      <c r="AN79" s="52">
        <v>1300</v>
      </c>
      <c r="AO79" s="59">
        <v>0.8666666666666667</v>
      </c>
      <c r="AP79" s="60">
        <v>200</v>
      </c>
      <c r="AQ79" s="61">
        <v>0.13333333333333333</v>
      </c>
      <c r="AR79" s="60" t="s">
        <v>73</v>
      </c>
      <c r="AS79" s="62">
        <v>595</v>
      </c>
      <c r="AT79" s="62">
        <v>1445</v>
      </c>
      <c r="AU79" s="62">
        <v>2040</v>
      </c>
      <c r="AV79" s="62">
        <v>2550</v>
      </c>
      <c r="AW79" s="63" t="s">
        <v>74</v>
      </c>
      <c r="AX79" s="64">
        <v>45300</v>
      </c>
      <c r="AY79" s="64" t="s">
        <v>4305</v>
      </c>
      <c r="AZ79" s="86"/>
      <c r="BA79" s="46" t="s">
        <v>74</v>
      </c>
      <c r="BB79" s="26"/>
      <c r="BC79" s="26"/>
      <c r="BD79" s="70" t="s">
        <v>4300</v>
      </c>
      <c r="BE79" s="46" t="e">
        <v>#REF!</v>
      </c>
      <c r="BF79" s="46" t="s">
        <v>3837</v>
      </c>
      <c r="BG79" s="65">
        <v>1.5</v>
      </c>
      <c r="BH79" s="66"/>
      <c r="BI79" s="63" t="s">
        <v>4306</v>
      </c>
    </row>
    <row r="80" spans="1:61" ht="165.75" x14ac:dyDescent="0.2">
      <c r="A80" s="45" t="s">
        <v>4307</v>
      </c>
      <c r="B80" s="46"/>
      <c r="C80" s="46" t="s">
        <v>4308</v>
      </c>
      <c r="D80" s="46" t="s">
        <v>4309</v>
      </c>
      <c r="E80" s="46"/>
      <c r="F80" s="46"/>
      <c r="G80" s="46"/>
      <c r="H80" s="46"/>
      <c r="I80" s="46"/>
      <c r="J80" s="46" t="s">
        <v>71</v>
      </c>
      <c r="K80" s="47">
        <v>250</v>
      </c>
      <c r="L80" s="47">
        <v>150</v>
      </c>
      <c r="M80" s="47">
        <v>400</v>
      </c>
      <c r="N80" s="46" t="s">
        <v>4308</v>
      </c>
      <c r="O80" s="71" t="s">
        <v>4310</v>
      </c>
      <c r="P80" s="46" t="s">
        <v>4311</v>
      </c>
      <c r="Q80" s="46" t="s">
        <v>3826</v>
      </c>
      <c r="R80" s="46" t="s">
        <v>3829</v>
      </c>
      <c r="S80" s="49">
        <v>100</v>
      </c>
      <c r="T80" s="49">
        <v>500</v>
      </c>
      <c r="U80" s="67">
        <v>0.34</v>
      </c>
      <c r="V80" s="67">
        <v>0.4</v>
      </c>
      <c r="W80" s="51">
        <v>0.6</v>
      </c>
      <c r="X80" s="52">
        <v>50</v>
      </c>
      <c r="Y80" s="52">
        <v>30</v>
      </c>
      <c r="Z80" s="52">
        <v>250</v>
      </c>
      <c r="AA80" s="52">
        <v>330</v>
      </c>
      <c r="AB80" s="53">
        <v>0.66</v>
      </c>
      <c r="AC80" s="72">
        <v>170</v>
      </c>
      <c r="AD80" s="55">
        <v>0.34</v>
      </c>
      <c r="AE80" s="73">
        <v>3</v>
      </c>
      <c r="AF80" s="57" t="s">
        <v>95</v>
      </c>
      <c r="AG80" s="58">
        <v>250</v>
      </c>
      <c r="AH80" s="58">
        <v>150</v>
      </c>
      <c r="AI80" s="58">
        <v>400</v>
      </c>
      <c r="AJ80" s="49">
        <v>100</v>
      </c>
      <c r="AK80" s="49">
        <v>500</v>
      </c>
      <c r="AL80" s="52">
        <v>50</v>
      </c>
      <c r="AM80" s="52">
        <v>250</v>
      </c>
      <c r="AN80" s="52">
        <v>300</v>
      </c>
      <c r="AO80" s="59">
        <v>0.6</v>
      </c>
      <c r="AP80" s="60">
        <v>200</v>
      </c>
      <c r="AQ80" s="61">
        <v>0.4</v>
      </c>
      <c r="AR80" s="60" t="s">
        <v>78</v>
      </c>
      <c r="AS80" s="62">
        <v>400</v>
      </c>
      <c r="AT80" s="62">
        <v>240</v>
      </c>
      <c r="AU80" s="62">
        <v>640</v>
      </c>
      <c r="AV80" s="62">
        <v>800</v>
      </c>
      <c r="AW80" s="63" t="s">
        <v>74</v>
      </c>
      <c r="AX80" s="64">
        <v>45365</v>
      </c>
      <c r="AY80" s="64" t="s">
        <v>4312</v>
      </c>
      <c r="AZ80" s="86"/>
      <c r="BA80" s="46" t="s">
        <v>74</v>
      </c>
      <c r="BB80" s="26"/>
      <c r="BC80" s="26"/>
      <c r="BD80" s="46"/>
      <c r="BE80" s="46" t="e">
        <v>#REF!</v>
      </c>
      <c r="BF80" s="46" t="s">
        <v>3837</v>
      </c>
      <c r="BG80" s="65">
        <v>1</v>
      </c>
      <c r="BH80" s="66"/>
      <c r="BI80" s="63" t="s">
        <v>4313</v>
      </c>
    </row>
    <row r="81" spans="1:61" ht="76.5" x14ac:dyDescent="0.2">
      <c r="A81" s="45" t="s">
        <v>4314</v>
      </c>
      <c r="B81" s="46"/>
      <c r="C81" s="46" t="s">
        <v>3890</v>
      </c>
      <c r="D81" s="46" t="s">
        <v>4020</v>
      </c>
      <c r="E81" s="46" t="s">
        <v>4315</v>
      </c>
      <c r="F81" s="46" t="s">
        <v>4316</v>
      </c>
      <c r="G81" s="46"/>
      <c r="H81" s="46"/>
      <c r="I81" s="46"/>
      <c r="J81" s="46" t="s">
        <v>71</v>
      </c>
      <c r="K81" s="47">
        <v>600</v>
      </c>
      <c r="L81" s="47">
        <v>1800</v>
      </c>
      <c r="M81" s="47">
        <v>2400</v>
      </c>
      <c r="N81" s="46"/>
      <c r="O81" s="71" t="s">
        <v>68</v>
      </c>
      <c r="P81" s="46"/>
      <c r="Q81" s="46" t="s">
        <v>3826</v>
      </c>
      <c r="R81" s="46" t="s">
        <v>3829</v>
      </c>
      <c r="S81" s="49">
        <v>600</v>
      </c>
      <c r="T81" s="49">
        <v>3000</v>
      </c>
      <c r="U81" s="50">
        <v>0.09</v>
      </c>
      <c r="V81" s="50">
        <v>0.1</v>
      </c>
      <c r="W81" s="77">
        <v>3</v>
      </c>
      <c r="X81" s="52">
        <v>300</v>
      </c>
      <c r="Y81" s="52">
        <v>30</v>
      </c>
      <c r="Z81" s="52">
        <v>2400</v>
      </c>
      <c r="AA81" s="52">
        <v>2730</v>
      </c>
      <c r="AB81" s="53">
        <v>0.91</v>
      </c>
      <c r="AC81" s="72">
        <v>270</v>
      </c>
      <c r="AD81" s="55">
        <v>0.09</v>
      </c>
      <c r="AE81" s="73">
        <v>4</v>
      </c>
      <c r="AF81" s="57" t="s">
        <v>95</v>
      </c>
      <c r="AG81" s="58">
        <v>600</v>
      </c>
      <c r="AH81" s="58">
        <v>1800</v>
      </c>
      <c r="AI81" s="58">
        <v>2400</v>
      </c>
      <c r="AJ81" s="49">
        <v>600</v>
      </c>
      <c r="AK81" s="49">
        <v>3000</v>
      </c>
      <c r="AL81" s="52">
        <v>300</v>
      </c>
      <c r="AM81" s="52">
        <v>2400</v>
      </c>
      <c r="AN81" s="52">
        <v>2700</v>
      </c>
      <c r="AO81" s="59">
        <v>0.9</v>
      </c>
      <c r="AP81" s="60">
        <v>300</v>
      </c>
      <c r="AQ81" s="61">
        <v>0.1</v>
      </c>
      <c r="AR81" s="60" t="s">
        <v>73</v>
      </c>
      <c r="AS81" s="62">
        <v>1020</v>
      </c>
      <c r="AT81" s="62">
        <v>3060</v>
      </c>
      <c r="AU81" s="62">
        <v>4080</v>
      </c>
      <c r="AV81" s="62">
        <v>5100</v>
      </c>
      <c r="AW81" s="63"/>
      <c r="AX81" s="64">
        <v>45385</v>
      </c>
      <c r="AY81" s="64" t="s">
        <v>4317</v>
      </c>
      <c r="AZ81" s="86"/>
      <c r="BA81" s="46"/>
      <c r="BB81" s="64"/>
      <c r="BC81" s="64"/>
      <c r="BD81" s="46"/>
      <c r="BE81" s="46" t="e">
        <v>#REF!</v>
      </c>
      <c r="BF81" s="46" t="s">
        <v>3837</v>
      </c>
      <c r="BG81" s="65">
        <v>4</v>
      </c>
      <c r="BH81" s="66"/>
      <c r="BI81" s="63" t="s">
        <v>4318</v>
      </c>
    </row>
    <row r="82" spans="1:61" ht="38.25" x14ac:dyDescent="0.2">
      <c r="A82" s="34" t="s">
        <v>4319</v>
      </c>
      <c r="B82" s="35"/>
      <c r="C82" s="35" t="s">
        <v>68</v>
      </c>
      <c r="D82" s="35" t="s">
        <v>68</v>
      </c>
      <c r="E82" s="35" t="s">
        <v>68</v>
      </c>
      <c r="F82" s="35" t="s">
        <v>68</v>
      </c>
      <c r="G82" s="35" t="s">
        <v>68</v>
      </c>
      <c r="H82" s="35" t="s">
        <v>68</v>
      </c>
      <c r="I82" s="35" t="s">
        <v>68</v>
      </c>
      <c r="J82" s="35" t="s">
        <v>68</v>
      </c>
      <c r="K82" s="36" t="s">
        <v>68</v>
      </c>
      <c r="L82" s="36" t="s">
        <v>68</v>
      </c>
      <c r="M82" s="36" t="s">
        <v>68</v>
      </c>
      <c r="N82" s="35"/>
      <c r="O82" s="35" t="s">
        <v>68</v>
      </c>
      <c r="P82" s="37"/>
      <c r="Q82" s="38" t="s">
        <v>3826</v>
      </c>
      <c r="R82" s="38" t="s">
        <v>4320</v>
      </c>
      <c r="S82" s="36" t="s">
        <v>68</v>
      </c>
      <c r="T82" s="36" t="s">
        <v>68</v>
      </c>
      <c r="U82" s="39" t="s">
        <v>68</v>
      </c>
      <c r="V82" s="39" t="s">
        <v>68</v>
      </c>
      <c r="W82" s="40" t="s">
        <v>68</v>
      </c>
      <c r="X82" s="36" t="s">
        <v>68</v>
      </c>
      <c r="Y82" s="36" t="s">
        <v>68</v>
      </c>
      <c r="Z82" s="36" t="s">
        <v>68</v>
      </c>
      <c r="AA82" s="36" t="s">
        <v>68</v>
      </c>
      <c r="AB82" s="39" t="s">
        <v>68</v>
      </c>
      <c r="AC82" s="36" t="s">
        <v>68</v>
      </c>
      <c r="AD82" s="39" t="s">
        <v>68</v>
      </c>
      <c r="AE82" s="41"/>
      <c r="AF82" s="42" t="s">
        <v>68</v>
      </c>
      <c r="AG82" s="36" t="s">
        <v>68</v>
      </c>
      <c r="AH82" s="36" t="s">
        <v>68</v>
      </c>
      <c r="AI82" s="36" t="s">
        <v>68</v>
      </c>
      <c r="AJ82" s="36" t="s">
        <v>68</v>
      </c>
      <c r="AK82" s="36" t="s">
        <v>68</v>
      </c>
      <c r="AL82" s="36" t="s">
        <v>68</v>
      </c>
      <c r="AM82" s="36" t="s">
        <v>68</v>
      </c>
      <c r="AN82" s="36" t="s">
        <v>68</v>
      </c>
      <c r="AO82" s="43" t="s">
        <v>68</v>
      </c>
      <c r="AP82" s="36" t="s">
        <v>68</v>
      </c>
      <c r="AQ82" s="39" t="s">
        <v>68</v>
      </c>
      <c r="AR82" s="36" t="s">
        <v>68</v>
      </c>
      <c r="AS82" s="36" t="s">
        <v>68</v>
      </c>
      <c r="AT82" s="36" t="s">
        <v>68</v>
      </c>
      <c r="AU82" s="36" t="s">
        <v>68</v>
      </c>
      <c r="AV82" s="36" t="s">
        <v>68</v>
      </c>
      <c r="AW82" s="35"/>
      <c r="AX82" s="37"/>
      <c r="AY82" s="37" t="s">
        <v>68</v>
      </c>
      <c r="AZ82" s="86"/>
      <c r="BA82" s="37"/>
      <c r="BB82" s="37"/>
      <c r="BC82" s="37"/>
      <c r="BD82" s="35"/>
      <c r="BE82" s="35" t="e">
        <v>#REF!</v>
      </c>
      <c r="BF82" s="35"/>
      <c r="BG82" s="44"/>
      <c r="BH82" s="38" t="s">
        <v>4321</v>
      </c>
      <c r="BI82" s="35" t="s">
        <v>68</v>
      </c>
    </row>
    <row r="83" spans="1:61" ht="369.75" x14ac:dyDescent="0.2">
      <c r="A83" s="45" t="s">
        <v>4322</v>
      </c>
      <c r="B83" s="46"/>
      <c r="C83" s="46" t="s">
        <v>4323</v>
      </c>
      <c r="D83" s="46"/>
      <c r="E83" s="46" t="s">
        <v>68</v>
      </c>
      <c r="F83" s="46" t="s">
        <v>68</v>
      </c>
      <c r="G83" s="46" t="s">
        <v>68</v>
      </c>
      <c r="H83" s="46" t="s">
        <v>68</v>
      </c>
      <c r="I83" s="46" t="s">
        <v>68</v>
      </c>
      <c r="J83" s="46" t="s">
        <v>71</v>
      </c>
      <c r="K83" s="47">
        <v>200</v>
      </c>
      <c r="L83" s="47">
        <v>0</v>
      </c>
      <c r="M83" s="47">
        <v>200</v>
      </c>
      <c r="N83" s="46" t="s">
        <v>4324</v>
      </c>
      <c r="O83" s="71" t="s">
        <v>4325</v>
      </c>
      <c r="P83" s="46" t="s">
        <v>4326</v>
      </c>
      <c r="Q83" s="46" t="s">
        <v>3826</v>
      </c>
      <c r="R83" s="46" t="s">
        <v>4320</v>
      </c>
      <c r="S83" s="49">
        <v>50</v>
      </c>
      <c r="T83" s="49">
        <v>250</v>
      </c>
      <c r="U83" s="67">
        <v>0.57999999999999996</v>
      </c>
      <c r="V83" s="67">
        <v>0.7</v>
      </c>
      <c r="W83" s="51">
        <v>0</v>
      </c>
      <c r="X83" s="52">
        <v>25</v>
      </c>
      <c r="Y83" s="52">
        <v>30</v>
      </c>
      <c r="Z83" s="52">
        <v>50</v>
      </c>
      <c r="AA83" s="52">
        <v>105</v>
      </c>
      <c r="AB83" s="53">
        <v>0.42</v>
      </c>
      <c r="AC83" s="72">
        <v>145</v>
      </c>
      <c r="AD83" s="55">
        <v>0.57999999999999996</v>
      </c>
      <c r="AE83" s="73">
        <v>4</v>
      </c>
      <c r="AF83" s="57" t="s">
        <v>95</v>
      </c>
      <c r="AG83" s="58">
        <v>200</v>
      </c>
      <c r="AH83" s="58">
        <v>0</v>
      </c>
      <c r="AI83" s="58">
        <v>200</v>
      </c>
      <c r="AJ83" s="49">
        <v>50</v>
      </c>
      <c r="AK83" s="49">
        <v>250</v>
      </c>
      <c r="AL83" s="52">
        <v>25</v>
      </c>
      <c r="AM83" s="52">
        <v>50</v>
      </c>
      <c r="AN83" s="52">
        <v>75</v>
      </c>
      <c r="AO83" s="59">
        <v>0.3</v>
      </c>
      <c r="AP83" s="60">
        <v>175</v>
      </c>
      <c r="AQ83" s="61">
        <v>0.7</v>
      </c>
      <c r="AR83" s="60" t="s">
        <v>78</v>
      </c>
      <c r="AS83" s="62">
        <v>340</v>
      </c>
      <c r="AT83" s="62">
        <v>0</v>
      </c>
      <c r="AU83" s="62">
        <v>340</v>
      </c>
      <c r="AV83" s="62">
        <v>425</v>
      </c>
      <c r="AW83" s="47" t="s">
        <v>74</v>
      </c>
      <c r="AX83" s="64">
        <v>45558</v>
      </c>
      <c r="AY83" s="64" t="s">
        <v>4327</v>
      </c>
      <c r="AZ83" s="86"/>
      <c r="BA83" s="46" t="s">
        <v>107</v>
      </c>
      <c r="BB83" s="46" t="s">
        <v>4328</v>
      </c>
      <c r="BC83" s="46" t="s">
        <v>4329</v>
      </c>
      <c r="BD83" s="46"/>
      <c r="BE83" s="46" t="e">
        <v>#REF!</v>
      </c>
      <c r="BF83" s="46" t="s">
        <v>4330</v>
      </c>
      <c r="BG83" s="65">
        <v>2</v>
      </c>
      <c r="BH83" s="66" t="s">
        <v>4331</v>
      </c>
      <c r="BI83" s="63" t="s">
        <v>4323</v>
      </c>
    </row>
    <row r="84" spans="1:61" ht="382.5" x14ac:dyDescent="0.2">
      <c r="A84" s="45" t="s">
        <v>4332</v>
      </c>
      <c r="B84" s="46"/>
      <c r="C84" s="46" t="s">
        <v>4333</v>
      </c>
      <c r="D84" s="46"/>
      <c r="E84" s="46"/>
      <c r="F84" s="46"/>
      <c r="G84" s="46"/>
      <c r="H84" s="46"/>
      <c r="I84" s="46"/>
      <c r="J84" s="46" t="s">
        <v>71</v>
      </c>
      <c r="K84" s="47">
        <v>230</v>
      </c>
      <c r="L84" s="47">
        <v>50</v>
      </c>
      <c r="M84" s="47">
        <v>280</v>
      </c>
      <c r="N84" s="46" t="s">
        <v>4334</v>
      </c>
      <c r="O84" s="71" t="s">
        <v>4335</v>
      </c>
      <c r="P84" s="46" t="s">
        <v>4336</v>
      </c>
      <c r="Q84" s="46" t="s">
        <v>3826</v>
      </c>
      <c r="R84" s="46" t="s">
        <v>4320</v>
      </c>
      <c r="S84" s="49">
        <v>70</v>
      </c>
      <c r="T84" s="49">
        <v>350</v>
      </c>
      <c r="U84" s="67">
        <v>0.47142857142857142</v>
      </c>
      <c r="V84" s="67">
        <v>0.55714285714285716</v>
      </c>
      <c r="W84" s="51">
        <v>0.21739130434782608</v>
      </c>
      <c r="X84" s="52">
        <v>35</v>
      </c>
      <c r="Y84" s="52">
        <v>30</v>
      </c>
      <c r="Z84" s="52">
        <v>120</v>
      </c>
      <c r="AA84" s="52">
        <v>185</v>
      </c>
      <c r="AB84" s="53">
        <v>0.52857142857142858</v>
      </c>
      <c r="AC84" s="72">
        <v>165</v>
      </c>
      <c r="AD84" s="55">
        <v>0.47142857142857142</v>
      </c>
      <c r="AE84" s="73">
        <v>4</v>
      </c>
      <c r="AF84" s="57" t="s">
        <v>95</v>
      </c>
      <c r="AG84" s="58">
        <v>230</v>
      </c>
      <c r="AH84" s="58">
        <v>50</v>
      </c>
      <c r="AI84" s="58">
        <v>280</v>
      </c>
      <c r="AJ84" s="49">
        <v>70</v>
      </c>
      <c r="AK84" s="49">
        <v>350</v>
      </c>
      <c r="AL84" s="52">
        <v>35</v>
      </c>
      <c r="AM84" s="52">
        <v>120</v>
      </c>
      <c r="AN84" s="52">
        <v>155</v>
      </c>
      <c r="AO84" s="59">
        <v>0.44285714285714284</v>
      </c>
      <c r="AP84" s="60">
        <v>195</v>
      </c>
      <c r="AQ84" s="61">
        <v>0.55714285714285716</v>
      </c>
      <c r="AR84" s="60" t="s">
        <v>78</v>
      </c>
      <c r="AS84" s="62">
        <v>391</v>
      </c>
      <c r="AT84" s="62">
        <v>85</v>
      </c>
      <c r="AU84" s="62">
        <v>476</v>
      </c>
      <c r="AV84" s="62">
        <v>595</v>
      </c>
      <c r="AW84" s="47" t="s">
        <v>74</v>
      </c>
      <c r="AX84" s="64">
        <v>45558</v>
      </c>
      <c r="AY84" s="64" t="s">
        <v>4337</v>
      </c>
      <c r="AZ84" s="86"/>
      <c r="BA84" s="46" t="s">
        <v>107</v>
      </c>
      <c r="BB84" s="46" t="s">
        <v>4328</v>
      </c>
      <c r="BC84" s="46" t="s">
        <v>4329</v>
      </c>
      <c r="BD84" s="46"/>
      <c r="BE84" s="46" t="e">
        <v>#REF!</v>
      </c>
      <c r="BF84" s="46" t="s">
        <v>4330</v>
      </c>
      <c r="BG84" s="65">
        <v>2</v>
      </c>
      <c r="BH84" s="66"/>
      <c r="BI84" s="63" t="s">
        <v>4333</v>
      </c>
    </row>
    <row r="85" spans="1:61" ht="395.25" x14ac:dyDescent="0.2">
      <c r="A85" s="45" t="s">
        <v>4338</v>
      </c>
      <c r="B85" s="46"/>
      <c r="C85" s="46" t="s">
        <v>4339</v>
      </c>
      <c r="D85" s="46"/>
      <c r="E85" s="46"/>
      <c r="F85" s="46"/>
      <c r="G85" s="46"/>
      <c r="H85" s="46"/>
      <c r="I85" s="46"/>
      <c r="J85" s="46" t="s">
        <v>71</v>
      </c>
      <c r="K85" s="47">
        <v>230</v>
      </c>
      <c r="L85" s="47">
        <v>280</v>
      </c>
      <c r="M85" s="47">
        <v>510</v>
      </c>
      <c r="N85" s="46" t="s">
        <v>4334</v>
      </c>
      <c r="O85" s="71" t="s">
        <v>4340</v>
      </c>
      <c r="P85" s="46" t="s">
        <v>4341</v>
      </c>
      <c r="Q85" s="46" t="s">
        <v>3826</v>
      </c>
      <c r="R85" s="46" t="s">
        <v>4320</v>
      </c>
      <c r="S85" s="49">
        <v>127.5</v>
      </c>
      <c r="T85" s="49">
        <v>637.5</v>
      </c>
      <c r="U85" s="28">
        <v>0.21372549019607842</v>
      </c>
      <c r="V85" s="28">
        <v>0.26078431372549021</v>
      </c>
      <c r="W85" s="74">
        <v>1.2173913043478262</v>
      </c>
      <c r="X85" s="52">
        <v>63.75</v>
      </c>
      <c r="Y85" s="52">
        <v>30</v>
      </c>
      <c r="Z85" s="52">
        <v>407.5</v>
      </c>
      <c r="AA85" s="52">
        <v>501.25</v>
      </c>
      <c r="AB85" s="53">
        <v>0.78627450980392155</v>
      </c>
      <c r="AC85" s="72">
        <v>136.25</v>
      </c>
      <c r="AD85" s="55">
        <v>0.21372549019607842</v>
      </c>
      <c r="AE85" s="73">
        <v>4</v>
      </c>
      <c r="AF85" s="57" t="s">
        <v>95</v>
      </c>
      <c r="AG85" s="58">
        <v>230</v>
      </c>
      <c r="AH85" s="58">
        <v>280</v>
      </c>
      <c r="AI85" s="58">
        <v>510</v>
      </c>
      <c r="AJ85" s="49">
        <v>127.5</v>
      </c>
      <c r="AK85" s="49">
        <v>637.5</v>
      </c>
      <c r="AL85" s="52">
        <v>63.75</v>
      </c>
      <c r="AM85" s="52">
        <v>407.5</v>
      </c>
      <c r="AN85" s="52">
        <v>471.25</v>
      </c>
      <c r="AO85" s="59">
        <v>0.73921568627450984</v>
      </c>
      <c r="AP85" s="60">
        <v>166.25</v>
      </c>
      <c r="AQ85" s="61">
        <v>0.26078431372549021</v>
      </c>
      <c r="AR85" s="60" t="s">
        <v>78</v>
      </c>
      <c r="AS85" s="62">
        <v>391</v>
      </c>
      <c r="AT85" s="62">
        <v>476</v>
      </c>
      <c r="AU85" s="62">
        <v>867</v>
      </c>
      <c r="AV85" s="62">
        <v>1083.75</v>
      </c>
      <c r="AW85" s="47" t="s">
        <v>74</v>
      </c>
      <c r="AX85" s="64">
        <v>45558</v>
      </c>
      <c r="AY85" s="64" t="s">
        <v>4342</v>
      </c>
      <c r="AZ85" s="86"/>
      <c r="BA85" s="46" t="s">
        <v>107</v>
      </c>
      <c r="BB85" s="46" t="s">
        <v>4343</v>
      </c>
      <c r="BC85" s="46" t="s">
        <v>4329</v>
      </c>
      <c r="BD85" s="46"/>
      <c r="BE85" s="46" t="e">
        <v>#REF!</v>
      </c>
      <c r="BF85" s="46" t="s">
        <v>4330</v>
      </c>
      <c r="BG85" s="65">
        <v>2</v>
      </c>
      <c r="BH85" s="66"/>
      <c r="BI85" s="63" t="s">
        <v>4339</v>
      </c>
    </row>
    <row r="86" spans="1:61" ht="395.25" x14ac:dyDescent="0.2">
      <c r="A86" s="45" t="s">
        <v>4344</v>
      </c>
      <c r="B86" s="46"/>
      <c r="C86" s="46" t="s">
        <v>4345</v>
      </c>
      <c r="D86" s="46"/>
      <c r="E86" s="46"/>
      <c r="F86" s="46"/>
      <c r="G86" s="46"/>
      <c r="H86" s="46"/>
      <c r="I86" s="46" t="s">
        <v>445</v>
      </c>
      <c r="J86" s="46" t="s">
        <v>71</v>
      </c>
      <c r="K86" s="47">
        <v>270</v>
      </c>
      <c r="L86" s="47">
        <v>450</v>
      </c>
      <c r="M86" s="47">
        <v>720</v>
      </c>
      <c r="N86" s="46" t="s">
        <v>4334</v>
      </c>
      <c r="O86" s="71" t="s">
        <v>4346</v>
      </c>
      <c r="P86" s="46" t="s">
        <v>4341</v>
      </c>
      <c r="Q86" s="46" t="s">
        <v>3826</v>
      </c>
      <c r="R86" s="46" t="s">
        <v>4320</v>
      </c>
      <c r="S86" s="49">
        <v>180</v>
      </c>
      <c r="T86" s="49">
        <v>900</v>
      </c>
      <c r="U86" s="50">
        <v>0.16666666666666666</v>
      </c>
      <c r="V86" s="28">
        <v>0.2</v>
      </c>
      <c r="W86" s="77">
        <v>1.6666666666666667</v>
      </c>
      <c r="X86" s="52">
        <v>90</v>
      </c>
      <c r="Y86" s="52">
        <v>30</v>
      </c>
      <c r="Z86" s="52">
        <v>630</v>
      </c>
      <c r="AA86" s="52">
        <v>750</v>
      </c>
      <c r="AB86" s="53">
        <v>0.83333333333333337</v>
      </c>
      <c r="AC86" s="72">
        <v>150</v>
      </c>
      <c r="AD86" s="55">
        <v>0.16666666666666666</v>
      </c>
      <c r="AE86" s="73">
        <v>4</v>
      </c>
      <c r="AF86" s="57" t="s">
        <v>95</v>
      </c>
      <c r="AG86" s="58">
        <v>270</v>
      </c>
      <c r="AH86" s="58">
        <v>450</v>
      </c>
      <c r="AI86" s="58">
        <v>720</v>
      </c>
      <c r="AJ86" s="49">
        <v>180</v>
      </c>
      <c r="AK86" s="49">
        <v>900</v>
      </c>
      <c r="AL86" s="52">
        <v>90</v>
      </c>
      <c r="AM86" s="52">
        <v>630</v>
      </c>
      <c r="AN86" s="52">
        <v>720</v>
      </c>
      <c r="AO86" s="59">
        <v>0.8</v>
      </c>
      <c r="AP86" s="60">
        <v>180</v>
      </c>
      <c r="AQ86" s="61">
        <v>0.2</v>
      </c>
      <c r="AR86" s="60" t="s">
        <v>78</v>
      </c>
      <c r="AS86" s="62">
        <v>459</v>
      </c>
      <c r="AT86" s="62">
        <v>765</v>
      </c>
      <c r="AU86" s="62">
        <v>1224</v>
      </c>
      <c r="AV86" s="62">
        <v>1530</v>
      </c>
      <c r="AW86" s="47" t="s">
        <v>74</v>
      </c>
      <c r="AX86" s="64">
        <v>45558</v>
      </c>
      <c r="AY86" s="64" t="s">
        <v>4347</v>
      </c>
      <c r="AZ86" s="86"/>
      <c r="BA86" s="46" t="s">
        <v>107</v>
      </c>
      <c r="BB86" s="46" t="s">
        <v>4343</v>
      </c>
      <c r="BC86" s="46" t="s">
        <v>4329</v>
      </c>
      <c r="BD86" s="46"/>
      <c r="BE86" s="46" t="e">
        <v>#REF!</v>
      </c>
      <c r="BF86" s="46" t="s">
        <v>4330</v>
      </c>
      <c r="BG86" s="65">
        <v>2</v>
      </c>
      <c r="BH86" s="66"/>
      <c r="BI86" s="63" t="s">
        <v>4348</v>
      </c>
    </row>
    <row r="87" spans="1:61" ht="395.25" x14ac:dyDescent="0.2">
      <c r="A87" s="45" t="s">
        <v>4349</v>
      </c>
      <c r="B87" s="46"/>
      <c r="C87" s="46" t="s">
        <v>4345</v>
      </c>
      <c r="D87" s="46"/>
      <c r="E87" s="46"/>
      <c r="F87" s="46"/>
      <c r="G87" s="46"/>
      <c r="H87" s="46"/>
      <c r="I87" s="46" t="s">
        <v>449</v>
      </c>
      <c r="J87" s="46" t="s">
        <v>71</v>
      </c>
      <c r="K87" s="47">
        <v>320</v>
      </c>
      <c r="L87" s="47">
        <v>650</v>
      </c>
      <c r="M87" s="47">
        <v>970</v>
      </c>
      <c r="N87" s="46" t="s">
        <v>4334</v>
      </c>
      <c r="O87" s="71" t="s">
        <v>4350</v>
      </c>
      <c r="P87" s="46" t="s">
        <v>4341</v>
      </c>
      <c r="Q87" s="46" t="s">
        <v>3826</v>
      </c>
      <c r="R87" s="46" t="s">
        <v>4320</v>
      </c>
      <c r="S87" s="49">
        <v>242.5</v>
      </c>
      <c r="T87" s="49">
        <v>1212.5</v>
      </c>
      <c r="U87" s="50">
        <v>0.13917525773195877</v>
      </c>
      <c r="V87" s="50">
        <v>0.16391752577319588</v>
      </c>
      <c r="W87" s="77">
        <v>2.03125</v>
      </c>
      <c r="X87" s="52">
        <v>121.25</v>
      </c>
      <c r="Y87" s="52">
        <v>30</v>
      </c>
      <c r="Z87" s="52">
        <v>892.5</v>
      </c>
      <c r="AA87" s="52">
        <v>1043.75</v>
      </c>
      <c r="AB87" s="53">
        <v>0.86082474226804129</v>
      </c>
      <c r="AC87" s="72">
        <v>168.75</v>
      </c>
      <c r="AD87" s="55">
        <v>0.13917525773195877</v>
      </c>
      <c r="AE87" s="73">
        <v>4</v>
      </c>
      <c r="AF87" s="57" t="s">
        <v>95</v>
      </c>
      <c r="AG87" s="58">
        <v>320</v>
      </c>
      <c r="AH87" s="58">
        <v>650</v>
      </c>
      <c r="AI87" s="58">
        <v>970</v>
      </c>
      <c r="AJ87" s="49">
        <v>242.5</v>
      </c>
      <c r="AK87" s="49">
        <v>1212.5</v>
      </c>
      <c r="AL87" s="52">
        <v>121.25</v>
      </c>
      <c r="AM87" s="52">
        <v>892.5</v>
      </c>
      <c r="AN87" s="52">
        <v>1013.75</v>
      </c>
      <c r="AO87" s="59">
        <v>0.83608247422680415</v>
      </c>
      <c r="AP87" s="60">
        <v>198.75</v>
      </c>
      <c r="AQ87" s="61">
        <v>0.16391752577319588</v>
      </c>
      <c r="AR87" s="60" t="s">
        <v>73</v>
      </c>
      <c r="AS87" s="62">
        <v>544</v>
      </c>
      <c r="AT87" s="62">
        <v>1105</v>
      </c>
      <c r="AU87" s="62">
        <v>1649</v>
      </c>
      <c r="AV87" s="62">
        <v>2061.25</v>
      </c>
      <c r="AW87" s="47" t="s">
        <v>74</v>
      </c>
      <c r="AX87" s="64">
        <v>45558</v>
      </c>
      <c r="AY87" s="64" t="s">
        <v>4351</v>
      </c>
      <c r="AZ87" s="86"/>
      <c r="BA87" s="46" t="s">
        <v>107</v>
      </c>
      <c r="BB87" s="46" t="s">
        <v>4343</v>
      </c>
      <c r="BC87" s="46" t="s">
        <v>4329</v>
      </c>
      <c r="BD87" s="46"/>
      <c r="BE87" s="46" t="e">
        <v>#REF!</v>
      </c>
      <c r="BF87" s="46" t="s">
        <v>4330</v>
      </c>
      <c r="BG87" s="65">
        <v>2</v>
      </c>
      <c r="BH87" s="66"/>
      <c r="BI87" s="63" t="s">
        <v>4352</v>
      </c>
    </row>
    <row r="88" spans="1:61" ht="382.5" x14ac:dyDescent="0.2">
      <c r="A88" s="45" t="s">
        <v>4353</v>
      </c>
      <c r="B88" s="46"/>
      <c r="C88" s="46" t="s">
        <v>4354</v>
      </c>
      <c r="D88" s="46"/>
      <c r="E88" s="46"/>
      <c r="F88" s="46"/>
      <c r="G88" s="46"/>
      <c r="H88" s="46"/>
      <c r="I88" s="46"/>
      <c r="J88" s="46" t="s">
        <v>71</v>
      </c>
      <c r="K88" s="47">
        <v>230</v>
      </c>
      <c r="L88" s="47">
        <v>70</v>
      </c>
      <c r="M88" s="47">
        <v>300</v>
      </c>
      <c r="N88" s="46" t="s">
        <v>4355</v>
      </c>
      <c r="O88" s="71" t="s">
        <v>4356</v>
      </c>
      <c r="P88" s="46" t="s">
        <v>4357</v>
      </c>
      <c r="Q88" s="46" t="s">
        <v>3826</v>
      </c>
      <c r="R88" s="46" t="s">
        <v>4320</v>
      </c>
      <c r="S88" s="49">
        <v>75</v>
      </c>
      <c r="T88" s="49">
        <v>375</v>
      </c>
      <c r="U88" s="67">
        <v>0.43333333333333335</v>
      </c>
      <c r="V88" s="67">
        <v>0.51333333333333331</v>
      </c>
      <c r="W88" s="51">
        <v>0.30434782608695654</v>
      </c>
      <c r="X88" s="52">
        <v>37.5</v>
      </c>
      <c r="Y88" s="52">
        <v>30</v>
      </c>
      <c r="Z88" s="52">
        <v>145</v>
      </c>
      <c r="AA88" s="52">
        <v>212.5</v>
      </c>
      <c r="AB88" s="53">
        <v>0.56666666666666665</v>
      </c>
      <c r="AC88" s="72">
        <v>162.5</v>
      </c>
      <c r="AD88" s="55">
        <v>0.43333333333333335</v>
      </c>
      <c r="AE88" s="73">
        <v>4</v>
      </c>
      <c r="AF88" s="57" t="s">
        <v>95</v>
      </c>
      <c r="AG88" s="58">
        <v>230</v>
      </c>
      <c r="AH88" s="58">
        <v>70</v>
      </c>
      <c r="AI88" s="58">
        <v>300</v>
      </c>
      <c r="AJ88" s="49">
        <v>75</v>
      </c>
      <c r="AK88" s="49">
        <v>375</v>
      </c>
      <c r="AL88" s="52">
        <v>37.5</v>
      </c>
      <c r="AM88" s="52">
        <v>145</v>
      </c>
      <c r="AN88" s="52">
        <v>182.5</v>
      </c>
      <c r="AO88" s="59">
        <v>0.48666666666666669</v>
      </c>
      <c r="AP88" s="60">
        <v>192.5</v>
      </c>
      <c r="AQ88" s="61">
        <v>0.51333333333333331</v>
      </c>
      <c r="AR88" s="60" t="s">
        <v>78</v>
      </c>
      <c r="AS88" s="62">
        <v>391</v>
      </c>
      <c r="AT88" s="62">
        <v>119</v>
      </c>
      <c r="AU88" s="62">
        <v>510</v>
      </c>
      <c r="AV88" s="62">
        <v>637.5</v>
      </c>
      <c r="AW88" s="47" t="s">
        <v>74</v>
      </c>
      <c r="AX88" s="64">
        <v>45558</v>
      </c>
      <c r="AY88" s="64" t="s">
        <v>4358</v>
      </c>
      <c r="AZ88" s="86"/>
      <c r="BA88" s="46" t="s">
        <v>107</v>
      </c>
      <c r="BB88" s="46" t="s">
        <v>4359</v>
      </c>
      <c r="BC88" s="46" t="s">
        <v>4329</v>
      </c>
      <c r="BD88" s="46"/>
      <c r="BE88" s="46" t="e">
        <v>#REF!</v>
      </c>
      <c r="BF88" s="46" t="s">
        <v>4330</v>
      </c>
      <c r="BG88" s="65">
        <v>2</v>
      </c>
      <c r="BH88" s="66"/>
      <c r="BI88" s="63" t="s">
        <v>4354</v>
      </c>
    </row>
    <row r="89" spans="1:61" ht="395.25" x14ac:dyDescent="0.2">
      <c r="A89" s="45" t="s">
        <v>4360</v>
      </c>
      <c r="B89" s="46"/>
      <c r="C89" s="46" t="s">
        <v>4361</v>
      </c>
      <c r="D89" s="46"/>
      <c r="E89" s="46"/>
      <c r="F89" s="46"/>
      <c r="G89" s="46"/>
      <c r="H89" s="46"/>
      <c r="I89" s="46"/>
      <c r="J89" s="46" t="s">
        <v>71</v>
      </c>
      <c r="K89" s="47">
        <v>230</v>
      </c>
      <c r="L89" s="47">
        <v>70</v>
      </c>
      <c r="M89" s="47">
        <v>300</v>
      </c>
      <c r="N89" s="46" t="s">
        <v>4355</v>
      </c>
      <c r="O89" s="71" t="s">
        <v>4362</v>
      </c>
      <c r="P89" s="46" t="s">
        <v>4363</v>
      </c>
      <c r="Q89" s="46" t="s">
        <v>3826</v>
      </c>
      <c r="R89" s="46" t="s">
        <v>4320</v>
      </c>
      <c r="S89" s="49">
        <v>75</v>
      </c>
      <c r="T89" s="49">
        <v>375</v>
      </c>
      <c r="U89" s="67">
        <v>0.43333333333333335</v>
      </c>
      <c r="V89" s="67">
        <v>0.51333333333333331</v>
      </c>
      <c r="W89" s="51">
        <v>0.30434782608695654</v>
      </c>
      <c r="X89" s="52">
        <v>37.5</v>
      </c>
      <c r="Y89" s="52">
        <v>30</v>
      </c>
      <c r="Z89" s="52">
        <v>145</v>
      </c>
      <c r="AA89" s="52">
        <v>212.5</v>
      </c>
      <c r="AB89" s="53">
        <v>0.56666666666666665</v>
      </c>
      <c r="AC89" s="72">
        <v>162.5</v>
      </c>
      <c r="AD89" s="55">
        <v>0.43333333333333335</v>
      </c>
      <c r="AE89" s="73">
        <v>4</v>
      </c>
      <c r="AF89" s="57" t="s">
        <v>95</v>
      </c>
      <c r="AG89" s="58">
        <v>230</v>
      </c>
      <c r="AH89" s="58">
        <v>70</v>
      </c>
      <c r="AI89" s="58">
        <v>300</v>
      </c>
      <c r="AJ89" s="49">
        <v>75</v>
      </c>
      <c r="AK89" s="49">
        <v>375</v>
      </c>
      <c r="AL89" s="52">
        <v>37.5</v>
      </c>
      <c r="AM89" s="52">
        <v>145</v>
      </c>
      <c r="AN89" s="52">
        <v>182.5</v>
      </c>
      <c r="AO89" s="59">
        <v>0.48666666666666669</v>
      </c>
      <c r="AP89" s="60">
        <v>192.5</v>
      </c>
      <c r="AQ89" s="61">
        <v>0.51333333333333331</v>
      </c>
      <c r="AR89" s="60" t="s">
        <v>78</v>
      </c>
      <c r="AS89" s="62">
        <v>391</v>
      </c>
      <c r="AT89" s="62">
        <v>119</v>
      </c>
      <c r="AU89" s="62">
        <v>510</v>
      </c>
      <c r="AV89" s="62">
        <v>637.5</v>
      </c>
      <c r="AW89" s="47" t="s">
        <v>74</v>
      </c>
      <c r="AX89" s="64">
        <v>45558</v>
      </c>
      <c r="AY89" s="64" t="s">
        <v>4364</v>
      </c>
      <c r="AZ89" s="86"/>
      <c r="BA89" s="46" t="s">
        <v>107</v>
      </c>
      <c r="BB89" s="46" t="s">
        <v>4359</v>
      </c>
      <c r="BC89" s="46" t="s">
        <v>4329</v>
      </c>
      <c r="BD89" s="46"/>
      <c r="BE89" s="46" t="e">
        <v>#REF!</v>
      </c>
      <c r="BF89" s="46" t="s">
        <v>4330</v>
      </c>
      <c r="BG89" s="65">
        <v>2</v>
      </c>
      <c r="BH89" s="66"/>
      <c r="BI89" s="63" t="s">
        <v>4361</v>
      </c>
    </row>
    <row r="90" spans="1:61" ht="395.25" x14ac:dyDescent="0.2">
      <c r="A90" s="45" t="s">
        <v>4365</v>
      </c>
      <c r="B90" s="46"/>
      <c r="C90" s="46" t="s">
        <v>4366</v>
      </c>
      <c r="D90" s="46"/>
      <c r="E90" s="46"/>
      <c r="F90" s="46"/>
      <c r="G90" s="46"/>
      <c r="H90" s="46"/>
      <c r="I90" s="46"/>
      <c r="J90" s="46" t="s">
        <v>71</v>
      </c>
      <c r="K90" s="47">
        <v>230</v>
      </c>
      <c r="L90" s="47">
        <v>70</v>
      </c>
      <c r="M90" s="47">
        <v>300</v>
      </c>
      <c r="N90" s="46" t="s">
        <v>4355</v>
      </c>
      <c r="O90" s="71" t="s">
        <v>4367</v>
      </c>
      <c r="P90" s="46" t="s">
        <v>4363</v>
      </c>
      <c r="Q90" s="46" t="s">
        <v>3826</v>
      </c>
      <c r="R90" s="46" t="s">
        <v>4320</v>
      </c>
      <c r="S90" s="49">
        <v>75</v>
      </c>
      <c r="T90" s="49">
        <v>375</v>
      </c>
      <c r="U90" s="67">
        <v>0.43333333333333335</v>
      </c>
      <c r="V90" s="67">
        <v>0.51333333333333331</v>
      </c>
      <c r="W90" s="51">
        <v>0.30434782608695654</v>
      </c>
      <c r="X90" s="52">
        <v>37.5</v>
      </c>
      <c r="Y90" s="52">
        <v>30</v>
      </c>
      <c r="Z90" s="52">
        <v>145</v>
      </c>
      <c r="AA90" s="52">
        <v>212.5</v>
      </c>
      <c r="AB90" s="53">
        <v>0.56666666666666665</v>
      </c>
      <c r="AC90" s="72">
        <v>162.5</v>
      </c>
      <c r="AD90" s="55">
        <v>0.43333333333333335</v>
      </c>
      <c r="AE90" s="73">
        <v>4</v>
      </c>
      <c r="AF90" s="57" t="s">
        <v>95</v>
      </c>
      <c r="AG90" s="58">
        <v>230</v>
      </c>
      <c r="AH90" s="58">
        <v>70</v>
      </c>
      <c r="AI90" s="58">
        <v>300</v>
      </c>
      <c r="AJ90" s="49">
        <v>75</v>
      </c>
      <c r="AK90" s="49">
        <v>375</v>
      </c>
      <c r="AL90" s="52">
        <v>37.5</v>
      </c>
      <c r="AM90" s="52">
        <v>145</v>
      </c>
      <c r="AN90" s="52">
        <v>182.5</v>
      </c>
      <c r="AO90" s="59">
        <v>0.48666666666666669</v>
      </c>
      <c r="AP90" s="60">
        <v>192.5</v>
      </c>
      <c r="AQ90" s="61">
        <v>0.51333333333333331</v>
      </c>
      <c r="AR90" s="60" t="s">
        <v>78</v>
      </c>
      <c r="AS90" s="62">
        <v>391</v>
      </c>
      <c r="AT90" s="62">
        <v>119</v>
      </c>
      <c r="AU90" s="62">
        <v>510</v>
      </c>
      <c r="AV90" s="62">
        <v>637.5</v>
      </c>
      <c r="AW90" s="47" t="s">
        <v>74</v>
      </c>
      <c r="AX90" s="64">
        <v>45558</v>
      </c>
      <c r="AY90" s="64" t="s">
        <v>4368</v>
      </c>
      <c r="AZ90" s="86"/>
      <c r="BA90" s="46" t="s">
        <v>107</v>
      </c>
      <c r="BB90" s="46" t="s">
        <v>4359</v>
      </c>
      <c r="BC90" s="46" t="s">
        <v>4329</v>
      </c>
      <c r="BD90" s="46"/>
      <c r="BE90" s="46" t="e">
        <v>#REF!</v>
      </c>
      <c r="BF90" s="46" t="s">
        <v>4330</v>
      </c>
      <c r="BG90" s="65">
        <v>2</v>
      </c>
      <c r="BH90" s="66"/>
      <c r="BI90" s="63" t="s">
        <v>4366</v>
      </c>
    </row>
    <row r="91" spans="1:61" ht="395.25" x14ac:dyDescent="0.2">
      <c r="A91" s="45" t="s">
        <v>4369</v>
      </c>
      <c r="B91" s="46"/>
      <c r="C91" s="46" t="s">
        <v>4370</v>
      </c>
      <c r="D91" s="46"/>
      <c r="E91" s="46"/>
      <c r="F91" s="46"/>
      <c r="G91" s="46"/>
      <c r="H91" s="46"/>
      <c r="I91" s="46"/>
      <c r="J91" s="46" t="s">
        <v>71</v>
      </c>
      <c r="K91" s="47">
        <v>250</v>
      </c>
      <c r="L91" s="47">
        <v>150</v>
      </c>
      <c r="M91" s="47">
        <v>400</v>
      </c>
      <c r="N91" s="46" t="s">
        <v>4371</v>
      </c>
      <c r="O91" s="71" t="s">
        <v>4372</v>
      </c>
      <c r="P91" s="46" t="s">
        <v>4373</v>
      </c>
      <c r="Q91" s="46" t="s">
        <v>3826</v>
      </c>
      <c r="R91" s="46" t="s">
        <v>4320</v>
      </c>
      <c r="S91" s="49">
        <v>100</v>
      </c>
      <c r="T91" s="49">
        <v>500</v>
      </c>
      <c r="U91" s="67">
        <v>0.34</v>
      </c>
      <c r="V91" s="67">
        <v>0.4</v>
      </c>
      <c r="W91" s="51">
        <v>0.6</v>
      </c>
      <c r="X91" s="52">
        <v>50</v>
      </c>
      <c r="Y91" s="52">
        <v>30</v>
      </c>
      <c r="Z91" s="52">
        <v>250</v>
      </c>
      <c r="AA91" s="52">
        <v>330</v>
      </c>
      <c r="AB91" s="53">
        <v>0.66</v>
      </c>
      <c r="AC91" s="72">
        <v>170</v>
      </c>
      <c r="AD91" s="55">
        <v>0.34</v>
      </c>
      <c r="AE91" s="73">
        <v>4</v>
      </c>
      <c r="AF91" s="57" t="s">
        <v>95</v>
      </c>
      <c r="AG91" s="58">
        <v>250</v>
      </c>
      <c r="AH91" s="58">
        <v>150</v>
      </c>
      <c r="AI91" s="58">
        <v>400</v>
      </c>
      <c r="AJ91" s="49">
        <v>100</v>
      </c>
      <c r="AK91" s="49">
        <v>500</v>
      </c>
      <c r="AL91" s="52">
        <v>50</v>
      </c>
      <c r="AM91" s="52">
        <v>250</v>
      </c>
      <c r="AN91" s="52">
        <v>300</v>
      </c>
      <c r="AO91" s="59">
        <v>0.6</v>
      </c>
      <c r="AP91" s="60">
        <v>200</v>
      </c>
      <c r="AQ91" s="61">
        <v>0.4</v>
      </c>
      <c r="AR91" s="60" t="s">
        <v>78</v>
      </c>
      <c r="AS91" s="62">
        <v>425</v>
      </c>
      <c r="AT91" s="62">
        <v>255</v>
      </c>
      <c r="AU91" s="62">
        <v>680</v>
      </c>
      <c r="AV91" s="62">
        <v>850</v>
      </c>
      <c r="AW91" s="47" t="s">
        <v>74</v>
      </c>
      <c r="AX91" s="64">
        <v>45558</v>
      </c>
      <c r="AY91" s="64" t="s">
        <v>4374</v>
      </c>
      <c r="AZ91" s="86"/>
      <c r="BA91" s="46" t="s">
        <v>107</v>
      </c>
      <c r="BB91" s="46" t="s">
        <v>4375</v>
      </c>
      <c r="BC91" s="46" t="s">
        <v>4329</v>
      </c>
      <c r="BD91" s="46"/>
      <c r="BE91" s="46" t="e">
        <v>#REF!</v>
      </c>
      <c r="BF91" s="46" t="s">
        <v>4330</v>
      </c>
      <c r="BG91" s="65">
        <v>2</v>
      </c>
      <c r="BH91" s="66"/>
      <c r="BI91" s="63" t="s">
        <v>4370</v>
      </c>
    </row>
    <row r="92" spans="1:61" ht="395.25" x14ac:dyDescent="0.2">
      <c r="A92" s="45" t="s">
        <v>4376</v>
      </c>
      <c r="B92" s="46"/>
      <c r="C92" s="46" t="s">
        <v>4377</v>
      </c>
      <c r="D92" s="46"/>
      <c r="E92" s="46"/>
      <c r="F92" s="46"/>
      <c r="G92" s="46"/>
      <c r="H92" s="46"/>
      <c r="I92" s="46"/>
      <c r="J92" s="46" t="s">
        <v>71</v>
      </c>
      <c r="K92" s="47">
        <v>250</v>
      </c>
      <c r="L92" s="47">
        <v>170</v>
      </c>
      <c r="M92" s="47">
        <v>420</v>
      </c>
      <c r="N92" s="46" t="s">
        <v>4371</v>
      </c>
      <c r="O92" s="71" t="s">
        <v>4378</v>
      </c>
      <c r="P92" s="46" t="s">
        <v>4373</v>
      </c>
      <c r="Q92" s="46" t="s">
        <v>3826</v>
      </c>
      <c r="R92" s="46" t="s">
        <v>4320</v>
      </c>
      <c r="S92" s="49">
        <v>105</v>
      </c>
      <c r="T92" s="49">
        <v>525</v>
      </c>
      <c r="U92" s="67">
        <v>0.31904761904761902</v>
      </c>
      <c r="V92" s="67">
        <v>0.37619047619047619</v>
      </c>
      <c r="W92" s="51">
        <v>0.68</v>
      </c>
      <c r="X92" s="52">
        <v>52.5</v>
      </c>
      <c r="Y92" s="52">
        <v>30</v>
      </c>
      <c r="Z92" s="52">
        <v>275</v>
      </c>
      <c r="AA92" s="52">
        <v>357.5</v>
      </c>
      <c r="AB92" s="53">
        <v>0.68095238095238098</v>
      </c>
      <c r="AC92" s="72">
        <v>167.5</v>
      </c>
      <c r="AD92" s="55">
        <v>0.31904761904761902</v>
      </c>
      <c r="AE92" s="73">
        <v>4</v>
      </c>
      <c r="AF92" s="57" t="s">
        <v>95</v>
      </c>
      <c r="AG92" s="58">
        <v>250</v>
      </c>
      <c r="AH92" s="58">
        <v>170</v>
      </c>
      <c r="AI92" s="58">
        <v>420</v>
      </c>
      <c r="AJ92" s="49">
        <v>105</v>
      </c>
      <c r="AK92" s="49">
        <v>525</v>
      </c>
      <c r="AL92" s="52">
        <v>52.5</v>
      </c>
      <c r="AM92" s="52">
        <v>275</v>
      </c>
      <c r="AN92" s="52">
        <v>327.5</v>
      </c>
      <c r="AO92" s="59">
        <v>0.62380952380952381</v>
      </c>
      <c r="AP92" s="60">
        <v>197.5</v>
      </c>
      <c r="AQ92" s="61">
        <v>0.37619047619047619</v>
      </c>
      <c r="AR92" s="60" t="s">
        <v>78</v>
      </c>
      <c r="AS92" s="62">
        <v>425</v>
      </c>
      <c r="AT92" s="62">
        <v>289</v>
      </c>
      <c r="AU92" s="62">
        <v>714</v>
      </c>
      <c r="AV92" s="62">
        <v>892.5</v>
      </c>
      <c r="AW92" s="47" t="s">
        <v>74</v>
      </c>
      <c r="AX92" s="64">
        <v>45558</v>
      </c>
      <c r="AY92" s="64" t="s">
        <v>4379</v>
      </c>
      <c r="AZ92" s="86"/>
      <c r="BA92" s="46" t="s">
        <v>107</v>
      </c>
      <c r="BB92" s="46" t="s">
        <v>4375</v>
      </c>
      <c r="BC92" s="46" t="s">
        <v>4329</v>
      </c>
      <c r="BD92" s="46"/>
      <c r="BE92" s="46" t="e">
        <v>#REF!</v>
      </c>
      <c r="BF92" s="46" t="s">
        <v>4330</v>
      </c>
      <c r="BG92" s="65">
        <v>2</v>
      </c>
      <c r="BH92" s="66"/>
      <c r="BI92" s="63" t="s">
        <v>4377</v>
      </c>
    </row>
    <row r="93" spans="1:61" ht="408" x14ac:dyDescent="0.2">
      <c r="A93" s="45" t="s">
        <v>4380</v>
      </c>
      <c r="B93" s="46"/>
      <c r="C93" s="46" t="s">
        <v>4381</v>
      </c>
      <c r="D93" s="46"/>
      <c r="E93" s="46"/>
      <c r="F93" s="46"/>
      <c r="G93" s="46"/>
      <c r="H93" s="46"/>
      <c r="I93" s="46"/>
      <c r="J93" s="46" t="s">
        <v>71</v>
      </c>
      <c r="K93" s="47">
        <v>220</v>
      </c>
      <c r="L93" s="47">
        <v>140</v>
      </c>
      <c r="M93" s="47">
        <v>360</v>
      </c>
      <c r="N93" s="46" t="s">
        <v>4382</v>
      </c>
      <c r="O93" s="71" t="s">
        <v>4383</v>
      </c>
      <c r="P93" s="46" t="s">
        <v>4384</v>
      </c>
      <c r="Q93" s="46" t="s">
        <v>3826</v>
      </c>
      <c r="R93" s="46" t="s">
        <v>4320</v>
      </c>
      <c r="S93" s="49">
        <v>90</v>
      </c>
      <c r="T93" s="49">
        <v>450</v>
      </c>
      <c r="U93" s="67">
        <v>0.32222222222222224</v>
      </c>
      <c r="V93" s="67">
        <v>0.3888888888888889</v>
      </c>
      <c r="W93" s="51">
        <v>0.63636363636363635</v>
      </c>
      <c r="X93" s="52">
        <v>45</v>
      </c>
      <c r="Y93" s="52">
        <v>30</v>
      </c>
      <c r="Z93" s="52">
        <v>230</v>
      </c>
      <c r="AA93" s="52">
        <v>305</v>
      </c>
      <c r="AB93" s="53">
        <v>0.67777777777777781</v>
      </c>
      <c r="AC93" s="72">
        <v>145</v>
      </c>
      <c r="AD93" s="55">
        <v>0.32222222222222224</v>
      </c>
      <c r="AE93" s="73">
        <v>4</v>
      </c>
      <c r="AF93" s="57" t="s">
        <v>95</v>
      </c>
      <c r="AG93" s="58">
        <v>220</v>
      </c>
      <c r="AH93" s="58">
        <v>140</v>
      </c>
      <c r="AI93" s="58">
        <v>360</v>
      </c>
      <c r="AJ93" s="49">
        <v>90</v>
      </c>
      <c r="AK93" s="49">
        <v>450</v>
      </c>
      <c r="AL93" s="52">
        <v>45</v>
      </c>
      <c r="AM93" s="52">
        <v>230</v>
      </c>
      <c r="AN93" s="52">
        <v>275</v>
      </c>
      <c r="AO93" s="59">
        <v>0.61111111111111116</v>
      </c>
      <c r="AP93" s="60">
        <v>175</v>
      </c>
      <c r="AQ93" s="61">
        <v>0.3888888888888889</v>
      </c>
      <c r="AR93" s="60" t="s">
        <v>78</v>
      </c>
      <c r="AS93" s="62">
        <v>374</v>
      </c>
      <c r="AT93" s="62">
        <v>238</v>
      </c>
      <c r="AU93" s="62">
        <v>612</v>
      </c>
      <c r="AV93" s="62">
        <v>765</v>
      </c>
      <c r="AW93" s="47" t="s">
        <v>74</v>
      </c>
      <c r="AX93" s="64">
        <v>45558</v>
      </c>
      <c r="AY93" s="64" t="s">
        <v>4385</v>
      </c>
      <c r="AZ93" s="86"/>
      <c r="BA93" s="46" t="s">
        <v>107</v>
      </c>
      <c r="BB93" s="46" t="s">
        <v>4375</v>
      </c>
      <c r="BC93" s="46" t="s">
        <v>4329</v>
      </c>
      <c r="BD93" s="46"/>
      <c r="BE93" s="46" t="e">
        <v>#REF!</v>
      </c>
      <c r="BF93" s="46" t="s">
        <v>4330</v>
      </c>
      <c r="BG93" s="65">
        <v>2</v>
      </c>
      <c r="BH93" s="66"/>
      <c r="BI93" s="63" t="s">
        <v>4381</v>
      </c>
    </row>
    <row r="94" spans="1:61" ht="395.25" x14ac:dyDescent="0.2">
      <c r="A94" s="45" t="s">
        <v>4386</v>
      </c>
      <c r="B94" s="46"/>
      <c r="C94" s="46" t="s">
        <v>4387</v>
      </c>
      <c r="D94" s="46"/>
      <c r="E94" s="46"/>
      <c r="F94" s="46"/>
      <c r="G94" s="46"/>
      <c r="H94" s="46"/>
      <c r="I94" s="46"/>
      <c r="J94" s="46" t="s">
        <v>71</v>
      </c>
      <c r="K94" s="47">
        <v>210</v>
      </c>
      <c r="L94" s="47">
        <v>0</v>
      </c>
      <c r="M94" s="47">
        <v>210</v>
      </c>
      <c r="N94" s="46" t="s">
        <v>4388</v>
      </c>
      <c r="O94" s="71" t="s">
        <v>4389</v>
      </c>
      <c r="P94" s="46" t="s">
        <v>4390</v>
      </c>
      <c r="Q94" s="46" t="s">
        <v>3826</v>
      </c>
      <c r="R94" s="46" t="s">
        <v>4320</v>
      </c>
      <c r="S94" s="49">
        <v>52.5</v>
      </c>
      <c r="T94" s="49">
        <v>262.5</v>
      </c>
      <c r="U94" s="67">
        <v>0.58571428571428574</v>
      </c>
      <c r="V94" s="67">
        <v>0.7</v>
      </c>
      <c r="W94" s="51">
        <v>0</v>
      </c>
      <c r="X94" s="52">
        <v>26.25</v>
      </c>
      <c r="Y94" s="52">
        <v>30</v>
      </c>
      <c r="Z94" s="52">
        <v>52.5</v>
      </c>
      <c r="AA94" s="52">
        <v>108.75</v>
      </c>
      <c r="AB94" s="53">
        <v>0.41428571428571431</v>
      </c>
      <c r="AC94" s="72">
        <v>153.75</v>
      </c>
      <c r="AD94" s="55">
        <v>0.58571428571428574</v>
      </c>
      <c r="AE94" s="73">
        <v>4</v>
      </c>
      <c r="AF94" s="57" t="s">
        <v>95</v>
      </c>
      <c r="AG94" s="58">
        <v>210</v>
      </c>
      <c r="AH94" s="58">
        <v>0</v>
      </c>
      <c r="AI94" s="58">
        <v>210</v>
      </c>
      <c r="AJ94" s="49">
        <v>52.5</v>
      </c>
      <c r="AK94" s="49">
        <v>262.5</v>
      </c>
      <c r="AL94" s="52">
        <v>26.25</v>
      </c>
      <c r="AM94" s="52">
        <v>52.5</v>
      </c>
      <c r="AN94" s="52">
        <v>78.75</v>
      </c>
      <c r="AO94" s="59">
        <v>0.3</v>
      </c>
      <c r="AP94" s="60">
        <v>183.75</v>
      </c>
      <c r="AQ94" s="61">
        <v>0.7</v>
      </c>
      <c r="AR94" s="60" t="s">
        <v>78</v>
      </c>
      <c r="AS94" s="62">
        <v>357</v>
      </c>
      <c r="AT94" s="62">
        <v>0</v>
      </c>
      <c r="AU94" s="62">
        <v>357</v>
      </c>
      <c r="AV94" s="62">
        <v>446.25</v>
      </c>
      <c r="AW94" s="47" t="s">
        <v>74</v>
      </c>
      <c r="AX94" s="64">
        <v>45558</v>
      </c>
      <c r="AY94" s="64" t="s">
        <v>4391</v>
      </c>
      <c r="AZ94" s="86"/>
      <c r="BA94" s="46" t="s">
        <v>107</v>
      </c>
      <c r="BB94" s="46" t="s">
        <v>4375</v>
      </c>
      <c r="BC94" s="46" t="s">
        <v>4329</v>
      </c>
      <c r="BD94" s="46"/>
      <c r="BE94" s="46" t="e">
        <v>#REF!</v>
      </c>
      <c r="BF94" s="46" t="s">
        <v>4330</v>
      </c>
      <c r="BG94" s="65">
        <v>2</v>
      </c>
      <c r="BH94" s="66"/>
      <c r="BI94" s="63" t="s">
        <v>4387</v>
      </c>
    </row>
    <row r="95" spans="1:61" ht="140.25" x14ac:dyDescent="0.2">
      <c r="A95" s="45" t="s">
        <v>4392</v>
      </c>
      <c r="B95" s="46"/>
      <c r="C95" s="46" t="s">
        <v>4393</v>
      </c>
      <c r="D95" s="46" t="s">
        <v>4394</v>
      </c>
      <c r="E95" s="46" t="s">
        <v>68</v>
      </c>
      <c r="F95" s="46" t="s">
        <v>68</v>
      </c>
      <c r="G95" s="46" t="s">
        <v>68</v>
      </c>
      <c r="H95" s="46" t="s">
        <v>68</v>
      </c>
      <c r="I95" s="46" t="s">
        <v>68</v>
      </c>
      <c r="J95" s="46" t="s">
        <v>71</v>
      </c>
      <c r="K95" s="47">
        <v>210</v>
      </c>
      <c r="L95" s="47">
        <v>70</v>
      </c>
      <c r="M95" s="47">
        <v>280</v>
      </c>
      <c r="N95" s="46"/>
      <c r="O95" s="71" t="s">
        <v>68</v>
      </c>
      <c r="P95" s="46"/>
      <c r="Q95" s="46" t="s">
        <v>3826</v>
      </c>
      <c r="R95" s="46" t="s">
        <v>4320</v>
      </c>
      <c r="S95" s="49">
        <v>70</v>
      </c>
      <c r="T95" s="49">
        <v>350</v>
      </c>
      <c r="U95" s="67">
        <v>0.41428571428571431</v>
      </c>
      <c r="V95" s="67">
        <v>0.5</v>
      </c>
      <c r="W95" s="51">
        <v>0.33333333333333331</v>
      </c>
      <c r="X95" s="52">
        <v>35</v>
      </c>
      <c r="Y95" s="52">
        <v>30</v>
      </c>
      <c r="Z95" s="52">
        <v>140</v>
      </c>
      <c r="AA95" s="52">
        <v>205</v>
      </c>
      <c r="AB95" s="53">
        <v>0.58571428571428574</v>
      </c>
      <c r="AC95" s="72">
        <v>145</v>
      </c>
      <c r="AD95" s="55">
        <v>0.41428571428571431</v>
      </c>
      <c r="AE95" s="73">
        <v>3</v>
      </c>
      <c r="AF95" s="57" t="s">
        <v>95</v>
      </c>
      <c r="AG95" s="58">
        <v>210</v>
      </c>
      <c r="AH95" s="58">
        <v>70</v>
      </c>
      <c r="AI95" s="58">
        <v>280</v>
      </c>
      <c r="AJ95" s="49">
        <v>70</v>
      </c>
      <c r="AK95" s="49">
        <v>350</v>
      </c>
      <c r="AL95" s="52">
        <v>35</v>
      </c>
      <c r="AM95" s="52">
        <v>140</v>
      </c>
      <c r="AN95" s="52">
        <v>175</v>
      </c>
      <c r="AO95" s="59">
        <v>0.5</v>
      </c>
      <c r="AP95" s="60">
        <v>175</v>
      </c>
      <c r="AQ95" s="61">
        <v>0.5</v>
      </c>
      <c r="AR95" s="60" t="s">
        <v>78</v>
      </c>
      <c r="AS95" s="62">
        <v>336</v>
      </c>
      <c r="AT95" s="62">
        <v>112</v>
      </c>
      <c r="AU95" s="62">
        <v>448</v>
      </c>
      <c r="AV95" s="62">
        <v>560</v>
      </c>
      <c r="AW95" s="47" t="s">
        <v>107</v>
      </c>
      <c r="AX95" s="64">
        <v>45558</v>
      </c>
      <c r="AY95" s="64" t="s">
        <v>4395</v>
      </c>
      <c r="AZ95" s="86"/>
      <c r="BA95" s="64"/>
      <c r="BB95" s="64"/>
      <c r="BC95" s="64"/>
      <c r="BD95" s="46"/>
      <c r="BE95" s="46" t="e">
        <v>#REF!</v>
      </c>
      <c r="BF95" s="46" t="s">
        <v>4330</v>
      </c>
      <c r="BG95" s="65">
        <v>2</v>
      </c>
      <c r="BH95" s="66" t="s">
        <v>4396</v>
      </c>
      <c r="BI95" s="63" t="s">
        <v>4397</v>
      </c>
    </row>
    <row r="96" spans="1:61" ht="153" x14ac:dyDescent="0.2">
      <c r="A96" s="45" t="s">
        <v>4398</v>
      </c>
      <c r="B96" s="46"/>
      <c r="C96" s="46" t="s">
        <v>4399</v>
      </c>
      <c r="D96" s="46" t="s">
        <v>4394</v>
      </c>
      <c r="E96" s="46" t="s">
        <v>68</v>
      </c>
      <c r="F96" s="46" t="s">
        <v>68</v>
      </c>
      <c r="G96" s="46" t="s">
        <v>68</v>
      </c>
      <c r="H96" s="46" t="s">
        <v>68</v>
      </c>
      <c r="I96" s="46" t="s">
        <v>68</v>
      </c>
      <c r="J96" s="46" t="s">
        <v>71</v>
      </c>
      <c r="K96" s="47">
        <v>220</v>
      </c>
      <c r="L96" s="47">
        <v>180</v>
      </c>
      <c r="M96" s="47">
        <v>400</v>
      </c>
      <c r="N96" s="46"/>
      <c r="O96" s="71" t="s">
        <v>68</v>
      </c>
      <c r="P96" s="64"/>
      <c r="Q96" s="46" t="s">
        <v>3826</v>
      </c>
      <c r="R96" s="46" t="s">
        <v>4320</v>
      </c>
      <c r="S96" s="49">
        <v>100</v>
      </c>
      <c r="T96" s="49">
        <v>500</v>
      </c>
      <c r="U96" s="28">
        <v>0.28000000000000003</v>
      </c>
      <c r="V96" s="67">
        <v>0.34</v>
      </c>
      <c r="W96" s="51">
        <v>0.81818181818181823</v>
      </c>
      <c r="X96" s="52">
        <v>50</v>
      </c>
      <c r="Y96" s="52">
        <v>30</v>
      </c>
      <c r="Z96" s="52">
        <v>280</v>
      </c>
      <c r="AA96" s="52">
        <v>360</v>
      </c>
      <c r="AB96" s="53">
        <v>0.72</v>
      </c>
      <c r="AC96" s="72">
        <v>140</v>
      </c>
      <c r="AD96" s="55">
        <v>0.28000000000000003</v>
      </c>
      <c r="AE96" s="73">
        <v>3</v>
      </c>
      <c r="AF96" s="57" t="s">
        <v>95</v>
      </c>
      <c r="AG96" s="58">
        <v>220</v>
      </c>
      <c r="AH96" s="58">
        <v>180</v>
      </c>
      <c r="AI96" s="58">
        <v>400</v>
      </c>
      <c r="AJ96" s="49">
        <v>100</v>
      </c>
      <c r="AK96" s="49">
        <v>500</v>
      </c>
      <c r="AL96" s="52">
        <v>50</v>
      </c>
      <c r="AM96" s="52">
        <v>280</v>
      </c>
      <c r="AN96" s="52">
        <v>330</v>
      </c>
      <c r="AO96" s="59">
        <v>0.66</v>
      </c>
      <c r="AP96" s="60">
        <v>170</v>
      </c>
      <c r="AQ96" s="61">
        <v>0.34</v>
      </c>
      <c r="AR96" s="60" t="s">
        <v>78</v>
      </c>
      <c r="AS96" s="62">
        <v>352</v>
      </c>
      <c r="AT96" s="62">
        <v>288</v>
      </c>
      <c r="AU96" s="62">
        <v>640</v>
      </c>
      <c r="AV96" s="62">
        <v>800</v>
      </c>
      <c r="AW96" s="47" t="s">
        <v>107</v>
      </c>
      <c r="AX96" s="64">
        <v>45558</v>
      </c>
      <c r="AY96" s="64" t="s">
        <v>4400</v>
      </c>
      <c r="AZ96" s="86"/>
      <c r="BA96" s="64"/>
      <c r="BB96" s="64"/>
      <c r="BC96" s="64"/>
      <c r="BD96" s="46"/>
      <c r="BE96" s="46" t="e">
        <v>#REF!</v>
      </c>
      <c r="BF96" s="46" t="s">
        <v>4330</v>
      </c>
      <c r="BG96" s="65">
        <v>2</v>
      </c>
      <c r="BH96" s="66" t="s">
        <v>4401</v>
      </c>
      <c r="BI96" s="63" t="s">
        <v>4402</v>
      </c>
    </row>
    <row r="97" spans="1:61" ht="153" x14ac:dyDescent="0.2">
      <c r="A97" s="45" t="s">
        <v>4403</v>
      </c>
      <c r="B97" s="46"/>
      <c r="C97" s="46" t="s">
        <v>4404</v>
      </c>
      <c r="D97" s="46" t="s">
        <v>4394</v>
      </c>
      <c r="E97" s="46" t="s">
        <v>68</v>
      </c>
      <c r="F97" s="46" t="s">
        <v>68</v>
      </c>
      <c r="G97" s="46" t="s">
        <v>68</v>
      </c>
      <c r="H97" s="46" t="s">
        <v>68</v>
      </c>
      <c r="I97" s="46" t="s">
        <v>68</v>
      </c>
      <c r="J97" s="46" t="s">
        <v>71</v>
      </c>
      <c r="K97" s="47">
        <v>230</v>
      </c>
      <c r="L97" s="47">
        <v>280</v>
      </c>
      <c r="M97" s="47">
        <v>510</v>
      </c>
      <c r="N97" s="46"/>
      <c r="O97" s="71" t="s">
        <v>68</v>
      </c>
      <c r="P97" s="46"/>
      <c r="Q97" s="46" t="s">
        <v>3826</v>
      </c>
      <c r="R97" s="46" t="s">
        <v>4320</v>
      </c>
      <c r="S97" s="49">
        <v>127.5</v>
      </c>
      <c r="T97" s="49">
        <v>637.5</v>
      </c>
      <c r="U97" s="28">
        <v>0.21372549019607842</v>
      </c>
      <c r="V97" s="28">
        <v>0.26078431372549021</v>
      </c>
      <c r="W97" s="74">
        <v>1.2173913043478262</v>
      </c>
      <c r="X97" s="52">
        <v>63.75</v>
      </c>
      <c r="Y97" s="52">
        <v>30</v>
      </c>
      <c r="Z97" s="52">
        <v>407.5</v>
      </c>
      <c r="AA97" s="52">
        <v>501.25</v>
      </c>
      <c r="AB97" s="53">
        <v>0.78627450980392155</v>
      </c>
      <c r="AC97" s="72">
        <v>136.25</v>
      </c>
      <c r="AD97" s="55">
        <v>0.21372549019607842</v>
      </c>
      <c r="AE97" s="73">
        <v>3</v>
      </c>
      <c r="AF97" s="57" t="s">
        <v>95</v>
      </c>
      <c r="AG97" s="58">
        <v>230</v>
      </c>
      <c r="AH97" s="58">
        <v>280</v>
      </c>
      <c r="AI97" s="58">
        <v>510</v>
      </c>
      <c r="AJ97" s="49">
        <v>127.5</v>
      </c>
      <c r="AK97" s="49">
        <v>637.5</v>
      </c>
      <c r="AL97" s="52">
        <v>63.75</v>
      </c>
      <c r="AM97" s="52">
        <v>407.5</v>
      </c>
      <c r="AN97" s="52">
        <v>471.25</v>
      </c>
      <c r="AO97" s="59">
        <v>0.73921568627450984</v>
      </c>
      <c r="AP97" s="60">
        <v>166.25</v>
      </c>
      <c r="AQ97" s="61">
        <v>0.26078431372549021</v>
      </c>
      <c r="AR97" s="60" t="s">
        <v>78</v>
      </c>
      <c r="AS97" s="62">
        <v>368</v>
      </c>
      <c r="AT97" s="62">
        <v>448</v>
      </c>
      <c r="AU97" s="62">
        <v>816</v>
      </c>
      <c r="AV97" s="62">
        <v>1020</v>
      </c>
      <c r="AW97" s="47" t="s">
        <v>107</v>
      </c>
      <c r="AX97" s="64">
        <v>45558</v>
      </c>
      <c r="AY97" s="64" t="s">
        <v>4405</v>
      </c>
      <c r="AZ97" s="86"/>
      <c r="BA97" s="64"/>
      <c r="BB97" s="64"/>
      <c r="BC97" s="64"/>
      <c r="BD97" s="46"/>
      <c r="BE97" s="46" t="e">
        <v>#REF!</v>
      </c>
      <c r="BF97" s="46" t="s">
        <v>4330</v>
      </c>
      <c r="BG97" s="65">
        <v>2</v>
      </c>
      <c r="BH97" s="66" t="s">
        <v>4406</v>
      </c>
      <c r="BI97" s="63" t="s">
        <v>4407</v>
      </c>
    </row>
    <row r="98" spans="1:61" ht="153" x14ac:dyDescent="0.2">
      <c r="A98" s="45" t="s">
        <v>4408</v>
      </c>
      <c r="B98" s="46"/>
      <c r="C98" s="46" t="s">
        <v>4409</v>
      </c>
      <c r="D98" s="46" t="s">
        <v>4394</v>
      </c>
      <c r="E98" s="46" t="s">
        <v>68</v>
      </c>
      <c r="F98" s="46" t="s">
        <v>68</v>
      </c>
      <c r="G98" s="46" t="s">
        <v>68</v>
      </c>
      <c r="H98" s="46" t="s">
        <v>68</v>
      </c>
      <c r="I98" s="46" t="s">
        <v>445</v>
      </c>
      <c r="J98" s="46" t="s">
        <v>71</v>
      </c>
      <c r="K98" s="47">
        <v>270</v>
      </c>
      <c r="L98" s="47">
        <v>450</v>
      </c>
      <c r="M98" s="47">
        <v>720</v>
      </c>
      <c r="N98" s="46"/>
      <c r="O98" s="71" t="s">
        <v>68</v>
      </c>
      <c r="P98" s="46"/>
      <c r="Q98" s="46" t="s">
        <v>3826</v>
      </c>
      <c r="R98" s="46" t="s">
        <v>4320</v>
      </c>
      <c r="S98" s="49">
        <v>180</v>
      </c>
      <c r="T98" s="49">
        <v>900</v>
      </c>
      <c r="U98" s="50">
        <v>0.16666666666666666</v>
      </c>
      <c r="V98" s="28">
        <v>0.2</v>
      </c>
      <c r="W98" s="77">
        <v>1.6666666666666667</v>
      </c>
      <c r="X98" s="52">
        <v>90</v>
      </c>
      <c r="Y98" s="52">
        <v>30</v>
      </c>
      <c r="Z98" s="52">
        <v>630</v>
      </c>
      <c r="AA98" s="52">
        <v>750</v>
      </c>
      <c r="AB98" s="53">
        <v>0.83333333333333337</v>
      </c>
      <c r="AC98" s="72">
        <v>150</v>
      </c>
      <c r="AD98" s="55">
        <v>0.16666666666666666</v>
      </c>
      <c r="AE98" s="73">
        <v>3</v>
      </c>
      <c r="AF98" s="57" t="s">
        <v>95</v>
      </c>
      <c r="AG98" s="58">
        <v>270</v>
      </c>
      <c r="AH98" s="58">
        <v>450</v>
      </c>
      <c r="AI98" s="58">
        <v>720</v>
      </c>
      <c r="AJ98" s="49">
        <v>180</v>
      </c>
      <c r="AK98" s="49">
        <v>900</v>
      </c>
      <c r="AL98" s="52">
        <v>90</v>
      </c>
      <c r="AM98" s="52">
        <v>630</v>
      </c>
      <c r="AN98" s="52">
        <v>720</v>
      </c>
      <c r="AO98" s="59">
        <v>0.8</v>
      </c>
      <c r="AP98" s="60">
        <v>180</v>
      </c>
      <c r="AQ98" s="61">
        <v>0.2</v>
      </c>
      <c r="AR98" s="60" t="s">
        <v>78</v>
      </c>
      <c r="AS98" s="62">
        <v>432</v>
      </c>
      <c r="AT98" s="62">
        <v>720</v>
      </c>
      <c r="AU98" s="62">
        <v>1152</v>
      </c>
      <c r="AV98" s="62">
        <v>1440</v>
      </c>
      <c r="AW98" s="47" t="s">
        <v>107</v>
      </c>
      <c r="AX98" s="64">
        <v>45558</v>
      </c>
      <c r="AY98" s="64" t="s">
        <v>4410</v>
      </c>
      <c r="AZ98" s="86"/>
      <c r="BA98" s="64"/>
      <c r="BB98" s="64"/>
      <c r="BC98" s="64"/>
      <c r="BD98" s="46"/>
      <c r="BE98" s="46" t="e">
        <v>#REF!</v>
      </c>
      <c r="BF98" s="46" t="s">
        <v>4330</v>
      </c>
      <c r="BG98" s="65">
        <v>2</v>
      </c>
      <c r="BH98" s="66" t="s">
        <v>4411</v>
      </c>
      <c r="BI98" s="63" t="s">
        <v>4412</v>
      </c>
    </row>
    <row r="99" spans="1:61" ht="153" x14ac:dyDescent="0.2">
      <c r="A99" s="45" t="s">
        <v>4413</v>
      </c>
      <c r="B99" s="46"/>
      <c r="C99" s="46" t="s">
        <v>4409</v>
      </c>
      <c r="D99" s="46" t="s">
        <v>4394</v>
      </c>
      <c r="E99" s="46" t="s">
        <v>68</v>
      </c>
      <c r="F99" s="46" t="s">
        <v>68</v>
      </c>
      <c r="G99" s="46" t="s">
        <v>68</v>
      </c>
      <c r="H99" s="46" t="s">
        <v>68</v>
      </c>
      <c r="I99" s="46" t="s">
        <v>449</v>
      </c>
      <c r="J99" s="46" t="s">
        <v>71</v>
      </c>
      <c r="K99" s="47">
        <v>320</v>
      </c>
      <c r="L99" s="47">
        <v>650</v>
      </c>
      <c r="M99" s="47">
        <v>970</v>
      </c>
      <c r="N99" s="46"/>
      <c r="O99" s="71" t="s">
        <v>68</v>
      </c>
      <c r="P99" s="64"/>
      <c r="Q99" s="46" t="s">
        <v>3826</v>
      </c>
      <c r="R99" s="46" t="s">
        <v>4320</v>
      </c>
      <c r="S99" s="49">
        <v>242.5</v>
      </c>
      <c r="T99" s="49">
        <v>1212.5</v>
      </c>
      <c r="U99" s="50">
        <v>0.13917525773195877</v>
      </c>
      <c r="V99" s="50">
        <v>0.16391752577319588</v>
      </c>
      <c r="W99" s="77">
        <v>2.03125</v>
      </c>
      <c r="X99" s="52">
        <v>121.25</v>
      </c>
      <c r="Y99" s="52">
        <v>30</v>
      </c>
      <c r="Z99" s="52">
        <v>892.5</v>
      </c>
      <c r="AA99" s="52">
        <v>1043.75</v>
      </c>
      <c r="AB99" s="53">
        <v>0.86082474226804129</v>
      </c>
      <c r="AC99" s="72">
        <v>168.75</v>
      </c>
      <c r="AD99" s="55">
        <v>0.13917525773195877</v>
      </c>
      <c r="AE99" s="73">
        <v>3</v>
      </c>
      <c r="AF99" s="57" t="s">
        <v>95</v>
      </c>
      <c r="AG99" s="58">
        <v>320</v>
      </c>
      <c r="AH99" s="58">
        <v>650</v>
      </c>
      <c r="AI99" s="58">
        <v>970</v>
      </c>
      <c r="AJ99" s="49">
        <v>242.5</v>
      </c>
      <c r="AK99" s="49">
        <v>1212.5</v>
      </c>
      <c r="AL99" s="52">
        <v>121.25</v>
      </c>
      <c r="AM99" s="52">
        <v>892.5</v>
      </c>
      <c r="AN99" s="52">
        <v>1013.75</v>
      </c>
      <c r="AO99" s="59">
        <v>0.83608247422680415</v>
      </c>
      <c r="AP99" s="60">
        <v>198.75</v>
      </c>
      <c r="AQ99" s="61">
        <v>0.16391752577319588</v>
      </c>
      <c r="AR99" s="60" t="s">
        <v>73</v>
      </c>
      <c r="AS99" s="62">
        <v>512</v>
      </c>
      <c r="AT99" s="62">
        <v>1040</v>
      </c>
      <c r="AU99" s="62">
        <v>1552</v>
      </c>
      <c r="AV99" s="62">
        <v>1940</v>
      </c>
      <c r="AW99" s="47" t="s">
        <v>107</v>
      </c>
      <c r="AX99" s="64">
        <v>45558</v>
      </c>
      <c r="AY99" s="64" t="s">
        <v>4414</v>
      </c>
      <c r="AZ99" s="86"/>
      <c r="BA99" s="64"/>
      <c r="BB99" s="64"/>
      <c r="BC99" s="64"/>
      <c r="BD99" s="46"/>
      <c r="BE99" s="46" t="e">
        <v>#REF!</v>
      </c>
      <c r="BF99" s="46" t="s">
        <v>4330</v>
      </c>
      <c r="BG99" s="65">
        <v>2</v>
      </c>
      <c r="BH99" s="66" t="s">
        <v>4415</v>
      </c>
      <c r="BI99" s="63" t="s">
        <v>4416</v>
      </c>
    </row>
    <row r="100" spans="1:61" ht="382.5" x14ac:dyDescent="0.2">
      <c r="A100" s="45" t="s">
        <v>4417</v>
      </c>
      <c r="B100" s="46"/>
      <c r="C100" s="46" t="s">
        <v>4418</v>
      </c>
      <c r="D100" s="46" t="s">
        <v>4419</v>
      </c>
      <c r="E100" s="46"/>
      <c r="F100" s="46" t="s">
        <v>68</v>
      </c>
      <c r="G100" s="46" t="s">
        <v>68</v>
      </c>
      <c r="H100" s="46" t="s">
        <v>68</v>
      </c>
      <c r="I100" s="46" t="s">
        <v>4420</v>
      </c>
      <c r="J100" s="46" t="s">
        <v>71</v>
      </c>
      <c r="K100" s="47">
        <v>210</v>
      </c>
      <c r="L100" s="47">
        <v>150</v>
      </c>
      <c r="M100" s="47">
        <v>360</v>
      </c>
      <c r="N100" s="46" t="s">
        <v>4421</v>
      </c>
      <c r="O100" s="71" t="s">
        <v>4422</v>
      </c>
      <c r="P100" s="46" t="s">
        <v>4423</v>
      </c>
      <c r="Q100" s="46" t="s">
        <v>3826</v>
      </c>
      <c r="R100" s="46" t="s">
        <v>4320</v>
      </c>
      <c r="S100" s="49">
        <v>90</v>
      </c>
      <c r="T100" s="49">
        <v>450</v>
      </c>
      <c r="U100" s="67">
        <v>0.3</v>
      </c>
      <c r="V100" s="28">
        <v>0.22941176470588234</v>
      </c>
      <c r="W100" s="51">
        <v>0.7142857142857143</v>
      </c>
      <c r="X100" s="52">
        <v>45</v>
      </c>
      <c r="Y100" s="52">
        <v>30</v>
      </c>
      <c r="Z100" s="52">
        <v>240</v>
      </c>
      <c r="AA100" s="52">
        <v>315</v>
      </c>
      <c r="AB100" s="53">
        <v>0.7</v>
      </c>
      <c r="AC100" s="72">
        <v>135</v>
      </c>
      <c r="AD100" s="55">
        <v>0.3</v>
      </c>
      <c r="AE100" s="56">
        <v>2</v>
      </c>
      <c r="AF100" s="57" t="s">
        <v>72</v>
      </c>
      <c r="AG100" s="58">
        <v>105</v>
      </c>
      <c r="AH100" s="58">
        <v>150</v>
      </c>
      <c r="AI100" s="58">
        <v>255</v>
      </c>
      <c r="AJ100" s="49">
        <v>63.75</v>
      </c>
      <c r="AK100" s="49">
        <v>318.75</v>
      </c>
      <c r="AL100" s="52">
        <v>31.875</v>
      </c>
      <c r="AM100" s="52">
        <v>213.75</v>
      </c>
      <c r="AN100" s="52">
        <v>245.625</v>
      </c>
      <c r="AO100" s="59">
        <v>0.77058823529411768</v>
      </c>
      <c r="AP100" s="60">
        <v>73.125</v>
      </c>
      <c r="AQ100" s="61">
        <v>0.22941176470588234</v>
      </c>
      <c r="AR100" s="60" t="s">
        <v>78</v>
      </c>
      <c r="AS100" s="62">
        <v>315</v>
      </c>
      <c r="AT100" s="62">
        <v>225</v>
      </c>
      <c r="AU100" s="62">
        <v>540</v>
      </c>
      <c r="AV100" s="62">
        <v>675</v>
      </c>
      <c r="AW100" s="47" t="s">
        <v>74</v>
      </c>
      <c r="AX100" s="64">
        <v>45558</v>
      </c>
      <c r="AY100" s="64" t="s">
        <v>4424</v>
      </c>
      <c r="AZ100" s="86"/>
      <c r="BA100" s="46" t="s">
        <v>107</v>
      </c>
      <c r="BB100" s="46" t="s">
        <v>4328</v>
      </c>
      <c r="BC100" s="46" t="s">
        <v>4329</v>
      </c>
      <c r="BD100" s="46"/>
      <c r="BE100" s="46" t="e">
        <v>#REF!</v>
      </c>
      <c r="BF100" s="46" t="s">
        <v>4330</v>
      </c>
      <c r="BG100" s="65">
        <v>2</v>
      </c>
      <c r="BH100" s="66" t="s">
        <v>4425</v>
      </c>
      <c r="BI100" s="63" t="s">
        <v>4426</v>
      </c>
    </row>
    <row r="101" spans="1:61" ht="382.5" x14ac:dyDescent="0.2">
      <c r="A101" s="45" t="s">
        <v>4427</v>
      </c>
      <c r="B101" s="46"/>
      <c r="C101" s="46" t="s">
        <v>4418</v>
      </c>
      <c r="D101" s="46" t="s">
        <v>4419</v>
      </c>
      <c r="E101" s="46"/>
      <c r="F101" s="46" t="s">
        <v>68</v>
      </c>
      <c r="G101" s="46" t="s">
        <v>68</v>
      </c>
      <c r="H101" s="46" t="s">
        <v>68</v>
      </c>
      <c r="I101" s="46" t="s">
        <v>4428</v>
      </c>
      <c r="J101" s="46" t="s">
        <v>71</v>
      </c>
      <c r="K101" s="47">
        <v>220</v>
      </c>
      <c r="L101" s="47">
        <v>300</v>
      </c>
      <c r="M101" s="47">
        <v>520</v>
      </c>
      <c r="N101" s="46" t="s">
        <v>4421</v>
      </c>
      <c r="O101" s="71" t="s">
        <v>4429</v>
      </c>
      <c r="P101" s="46" t="s">
        <v>4423</v>
      </c>
      <c r="Q101" s="46" t="s">
        <v>3826</v>
      </c>
      <c r="R101" s="46" t="s">
        <v>4320</v>
      </c>
      <c r="S101" s="49">
        <v>130</v>
      </c>
      <c r="T101" s="49">
        <v>650</v>
      </c>
      <c r="U101" s="50">
        <v>0.19230769230769232</v>
      </c>
      <c r="V101" s="50">
        <v>0.11463414634146342</v>
      </c>
      <c r="W101" s="74">
        <v>1.3636363636363635</v>
      </c>
      <c r="X101" s="52">
        <v>65</v>
      </c>
      <c r="Y101" s="52">
        <v>30</v>
      </c>
      <c r="Z101" s="52">
        <v>430</v>
      </c>
      <c r="AA101" s="52">
        <v>525</v>
      </c>
      <c r="AB101" s="53">
        <v>0.80769230769230771</v>
      </c>
      <c r="AC101" s="72">
        <v>125</v>
      </c>
      <c r="AD101" s="55">
        <v>0.19230769230769232</v>
      </c>
      <c r="AE101" s="56">
        <v>2</v>
      </c>
      <c r="AF101" s="57" t="s">
        <v>72</v>
      </c>
      <c r="AG101" s="58">
        <v>110</v>
      </c>
      <c r="AH101" s="58">
        <v>300</v>
      </c>
      <c r="AI101" s="58">
        <v>410</v>
      </c>
      <c r="AJ101" s="49">
        <v>102.5</v>
      </c>
      <c r="AK101" s="49">
        <v>512.5</v>
      </c>
      <c r="AL101" s="52">
        <v>51.25</v>
      </c>
      <c r="AM101" s="52">
        <v>402.5</v>
      </c>
      <c r="AN101" s="52">
        <v>453.75</v>
      </c>
      <c r="AO101" s="59">
        <v>0.88536585365853659</v>
      </c>
      <c r="AP101" s="60">
        <v>58.75</v>
      </c>
      <c r="AQ101" s="61">
        <v>0.11463414634146342</v>
      </c>
      <c r="AR101" s="60" t="s">
        <v>73</v>
      </c>
      <c r="AS101" s="62">
        <v>330</v>
      </c>
      <c r="AT101" s="62">
        <v>450</v>
      </c>
      <c r="AU101" s="62">
        <v>780</v>
      </c>
      <c r="AV101" s="62">
        <v>975</v>
      </c>
      <c r="AW101" s="47" t="s">
        <v>74</v>
      </c>
      <c r="AX101" s="64">
        <v>45558</v>
      </c>
      <c r="AY101" s="64" t="s">
        <v>4430</v>
      </c>
      <c r="AZ101" s="86"/>
      <c r="BA101" s="46" t="s">
        <v>107</v>
      </c>
      <c r="BB101" s="46" t="s">
        <v>4328</v>
      </c>
      <c r="BC101" s="46" t="s">
        <v>4329</v>
      </c>
      <c r="BD101" s="46"/>
      <c r="BE101" s="46" t="e">
        <v>#REF!</v>
      </c>
      <c r="BF101" s="46" t="s">
        <v>4330</v>
      </c>
      <c r="BG101" s="65">
        <v>2</v>
      </c>
      <c r="BH101" s="66" t="s">
        <v>4431</v>
      </c>
      <c r="BI101" s="63" t="s">
        <v>4432</v>
      </c>
    </row>
    <row r="102" spans="1:61" ht="51" x14ac:dyDescent="0.2">
      <c r="A102" s="45" t="s">
        <v>4433</v>
      </c>
      <c r="B102" s="46"/>
      <c r="C102" s="46" t="s">
        <v>4434</v>
      </c>
      <c r="D102" s="46" t="s">
        <v>68</v>
      </c>
      <c r="E102" s="46" t="s">
        <v>68</v>
      </c>
      <c r="F102" s="46" t="s">
        <v>68</v>
      </c>
      <c r="G102" s="46" t="s">
        <v>68</v>
      </c>
      <c r="H102" s="46" t="s">
        <v>68</v>
      </c>
      <c r="I102" s="46" t="s">
        <v>68</v>
      </c>
      <c r="J102" s="46" t="s">
        <v>71</v>
      </c>
      <c r="K102" s="47">
        <v>80</v>
      </c>
      <c r="L102" s="47">
        <v>20</v>
      </c>
      <c r="M102" s="47">
        <v>100</v>
      </c>
      <c r="N102" s="46"/>
      <c r="O102" s="71" t="s">
        <v>68</v>
      </c>
      <c r="P102" s="64"/>
      <c r="Q102" s="46" t="s">
        <v>3826</v>
      </c>
      <c r="R102" s="46" t="s">
        <v>4320</v>
      </c>
      <c r="S102" s="49">
        <v>25</v>
      </c>
      <c r="T102" s="49">
        <v>125</v>
      </c>
      <c r="U102" s="67">
        <v>0.3</v>
      </c>
      <c r="V102" s="28">
        <v>0.25555555555555554</v>
      </c>
      <c r="W102" s="51">
        <v>0.25</v>
      </c>
      <c r="X102" s="52">
        <v>12.5</v>
      </c>
      <c r="Y102" s="52">
        <v>30</v>
      </c>
      <c r="Z102" s="52">
        <v>45</v>
      </c>
      <c r="AA102" s="52">
        <v>87.5</v>
      </c>
      <c r="AB102" s="53">
        <v>0.7</v>
      </c>
      <c r="AC102" s="75">
        <v>37.5</v>
      </c>
      <c r="AD102" s="55">
        <v>0.3</v>
      </c>
      <c r="AE102" s="69">
        <v>1</v>
      </c>
      <c r="AF102" s="57" t="s">
        <v>77</v>
      </c>
      <c r="AG102" s="58">
        <v>16</v>
      </c>
      <c r="AH102" s="58">
        <v>20</v>
      </c>
      <c r="AI102" s="58">
        <v>36</v>
      </c>
      <c r="AJ102" s="49">
        <v>9</v>
      </c>
      <c r="AK102" s="49">
        <v>45</v>
      </c>
      <c r="AL102" s="52">
        <v>4.5</v>
      </c>
      <c r="AM102" s="52">
        <v>29</v>
      </c>
      <c r="AN102" s="52">
        <v>33.5</v>
      </c>
      <c r="AO102" s="59">
        <v>0.74444444444444446</v>
      </c>
      <c r="AP102" s="60">
        <v>11.5</v>
      </c>
      <c r="AQ102" s="61">
        <v>0.25555555555555554</v>
      </c>
      <c r="AR102" s="60" t="s">
        <v>78</v>
      </c>
      <c r="AS102" s="62">
        <v>104</v>
      </c>
      <c r="AT102" s="62">
        <v>26</v>
      </c>
      <c r="AU102" s="62">
        <v>130</v>
      </c>
      <c r="AV102" s="62">
        <v>162.5</v>
      </c>
      <c r="AW102" s="47" t="s">
        <v>74</v>
      </c>
      <c r="AX102" s="64">
        <v>45558</v>
      </c>
      <c r="AY102" s="64" t="s">
        <v>4435</v>
      </c>
      <c r="AZ102" s="86"/>
      <c r="BA102" s="64"/>
      <c r="BB102" s="64"/>
      <c r="BC102" s="64"/>
      <c r="BD102" s="46"/>
      <c r="BE102" s="46" t="e">
        <v>#REF!</v>
      </c>
      <c r="BF102" s="46" t="s">
        <v>79</v>
      </c>
      <c r="BG102" s="65">
        <v>0.25</v>
      </c>
      <c r="BH102" s="66" t="s">
        <v>4436</v>
      </c>
      <c r="BI102" s="63" t="s">
        <v>4434</v>
      </c>
    </row>
    <row r="103" spans="1:61" ht="89.25" x14ac:dyDescent="0.2">
      <c r="A103" s="45" t="s">
        <v>4437</v>
      </c>
      <c r="B103" s="46"/>
      <c r="C103" s="46" t="s">
        <v>4438</v>
      </c>
      <c r="D103" s="46" t="s">
        <v>257</v>
      </c>
      <c r="E103" s="46" t="s">
        <v>4439</v>
      </c>
      <c r="F103" s="46" t="s">
        <v>68</v>
      </c>
      <c r="G103" s="46" t="s">
        <v>68</v>
      </c>
      <c r="H103" s="46" t="s">
        <v>68</v>
      </c>
      <c r="I103" s="46" t="s">
        <v>68</v>
      </c>
      <c r="J103" s="46" t="s">
        <v>71</v>
      </c>
      <c r="K103" s="47">
        <v>155</v>
      </c>
      <c r="L103" s="47">
        <v>100</v>
      </c>
      <c r="M103" s="47">
        <v>255</v>
      </c>
      <c r="N103" s="46" t="s">
        <v>4440</v>
      </c>
      <c r="O103" s="71" t="s">
        <v>4441</v>
      </c>
      <c r="P103" s="46" t="s">
        <v>4442</v>
      </c>
      <c r="Q103" s="46" t="s">
        <v>3826</v>
      </c>
      <c r="R103" s="46" t="s">
        <v>4320</v>
      </c>
      <c r="S103" s="49">
        <v>63.75</v>
      </c>
      <c r="T103" s="49">
        <v>318.75</v>
      </c>
      <c r="U103" s="28">
        <v>0.29215686274509806</v>
      </c>
      <c r="V103" s="28">
        <v>0.24929577464788732</v>
      </c>
      <c r="W103" s="51">
        <v>0.64516129032258063</v>
      </c>
      <c r="X103" s="52">
        <v>31.875</v>
      </c>
      <c r="Y103" s="52">
        <v>30</v>
      </c>
      <c r="Z103" s="52">
        <v>163.75</v>
      </c>
      <c r="AA103" s="52">
        <v>225.625</v>
      </c>
      <c r="AB103" s="53">
        <v>0.707843137254902</v>
      </c>
      <c r="AC103" s="54">
        <v>93.125</v>
      </c>
      <c r="AD103" s="55">
        <v>0.29215686274509806</v>
      </c>
      <c r="AE103" s="56">
        <v>2</v>
      </c>
      <c r="AF103" s="57" t="s">
        <v>72</v>
      </c>
      <c r="AG103" s="58">
        <v>77.5</v>
      </c>
      <c r="AH103" s="58">
        <v>100</v>
      </c>
      <c r="AI103" s="58">
        <v>177.5</v>
      </c>
      <c r="AJ103" s="49">
        <v>44.375</v>
      </c>
      <c r="AK103" s="49">
        <v>221.875</v>
      </c>
      <c r="AL103" s="52">
        <v>22.1875</v>
      </c>
      <c r="AM103" s="52">
        <v>144.375</v>
      </c>
      <c r="AN103" s="52">
        <v>166.5625</v>
      </c>
      <c r="AO103" s="59">
        <v>0.75070422535211268</v>
      </c>
      <c r="AP103" s="60">
        <v>55.3125</v>
      </c>
      <c r="AQ103" s="61">
        <v>0.24929577464788732</v>
      </c>
      <c r="AR103" s="60" t="s">
        <v>78</v>
      </c>
      <c r="AS103" s="62">
        <v>233</v>
      </c>
      <c r="AT103" s="62">
        <v>150</v>
      </c>
      <c r="AU103" s="62">
        <v>383</v>
      </c>
      <c r="AV103" s="62">
        <v>478.75</v>
      </c>
      <c r="AW103" s="47" t="s">
        <v>74</v>
      </c>
      <c r="AX103" s="64">
        <v>44980</v>
      </c>
      <c r="AY103" s="64" t="s">
        <v>4443</v>
      </c>
      <c r="AZ103" s="86"/>
      <c r="BA103" s="46" t="s">
        <v>74</v>
      </c>
      <c r="BB103" s="26"/>
      <c r="BC103" s="26"/>
      <c r="BD103" s="70" t="s">
        <v>4444</v>
      </c>
      <c r="BE103" s="46" t="e">
        <v>#REF!</v>
      </c>
      <c r="BF103" s="46" t="s">
        <v>79</v>
      </c>
      <c r="BG103" s="65">
        <v>0.5</v>
      </c>
      <c r="BH103" s="66"/>
      <c r="BI103" s="63" t="s">
        <v>4445</v>
      </c>
    </row>
    <row r="104" spans="1:61" ht="114.75" x14ac:dyDescent="0.2">
      <c r="A104" s="45" t="s">
        <v>4446</v>
      </c>
      <c r="B104" s="46"/>
      <c r="C104" s="46" t="s">
        <v>4447</v>
      </c>
      <c r="D104" s="46" t="s">
        <v>257</v>
      </c>
      <c r="E104" s="46" t="s">
        <v>4439</v>
      </c>
      <c r="F104" s="46" t="s">
        <v>4448</v>
      </c>
      <c r="G104" s="46" t="s">
        <v>68</v>
      </c>
      <c r="H104" s="46" t="s">
        <v>68</v>
      </c>
      <c r="I104" s="46" t="s">
        <v>68</v>
      </c>
      <c r="J104" s="46" t="s">
        <v>71</v>
      </c>
      <c r="K104" s="47">
        <v>170</v>
      </c>
      <c r="L104" s="47">
        <v>200</v>
      </c>
      <c r="M104" s="47">
        <v>370</v>
      </c>
      <c r="N104" s="46" t="s">
        <v>4449</v>
      </c>
      <c r="O104" s="71" t="s">
        <v>4450</v>
      </c>
      <c r="P104" s="46" t="s">
        <v>4451</v>
      </c>
      <c r="Q104" s="46" t="s">
        <v>3826</v>
      </c>
      <c r="R104" s="46" t="s">
        <v>4320</v>
      </c>
      <c r="S104" s="49">
        <v>92.5</v>
      </c>
      <c r="T104" s="49">
        <v>462.5</v>
      </c>
      <c r="U104" s="28">
        <v>0.20270270270270271</v>
      </c>
      <c r="V104" s="50">
        <v>0.13859649122807016</v>
      </c>
      <c r="W104" s="74">
        <v>1.1764705882352942</v>
      </c>
      <c r="X104" s="52">
        <v>46.25</v>
      </c>
      <c r="Y104" s="52">
        <v>30</v>
      </c>
      <c r="Z104" s="52">
        <v>292.5</v>
      </c>
      <c r="AA104" s="52">
        <v>368.75</v>
      </c>
      <c r="AB104" s="53">
        <v>0.79729729729729726</v>
      </c>
      <c r="AC104" s="54">
        <v>93.75</v>
      </c>
      <c r="AD104" s="55">
        <v>0.20270270270270271</v>
      </c>
      <c r="AE104" s="56">
        <v>2</v>
      </c>
      <c r="AF104" s="57" t="s">
        <v>72</v>
      </c>
      <c r="AG104" s="58">
        <v>85</v>
      </c>
      <c r="AH104" s="58">
        <v>200</v>
      </c>
      <c r="AI104" s="58">
        <v>285</v>
      </c>
      <c r="AJ104" s="49">
        <v>71.25</v>
      </c>
      <c r="AK104" s="49">
        <v>356.25</v>
      </c>
      <c r="AL104" s="52">
        <v>35.625</v>
      </c>
      <c r="AM104" s="52">
        <v>271.25</v>
      </c>
      <c r="AN104" s="52">
        <v>306.875</v>
      </c>
      <c r="AO104" s="59">
        <v>0.86140350877192984</v>
      </c>
      <c r="AP104" s="60">
        <v>49.375</v>
      </c>
      <c r="AQ104" s="61">
        <v>0.13859649122807016</v>
      </c>
      <c r="AR104" s="60" t="s">
        <v>73</v>
      </c>
      <c r="AS104" s="62">
        <v>255</v>
      </c>
      <c r="AT104" s="62">
        <v>300</v>
      </c>
      <c r="AU104" s="62">
        <v>555</v>
      </c>
      <c r="AV104" s="62">
        <v>693.75</v>
      </c>
      <c r="AW104" s="47" t="s">
        <v>74</v>
      </c>
      <c r="AX104" s="64">
        <v>45110</v>
      </c>
      <c r="AY104" s="64" t="s">
        <v>4452</v>
      </c>
      <c r="AZ104" s="86"/>
      <c r="BA104" s="46" t="s">
        <v>74</v>
      </c>
      <c r="BB104" s="26"/>
      <c r="BC104" s="26"/>
      <c r="BD104" s="70" t="s">
        <v>4453</v>
      </c>
      <c r="BE104" s="46" t="e">
        <v>#REF!</v>
      </c>
      <c r="BF104" s="46" t="s">
        <v>79</v>
      </c>
      <c r="BG104" s="65">
        <v>1.25</v>
      </c>
      <c r="BH104" s="66"/>
      <c r="BI104" s="63" t="s">
        <v>4454</v>
      </c>
    </row>
    <row r="105" spans="1:61" ht="102" x14ac:dyDescent="0.2">
      <c r="A105" s="45" t="s">
        <v>4455</v>
      </c>
      <c r="B105" s="46"/>
      <c r="C105" s="46" t="s">
        <v>4456</v>
      </c>
      <c r="D105" s="46" t="s">
        <v>4457</v>
      </c>
      <c r="E105" s="46" t="s">
        <v>454</v>
      </c>
      <c r="F105" s="46" t="s">
        <v>68</v>
      </c>
      <c r="G105" s="46" t="s">
        <v>68</v>
      </c>
      <c r="H105" s="46" t="s">
        <v>68</v>
      </c>
      <c r="I105" s="46"/>
      <c r="J105" s="46" t="s">
        <v>71</v>
      </c>
      <c r="K105" s="47">
        <v>235</v>
      </c>
      <c r="L105" s="47">
        <v>420</v>
      </c>
      <c r="M105" s="47">
        <v>655</v>
      </c>
      <c r="N105" s="46"/>
      <c r="O105" s="71" t="s">
        <v>68</v>
      </c>
      <c r="P105" s="64"/>
      <c r="Q105" s="46" t="s">
        <v>3826</v>
      </c>
      <c r="R105" s="46" t="s">
        <v>4320</v>
      </c>
      <c r="S105" s="49">
        <v>163.75</v>
      </c>
      <c r="T105" s="49">
        <v>818.75</v>
      </c>
      <c r="U105" s="50">
        <v>0.15038167938931299</v>
      </c>
      <c r="V105" s="50">
        <v>0.18702290076335878</v>
      </c>
      <c r="W105" s="77">
        <v>1.7872340425531914</v>
      </c>
      <c r="X105" s="52">
        <v>81.875</v>
      </c>
      <c r="Y105" s="52">
        <v>30</v>
      </c>
      <c r="Z105" s="52">
        <v>583.75</v>
      </c>
      <c r="AA105" s="52">
        <v>695.625</v>
      </c>
      <c r="AB105" s="53">
        <v>0.84961832061068698</v>
      </c>
      <c r="AC105" s="72">
        <v>123.125</v>
      </c>
      <c r="AD105" s="55">
        <v>0.15038167938931299</v>
      </c>
      <c r="AE105" s="73">
        <v>3</v>
      </c>
      <c r="AF105" s="57" t="s">
        <v>95</v>
      </c>
      <c r="AG105" s="58">
        <v>235</v>
      </c>
      <c r="AH105" s="58">
        <v>420</v>
      </c>
      <c r="AI105" s="58">
        <v>655</v>
      </c>
      <c r="AJ105" s="49">
        <v>163.75</v>
      </c>
      <c r="AK105" s="49">
        <v>818.75</v>
      </c>
      <c r="AL105" s="52">
        <v>81.875</v>
      </c>
      <c r="AM105" s="52">
        <v>583.75</v>
      </c>
      <c r="AN105" s="52">
        <v>665.625</v>
      </c>
      <c r="AO105" s="59">
        <v>0.81297709923664119</v>
      </c>
      <c r="AP105" s="60">
        <v>153.125</v>
      </c>
      <c r="AQ105" s="61">
        <v>0.18702290076335878</v>
      </c>
      <c r="AR105" s="60" t="s">
        <v>73</v>
      </c>
      <c r="AS105" s="62">
        <v>376</v>
      </c>
      <c r="AT105" s="62">
        <v>672</v>
      </c>
      <c r="AU105" s="62">
        <v>1048</v>
      </c>
      <c r="AV105" s="62">
        <v>1310</v>
      </c>
      <c r="AW105" s="47" t="s">
        <v>107</v>
      </c>
      <c r="AX105" s="64">
        <v>45558</v>
      </c>
      <c r="AY105" s="64" t="s">
        <v>4458</v>
      </c>
      <c r="AZ105" s="86"/>
      <c r="BA105" s="64"/>
      <c r="BB105" s="64"/>
      <c r="BC105" s="64"/>
      <c r="BD105" s="46"/>
      <c r="BE105" s="46" t="e">
        <v>#REF!</v>
      </c>
      <c r="BF105" s="46" t="s">
        <v>4330</v>
      </c>
      <c r="BG105" s="65">
        <v>2</v>
      </c>
      <c r="BH105" s="66" t="s">
        <v>4459</v>
      </c>
      <c r="BI105" s="63" t="s">
        <v>4460</v>
      </c>
    </row>
    <row r="106" spans="1:61" ht="102" x14ac:dyDescent="0.2">
      <c r="A106" s="45" t="s">
        <v>4461</v>
      </c>
      <c r="B106" s="46"/>
      <c r="C106" s="46" t="s">
        <v>4456</v>
      </c>
      <c r="D106" s="46" t="s">
        <v>4457</v>
      </c>
      <c r="E106" s="46" t="s">
        <v>445</v>
      </c>
      <c r="F106" s="46" t="s">
        <v>68</v>
      </c>
      <c r="G106" s="46" t="s">
        <v>68</v>
      </c>
      <c r="H106" s="46" t="s">
        <v>68</v>
      </c>
      <c r="I106" s="46"/>
      <c r="J106" s="46" t="s">
        <v>71</v>
      </c>
      <c r="K106" s="47">
        <v>270</v>
      </c>
      <c r="L106" s="47">
        <v>650</v>
      </c>
      <c r="M106" s="47">
        <v>920</v>
      </c>
      <c r="N106" s="46"/>
      <c r="O106" s="71" t="s">
        <v>68</v>
      </c>
      <c r="P106" s="64"/>
      <c r="Q106" s="46" t="s">
        <v>3826</v>
      </c>
      <c r="R106" s="46" t="s">
        <v>4320</v>
      </c>
      <c r="S106" s="49">
        <v>230</v>
      </c>
      <c r="T106" s="49">
        <v>1150</v>
      </c>
      <c r="U106" s="50">
        <v>0.10869565217391304</v>
      </c>
      <c r="V106" s="50">
        <v>0.13478260869565217</v>
      </c>
      <c r="W106" s="77">
        <v>2.4074074074074074</v>
      </c>
      <c r="X106" s="52">
        <v>115</v>
      </c>
      <c r="Y106" s="52">
        <v>30</v>
      </c>
      <c r="Z106" s="52">
        <v>880</v>
      </c>
      <c r="AA106" s="52">
        <v>1025</v>
      </c>
      <c r="AB106" s="53">
        <v>0.89130434782608692</v>
      </c>
      <c r="AC106" s="72">
        <v>125</v>
      </c>
      <c r="AD106" s="55">
        <v>0.10869565217391304</v>
      </c>
      <c r="AE106" s="73">
        <v>3</v>
      </c>
      <c r="AF106" s="57" t="s">
        <v>95</v>
      </c>
      <c r="AG106" s="58">
        <v>270</v>
      </c>
      <c r="AH106" s="58">
        <v>650</v>
      </c>
      <c r="AI106" s="58">
        <v>920</v>
      </c>
      <c r="AJ106" s="49">
        <v>230</v>
      </c>
      <c r="AK106" s="49">
        <v>1150</v>
      </c>
      <c r="AL106" s="52">
        <v>115</v>
      </c>
      <c r="AM106" s="52">
        <v>880</v>
      </c>
      <c r="AN106" s="52">
        <v>995</v>
      </c>
      <c r="AO106" s="59">
        <v>0.86521739130434783</v>
      </c>
      <c r="AP106" s="60">
        <v>155</v>
      </c>
      <c r="AQ106" s="61">
        <v>0.13478260869565217</v>
      </c>
      <c r="AR106" s="60" t="s">
        <v>73</v>
      </c>
      <c r="AS106" s="62">
        <v>432</v>
      </c>
      <c r="AT106" s="62">
        <v>1040</v>
      </c>
      <c r="AU106" s="62">
        <v>1472</v>
      </c>
      <c r="AV106" s="62">
        <v>1840</v>
      </c>
      <c r="AW106" s="47" t="s">
        <v>107</v>
      </c>
      <c r="AX106" s="64">
        <v>45558</v>
      </c>
      <c r="AY106" s="64" t="s">
        <v>4462</v>
      </c>
      <c r="AZ106" s="86"/>
      <c r="BA106" s="64"/>
      <c r="BB106" s="64"/>
      <c r="BC106" s="64"/>
      <c r="BD106" s="46"/>
      <c r="BE106" s="46" t="e">
        <v>#REF!</v>
      </c>
      <c r="BF106" s="46" t="s">
        <v>4330</v>
      </c>
      <c r="BG106" s="65">
        <v>2</v>
      </c>
      <c r="BH106" s="66" t="s">
        <v>4463</v>
      </c>
      <c r="BI106" s="63" t="s">
        <v>4464</v>
      </c>
    </row>
    <row r="107" spans="1:61" ht="102" x14ac:dyDescent="0.2">
      <c r="A107" s="45" t="s">
        <v>4465</v>
      </c>
      <c r="B107" s="46"/>
      <c r="C107" s="46" t="s">
        <v>4456</v>
      </c>
      <c r="D107" s="46" t="s">
        <v>4457</v>
      </c>
      <c r="E107" s="46" t="s">
        <v>449</v>
      </c>
      <c r="F107" s="46" t="s">
        <v>68</v>
      </c>
      <c r="G107" s="46" t="s">
        <v>68</v>
      </c>
      <c r="H107" s="46" t="s">
        <v>68</v>
      </c>
      <c r="I107" s="46"/>
      <c r="J107" s="46" t="s">
        <v>71</v>
      </c>
      <c r="K107" s="47">
        <v>320</v>
      </c>
      <c r="L107" s="47">
        <v>700</v>
      </c>
      <c r="M107" s="47">
        <v>1020</v>
      </c>
      <c r="N107" s="46"/>
      <c r="O107" s="71" t="s">
        <v>68</v>
      </c>
      <c r="P107" s="64"/>
      <c r="Q107" s="46" t="s">
        <v>3826</v>
      </c>
      <c r="R107" s="46" t="s">
        <v>4320</v>
      </c>
      <c r="S107" s="49">
        <v>255</v>
      </c>
      <c r="T107" s="49">
        <v>1275</v>
      </c>
      <c r="U107" s="50">
        <v>0.12745098039215685</v>
      </c>
      <c r="V107" s="50">
        <v>0.15098039215686274</v>
      </c>
      <c r="W107" s="77">
        <v>2.1875</v>
      </c>
      <c r="X107" s="52">
        <v>127.5</v>
      </c>
      <c r="Y107" s="52">
        <v>30</v>
      </c>
      <c r="Z107" s="52">
        <v>955</v>
      </c>
      <c r="AA107" s="52">
        <v>1112.5</v>
      </c>
      <c r="AB107" s="53">
        <v>0.87254901960784315</v>
      </c>
      <c r="AC107" s="72">
        <v>162.5</v>
      </c>
      <c r="AD107" s="55">
        <v>0.12745098039215685</v>
      </c>
      <c r="AE107" s="73">
        <v>3</v>
      </c>
      <c r="AF107" s="57" t="s">
        <v>95</v>
      </c>
      <c r="AG107" s="58">
        <v>320</v>
      </c>
      <c r="AH107" s="58">
        <v>700</v>
      </c>
      <c r="AI107" s="58">
        <v>1020</v>
      </c>
      <c r="AJ107" s="49">
        <v>255</v>
      </c>
      <c r="AK107" s="49">
        <v>1275</v>
      </c>
      <c r="AL107" s="52">
        <v>127.5</v>
      </c>
      <c r="AM107" s="52">
        <v>955</v>
      </c>
      <c r="AN107" s="52">
        <v>1082.5</v>
      </c>
      <c r="AO107" s="59">
        <v>0.84901960784313724</v>
      </c>
      <c r="AP107" s="60">
        <v>192.5</v>
      </c>
      <c r="AQ107" s="61">
        <v>0.15098039215686274</v>
      </c>
      <c r="AR107" s="60" t="s">
        <v>73</v>
      </c>
      <c r="AS107" s="62">
        <v>512</v>
      </c>
      <c r="AT107" s="62">
        <v>1120</v>
      </c>
      <c r="AU107" s="62">
        <v>1632</v>
      </c>
      <c r="AV107" s="62">
        <v>2040</v>
      </c>
      <c r="AW107" s="47" t="s">
        <v>107</v>
      </c>
      <c r="AX107" s="64">
        <v>45558</v>
      </c>
      <c r="AY107" s="64" t="s">
        <v>4466</v>
      </c>
      <c r="AZ107" s="86"/>
      <c r="BA107" s="64"/>
      <c r="BB107" s="64"/>
      <c r="BC107" s="64"/>
      <c r="BD107" s="46"/>
      <c r="BE107" s="46" t="e">
        <v>#REF!</v>
      </c>
      <c r="BF107" s="46" t="s">
        <v>4330</v>
      </c>
      <c r="BG107" s="65">
        <v>2</v>
      </c>
      <c r="BH107" s="66" t="s">
        <v>4467</v>
      </c>
      <c r="BI107" s="63" t="s">
        <v>4468</v>
      </c>
    </row>
    <row r="108" spans="1:61" ht="102" x14ac:dyDescent="0.2">
      <c r="A108" s="45" t="s">
        <v>4469</v>
      </c>
      <c r="B108" s="46"/>
      <c r="C108" s="46" t="s">
        <v>4456</v>
      </c>
      <c r="D108" s="46" t="s">
        <v>4470</v>
      </c>
      <c r="E108" s="46" t="s">
        <v>454</v>
      </c>
      <c r="F108" s="46" t="s">
        <v>68</v>
      </c>
      <c r="G108" s="46" t="s">
        <v>68</v>
      </c>
      <c r="H108" s="46" t="s">
        <v>68</v>
      </c>
      <c r="I108" s="46"/>
      <c r="J108" s="46" t="s">
        <v>71</v>
      </c>
      <c r="K108" s="47">
        <v>315</v>
      </c>
      <c r="L108" s="47">
        <v>980</v>
      </c>
      <c r="M108" s="47">
        <v>1295</v>
      </c>
      <c r="N108" s="46"/>
      <c r="O108" s="71" t="s">
        <v>68</v>
      </c>
      <c r="P108" s="64"/>
      <c r="Q108" s="46" t="s">
        <v>3826</v>
      </c>
      <c r="R108" s="46" t="s">
        <v>4320</v>
      </c>
      <c r="S108" s="49">
        <v>323.75</v>
      </c>
      <c r="T108" s="49">
        <v>1618.75</v>
      </c>
      <c r="U108" s="50">
        <v>7.6061776061776068E-2</v>
      </c>
      <c r="V108" s="50">
        <v>9.45945945945946E-2</v>
      </c>
      <c r="W108" s="77">
        <v>3.1111111111111112</v>
      </c>
      <c r="X108" s="52">
        <v>161.875</v>
      </c>
      <c r="Y108" s="52">
        <v>30</v>
      </c>
      <c r="Z108" s="52">
        <v>1303.75</v>
      </c>
      <c r="AA108" s="52">
        <v>1495.625</v>
      </c>
      <c r="AB108" s="53">
        <v>0.92393822393822389</v>
      </c>
      <c r="AC108" s="72">
        <v>123.125</v>
      </c>
      <c r="AD108" s="55">
        <v>7.6061776061776068E-2</v>
      </c>
      <c r="AE108" s="73">
        <v>3</v>
      </c>
      <c r="AF108" s="57" t="s">
        <v>95</v>
      </c>
      <c r="AG108" s="58">
        <v>315</v>
      </c>
      <c r="AH108" s="58">
        <v>980</v>
      </c>
      <c r="AI108" s="58">
        <v>1295</v>
      </c>
      <c r="AJ108" s="49">
        <v>323.75</v>
      </c>
      <c r="AK108" s="49">
        <v>1618.75</v>
      </c>
      <c r="AL108" s="52">
        <v>161.875</v>
      </c>
      <c r="AM108" s="52">
        <v>1303.75</v>
      </c>
      <c r="AN108" s="52">
        <v>1465.625</v>
      </c>
      <c r="AO108" s="59">
        <v>0.90540540540540537</v>
      </c>
      <c r="AP108" s="60">
        <v>153.125</v>
      </c>
      <c r="AQ108" s="61">
        <v>9.45945945945946E-2</v>
      </c>
      <c r="AR108" s="60" t="s">
        <v>73</v>
      </c>
      <c r="AS108" s="62">
        <v>504</v>
      </c>
      <c r="AT108" s="62">
        <v>1568</v>
      </c>
      <c r="AU108" s="62">
        <v>2072</v>
      </c>
      <c r="AV108" s="62">
        <v>2590</v>
      </c>
      <c r="AW108" s="47" t="s">
        <v>107</v>
      </c>
      <c r="AX108" s="64">
        <v>45558</v>
      </c>
      <c r="AY108" s="64" t="s">
        <v>4471</v>
      </c>
      <c r="AZ108" s="86"/>
      <c r="BA108" s="64"/>
      <c r="BB108" s="64"/>
      <c r="BC108" s="64"/>
      <c r="BD108" s="46"/>
      <c r="BE108" s="46" t="e">
        <v>#REF!</v>
      </c>
      <c r="BF108" s="46" t="s">
        <v>4330</v>
      </c>
      <c r="BG108" s="65">
        <v>2</v>
      </c>
      <c r="BH108" s="66" t="s">
        <v>4472</v>
      </c>
      <c r="BI108" s="63" t="s">
        <v>4473</v>
      </c>
    </row>
    <row r="109" spans="1:61" ht="102" x14ac:dyDescent="0.2">
      <c r="A109" s="45" t="s">
        <v>4474</v>
      </c>
      <c r="B109" s="46"/>
      <c r="C109" s="46" t="s">
        <v>4456</v>
      </c>
      <c r="D109" s="46" t="s">
        <v>4470</v>
      </c>
      <c r="E109" s="46" t="s">
        <v>445</v>
      </c>
      <c r="F109" s="46" t="s">
        <v>68</v>
      </c>
      <c r="G109" s="46" t="s">
        <v>68</v>
      </c>
      <c r="H109" s="46" t="s">
        <v>68</v>
      </c>
      <c r="I109" s="46"/>
      <c r="J109" s="46" t="s">
        <v>71</v>
      </c>
      <c r="K109" s="47">
        <v>325</v>
      </c>
      <c r="L109" s="47">
        <v>1050</v>
      </c>
      <c r="M109" s="47">
        <v>1375</v>
      </c>
      <c r="N109" s="46"/>
      <c r="O109" s="71" t="s">
        <v>68</v>
      </c>
      <c r="P109" s="64"/>
      <c r="Q109" s="46" t="s">
        <v>3826</v>
      </c>
      <c r="R109" s="46" t="s">
        <v>4320</v>
      </c>
      <c r="S109" s="49">
        <v>343.75</v>
      </c>
      <c r="T109" s="49">
        <v>1718.75</v>
      </c>
      <c r="U109" s="50">
        <v>7.1636363636363637E-2</v>
      </c>
      <c r="V109" s="50">
        <v>8.9090909090909096E-2</v>
      </c>
      <c r="W109" s="77">
        <v>3.2307692307692308</v>
      </c>
      <c r="X109" s="52">
        <v>171.875</v>
      </c>
      <c r="Y109" s="52">
        <v>30</v>
      </c>
      <c r="Z109" s="52">
        <v>1393.75</v>
      </c>
      <c r="AA109" s="52">
        <v>1595.625</v>
      </c>
      <c r="AB109" s="53">
        <v>0.92836363636363639</v>
      </c>
      <c r="AC109" s="72">
        <v>123.125</v>
      </c>
      <c r="AD109" s="55">
        <v>7.1636363636363637E-2</v>
      </c>
      <c r="AE109" s="73">
        <v>3</v>
      </c>
      <c r="AF109" s="57" t="s">
        <v>95</v>
      </c>
      <c r="AG109" s="58">
        <v>325</v>
      </c>
      <c r="AH109" s="58">
        <v>1050</v>
      </c>
      <c r="AI109" s="58">
        <v>1375</v>
      </c>
      <c r="AJ109" s="49">
        <v>343.75</v>
      </c>
      <c r="AK109" s="49">
        <v>1718.75</v>
      </c>
      <c r="AL109" s="52">
        <v>171.875</v>
      </c>
      <c r="AM109" s="52">
        <v>1393.75</v>
      </c>
      <c r="AN109" s="52">
        <v>1565.625</v>
      </c>
      <c r="AO109" s="59">
        <v>0.91090909090909089</v>
      </c>
      <c r="AP109" s="60">
        <v>153.125</v>
      </c>
      <c r="AQ109" s="61">
        <v>8.9090909090909096E-2</v>
      </c>
      <c r="AR109" s="60" t="s">
        <v>73</v>
      </c>
      <c r="AS109" s="62">
        <v>520</v>
      </c>
      <c r="AT109" s="62">
        <v>1680</v>
      </c>
      <c r="AU109" s="62">
        <v>2200</v>
      </c>
      <c r="AV109" s="62">
        <v>2750</v>
      </c>
      <c r="AW109" s="47" t="s">
        <v>107</v>
      </c>
      <c r="AX109" s="64">
        <v>45558</v>
      </c>
      <c r="AY109" s="64" t="s">
        <v>4475</v>
      </c>
      <c r="AZ109" s="86"/>
      <c r="BA109" s="64"/>
      <c r="BB109" s="64"/>
      <c r="BC109" s="64"/>
      <c r="BD109" s="46"/>
      <c r="BE109" s="46" t="e">
        <v>#REF!</v>
      </c>
      <c r="BF109" s="46" t="s">
        <v>4330</v>
      </c>
      <c r="BG109" s="65">
        <v>2</v>
      </c>
      <c r="BH109" s="66" t="s">
        <v>4476</v>
      </c>
      <c r="BI109" s="63" t="s">
        <v>4477</v>
      </c>
    </row>
    <row r="110" spans="1:61" ht="102" x14ac:dyDescent="0.2">
      <c r="A110" s="45" t="s">
        <v>4478</v>
      </c>
      <c r="B110" s="46"/>
      <c r="C110" s="46" t="s">
        <v>4456</v>
      </c>
      <c r="D110" s="46" t="s">
        <v>4470</v>
      </c>
      <c r="E110" s="46" t="s">
        <v>449</v>
      </c>
      <c r="F110" s="46" t="s">
        <v>68</v>
      </c>
      <c r="G110" s="46" t="s">
        <v>68</v>
      </c>
      <c r="H110" s="46" t="s">
        <v>68</v>
      </c>
      <c r="I110" s="46"/>
      <c r="J110" s="46" t="s">
        <v>71</v>
      </c>
      <c r="K110" s="47">
        <v>360</v>
      </c>
      <c r="L110" s="47">
        <v>1200</v>
      </c>
      <c r="M110" s="47">
        <v>1560</v>
      </c>
      <c r="N110" s="46"/>
      <c r="O110" s="71" t="s">
        <v>68</v>
      </c>
      <c r="P110" s="64"/>
      <c r="Q110" s="46" t="s">
        <v>3826</v>
      </c>
      <c r="R110" s="46" t="s">
        <v>4320</v>
      </c>
      <c r="S110" s="49">
        <v>390</v>
      </c>
      <c r="T110" s="49">
        <v>1950</v>
      </c>
      <c r="U110" s="50">
        <v>6.9230769230769235E-2</v>
      </c>
      <c r="V110" s="50">
        <v>8.461538461538462E-2</v>
      </c>
      <c r="W110" s="77">
        <v>3.3333333333333335</v>
      </c>
      <c r="X110" s="52">
        <v>195</v>
      </c>
      <c r="Y110" s="52">
        <v>30</v>
      </c>
      <c r="Z110" s="52">
        <v>1590</v>
      </c>
      <c r="AA110" s="52">
        <v>1815</v>
      </c>
      <c r="AB110" s="53">
        <v>0.93076923076923079</v>
      </c>
      <c r="AC110" s="72">
        <v>135</v>
      </c>
      <c r="AD110" s="55">
        <v>6.9230769230769235E-2</v>
      </c>
      <c r="AE110" s="73">
        <v>3</v>
      </c>
      <c r="AF110" s="57" t="s">
        <v>95</v>
      </c>
      <c r="AG110" s="58">
        <v>360</v>
      </c>
      <c r="AH110" s="58">
        <v>1200</v>
      </c>
      <c r="AI110" s="58">
        <v>1560</v>
      </c>
      <c r="AJ110" s="49">
        <v>390</v>
      </c>
      <c r="AK110" s="49">
        <v>1950</v>
      </c>
      <c r="AL110" s="52">
        <v>195</v>
      </c>
      <c r="AM110" s="52">
        <v>1590</v>
      </c>
      <c r="AN110" s="52">
        <v>1785</v>
      </c>
      <c r="AO110" s="59">
        <v>0.91538461538461535</v>
      </c>
      <c r="AP110" s="60">
        <v>165</v>
      </c>
      <c r="AQ110" s="61">
        <v>8.461538461538462E-2</v>
      </c>
      <c r="AR110" s="60" t="s">
        <v>73</v>
      </c>
      <c r="AS110" s="62">
        <v>576</v>
      </c>
      <c r="AT110" s="62">
        <v>1920</v>
      </c>
      <c r="AU110" s="62">
        <v>2496</v>
      </c>
      <c r="AV110" s="62">
        <v>3120</v>
      </c>
      <c r="AW110" s="47" t="s">
        <v>107</v>
      </c>
      <c r="AX110" s="64">
        <v>45558</v>
      </c>
      <c r="AY110" s="64" t="s">
        <v>4479</v>
      </c>
      <c r="AZ110" s="86"/>
      <c r="BA110" s="64"/>
      <c r="BB110" s="64"/>
      <c r="BC110" s="64"/>
      <c r="BD110" s="46"/>
      <c r="BE110" s="46" t="e">
        <v>#REF!</v>
      </c>
      <c r="BF110" s="46" t="s">
        <v>4330</v>
      </c>
      <c r="BG110" s="65">
        <v>2</v>
      </c>
      <c r="BH110" s="66" t="s">
        <v>4480</v>
      </c>
      <c r="BI110" s="63" t="s">
        <v>4481</v>
      </c>
    </row>
    <row r="111" spans="1:61" ht="114.75" x14ac:dyDescent="0.2">
      <c r="A111" s="45" t="s">
        <v>4482</v>
      </c>
      <c r="B111" s="46"/>
      <c r="C111" s="46" t="s">
        <v>4483</v>
      </c>
      <c r="D111" s="46" t="s">
        <v>4484</v>
      </c>
      <c r="E111" s="46" t="s">
        <v>445</v>
      </c>
      <c r="F111" s="46" t="s">
        <v>4485</v>
      </c>
      <c r="G111" s="46" t="s">
        <v>68</v>
      </c>
      <c r="H111" s="46" t="s">
        <v>68</v>
      </c>
      <c r="I111" s="46"/>
      <c r="J111" s="46" t="s">
        <v>71</v>
      </c>
      <c r="K111" s="47">
        <v>500</v>
      </c>
      <c r="L111" s="47">
        <v>2000</v>
      </c>
      <c r="M111" s="47">
        <v>2500</v>
      </c>
      <c r="N111" s="46"/>
      <c r="O111" s="71" t="s">
        <v>68</v>
      </c>
      <c r="P111" s="64"/>
      <c r="Q111" s="46" t="s">
        <v>3826</v>
      </c>
      <c r="R111" s="46" t="s">
        <v>4320</v>
      </c>
      <c r="S111" s="49">
        <v>625</v>
      </c>
      <c r="T111" s="49">
        <v>3125</v>
      </c>
      <c r="U111" s="50">
        <v>5.04E-2</v>
      </c>
      <c r="V111" s="50">
        <v>0.06</v>
      </c>
      <c r="W111" s="77">
        <v>4</v>
      </c>
      <c r="X111" s="52">
        <v>312.5</v>
      </c>
      <c r="Y111" s="52">
        <v>30</v>
      </c>
      <c r="Z111" s="52">
        <v>2625</v>
      </c>
      <c r="AA111" s="52">
        <v>2967.5</v>
      </c>
      <c r="AB111" s="53">
        <v>0.9496</v>
      </c>
      <c r="AC111" s="72">
        <v>157.5</v>
      </c>
      <c r="AD111" s="55">
        <v>5.04E-2</v>
      </c>
      <c r="AE111" s="73">
        <v>4</v>
      </c>
      <c r="AF111" s="57" t="s">
        <v>95</v>
      </c>
      <c r="AG111" s="58">
        <v>500</v>
      </c>
      <c r="AH111" s="58">
        <v>2000</v>
      </c>
      <c r="AI111" s="58">
        <v>2500</v>
      </c>
      <c r="AJ111" s="49">
        <v>625</v>
      </c>
      <c r="AK111" s="49">
        <v>3125</v>
      </c>
      <c r="AL111" s="52">
        <v>312.5</v>
      </c>
      <c r="AM111" s="52">
        <v>2625</v>
      </c>
      <c r="AN111" s="52">
        <v>2937.5</v>
      </c>
      <c r="AO111" s="59">
        <v>0.94</v>
      </c>
      <c r="AP111" s="60">
        <v>187.5</v>
      </c>
      <c r="AQ111" s="61">
        <v>0.06</v>
      </c>
      <c r="AR111" s="60" t="s">
        <v>73</v>
      </c>
      <c r="AS111" s="62">
        <v>850</v>
      </c>
      <c r="AT111" s="62">
        <v>3400</v>
      </c>
      <c r="AU111" s="62">
        <v>4250</v>
      </c>
      <c r="AV111" s="62">
        <v>5312.5</v>
      </c>
      <c r="AW111" s="47" t="s">
        <v>107</v>
      </c>
      <c r="AX111" s="64">
        <v>45321</v>
      </c>
      <c r="AY111" s="64" t="s">
        <v>4486</v>
      </c>
      <c r="AZ111" s="86"/>
      <c r="BA111" s="64"/>
      <c r="BB111" s="64"/>
      <c r="BC111" s="64"/>
      <c r="BD111" s="70" t="s">
        <v>4487</v>
      </c>
      <c r="BE111" s="46" t="e">
        <v>#REF!</v>
      </c>
      <c r="BF111" s="46" t="s">
        <v>4330</v>
      </c>
      <c r="BG111" s="65">
        <v>4</v>
      </c>
      <c r="BH111" s="66" t="s">
        <v>4488</v>
      </c>
      <c r="BI111" s="63" t="s">
        <v>4489</v>
      </c>
    </row>
    <row r="112" spans="1:61" ht="114.75" x14ac:dyDescent="0.2">
      <c r="A112" s="45" t="s">
        <v>4490</v>
      </c>
      <c r="B112" s="46"/>
      <c r="C112" s="46" t="s">
        <v>4483</v>
      </c>
      <c r="D112" s="46" t="s">
        <v>4484</v>
      </c>
      <c r="E112" s="46" t="s">
        <v>449</v>
      </c>
      <c r="F112" s="46" t="s">
        <v>4485</v>
      </c>
      <c r="G112" s="46"/>
      <c r="H112" s="46"/>
      <c r="I112" s="46"/>
      <c r="J112" s="46" t="s">
        <v>71</v>
      </c>
      <c r="K112" s="47">
        <v>550</v>
      </c>
      <c r="L112" s="47">
        <v>2900</v>
      </c>
      <c r="M112" s="47">
        <v>3450</v>
      </c>
      <c r="N112" s="46"/>
      <c r="O112" s="71" t="s">
        <v>68</v>
      </c>
      <c r="P112" s="64"/>
      <c r="Q112" s="46" t="s">
        <v>3826</v>
      </c>
      <c r="R112" s="46" t="s">
        <v>4320</v>
      </c>
      <c r="S112" s="49">
        <v>862.5</v>
      </c>
      <c r="T112" s="49">
        <v>4312.5</v>
      </c>
      <c r="U112" s="50">
        <v>2.0579710144927536E-2</v>
      </c>
      <c r="V112" s="50">
        <v>2.753623188405797E-2</v>
      </c>
      <c r="W112" s="77">
        <v>5.2727272727272725</v>
      </c>
      <c r="X112" s="52">
        <v>431.25</v>
      </c>
      <c r="Y112" s="52">
        <v>30</v>
      </c>
      <c r="Z112" s="52">
        <v>3762.5</v>
      </c>
      <c r="AA112" s="52">
        <v>4223.75</v>
      </c>
      <c r="AB112" s="53">
        <v>0.97942028985507246</v>
      </c>
      <c r="AC112" s="68">
        <v>88.75</v>
      </c>
      <c r="AD112" s="55">
        <v>2.0579710144927536E-2</v>
      </c>
      <c r="AE112" s="73">
        <v>4</v>
      </c>
      <c r="AF112" s="57" t="s">
        <v>95</v>
      </c>
      <c r="AG112" s="58">
        <v>550</v>
      </c>
      <c r="AH112" s="58">
        <v>2900</v>
      </c>
      <c r="AI112" s="58">
        <v>3450</v>
      </c>
      <c r="AJ112" s="49">
        <v>862.5</v>
      </c>
      <c r="AK112" s="49">
        <v>4312.5</v>
      </c>
      <c r="AL112" s="52">
        <v>431.25</v>
      </c>
      <c r="AM112" s="52">
        <v>3762.5</v>
      </c>
      <c r="AN112" s="52">
        <v>4193.75</v>
      </c>
      <c r="AO112" s="59">
        <v>0.97246376811594204</v>
      </c>
      <c r="AP112" s="60">
        <v>118.75</v>
      </c>
      <c r="AQ112" s="61">
        <v>2.753623188405797E-2</v>
      </c>
      <c r="AR112" s="60" t="s">
        <v>73</v>
      </c>
      <c r="AS112" s="62">
        <v>935</v>
      </c>
      <c r="AT112" s="62">
        <v>4930</v>
      </c>
      <c r="AU112" s="62">
        <v>5865</v>
      </c>
      <c r="AV112" s="62">
        <v>7331.25</v>
      </c>
      <c r="AW112" s="47" t="s">
        <v>107</v>
      </c>
      <c r="AX112" s="64">
        <v>45321</v>
      </c>
      <c r="AY112" s="64" t="s">
        <v>4491</v>
      </c>
      <c r="AZ112" s="86"/>
      <c r="BA112" s="64"/>
      <c r="BB112" s="64"/>
      <c r="BC112" s="64"/>
      <c r="BD112" s="70" t="s">
        <v>4492</v>
      </c>
      <c r="BE112" s="46" t="e">
        <v>#REF!</v>
      </c>
      <c r="BF112" s="46" t="s">
        <v>4330</v>
      </c>
      <c r="BG112" s="65">
        <v>4</v>
      </c>
      <c r="BH112" s="66"/>
      <c r="BI112" s="63" t="s">
        <v>4493</v>
      </c>
    </row>
    <row r="113" spans="1:61" ht="114.75" x14ac:dyDescent="0.2">
      <c r="A113" s="45" t="s">
        <v>4494</v>
      </c>
      <c r="B113" s="46"/>
      <c r="C113" s="46" t="s">
        <v>4483</v>
      </c>
      <c r="D113" s="46" t="s">
        <v>4495</v>
      </c>
      <c r="E113" s="46" t="s">
        <v>445</v>
      </c>
      <c r="F113" s="46" t="s">
        <v>4485</v>
      </c>
      <c r="G113" s="46" t="s">
        <v>68</v>
      </c>
      <c r="H113" s="46" t="s">
        <v>68</v>
      </c>
      <c r="I113" s="46"/>
      <c r="J113" s="46" t="s">
        <v>71</v>
      </c>
      <c r="K113" s="47">
        <v>500</v>
      </c>
      <c r="L113" s="47">
        <v>2000</v>
      </c>
      <c r="M113" s="47">
        <v>2500</v>
      </c>
      <c r="N113" s="46"/>
      <c r="O113" s="71" t="s">
        <v>68</v>
      </c>
      <c r="P113" s="64"/>
      <c r="Q113" s="46" t="s">
        <v>3826</v>
      </c>
      <c r="R113" s="46" t="s">
        <v>4320</v>
      </c>
      <c r="S113" s="49">
        <v>625</v>
      </c>
      <c r="T113" s="49">
        <v>3125</v>
      </c>
      <c r="U113" s="50">
        <v>5.04E-2</v>
      </c>
      <c r="V113" s="50">
        <v>0.06</v>
      </c>
      <c r="W113" s="77">
        <v>4</v>
      </c>
      <c r="X113" s="52">
        <v>312.5</v>
      </c>
      <c r="Y113" s="52">
        <v>30</v>
      </c>
      <c r="Z113" s="52">
        <v>2625</v>
      </c>
      <c r="AA113" s="52">
        <v>2967.5</v>
      </c>
      <c r="AB113" s="53">
        <v>0.9496</v>
      </c>
      <c r="AC113" s="72">
        <v>157.5</v>
      </c>
      <c r="AD113" s="55">
        <v>5.04E-2</v>
      </c>
      <c r="AE113" s="73">
        <v>4</v>
      </c>
      <c r="AF113" s="57" t="s">
        <v>95</v>
      </c>
      <c r="AG113" s="58">
        <v>500</v>
      </c>
      <c r="AH113" s="58">
        <v>2000</v>
      </c>
      <c r="AI113" s="58">
        <v>2500</v>
      </c>
      <c r="AJ113" s="49">
        <v>625</v>
      </c>
      <c r="AK113" s="49">
        <v>3125</v>
      </c>
      <c r="AL113" s="52">
        <v>312.5</v>
      </c>
      <c r="AM113" s="52">
        <v>2625</v>
      </c>
      <c r="AN113" s="52">
        <v>2937.5</v>
      </c>
      <c r="AO113" s="59">
        <v>0.94</v>
      </c>
      <c r="AP113" s="60">
        <v>187.5</v>
      </c>
      <c r="AQ113" s="61">
        <v>0.06</v>
      </c>
      <c r="AR113" s="60" t="s">
        <v>73</v>
      </c>
      <c r="AS113" s="62">
        <v>850</v>
      </c>
      <c r="AT113" s="62">
        <v>3400</v>
      </c>
      <c r="AU113" s="62">
        <v>4250</v>
      </c>
      <c r="AV113" s="62">
        <v>5312.5</v>
      </c>
      <c r="AW113" s="47" t="s">
        <v>107</v>
      </c>
      <c r="AX113" s="64">
        <v>45321</v>
      </c>
      <c r="AY113" s="64" t="s">
        <v>4496</v>
      </c>
      <c r="AZ113" s="86"/>
      <c r="BA113" s="64"/>
      <c r="BB113" s="64"/>
      <c r="BC113" s="64"/>
      <c r="BD113" s="70" t="s">
        <v>4497</v>
      </c>
      <c r="BE113" s="46" t="e">
        <v>#REF!</v>
      </c>
      <c r="BF113" s="46" t="s">
        <v>4330</v>
      </c>
      <c r="BG113" s="65">
        <v>4</v>
      </c>
      <c r="BH113" s="66" t="s">
        <v>4498</v>
      </c>
      <c r="BI113" s="63" t="s">
        <v>4499</v>
      </c>
    </row>
    <row r="114" spans="1:61" ht="114.75" x14ac:dyDescent="0.2">
      <c r="A114" s="45" t="s">
        <v>4500</v>
      </c>
      <c r="B114" s="46"/>
      <c r="C114" s="46" t="s">
        <v>4483</v>
      </c>
      <c r="D114" s="46" t="s">
        <v>4495</v>
      </c>
      <c r="E114" s="46" t="s">
        <v>449</v>
      </c>
      <c r="F114" s="46" t="s">
        <v>4485</v>
      </c>
      <c r="G114" s="46" t="s">
        <v>68</v>
      </c>
      <c r="H114" s="46" t="s">
        <v>68</v>
      </c>
      <c r="I114" s="46"/>
      <c r="J114" s="46" t="s">
        <v>71</v>
      </c>
      <c r="K114" s="47">
        <v>550</v>
      </c>
      <c r="L114" s="47">
        <v>2300</v>
      </c>
      <c r="M114" s="47">
        <v>2850</v>
      </c>
      <c r="N114" s="46"/>
      <c r="O114" s="71" t="s">
        <v>68</v>
      </c>
      <c r="P114" s="64"/>
      <c r="Q114" s="46" t="s">
        <v>3826</v>
      </c>
      <c r="R114" s="46" t="s">
        <v>4320</v>
      </c>
      <c r="S114" s="49">
        <v>712.5</v>
      </c>
      <c r="T114" s="49">
        <v>3562.5</v>
      </c>
      <c r="U114" s="50">
        <v>4.5964912280701757E-2</v>
      </c>
      <c r="V114" s="50">
        <v>5.4385964912280704E-2</v>
      </c>
      <c r="W114" s="77">
        <v>4.1818181818181817</v>
      </c>
      <c r="X114" s="52">
        <v>356.25</v>
      </c>
      <c r="Y114" s="52">
        <v>30</v>
      </c>
      <c r="Z114" s="52">
        <v>3012.5</v>
      </c>
      <c r="AA114" s="52">
        <v>3398.75</v>
      </c>
      <c r="AB114" s="53">
        <v>0.95403508771929824</v>
      </c>
      <c r="AC114" s="72">
        <v>163.75</v>
      </c>
      <c r="AD114" s="55">
        <v>4.5964912280701757E-2</v>
      </c>
      <c r="AE114" s="73">
        <v>4</v>
      </c>
      <c r="AF114" s="57" t="s">
        <v>95</v>
      </c>
      <c r="AG114" s="58">
        <v>550</v>
      </c>
      <c r="AH114" s="58">
        <v>2300</v>
      </c>
      <c r="AI114" s="58">
        <v>2850</v>
      </c>
      <c r="AJ114" s="49">
        <v>712.5</v>
      </c>
      <c r="AK114" s="49">
        <v>3562.5</v>
      </c>
      <c r="AL114" s="52">
        <v>356.25</v>
      </c>
      <c r="AM114" s="52">
        <v>3012.5</v>
      </c>
      <c r="AN114" s="52">
        <v>3368.75</v>
      </c>
      <c r="AO114" s="59">
        <v>0.94561403508771935</v>
      </c>
      <c r="AP114" s="60">
        <v>193.75</v>
      </c>
      <c r="AQ114" s="61">
        <v>5.4385964912280704E-2</v>
      </c>
      <c r="AR114" s="60" t="s">
        <v>73</v>
      </c>
      <c r="AS114" s="62">
        <v>935</v>
      </c>
      <c r="AT114" s="62">
        <v>3910</v>
      </c>
      <c r="AU114" s="62">
        <v>4845</v>
      </c>
      <c r="AV114" s="62">
        <v>6056.25</v>
      </c>
      <c r="AW114" s="47" t="s">
        <v>107</v>
      </c>
      <c r="AX114" s="64">
        <v>45321</v>
      </c>
      <c r="AY114" s="64" t="s">
        <v>4501</v>
      </c>
      <c r="AZ114" s="86"/>
      <c r="BA114" s="64"/>
      <c r="BB114" s="64"/>
      <c r="BC114" s="64"/>
      <c r="BD114" s="70" t="s">
        <v>4502</v>
      </c>
      <c r="BE114" s="46" t="e">
        <v>#REF!</v>
      </c>
      <c r="BF114" s="46" t="s">
        <v>4330</v>
      </c>
      <c r="BG114" s="65">
        <v>4</v>
      </c>
      <c r="BH114" s="66" t="s">
        <v>4503</v>
      </c>
      <c r="BI114" s="63" t="s">
        <v>4504</v>
      </c>
    </row>
    <row r="115" spans="1:61" ht="114.75" x14ac:dyDescent="0.2">
      <c r="A115" s="45" t="s">
        <v>4505</v>
      </c>
      <c r="B115" s="46"/>
      <c r="C115" s="46" t="s">
        <v>4483</v>
      </c>
      <c r="D115" s="46" t="s">
        <v>4506</v>
      </c>
      <c r="E115" s="46" t="s">
        <v>445</v>
      </c>
      <c r="F115" s="46" t="s">
        <v>4485</v>
      </c>
      <c r="G115" s="46" t="s">
        <v>68</v>
      </c>
      <c r="H115" s="46" t="s">
        <v>68</v>
      </c>
      <c r="I115" s="46"/>
      <c r="J115" s="46" t="s">
        <v>71</v>
      </c>
      <c r="K115" s="47">
        <v>550</v>
      </c>
      <c r="L115" s="47">
        <v>2500</v>
      </c>
      <c r="M115" s="47">
        <v>3050</v>
      </c>
      <c r="N115" s="46"/>
      <c r="O115" s="71" t="s">
        <v>68</v>
      </c>
      <c r="P115" s="64"/>
      <c r="Q115" s="46" t="s">
        <v>3826</v>
      </c>
      <c r="R115" s="46" t="s">
        <v>4320</v>
      </c>
      <c r="S115" s="49">
        <v>762.5</v>
      </c>
      <c r="T115" s="49">
        <v>3812.5</v>
      </c>
      <c r="U115" s="50">
        <v>3.6393442622950821E-2</v>
      </c>
      <c r="V115" s="50">
        <v>4.4262295081967211E-2</v>
      </c>
      <c r="W115" s="77">
        <v>4.5454545454545459</v>
      </c>
      <c r="X115" s="52">
        <v>381.25</v>
      </c>
      <c r="Y115" s="52">
        <v>30</v>
      </c>
      <c r="Z115" s="52">
        <v>3262.5</v>
      </c>
      <c r="AA115" s="52">
        <v>3673.75</v>
      </c>
      <c r="AB115" s="53">
        <v>0.96360655737704914</v>
      </c>
      <c r="AC115" s="72">
        <v>138.75</v>
      </c>
      <c r="AD115" s="55">
        <v>3.6393442622950821E-2</v>
      </c>
      <c r="AE115" s="73">
        <v>4</v>
      </c>
      <c r="AF115" s="57" t="s">
        <v>95</v>
      </c>
      <c r="AG115" s="58">
        <v>550</v>
      </c>
      <c r="AH115" s="58">
        <v>2500</v>
      </c>
      <c r="AI115" s="58">
        <v>3050</v>
      </c>
      <c r="AJ115" s="49">
        <v>762.5</v>
      </c>
      <c r="AK115" s="49">
        <v>3812.5</v>
      </c>
      <c r="AL115" s="52">
        <v>381.25</v>
      </c>
      <c r="AM115" s="52">
        <v>3262.5</v>
      </c>
      <c r="AN115" s="52">
        <v>3643.75</v>
      </c>
      <c r="AO115" s="59">
        <v>0.95573770491803278</v>
      </c>
      <c r="AP115" s="60">
        <v>168.75</v>
      </c>
      <c r="AQ115" s="61">
        <v>4.4262295081967211E-2</v>
      </c>
      <c r="AR115" s="60" t="s">
        <v>73</v>
      </c>
      <c r="AS115" s="62">
        <v>935</v>
      </c>
      <c r="AT115" s="62">
        <v>4250</v>
      </c>
      <c r="AU115" s="62">
        <v>5185</v>
      </c>
      <c r="AV115" s="62">
        <v>6481.25</v>
      </c>
      <c r="AW115" s="47" t="s">
        <v>107</v>
      </c>
      <c r="AX115" s="64">
        <v>45321</v>
      </c>
      <c r="AY115" s="64" t="s">
        <v>4507</v>
      </c>
      <c r="AZ115" s="86"/>
      <c r="BA115" s="64"/>
      <c r="BB115" s="64"/>
      <c r="BC115" s="64"/>
      <c r="BD115" s="70" t="s">
        <v>4508</v>
      </c>
      <c r="BE115" s="46" t="e">
        <v>#REF!</v>
      </c>
      <c r="BF115" s="46" t="s">
        <v>4330</v>
      </c>
      <c r="BG115" s="65">
        <v>4</v>
      </c>
      <c r="BH115" s="66" t="s">
        <v>4509</v>
      </c>
      <c r="BI115" s="63" t="s">
        <v>4510</v>
      </c>
    </row>
    <row r="116" spans="1:61" ht="114.75" x14ac:dyDescent="0.2">
      <c r="A116" s="45" t="s">
        <v>4511</v>
      </c>
      <c r="B116" s="46"/>
      <c r="C116" s="46" t="s">
        <v>4483</v>
      </c>
      <c r="D116" s="46" t="s">
        <v>4506</v>
      </c>
      <c r="E116" s="46" t="s">
        <v>449</v>
      </c>
      <c r="F116" s="46" t="s">
        <v>4485</v>
      </c>
      <c r="G116" s="46" t="s">
        <v>68</v>
      </c>
      <c r="H116" s="46" t="s">
        <v>68</v>
      </c>
      <c r="I116" s="46"/>
      <c r="J116" s="46" t="s">
        <v>71</v>
      </c>
      <c r="K116" s="47">
        <v>650</v>
      </c>
      <c r="L116" s="47">
        <v>3100</v>
      </c>
      <c r="M116" s="47">
        <v>3750</v>
      </c>
      <c r="N116" s="46"/>
      <c r="O116" s="71" t="s">
        <v>68</v>
      </c>
      <c r="P116" s="64"/>
      <c r="Q116" s="46" t="s">
        <v>3826</v>
      </c>
      <c r="R116" s="46" t="s">
        <v>4320</v>
      </c>
      <c r="S116" s="49">
        <v>937.5</v>
      </c>
      <c r="T116" s="49">
        <v>4687.5</v>
      </c>
      <c r="U116" s="50">
        <v>3.2266666666666666E-2</v>
      </c>
      <c r="V116" s="50">
        <v>3.8666666666666669E-2</v>
      </c>
      <c r="W116" s="77">
        <v>4.7692307692307692</v>
      </c>
      <c r="X116" s="52">
        <v>468.75</v>
      </c>
      <c r="Y116" s="52">
        <v>30</v>
      </c>
      <c r="Z116" s="52">
        <v>4037.5</v>
      </c>
      <c r="AA116" s="52">
        <v>4536.25</v>
      </c>
      <c r="AB116" s="53">
        <v>0.96773333333333333</v>
      </c>
      <c r="AC116" s="72">
        <v>151.25</v>
      </c>
      <c r="AD116" s="55">
        <v>3.2266666666666666E-2</v>
      </c>
      <c r="AE116" s="73">
        <v>4</v>
      </c>
      <c r="AF116" s="57" t="s">
        <v>95</v>
      </c>
      <c r="AG116" s="58">
        <v>650</v>
      </c>
      <c r="AH116" s="58">
        <v>3100</v>
      </c>
      <c r="AI116" s="58">
        <v>3750</v>
      </c>
      <c r="AJ116" s="49">
        <v>937.5</v>
      </c>
      <c r="AK116" s="49">
        <v>4687.5</v>
      </c>
      <c r="AL116" s="52">
        <v>468.75</v>
      </c>
      <c r="AM116" s="52">
        <v>4037.5</v>
      </c>
      <c r="AN116" s="52">
        <v>4506.25</v>
      </c>
      <c r="AO116" s="59">
        <v>0.96133333333333337</v>
      </c>
      <c r="AP116" s="60">
        <v>181.25</v>
      </c>
      <c r="AQ116" s="61">
        <v>3.8666666666666669E-2</v>
      </c>
      <c r="AR116" s="60" t="s">
        <v>73</v>
      </c>
      <c r="AS116" s="62">
        <v>1105</v>
      </c>
      <c r="AT116" s="62">
        <v>5270</v>
      </c>
      <c r="AU116" s="62">
        <v>6375</v>
      </c>
      <c r="AV116" s="62">
        <v>7968.75</v>
      </c>
      <c r="AW116" s="47" t="s">
        <v>107</v>
      </c>
      <c r="AX116" s="64">
        <v>45321</v>
      </c>
      <c r="AY116" s="64" t="s">
        <v>4512</v>
      </c>
      <c r="AZ116" s="86"/>
      <c r="BA116" s="64"/>
      <c r="BB116" s="64"/>
      <c r="BC116" s="64"/>
      <c r="BD116" s="70" t="s">
        <v>4513</v>
      </c>
      <c r="BE116" s="46" t="e">
        <v>#REF!</v>
      </c>
      <c r="BF116" s="46" t="s">
        <v>4330</v>
      </c>
      <c r="BG116" s="65">
        <v>4</v>
      </c>
      <c r="BH116" s="66" t="s">
        <v>4514</v>
      </c>
      <c r="BI116" s="63" t="s">
        <v>4515</v>
      </c>
    </row>
    <row r="117" spans="1:61" ht="102" x14ac:dyDescent="0.2">
      <c r="A117" s="45" t="s">
        <v>4516</v>
      </c>
      <c r="B117" s="46"/>
      <c r="C117" s="46" t="s">
        <v>4483</v>
      </c>
      <c r="D117" s="46" t="s">
        <v>4517</v>
      </c>
      <c r="E117" s="46" t="s">
        <v>445</v>
      </c>
      <c r="F117" s="46" t="s">
        <v>4485</v>
      </c>
      <c r="G117" s="46" t="s">
        <v>68</v>
      </c>
      <c r="H117" s="46" t="s">
        <v>68</v>
      </c>
      <c r="I117" s="46"/>
      <c r="J117" s="46" t="s">
        <v>71</v>
      </c>
      <c r="K117" s="47">
        <v>650</v>
      </c>
      <c r="L117" s="47">
        <v>3000</v>
      </c>
      <c r="M117" s="47">
        <v>3650</v>
      </c>
      <c r="N117" s="46"/>
      <c r="O117" s="71" t="s">
        <v>68</v>
      </c>
      <c r="P117" s="64"/>
      <c r="Q117" s="46" t="s">
        <v>3826</v>
      </c>
      <c r="R117" s="46" t="s">
        <v>4320</v>
      </c>
      <c r="S117" s="49">
        <v>912.5</v>
      </c>
      <c r="T117" s="49">
        <v>4562.5</v>
      </c>
      <c r="U117" s="50">
        <v>3.5890410958904106E-2</v>
      </c>
      <c r="V117" s="50">
        <v>4.2465753424657533E-2</v>
      </c>
      <c r="W117" s="77">
        <v>4.615384615384615</v>
      </c>
      <c r="X117" s="52">
        <v>456.25</v>
      </c>
      <c r="Y117" s="52">
        <v>30</v>
      </c>
      <c r="Z117" s="52">
        <v>3912.5</v>
      </c>
      <c r="AA117" s="52">
        <v>4398.75</v>
      </c>
      <c r="AB117" s="53">
        <v>0.96410958904109589</v>
      </c>
      <c r="AC117" s="72">
        <v>163.75</v>
      </c>
      <c r="AD117" s="55">
        <v>3.5890410958904106E-2</v>
      </c>
      <c r="AE117" s="73">
        <v>4</v>
      </c>
      <c r="AF117" s="57" t="s">
        <v>95</v>
      </c>
      <c r="AG117" s="58">
        <v>650</v>
      </c>
      <c r="AH117" s="58">
        <v>3000</v>
      </c>
      <c r="AI117" s="58">
        <v>3650</v>
      </c>
      <c r="AJ117" s="49">
        <v>912.5</v>
      </c>
      <c r="AK117" s="49">
        <v>4562.5</v>
      </c>
      <c r="AL117" s="52">
        <v>456.25</v>
      </c>
      <c r="AM117" s="52">
        <v>3912.5</v>
      </c>
      <c r="AN117" s="52">
        <v>4368.75</v>
      </c>
      <c r="AO117" s="59">
        <v>0.95753424657534247</v>
      </c>
      <c r="AP117" s="60">
        <v>193.75</v>
      </c>
      <c r="AQ117" s="61">
        <v>4.2465753424657533E-2</v>
      </c>
      <c r="AR117" s="60" t="s">
        <v>73</v>
      </c>
      <c r="AS117" s="62">
        <v>1105</v>
      </c>
      <c r="AT117" s="62">
        <v>5100</v>
      </c>
      <c r="AU117" s="62">
        <v>6205</v>
      </c>
      <c r="AV117" s="62">
        <v>7756.25</v>
      </c>
      <c r="AW117" s="47" t="s">
        <v>107</v>
      </c>
      <c r="AX117" s="64">
        <v>45321</v>
      </c>
      <c r="AY117" s="64" t="s">
        <v>4518</v>
      </c>
      <c r="AZ117" s="86"/>
      <c r="BA117" s="64"/>
      <c r="BB117" s="64"/>
      <c r="BC117" s="64"/>
      <c r="BD117" s="70" t="s">
        <v>4519</v>
      </c>
      <c r="BE117" s="46" t="e">
        <v>#REF!</v>
      </c>
      <c r="BF117" s="46" t="s">
        <v>4330</v>
      </c>
      <c r="BG117" s="65">
        <v>4</v>
      </c>
      <c r="BH117" s="66"/>
      <c r="BI117" s="63" t="s">
        <v>4520</v>
      </c>
    </row>
    <row r="118" spans="1:61" ht="102" x14ac:dyDescent="0.2">
      <c r="A118" s="45" t="s">
        <v>4521</v>
      </c>
      <c r="B118" s="46"/>
      <c r="C118" s="46" t="s">
        <v>4483</v>
      </c>
      <c r="D118" s="46" t="s">
        <v>4517</v>
      </c>
      <c r="E118" s="46" t="s">
        <v>449</v>
      </c>
      <c r="F118" s="46" t="s">
        <v>4485</v>
      </c>
      <c r="G118" s="46" t="s">
        <v>68</v>
      </c>
      <c r="H118" s="46" t="s">
        <v>68</v>
      </c>
      <c r="I118" s="46"/>
      <c r="J118" s="46" t="s">
        <v>71</v>
      </c>
      <c r="K118" s="47">
        <v>750</v>
      </c>
      <c r="L118" s="47">
        <v>3700</v>
      </c>
      <c r="M118" s="47">
        <v>4450</v>
      </c>
      <c r="N118" s="46"/>
      <c r="O118" s="71" t="s">
        <v>68</v>
      </c>
      <c r="P118" s="64"/>
      <c r="Q118" s="46" t="s">
        <v>3826</v>
      </c>
      <c r="R118" s="46" t="s">
        <v>4320</v>
      </c>
      <c r="S118" s="49">
        <v>1112.5</v>
      </c>
      <c r="T118" s="49">
        <v>5562.5</v>
      </c>
      <c r="U118" s="50">
        <v>2.9438202247191011E-2</v>
      </c>
      <c r="V118" s="50">
        <v>3.4831460674157301E-2</v>
      </c>
      <c r="W118" s="77">
        <v>4.9333333333333336</v>
      </c>
      <c r="X118" s="52">
        <v>556.25</v>
      </c>
      <c r="Y118" s="52">
        <v>30</v>
      </c>
      <c r="Z118" s="52">
        <v>4812.5</v>
      </c>
      <c r="AA118" s="52">
        <v>5398.75</v>
      </c>
      <c r="AB118" s="53">
        <v>0.97056179775280904</v>
      </c>
      <c r="AC118" s="72">
        <v>163.75</v>
      </c>
      <c r="AD118" s="55">
        <v>2.9438202247191011E-2</v>
      </c>
      <c r="AE118" s="73">
        <v>4</v>
      </c>
      <c r="AF118" s="57" t="s">
        <v>95</v>
      </c>
      <c r="AG118" s="58">
        <v>750</v>
      </c>
      <c r="AH118" s="58">
        <v>3700</v>
      </c>
      <c r="AI118" s="58">
        <v>4450</v>
      </c>
      <c r="AJ118" s="49">
        <v>1112.5</v>
      </c>
      <c r="AK118" s="49">
        <v>5562.5</v>
      </c>
      <c r="AL118" s="52">
        <v>556.25</v>
      </c>
      <c r="AM118" s="52">
        <v>4812.5</v>
      </c>
      <c r="AN118" s="52">
        <v>5368.75</v>
      </c>
      <c r="AO118" s="59">
        <v>0.96516853932584268</v>
      </c>
      <c r="AP118" s="60">
        <v>193.75</v>
      </c>
      <c r="AQ118" s="61">
        <v>3.4831460674157301E-2</v>
      </c>
      <c r="AR118" s="60" t="s">
        <v>73</v>
      </c>
      <c r="AS118" s="62">
        <v>1275</v>
      </c>
      <c r="AT118" s="62">
        <v>6290</v>
      </c>
      <c r="AU118" s="62">
        <v>7565</v>
      </c>
      <c r="AV118" s="62">
        <v>9456.25</v>
      </c>
      <c r="AW118" s="47" t="s">
        <v>107</v>
      </c>
      <c r="AX118" s="64">
        <v>45321</v>
      </c>
      <c r="AY118" s="64" t="s">
        <v>4522</v>
      </c>
      <c r="AZ118" s="86"/>
      <c r="BA118" s="64"/>
      <c r="BB118" s="64"/>
      <c r="BC118" s="64"/>
      <c r="BD118" s="70" t="s">
        <v>4523</v>
      </c>
      <c r="BE118" s="46" t="e">
        <v>#REF!</v>
      </c>
      <c r="BF118" s="46" t="s">
        <v>4330</v>
      </c>
      <c r="BG118" s="65">
        <v>4</v>
      </c>
      <c r="BH118" s="66"/>
      <c r="BI118" s="63" t="s">
        <v>4524</v>
      </c>
    </row>
    <row r="119" spans="1:61" ht="114.75" x14ac:dyDescent="0.2">
      <c r="A119" s="45" t="s">
        <v>4525</v>
      </c>
      <c r="B119" s="46"/>
      <c r="C119" s="46" t="s">
        <v>4483</v>
      </c>
      <c r="D119" s="46" t="s">
        <v>4526</v>
      </c>
      <c r="E119" s="46" t="s">
        <v>445</v>
      </c>
      <c r="F119" s="46" t="s">
        <v>4485</v>
      </c>
      <c r="G119" s="46" t="s">
        <v>68</v>
      </c>
      <c r="H119" s="46" t="s">
        <v>68</v>
      </c>
      <c r="I119" s="46"/>
      <c r="J119" s="46" t="s">
        <v>71</v>
      </c>
      <c r="K119" s="47">
        <v>700</v>
      </c>
      <c r="L119" s="47">
        <v>3500</v>
      </c>
      <c r="M119" s="47">
        <v>4200</v>
      </c>
      <c r="N119" s="46"/>
      <c r="O119" s="71" t="s">
        <v>68</v>
      </c>
      <c r="P119" s="64"/>
      <c r="Q119" s="46" t="s">
        <v>3826</v>
      </c>
      <c r="R119" s="46" t="s">
        <v>4320</v>
      </c>
      <c r="S119" s="49">
        <v>1050</v>
      </c>
      <c r="T119" s="49">
        <v>5250</v>
      </c>
      <c r="U119" s="50">
        <v>2.7619047619047619E-2</v>
      </c>
      <c r="V119" s="50">
        <v>3.3333333333333333E-2</v>
      </c>
      <c r="W119" s="77">
        <v>5</v>
      </c>
      <c r="X119" s="52">
        <v>525</v>
      </c>
      <c r="Y119" s="52">
        <v>30</v>
      </c>
      <c r="Z119" s="52">
        <v>4550</v>
      </c>
      <c r="AA119" s="52">
        <v>5105</v>
      </c>
      <c r="AB119" s="53">
        <v>0.97238095238095235</v>
      </c>
      <c r="AC119" s="72">
        <v>145</v>
      </c>
      <c r="AD119" s="55">
        <v>2.7619047619047619E-2</v>
      </c>
      <c r="AE119" s="73">
        <v>4</v>
      </c>
      <c r="AF119" s="57" t="s">
        <v>95</v>
      </c>
      <c r="AG119" s="58">
        <v>700</v>
      </c>
      <c r="AH119" s="58">
        <v>3500</v>
      </c>
      <c r="AI119" s="58">
        <v>4200</v>
      </c>
      <c r="AJ119" s="49">
        <v>1050</v>
      </c>
      <c r="AK119" s="49">
        <v>5250</v>
      </c>
      <c r="AL119" s="52">
        <v>525</v>
      </c>
      <c r="AM119" s="52">
        <v>4550</v>
      </c>
      <c r="AN119" s="52">
        <v>5075</v>
      </c>
      <c r="AO119" s="59">
        <v>0.96666666666666667</v>
      </c>
      <c r="AP119" s="60">
        <v>175</v>
      </c>
      <c r="AQ119" s="61">
        <v>3.3333333333333333E-2</v>
      </c>
      <c r="AR119" s="60" t="s">
        <v>73</v>
      </c>
      <c r="AS119" s="62">
        <v>1190</v>
      </c>
      <c r="AT119" s="62">
        <v>5950</v>
      </c>
      <c r="AU119" s="62">
        <v>7140</v>
      </c>
      <c r="AV119" s="62">
        <v>8925</v>
      </c>
      <c r="AW119" s="47" t="s">
        <v>107</v>
      </c>
      <c r="AX119" s="64">
        <v>45321</v>
      </c>
      <c r="AY119" s="64" t="s">
        <v>4527</v>
      </c>
      <c r="AZ119" s="86"/>
      <c r="BA119" s="64"/>
      <c r="BB119" s="64"/>
      <c r="BC119" s="64"/>
      <c r="BD119" s="70" t="s">
        <v>4528</v>
      </c>
      <c r="BE119" s="46" t="e">
        <v>#REF!</v>
      </c>
      <c r="BF119" s="46" t="s">
        <v>4330</v>
      </c>
      <c r="BG119" s="65">
        <v>4</v>
      </c>
      <c r="BH119" s="66" t="s">
        <v>4529</v>
      </c>
      <c r="BI119" s="63" t="s">
        <v>4530</v>
      </c>
    </row>
    <row r="120" spans="1:61" ht="114.75" x14ac:dyDescent="0.2">
      <c r="A120" s="45" t="s">
        <v>4531</v>
      </c>
      <c r="B120" s="46"/>
      <c r="C120" s="46" t="s">
        <v>4483</v>
      </c>
      <c r="D120" s="46" t="s">
        <v>4526</v>
      </c>
      <c r="E120" s="46" t="s">
        <v>449</v>
      </c>
      <c r="F120" s="46" t="s">
        <v>4485</v>
      </c>
      <c r="G120" s="46" t="s">
        <v>68</v>
      </c>
      <c r="H120" s="46" t="s">
        <v>68</v>
      </c>
      <c r="I120" s="46"/>
      <c r="J120" s="46" t="s">
        <v>71</v>
      </c>
      <c r="K120" s="47">
        <v>850</v>
      </c>
      <c r="L120" s="47">
        <v>4500</v>
      </c>
      <c r="M120" s="47">
        <v>5350</v>
      </c>
      <c r="N120" s="46"/>
      <c r="O120" s="71" t="s">
        <v>68</v>
      </c>
      <c r="P120" s="64"/>
      <c r="Q120" s="46" t="s">
        <v>3826</v>
      </c>
      <c r="R120" s="46" t="s">
        <v>4320</v>
      </c>
      <c r="S120" s="49">
        <v>1337.5</v>
      </c>
      <c r="T120" s="49">
        <v>6687.5</v>
      </c>
      <c r="U120" s="50">
        <v>2.2616822429906543E-2</v>
      </c>
      <c r="V120" s="50">
        <v>2.7102803738317756E-2</v>
      </c>
      <c r="W120" s="77">
        <v>5.2941176470588234</v>
      </c>
      <c r="X120" s="52">
        <v>668.75</v>
      </c>
      <c r="Y120" s="52">
        <v>30</v>
      </c>
      <c r="Z120" s="52">
        <v>5837.5</v>
      </c>
      <c r="AA120" s="52">
        <v>6536.25</v>
      </c>
      <c r="AB120" s="53">
        <v>0.97738317757009341</v>
      </c>
      <c r="AC120" s="72">
        <v>151.25</v>
      </c>
      <c r="AD120" s="55">
        <v>2.2616822429906543E-2</v>
      </c>
      <c r="AE120" s="73">
        <v>4</v>
      </c>
      <c r="AF120" s="57" t="s">
        <v>95</v>
      </c>
      <c r="AG120" s="58">
        <v>850</v>
      </c>
      <c r="AH120" s="58">
        <v>4500</v>
      </c>
      <c r="AI120" s="58">
        <v>5350</v>
      </c>
      <c r="AJ120" s="49">
        <v>1337.5</v>
      </c>
      <c r="AK120" s="49">
        <v>6687.5</v>
      </c>
      <c r="AL120" s="52">
        <v>668.75</v>
      </c>
      <c r="AM120" s="52">
        <v>5837.5</v>
      </c>
      <c r="AN120" s="52">
        <v>6506.25</v>
      </c>
      <c r="AO120" s="59">
        <v>0.97289719626168225</v>
      </c>
      <c r="AP120" s="60">
        <v>181.25</v>
      </c>
      <c r="AQ120" s="61">
        <v>2.7102803738317756E-2</v>
      </c>
      <c r="AR120" s="60" t="s">
        <v>73</v>
      </c>
      <c r="AS120" s="62">
        <v>1445</v>
      </c>
      <c r="AT120" s="62">
        <v>7650</v>
      </c>
      <c r="AU120" s="62">
        <v>9095</v>
      </c>
      <c r="AV120" s="62">
        <v>11368.75</v>
      </c>
      <c r="AW120" s="47" t="s">
        <v>107</v>
      </c>
      <c r="AX120" s="64">
        <v>45321</v>
      </c>
      <c r="AY120" s="64" t="s">
        <v>4532</v>
      </c>
      <c r="AZ120" s="86"/>
      <c r="BA120" s="64"/>
      <c r="BB120" s="64"/>
      <c r="BC120" s="64"/>
      <c r="BD120" s="70" t="s">
        <v>4533</v>
      </c>
      <c r="BE120" s="46" t="e">
        <v>#REF!</v>
      </c>
      <c r="BF120" s="46" t="s">
        <v>4330</v>
      </c>
      <c r="BG120" s="65">
        <v>4</v>
      </c>
      <c r="BH120" s="66" t="s">
        <v>4534</v>
      </c>
      <c r="BI120" s="63" t="s">
        <v>4535</v>
      </c>
    </row>
    <row r="121" spans="1:61" ht="114.75" x14ac:dyDescent="0.2">
      <c r="A121" s="45" t="s">
        <v>4536</v>
      </c>
      <c r="B121" s="46"/>
      <c r="C121" s="46" t="s">
        <v>4483</v>
      </c>
      <c r="D121" s="46" t="s">
        <v>4537</v>
      </c>
      <c r="E121" s="46" t="s">
        <v>445</v>
      </c>
      <c r="F121" s="46" t="s">
        <v>4485</v>
      </c>
      <c r="G121" s="46"/>
      <c r="H121" s="46"/>
      <c r="I121" s="46"/>
      <c r="J121" s="46" t="s">
        <v>71</v>
      </c>
      <c r="K121" s="47">
        <v>1350</v>
      </c>
      <c r="L121" s="47">
        <v>8000</v>
      </c>
      <c r="M121" s="47">
        <v>9350</v>
      </c>
      <c r="N121" s="46"/>
      <c r="O121" s="71"/>
      <c r="P121" s="64"/>
      <c r="Q121" s="46" t="s">
        <v>3826</v>
      </c>
      <c r="R121" s="46" t="s">
        <v>4320</v>
      </c>
      <c r="S121" s="49">
        <v>2337.5</v>
      </c>
      <c r="T121" s="49">
        <v>11687.5</v>
      </c>
      <c r="U121" s="50">
        <v>1.2941176470588235E-2</v>
      </c>
      <c r="V121" s="50">
        <v>1.5508021390374332E-2</v>
      </c>
      <c r="W121" s="77">
        <v>5.9259259259259256</v>
      </c>
      <c r="X121" s="52">
        <v>1168.75</v>
      </c>
      <c r="Y121" s="52">
        <v>30</v>
      </c>
      <c r="Z121" s="52">
        <v>10337.5</v>
      </c>
      <c r="AA121" s="52">
        <v>11536.25</v>
      </c>
      <c r="AB121" s="53">
        <v>0.98705882352941177</v>
      </c>
      <c r="AC121" s="72">
        <v>151.25</v>
      </c>
      <c r="AD121" s="55">
        <v>1.2941176470588235E-2</v>
      </c>
      <c r="AE121" s="73">
        <v>4</v>
      </c>
      <c r="AF121" s="57" t="s">
        <v>95</v>
      </c>
      <c r="AG121" s="58">
        <v>1350</v>
      </c>
      <c r="AH121" s="58">
        <v>8000</v>
      </c>
      <c r="AI121" s="58">
        <v>9350</v>
      </c>
      <c r="AJ121" s="49">
        <v>2337.5</v>
      </c>
      <c r="AK121" s="49">
        <v>11687.5</v>
      </c>
      <c r="AL121" s="52">
        <v>1168.75</v>
      </c>
      <c r="AM121" s="52">
        <v>10337.5</v>
      </c>
      <c r="AN121" s="52">
        <v>11506.25</v>
      </c>
      <c r="AO121" s="59">
        <v>0.98449197860962567</v>
      </c>
      <c r="AP121" s="60">
        <v>181.25</v>
      </c>
      <c r="AQ121" s="61">
        <v>1.5508021390374332E-2</v>
      </c>
      <c r="AR121" s="60" t="s">
        <v>73</v>
      </c>
      <c r="AS121" s="62">
        <v>2295</v>
      </c>
      <c r="AT121" s="62">
        <v>13600</v>
      </c>
      <c r="AU121" s="62">
        <v>15895</v>
      </c>
      <c r="AV121" s="62">
        <v>19868.75</v>
      </c>
      <c r="AW121" s="47" t="s">
        <v>107</v>
      </c>
      <c r="AX121" s="64">
        <v>45321</v>
      </c>
      <c r="AY121" s="64" t="s">
        <v>4538</v>
      </c>
      <c r="AZ121" s="86"/>
      <c r="BA121" s="64"/>
      <c r="BB121" s="64"/>
      <c r="BC121" s="64"/>
      <c r="BD121" s="70" t="s">
        <v>4539</v>
      </c>
      <c r="BE121" s="46" t="e">
        <v>#REF!</v>
      </c>
      <c r="BF121" s="46" t="s">
        <v>4330</v>
      </c>
      <c r="BG121" s="65">
        <v>4</v>
      </c>
      <c r="BH121" s="66"/>
      <c r="BI121" s="63" t="s">
        <v>4540</v>
      </c>
    </row>
    <row r="122" spans="1:61" ht="114.75" x14ac:dyDescent="0.2">
      <c r="A122" s="45" t="s">
        <v>4541</v>
      </c>
      <c r="B122" s="46"/>
      <c r="C122" s="46" t="s">
        <v>4483</v>
      </c>
      <c r="D122" s="46" t="s">
        <v>4537</v>
      </c>
      <c r="E122" s="46" t="s">
        <v>449</v>
      </c>
      <c r="F122" s="46" t="s">
        <v>4485</v>
      </c>
      <c r="G122" s="46"/>
      <c r="H122" s="46"/>
      <c r="I122" s="46"/>
      <c r="J122" s="46" t="s">
        <v>71</v>
      </c>
      <c r="K122" s="47">
        <v>2500</v>
      </c>
      <c r="L122" s="47">
        <v>16000</v>
      </c>
      <c r="M122" s="47">
        <v>18500</v>
      </c>
      <c r="N122" s="46"/>
      <c r="O122" s="71" t="s">
        <v>68</v>
      </c>
      <c r="P122" s="64"/>
      <c r="Q122" s="46" t="s">
        <v>3826</v>
      </c>
      <c r="R122" s="46" t="s">
        <v>4320</v>
      </c>
      <c r="S122" s="49">
        <v>4625</v>
      </c>
      <c r="T122" s="49">
        <v>23125</v>
      </c>
      <c r="U122" s="50">
        <v>6.8108108108108105E-3</v>
      </c>
      <c r="V122" s="50">
        <v>8.1081081081081086E-3</v>
      </c>
      <c r="W122" s="77">
        <v>6.4</v>
      </c>
      <c r="X122" s="52">
        <v>2312.5</v>
      </c>
      <c r="Y122" s="52">
        <v>30</v>
      </c>
      <c r="Z122" s="52">
        <v>20625</v>
      </c>
      <c r="AA122" s="52">
        <v>22967.5</v>
      </c>
      <c r="AB122" s="53">
        <v>0.99318918918918919</v>
      </c>
      <c r="AC122" s="72">
        <v>157.5</v>
      </c>
      <c r="AD122" s="55">
        <v>6.8108108108108105E-3</v>
      </c>
      <c r="AE122" s="73">
        <v>4</v>
      </c>
      <c r="AF122" s="57" t="s">
        <v>95</v>
      </c>
      <c r="AG122" s="58">
        <v>2500</v>
      </c>
      <c r="AH122" s="58">
        <v>16000</v>
      </c>
      <c r="AI122" s="58">
        <v>18500</v>
      </c>
      <c r="AJ122" s="49">
        <v>4625</v>
      </c>
      <c r="AK122" s="49">
        <v>23125</v>
      </c>
      <c r="AL122" s="52">
        <v>2312.5</v>
      </c>
      <c r="AM122" s="52">
        <v>20625</v>
      </c>
      <c r="AN122" s="52">
        <v>22937.5</v>
      </c>
      <c r="AO122" s="59">
        <v>0.99189189189189186</v>
      </c>
      <c r="AP122" s="60">
        <v>187.5</v>
      </c>
      <c r="AQ122" s="61">
        <v>8.1081081081081086E-3</v>
      </c>
      <c r="AR122" s="60" t="s">
        <v>73</v>
      </c>
      <c r="AS122" s="62">
        <v>4250</v>
      </c>
      <c r="AT122" s="62">
        <v>27200</v>
      </c>
      <c r="AU122" s="62">
        <v>31450</v>
      </c>
      <c r="AV122" s="62">
        <v>39312.5</v>
      </c>
      <c r="AW122" s="47" t="s">
        <v>107</v>
      </c>
      <c r="AX122" s="64">
        <v>45321</v>
      </c>
      <c r="AY122" s="64" t="s">
        <v>4542</v>
      </c>
      <c r="AZ122" s="86"/>
      <c r="BA122" s="64"/>
      <c r="BB122" s="64"/>
      <c r="BC122" s="64"/>
      <c r="BD122" s="70" t="s">
        <v>4543</v>
      </c>
      <c r="BE122" s="46" t="e">
        <v>#REF!</v>
      </c>
      <c r="BF122" s="46" t="s">
        <v>4330</v>
      </c>
      <c r="BG122" s="65">
        <v>4</v>
      </c>
      <c r="BH122" s="66"/>
      <c r="BI122" s="63" t="s">
        <v>4544</v>
      </c>
    </row>
    <row r="123" spans="1:61" ht="38.25" x14ac:dyDescent="0.2">
      <c r="A123" s="34" t="s">
        <v>4545</v>
      </c>
      <c r="B123" s="35"/>
      <c r="C123" s="35" t="s">
        <v>68</v>
      </c>
      <c r="D123" s="35" t="s">
        <v>68</v>
      </c>
      <c r="E123" s="35" t="s">
        <v>68</v>
      </c>
      <c r="F123" s="35" t="s">
        <v>68</v>
      </c>
      <c r="G123" s="35" t="s">
        <v>68</v>
      </c>
      <c r="H123" s="35" t="s">
        <v>68</v>
      </c>
      <c r="I123" s="35" t="s">
        <v>68</v>
      </c>
      <c r="J123" s="35" t="s">
        <v>68</v>
      </c>
      <c r="K123" s="36" t="s">
        <v>68</v>
      </c>
      <c r="L123" s="36" t="s">
        <v>68</v>
      </c>
      <c r="M123" s="36" t="s">
        <v>68</v>
      </c>
      <c r="N123" s="35"/>
      <c r="O123" s="35" t="s">
        <v>68</v>
      </c>
      <c r="P123" s="37"/>
      <c r="Q123" s="38" t="s">
        <v>3826</v>
      </c>
      <c r="R123" s="38" t="s">
        <v>4546</v>
      </c>
      <c r="S123" s="36" t="s">
        <v>68</v>
      </c>
      <c r="T123" s="36" t="s">
        <v>68</v>
      </c>
      <c r="U123" s="39" t="s">
        <v>68</v>
      </c>
      <c r="V123" s="39" t="s">
        <v>68</v>
      </c>
      <c r="W123" s="40" t="s">
        <v>68</v>
      </c>
      <c r="X123" s="36" t="s">
        <v>68</v>
      </c>
      <c r="Y123" s="36" t="s">
        <v>68</v>
      </c>
      <c r="Z123" s="36" t="s">
        <v>68</v>
      </c>
      <c r="AA123" s="36" t="s">
        <v>68</v>
      </c>
      <c r="AB123" s="39" t="s">
        <v>68</v>
      </c>
      <c r="AC123" s="36" t="s">
        <v>68</v>
      </c>
      <c r="AD123" s="39" t="s">
        <v>68</v>
      </c>
      <c r="AE123" s="41"/>
      <c r="AF123" s="42" t="s">
        <v>68</v>
      </c>
      <c r="AG123" s="36" t="s">
        <v>68</v>
      </c>
      <c r="AH123" s="36" t="s">
        <v>68</v>
      </c>
      <c r="AI123" s="36" t="s">
        <v>68</v>
      </c>
      <c r="AJ123" s="36" t="s">
        <v>68</v>
      </c>
      <c r="AK123" s="36" t="s">
        <v>68</v>
      </c>
      <c r="AL123" s="36" t="s">
        <v>68</v>
      </c>
      <c r="AM123" s="36" t="s">
        <v>68</v>
      </c>
      <c r="AN123" s="36" t="s">
        <v>68</v>
      </c>
      <c r="AO123" s="43" t="s">
        <v>68</v>
      </c>
      <c r="AP123" s="36" t="s">
        <v>68</v>
      </c>
      <c r="AQ123" s="39" t="s">
        <v>68</v>
      </c>
      <c r="AR123" s="36" t="s">
        <v>68</v>
      </c>
      <c r="AS123" s="36" t="s">
        <v>68</v>
      </c>
      <c r="AT123" s="36" t="s">
        <v>68</v>
      </c>
      <c r="AU123" s="36" t="s">
        <v>68</v>
      </c>
      <c r="AV123" s="36" t="s">
        <v>68</v>
      </c>
      <c r="AW123" s="35"/>
      <c r="AX123" s="37"/>
      <c r="AY123" s="37" t="s">
        <v>68</v>
      </c>
      <c r="AZ123" s="86"/>
      <c r="BA123" s="37"/>
      <c r="BB123" s="37"/>
      <c r="BC123" s="37"/>
      <c r="BD123" s="35"/>
      <c r="BE123" s="35" t="e">
        <v>#REF!</v>
      </c>
      <c r="BF123" s="35"/>
      <c r="BG123" s="44"/>
      <c r="BH123" s="38" t="s">
        <v>4547</v>
      </c>
      <c r="BI123" s="35" t="s">
        <v>68</v>
      </c>
    </row>
    <row r="124" spans="1:61" ht="102" x14ac:dyDescent="0.2">
      <c r="A124" s="45" t="s">
        <v>4548</v>
      </c>
      <c r="B124" s="46"/>
      <c r="C124" s="46" t="s">
        <v>4549</v>
      </c>
      <c r="D124" s="46"/>
      <c r="E124" s="46" t="s">
        <v>68</v>
      </c>
      <c r="F124" s="46" t="s">
        <v>68</v>
      </c>
      <c r="G124" s="46" t="s">
        <v>68</v>
      </c>
      <c r="H124" s="46" t="s">
        <v>68</v>
      </c>
      <c r="I124" s="46" t="s">
        <v>454</v>
      </c>
      <c r="J124" s="46" t="s">
        <v>71</v>
      </c>
      <c r="K124" s="47">
        <v>170</v>
      </c>
      <c r="L124" s="47">
        <v>150</v>
      </c>
      <c r="M124" s="47">
        <v>320</v>
      </c>
      <c r="N124" s="46" t="s">
        <v>4550</v>
      </c>
      <c r="O124" s="71" t="s">
        <v>4551</v>
      </c>
      <c r="P124" s="46" t="s">
        <v>4552</v>
      </c>
      <c r="Q124" s="46" t="s">
        <v>3826</v>
      </c>
      <c r="R124" s="46" t="s">
        <v>4546</v>
      </c>
      <c r="S124" s="49">
        <v>80</v>
      </c>
      <c r="T124" s="49">
        <v>400</v>
      </c>
      <c r="U124" s="28">
        <v>0.25</v>
      </c>
      <c r="V124" s="67">
        <v>0.32500000000000001</v>
      </c>
      <c r="W124" s="51">
        <v>0.88235294117647056</v>
      </c>
      <c r="X124" s="52">
        <v>40</v>
      </c>
      <c r="Y124" s="52">
        <v>30</v>
      </c>
      <c r="Z124" s="52">
        <v>230</v>
      </c>
      <c r="AA124" s="52">
        <v>300</v>
      </c>
      <c r="AB124" s="53">
        <v>0.75</v>
      </c>
      <c r="AC124" s="54">
        <v>100</v>
      </c>
      <c r="AD124" s="55">
        <v>0.25</v>
      </c>
      <c r="AE124" s="73">
        <v>3</v>
      </c>
      <c r="AF124" s="57" t="s">
        <v>95</v>
      </c>
      <c r="AG124" s="58">
        <v>170</v>
      </c>
      <c r="AH124" s="58">
        <v>150</v>
      </c>
      <c r="AI124" s="58">
        <v>320</v>
      </c>
      <c r="AJ124" s="49">
        <v>80</v>
      </c>
      <c r="AK124" s="49">
        <v>400</v>
      </c>
      <c r="AL124" s="52">
        <v>40</v>
      </c>
      <c r="AM124" s="52">
        <v>230</v>
      </c>
      <c r="AN124" s="52">
        <v>270</v>
      </c>
      <c r="AO124" s="59">
        <v>0.67500000000000004</v>
      </c>
      <c r="AP124" s="60">
        <v>130</v>
      </c>
      <c r="AQ124" s="61">
        <v>0.32500000000000001</v>
      </c>
      <c r="AR124" s="60" t="s">
        <v>78</v>
      </c>
      <c r="AS124" s="62">
        <v>272</v>
      </c>
      <c r="AT124" s="62">
        <v>240</v>
      </c>
      <c r="AU124" s="62">
        <v>512</v>
      </c>
      <c r="AV124" s="62">
        <v>640</v>
      </c>
      <c r="AW124" s="47" t="s">
        <v>68</v>
      </c>
      <c r="AX124" s="64"/>
      <c r="AY124" s="64" t="s">
        <v>4553</v>
      </c>
      <c r="AZ124" s="86"/>
      <c r="BA124" s="46" t="s">
        <v>74</v>
      </c>
      <c r="BB124" s="26"/>
      <c r="BC124" s="26"/>
      <c r="BD124" s="46"/>
      <c r="BE124" s="46" t="e">
        <v>#REF!</v>
      </c>
      <c r="BF124" s="46" t="s">
        <v>79</v>
      </c>
      <c r="BG124" s="65">
        <v>0.75</v>
      </c>
      <c r="BH124" s="66" t="s">
        <v>4554</v>
      </c>
      <c r="BI124" s="63" t="s">
        <v>4555</v>
      </c>
    </row>
    <row r="125" spans="1:61" ht="102" x14ac:dyDescent="0.2">
      <c r="A125" s="45" t="s">
        <v>4556</v>
      </c>
      <c r="B125" s="46"/>
      <c r="C125" s="46" t="s">
        <v>4549</v>
      </c>
      <c r="D125" s="46"/>
      <c r="E125" s="46" t="s">
        <v>68</v>
      </c>
      <c r="F125" s="46" t="s">
        <v>68</v>
      </c>
      <c r="G125" s="46" t="s">
        <v>68</v>
      </c>
      <c r="H125" s="46" t="s">
        <v>68</v>
      </c>
      <c r="I125" s="46" t="s">
        <v>445</v>
      </c>
      <c r="J125" s="46" t="s">
        <v>71</v>
      </c>
      <c r="K125" s="47">
        <v>215</v>
      </c>
      <c r="L125" s="47">
        <v>300</v>
      </c>
      <c r="M125" s="47">
        <v>515</v>
      </c>
      <c r="N125" s="46" t="s">
        <v>4550</v>
      </c>
      <c r="O125" s="71" t="s">
        <v>4557</v>
      </c>
      <c r="P125" s="46" t="s">
        <v>4552</v>
      </c>
      <c r="Q125" s="46" t="s">
        <v>3826</v>
      </c>
      <c r="R125" s="46" t="s">
        <v>4546</v>
      </c>
      <c r="S125" s="49">
        <v>128.75</v>
      </c>
      <c r="T125" s="49">
        <v>643.75</v>
      </c>
      <c r="U125" s="50">
        <v>0.18737864077669902</v>
      </c>
      <c r="V125" s="28">
        <v>0.23398058252427184</v>
      </c>
      <c r="W125" s="74">
        <v>1.3953488372093024</v>
      </c>
      <c r="X125" s="52">
        <v>64.375</v>
      </c>
      <c r="Y125" s="52">
        <v>30</v>
      </c>
      <c r="Z125" s="52">
        <v>428.75</v>
      </c>
      <c r="AA125" s="52">
        <v>523.125</v>
      </c>
      <c r="AB125" s="53">
        <v>0.81262135922330092</v>
      </c>
      <c r="AC125" s="72">
        <v>120.625</v>
      </c>
      <c r="AD125" s="55">
        <v>0.18737864077669902</v>
      </c>
      <c r="AE125" s="73">
        <v>3</v>
      </c>
      <c r="AF125" s="57" t="s">
        <v>95</v>
      </c>
      <c r="AG125" s="58">
        <v>215</v>
      </c>
      <c r="AH125" s="58">
        <v>300</v>
      </c>
      <c r="AI125" s="58">
        <v>515</v>
      </c>
      <c r="AJ125" s="49">
        <v>128.75</v>
      </c>
      <c r="AK125" s="49">
        <v>643.75</v>
      </c>
      <c r="AL125" s="52">
        <v>64.375</v>
      </c>
      <c r="AM125" s="52">
        <v>428.75</v>
      </c>
      <c r="AN125" s="52">
        <v>493.125</v>
      </c>
      <c r="AO125" s="59">
        <v>0.7660194174757281</v>
      </c>
      <c r="AP125" s="60">
        <v>150.625</v>
      </c>
      <c r="AQ125" s="61">
        <v>0.23398058252427184</v>
      </c>
      <c r="AR125" s="60" t="s">
        <v>78</v>
      </c>
      <c r="AS125" s="62">
        <v>344</v>
      </c>
      <c r="AT125" s="62">
        <v>480</v>
      </c>
      <c r="AU125" s="62">
        <v>824</v>
      </c>
      <c r="AV125" s="62">
        <v>1030</v>
      </c>
      <c r="AW125" s="47" t="s">
        <v>68</v>
      </c>
      <c r="AX125" s="64">
        <v>45156</v>
      </c>
      <c r="AY125" s="64" t="s">
        <v>4558</v>
      </c>
      <c r="AZ125" s="86"/>
      <c r="BA125" s="46" t="s">
        <v>74</v>
      </c>
      <c r="BB125" s="26"/>
      <c r="BC125" s="26"/>
      <c r="BD125" s="89" t="s">
        <v>4559</v>
      </c>
      <c r="BE125" s="46" t="e">
        <v>#REF!</v>
      </c>
      <c r="BF125" s="46" t="s">
        <v>79</v>
      </c>
      <c r="BG125" s="65">
        <v>0.75</v>
      </c>
      <c r="BH125" s="66" t="s">
        <v>4560</v>
      </c>
      <c r="BI125" s="63" t="s">
        <v>4561</v>
      </c>
    </row>
    <row r="126" spans="1:61" ht="38.25" x14ac:dyDescent="0.2">
      <c r="A126" s="34" t="s">
        <v>4562</v>
      </c>
      <c r="B126" s="35"/>
      <c r="C126" s="35" t="s">
        <v>68</v>
      </c>
      <c r="D126" s="35" t="s">
        <v>68</v>
      </c>
      <c r="E126" s="35" t="s">
        <v>68</v>
      </c>
      <c r="F126" s="35" t="s">
        <v>68</v>
      </c>
      <c r="G126" s="35" t="s">
        <v>68</v>
      </c>
      <c r="H126" s="35" t="s">
        <v>68</v>
      </c>
      <c r="I126" s="35" t="s">
        <v>68</v>
      </c>
      <c r="J126" s="35" t="s">
        <v>68</v>
      </c>
      <c r="K126" s="36" t="s">
        <v>68</v>
      </c>
      <c r="L126" s="36" t="s">
        <v>68</v>
      </c>
      <c r="M126" s="36" t="s">
        <v>68</v>
      </c>
      <c r="N126" s="35"/>
      <c r="O126" s="35" t="s">
        <v>68</v>
      </c>
      <c r="P126" s="37"/>
      <c r="Q126" s="38" t="s">
        <v>3826</v>
      </c>
      <c r="R126" s="38" t="s">
        <v>4563</v>
      </c>
      <c r="S126" s="36" t="s">
        <v>68</v>
      </c>
      <c r="T126" s="36" t="s">
        <v>68</v>
      </c>
      <c r="U126" s="39" t="s">
        <v>68</v>
      </c>
      <c r="V126" s="39" t="s">
        <v>68</v>
      </c>
      <c r="W126" s="40" t="s">
        <v>68</v>
      </c>
      <c r="X126" s="36" t="s">
        <v>68</v>
      </c>
      <c r="Y126" s="36" t="s">
        <v>68</v>
      </c>
      <c r="Z126" s="36" t="s">
        <v>68</v>
      </c>
      <c r="AA126" s="36" t="s">
        <v>68</v>
      </c>
      <c r="AB126" s="39" t="s">
        <v>68</v>
      </c>
      <c r="AC126" s="36" t="s">
        <v>68</v>
      </c>
      <c r="AD126" s="39" t="s">
        <v>68</v>
      </c>
      <c r="AE126" s="41"/>
      <c r="AF126" s="42" t="s">
        <v>68</v>
      </c>
      <c r="AG126" s="36" t="s">
        <v>68</v>
      </c>
      <c r="AH126" s="36" t="s">
        <v>68</v>
      </c>
      <c r="AI126" s="36" t="s">
        <v>68</v>
      </c>
      <c r="AJ126" s="36" t="s">
        <v>68</v>
      </c>
      <c r="AK126" s="36" t="s">
        <v>68</v>
      </c>
      <c r="AL126" s="36" t="s">
        <v>68</v>
      </c>
      <c r="AM126" s="36" t="s">
        <v>68</v>
      </c>
      <c r="AN126" s="36" t="s">
        <v>68</v>
      </c>
      <c r="AO126" s="43" t="s">
        <v>68</v>
      </c>
      <c r="AP126" s="36" t="s">
        <v>68</v>
      </c>
      <c r="AQ126" s="39" t="s">
        <v>68</v>
      </c>
      <c r="AR126" s="36" t="s">
        <v>68</v>
      </c>
      <c r="AS126" s="36" t="s">
        <v>68</v>
      </c>
      <c r="AT126" s="36" t="s">
        <v>68</v>
      </c>
      <c r="AU126" s="36" t="s">
        <v>68</v>
      </c>
      <c r="AV126" s="36" t="s">
        <v>68</v>
      </c>
      <c r="AW126" s="35"/>
      <c r="AX126" s="37"/>
      <c r="AY126" s="37" t="s">
        <v>68</v>
      </c>
      <c r="AZ126" s="86"/>
      <c r="BA126" s="37"/>
      <c r="BB126" s="37"/>
      <c r="BC126" s="37"/>
      <c r="BD126" s="35"/>
      <c r="BE126" s="35" t="e">
        <v>#REF!</v>
      </c>
      <c r="BF126" s="35"/>
      <c r="BG126" s="44"/>
      <c r="BH126" s="38" t="s">
        <v>4564</v>
      </c>
      <c r="BI126" s="35" t="s">
        <v>68</v>
      </c>
    </row>
    <row r="127" spans="1:61" ht="89.25" x14ac:dyDescent="0.2">
      <c r="A127" s="45" t="s">
        <v>4565</v>
      </c>
      <c r="B127" s="46"/>
      <c r="C127" s="46" t="s">
        <v>4566</v>
      </c>
      <c r="D127" s="46" t="s">
        <v>4567</v>
      </c>
      <c r="E127" s="46" t="s">
        <v>4568</v>
      </c>
      <c r="F127" s="46" t="s">
        <v>68</v>
      </c>
      <c r="G127" s="46" t="s">
        <v>68</v>
      </c>
      <c r="H127" s="46" t="s">
        <v>68</v>
      </c>
      <c r="I127" s="46" t="s">
        <v>454</v>
      </c>
      <c r="J127" s="46" t="s">
        <v>71</v>
      </c>
      <c r="K127" s="47">
        <v>180</v>
      </c>
      <c r="L127" s="47">
        <v>520</v>
      </c>
      <c r="M127" s="47">
        <v>700</v>
      </c>
      <c r="N127" s="46"/>
      <c r="O127" s="71" t="s">
        <v>68</v>
      </c>
      <c r="P127" s="64"/>
      <c r="Q127" s="46" t="s">
        <v>3826</v>
      </c>
      <c r="R127" s="46" t="s">
        <v>4563</v>
      </c>
      <c r="S127" s="49">
        <v>175</v>
      </c>
      <c r="T127" s="49">
        <v>875</v>
      </c>
      <c r="U127" s="50">
        <v>7.1428571428571425E-2</v>
      </c>
      <c r="V127" s="50">
        <v>1.8032786885245903E-2</v>
      </c>
      <c r="W127" s="77">
        <v>2.8888888888888888</v>
      </c>
      <c r="X127" s="52">
        <v>87.5</v>
      </c>
      <c r="Y127" s="52">
        <v>30</v>
      </c>
      <c r="Z127" s="52">
        <v>695</v>
      </c>
      <c r="AA127" s="52">
        <v>812.5</v>
      </c>
      <c r="AB127" s="53">
        <v>0.9285714285714286</v>
      </c>
      <c r="AC127" s="75">
        <v>62.5</v>
      </c>
      <c r="AD127" s="55">
        <v>7.1428571428571425E-2</v>
      </c>
      <c r="AE127" s="56">
        <v>2</v>
      </c>
      <c r="AF127" s="57" t="s">
        <v>72</v>
      </c>
      <c r="AG127" s="58">
        <v>90</v>
      </c>
      <c r="AH127" s="58">
        <v>520</v>
      </c>
      <c r="AI127" s="58">
        <v>610</v>
      </c>
      <c r="AJ127" s="49">
        <v>152.5</v>
      </c>
      <c r="AK127" s="49">
        <v>762.5</v>
      </c>
      <c r="AL127" s="52">
        <v>76.25</v>
      </c>
      <c r="AM127" s="52">
        <v>672.5</v>
      </c>
      <c r="AN127" s="52">
        <v>748.75</v>
      </c>
      <c r="AO127" s="59">
        <v>0.9819672131147541</v>
      </c>
      <c r="AP127" s="60">
        <v>13.75</v>
      </c>
      <c r="AQ127" s="61">
        <v>1.8032786885245903E-2</v>
      </c>
      <c r="AR127" s="60" t="s">
        <v>73</v>
      </c>
      <c r="AS127" s="62">
        <v>270</v>
      </c>
      <c r="AT127" s="62">
        <v>780</v>
      </c>
      <c r="AU127" s="62">
        <v>1050</v>
      </c>
      <c r="AV127" s="62">
        <v>1312.5</v>
      </c>
      <c r="AW127" s="47" t="s">
        <v>74</v>
      </c>
      <c r="AX127" s="64"/>
      <c r="AY127" s="64" t="s">
        <v>4569</v>
      </c>
      <c r="AZ127" s="86"/>
      <c r="BA127" s="64"/>
      <c r="BB127" s="64"/>
      <c r="BC127" s="64"/>
      <c r="BD127" s="46"/>
      <c r="BE127" s="46" t="e">
        <v>#REF!</v>
      </c>
      <c r="BF127" s="46" t="s">
        <v>79</v>
      </c>
      <c r="BG127" s="65">
        <v>1</v>
      </c>
      <c r="BH127" s="66" t="s">
        <v>4570</v>
      </c>
      <c r="BI127" s="63" t="s">
        <v>4571</v>
      </c>
    </row>
    <row r="128" spans="1:61" ht="89.25" x14ac:dyDescent="0.2">
      <c r="A128" s="45" t="s">
        <v>4572</v>
      </c>
      <c r="B128" s="46"/>
      <c r="C128" s="46" t="s">
        <v>4566</v>
      </c>
      <c r="D128" s="46" t="s">
        <v>4567</v>
      </c>
      <c r="E128" s="46" t="s">
        <v>4568</v>
      </c>
      <c r="F128" s="46" t="s">
        <v>68</v>
      </c>
      <c r="G128" s="46" t="s">
        <v>68</v>
      </c>
      <c r="H128" s="46" t="s">
        <v>68</v>
      </c>
      <c r="I128" s="46" t="s">
        <v>445</v>
      </c>
      <c r="J128" s="46" t="s">
        <v>71</v>
      </c>
      <c r="K128" s="47">
        <v>180</v>
      </c>
      <c r="L128" s="47">
        <v>920</v>
      </c>
      <c r="M128" s="47">
        <v>1100</v>
      </c>
      <c r="N128" s="46"/>
      <c r="O128" s="71" t="s">
        <v>68</v>
      </c>
      <c r="P128" s="64"/>
      <c r="Q128" s="46" t="s">
        <v>3826</v>
      </c>
      <c r="R128" s="46" t="s">
        <v>4563</v>
      </c>
      <c r="S128" s="49">
        <v>275</v>
      </c>
      <c r="T128" s="49">
        <v>1375</v>
      </c>
      <c r="U128" s="50">
        <v>9.0909090909090905E-3</v>
      </c>
      <c r="V128" s="78">
        <v>-2.8712871287128714E-2</v>
      </c>
      <c r="W128" s="77">
        <v>5.1111111111111107</v>
      </c>
      <c r="X128" s="52">
        <v>137.5</v>
      </c>
      <c r="Y128" s="52">
        <v>30</v>
      </c>
      <c r="Z128" s="52">
        <v>1195</v>
      </c>
      <c r="AA128" s="52">
        <v>1362.5</v>
      </c>
      <c r="AB128" s="53">
        <v>0.99090909090909096</v>
      </c>
      <c r="AC128" s="75">
        <v>12.5</v>
      </c>
      <c r="AD128" s="55">
        <v>9.0909090909090905E-3</v>
      </c>
      <c r="AE128" s="56">
        <v>2</v>
      </c>
      <c r="AF128" s="57" t="s">
        <v>72</v>
      </c>
      <c r="AG128" s="58">
        <v>90</v>
      </c>
      <c r="AH128" s="58">
        <v>920</v>
      </c>
      <c r="AI128" s="58">
        <v>1010</v>
      </c>
      <c r="AJ128" s="49">
        <v>252.5</v>
      </c>
      <c r="AK128" s="49">
        <v>1262.5</v>
      </c>
      <c r="AL128" s="52">
        <v>126.25</v>
      </c>
      <c r="AM128" s="52">
        <v>1172.5</v>
      </c>
      <c r="AN128" s="52">
        <v>1298.75</v>
      </c>
      <c r="AO128" s="59">
        <v>1.0287128712871287</v>
      </c>
      <c r="AP128" s="79">
        <v>-36.25</v>
      </c>
      <c r="AQ128" s="80">
        <v>-2.8712871287128714E-2</v>
      </c>
      <c r="AR128" s="60" t="s">
        <v>73</v>
      </c>
      <c r="AS128" s="62">
        <v>270</v>
      </c>
      <c r="AT128" s="62">
        <v>1380</v>
      </c>
      <c r="AU128" s="62">
        <v>1650</v>
      </c>
      <c r="AV128" s="62">
        <v>2062.5</v>
      </c>
      <c r="AW128" s="47" t="s">
        <v>74</v>
      </c>
      <c r="AX128" s="64"/>
      <c r="AY128" s="64" t="s">
        <v>4573</v>
      </c>
      <c r="AZ128" s="86"/>
      <c r="BA128" s="64"/>
      <c r="BB128" s="64"/>
      <c r="BC128" s="64"/>
      <c r="BD128" s="46"/>
      <c r="BE128" s="46" t="e">
        <v>#REF!</v>
      </c>
      <c r="BF128" s="46" t="s">
        <v>79</v>
      </c>
      <c r="BG128" s="65">
        <v>1</v>
      </c>
      <c r="BH128" s="66" t="s">
        <v>4574</v>
      </c>
      <c r="BI128" s="63" t="s">
        <v>4575</v>
      </c>
    </row>
    <row r="129" spans="1:61" ht="89.25" x14ac:dyDescent="0.2">
      <c r="A129" s="45" t="s">
        <v>4576</v>
      </c>
      <c r="B129" s="46"/>
      <c r="C129" s="46" t="s">
        <v>4566</v>
      </c>
      <c r="D129" s="46" t="s">
        <v>4567</v>
      </c>
      <c r="E129" s="46" t="s">
        <v>4568</v>
      </c>
      <c r="F129" s="46" t="s">
        <v>68</v>
      </c>
      <c r="G129" s="46" t="s">
        <v>68</v>
      </c>
      <c r="H129" s="46" t="s">
        <v>68</v>
      </c>
      <c r="I129" s="46" t="s">
        <v>449</v>
      </c>
      <c r="J129" s="46" t="s">
        <v>71</v>
      </c>
      <c r="K129" s="47">
        <v>180</v>
      </c>
      <c r="L129" s="47">
        <v>1320</v>
      </c>
      <c r="M129" s="47">
        <v>1500</v>
      </c>
      <c r="N129" s="46"/>
      <c r="O129" s="71" t="s">
        <v>68</v>
      </c>
      <c r="P129" s="64"/>
      <c r="Q129" s="46" t="s">
        <v>3826</v>
      </c>
      <c r="R129" s="46" t="s">
        <v>4563</v>
      </c>
      <c r="S129" s="49">
        <v>375</v>
      </c>
      <c r="T129" s="49">
        <v>1875</v>
      </c>
      <c r="U129" s="50">
        <v>0.06</v>
      </c>
      <c r="V129" s="78">
        <v>-4.8936170212765959E-2</v>
      </c>
      <c r="W129" s="77">
        <v>7.333333333333333</v>
      </c>
      <c r="X129" s="52">
        <v>187.5</v>
      </c>
      <c r="Y129" s="52">
        <v>30</v>
      </c>
      <c r="Z129" s="52">
        <v>1695</v>
      </c>
      <c r="AA129" s="52">
        <v>1912.5</v>
      </c>
      <c r="AB129" s="53">
        <v>1.02</v>
      </c>
      <c r="AC129" s="54">
        <v>112.5</v>
      </c>
      <c r="AD129" s="55">
        <v>0.06</v>
      </c>
      <c r="AE129" s="56">
        <v>2</v>
      </c>
      <c r="AF129" s="57" t="s">
        <v>72</v>
      </c>
      <c r="AG129" s="58">
        <v>90</v>
      </c>
      <c r="AH129" s="58">
        <v>1320</v>
      </c>
      <c r="AI129" s="58">
        <v>1410</v>
      </c>
      <c r="AJ129" s="49">
        <v>352.5</v>
      </c>
      <c r="AK129" s="49">
        <v>1762.5</v>
      </c>
      <c r="AL129" s="52">
        <v>176.25</v>
      </c>
      <c r="AM129" s="52">
        <v>1672.5</v>
      </c>
      <c r="AN129" s="52">
        <v>1848.75</v>
      </c>
      <c r="AO129" s="59">
        <v>1.048936170212766</v>
      </c>
      <c r="AP129" s="79">
        <v>-86.25</v>
      </c>
      <c r="AQ129" s="80">
        <v>-4.8936170212765959E-2</v>
      </c>
      <c r="AR129" s="60" t="s">
        <v>73</v>
      </c>
      <c r="AS129" s="62">
        <v>270</v>
      </c>
      <c r="AT129" s="62">
        <v>1980</v>
      </c>
      <c r="AU129" s="62">
        <v>2250</v>
      </c>
      <c r="AV129" s="62">
        <v>2812.5</v>
      </c>
      <c r="AW129" s="47" t="s">
        <v>74</v>
      </c>
      <c r="AX129" s="64"/>
      <c r="AY129" s="64" t="s">
        <v>4577</v>
      </c>
      <c r="AZ129" s="86"/>
      <c r="BA129" s="64"/>
      <c r="BB129" s="64"/>
      <c r="BC129" s="64"/>
      <c r="BD129" s="46"/>
      <c r="BE129" s="46" t="e">
        <v>#REF!</v>
      </c>
      <c r="BF129" s="46" t="s">
        <v>79</v>
      </c>
      <c r="BG129" s="65">
        <v>1</v>
      </c>
      <c r="BH129" s="66" t="s">
        <v>4578</v>
      </c>
      <c r="BI129" s="63" t="s">
        <v>4579</v>
      </c>
    </row>
    <row r="130" spans="1:61" ht="63.75" x14ac:dyDescent="0.2">
      <c r="A130" s="45" t="s">
        <v>4580</v>
      </c>
      <c r="B130" s="46"/>
      <c r="C130" s="46" t="s">
        <v>4566</v>
      </c>
      <c r="D130" s="46" t="s">
        <v>4567</v>
      </c>
      <c r="E130" s="46" t="s">
        <v>4581</v>
      </c>
      <c r="F130" s="46" t="s">
        <v>68</v>
      </c>
      <c r="G130" s="46" t="s">
        <v>68</v>
      </c>
      <c r="H130" s="46" t="s">
        <v>68</v>
      </c>
      <c r="I130" s="46" t="s">
        <v>68</v>
      </c>
      <c r="J130" s="46" t="s">
        <v>71</v>
      </c>
      <c r="K130" s="47">
        <v>180</v>
      </c>
      <c r="L130" s="47">
        <v>470</v>
      </c>
      <c r="M130" s="47">
        <v>650</v>
      </c>
      <c r="N130" s="46"/>
      <c r="O130" s="71" t="s">
        <v>68</v>
      </c>
      <c r="P130" s="64"/>
      <c r="Q130" s="46" t="s">
        <v>3826</v>
      </c>
      <c r="R130" s="46" t="s">
        <v>4563</v>
      </c>
      <c r="S130" s="49">
        <v>162.5</v>
      </c>
      <c r="T130" s="49">
        <v>812.5</v>
      </c>
      <c r="U130" s="50">
        <v>8.461538461538462E-2</v>
      </c>
      <c r="V130" s="50">
        <v>2.8571428571428571E-2</v>
      </c>
      <c r="W130" s="77">
        <v>2.6111111111111112</v>
      </c>
      <c r="X130" s="52">
        <v>81.25</v>
      </c>
      <c r="Y130" s="52">
        <v>30</v>
      </c>
      <c r="Z130" s="52">
        <v>632.5</v>
      </c>
      <c r="AA130" s="52">
        <v>743.75</v>
      </c>
      <c r="AB130" s="53">
        <v>0.91538461538461535</v>
      </c>
      <c r="AC130" s="75">
        <v>68.75</v>
      </c>
      <c r="AD130" s="55">
        <v>8.461538461538462E-2</v>
      </c>
      <c r="AE130" s="56">
        <v>2</v>
      </c>
      <c r="AF130" s="57" t="s">
        <v>72</v>
      </c>
      <c r="AG130" s="58">
        <v>90</v>
      </c>
      <c r="AH130" s="58">
        <v>470</v>
      </c>
      <c r="AI130" s="58">
        <v>560</v>
      </c>
      <c r="AJ130" s="49">
        <v>140</v>
      </c>
      <c r="AK130" s="49">
        <v>700</v>
      </c>
      <c r="AL130" s="52">
        <v>70</v>
      </c>
      <c r="AM130" s="52">
        <v>610</v>
      </c>
      <c r="AN130" s="52">
        <v>680</v>
      </c>
      <c r="AO130" s="59">
        <v>0.97142857142857142</v>
      </c>
      <c r="AP130" s="60">
        <v>20</v>
      </c>
      <c r="AQ130" s="61">
        <v>2.8571428571428571E-2</v>
      </c>
      <c r="AR130" s="60" t="s">
        <v>73</v>
      </c>
      <c r="AS130" s="62">
        <v>270</v>
      </c>
      <c r="AT130" s="62">
        <v>705</v>
      </c>
      <c r="AU130" s="62">
        <v>975</v>
      </c>
      <c r="AV130" s="62">
        <v>1218.75</v>
      </c>
      <c r="AW130" s="47" t="s">
        <v>74</v>
      </c>
      <c r="AX130" s="64"/>
      <c r="AY130" s="64" t="s">
        <v>4582</v>
      </c>
      <c r="AZ130" s="86"/>
      <c r="BA130" s="64"/>
      <c r="BB130" s="64"/>
      <c r="BC130" s="64"/>
      <c r="BD130" s="46"/>
      <c r="BE130" s="46" t="e">
        <v>#REF!</v>
      </c>
      <c r="BF130" s="46" t="s">
        <v>79</v>
      </c>
      <c r="BG130" s="65">
        <v>1</v>
      </c>
      <c r="BH130" s="66" t="s">
        <v>4583</v>
      </c>
      <c r="BI130" s="63" t="s">
        <v>4584</v>
      </c>
    </row>
    <row r="131" spans="1:61" ht="63.75" x14ac:dyDescent="0.2">
      <c r="A131" s="45" t="s">
        <v>4585</v>
      </c>
      <c r="B131" s="46"/>
      <c r="C131" s="46" t="s">
        <v>4586</v>
      </c>
      <c r="D131" s="46" t="s">
        <v>68</v>
      </c>
      <c r="E131" s="46" t="s">
        <v>68</v>
      </c>
      <c r="F131" s="46" t="s">
        <v>68</v>
      </c>
      <c r="G131" s="46" t="s">
        <v>68</v>
      </c>
      <c r="H131" s="46" t="s">
        <v>68</v>
      </c>
      <c r="I131" s="46" t="s">
        <v>68</v>
      </c>
      <c r="J131" s="46" t="s">
        <v>71</v>
      </c>
      <c r="K131" s="47">
        <v>180</v>
      </c>
      <c r="L131" s="47">
        <v>70</v>
      </c>
      <c r="M131" s="47">
        <v>250</v>
      </c>
      <c r="N131" s="46"/>
      <c r="O131" s="71" t="s">
        <v>68</v>
      </c>
      <c r="P131" s="64"/>
      <c r="Q131" s="46" t="s">
        <v>3826</v>
      </c>
      <c r="R131" s="46" t="s">
        <v>4563</v>
      </c>
      <c r="S131" s="49">
        <v>62.5</v>
      </c>
      <c r="T131" s="49">
        <v>312.5</v>
      </c>
      <c r="U131" s="67">
        <v>0.38</v>
      </c>
      <c r="V131" s="67">
        <v>0.35</v>
      </c>
      <c r="W131" s="51">
        <v>0.3888888888888889</v>
      </c>
      <c r="X131" s="52">
        <v>31.25</v>
      </c>
      <c r="Y131" s="52">
        <v>30</v>
      </c>
      <c r="Z131" s="52">
        <v>132.5</v>
      </c>
      <c r="AA131" s="52">
        <v>193.75</v>
      </c>
      <c r="AB131" s="53">
        <v>0.62</v>
      </c>
      <c r="AC131" s="54">
        <v>118.75</v>
      </c>
      <c r="AD131" s="55">
        <v>0.38</v>
      </c>
      <c r="AE131" s="56">
        <v>2</v>
      </c>
      <c r="AF131" s="57" t="s">
        <v>72</v>
      </c>
      <c r="AG131" s="58">
        <v>90</v>
      </c>
      <c r="AH131" s="58">
        <v>70</v>
      </c>
      <c r="AI131" s="58">
        <v>160</v>
      </c>
      <c r="AJ131" s="49">
        <v>40</v>
      </c>
      <c r="AK131" s="49">
        <v>200</v>
      </c>
      <c r="AL131" s="52">
        <v>20</v>
      </c>
      <c r="AM131" s="52">
        <v>110</v>
      </c>
      <c r="AN131" s="52">
        <v>130</v>
      </c>
      <c r="AO131" s="59">
        <v>0.65</v>
      </c>
      <c r="AP131" s="60">
        <v>70</v>
      </c>
      <c r="AQ131" s="61">
        <v>0.35</v>
      </c>
      <c r="AR131" s="60" t="s">
        <v>78</v>
      </c>
      <c r="AS131" s="62">
        <v>270</v>
      </c>
      <c r="AT131" s="62">
        <v>105</v>
      </c>
      <c r="AU131" s="62">
        <v>375</v>
      </c>
      <c r="AV131" s="62">
        <v>468.75</v>
      </c>
      <c r="AW131" s="47" t="s">
        <v>74</v>
      </c>
      <c r="AX131" s="64"/>
      <c r="AY131" s="64" t="s">
        <v>4587</v>
      </c>
      <c r="AZ131" s="86"/>
      <c r="BA131" s="64"/>
      <c r="BB131" s="64"/>
      <c r="BC131" s="64"/>
      <c r="BD131" s="70" t="s">
        <v>4588</v>
      </c>
      <c r="BE131" s="46" t="e">
        <v>#REF!</v>
      </c>
      <c r="BF131" s="46" t="s">
        <v>75</v>
      </c>
      <c r="BG131" s="65">
        <v>2</v>
      </c>
      <c r="BH131" s="66" t="s">
        <v>4589</v>
      </c>
      <c r="BI131" s="63" t="s">
        <v>4586</v>
      </c>
    </row>
    <row r="132" spans="1:61" ht="38.25" x14ac:dyDescent="0.2">
      <c r="A132" s="45" t="s">
        <v>4590</v>
      </c>
      <c r="B132" s="46"/>
      <c r="C132" s="46" t="s">
        <v>4591</v>
      </c>
      <c r="D132" s="46" t="s">
        <v>68</v>
      </c>
      <c r="E132" s="46" t="s">
        <v>68</v>
      </c>
      <c r="F132" s="46" t="s">
        <v>68</v>
      </c>
      <c r="G132" s="46" t="s">
        <v>4592</v>
      </c>
      <c r="H132" s="46" t="s">
        <v>68</v>
      </c>
      <c r="I132" s="46" t="s">
        <v>68</v>
      </c>
      <c r="J132" s="46" t="s">
        <v>71</v>
      </c>
      <c r="K132" s="47">
        <v>200</v>
      </c>
      <c r="L132" s="47">
        <v>0</v>
      </c>
      <c r="M132" s="47">
        <v>200</v>
      </c>
      <c r="N132" s="46"/>
      <c r="O132" s="71" t="s">
        <v>68</v>
      </c>
      <c r="P132" s="64"/>
      <c r="Q132" s="46" t="s">
        <v>3826</v>
      </c>
      <c r="R132" s="46" t="s">
        <v>4563</v>
      </c>
      <c r="S132" s="49">
        <v>50</v>
      </c>
      <c r="T132" s="49">
        <v>250</v>
      </c>
      <c r="U132" s="67">
        <v>0.57999999999999996</v>
      </c>
      <c r="V132" s="67">
        <v>0.7</v>
      </c>
      <c r="W132" s="51">
        <v>0</v>
      </c>
      <c r="X132" s="52">
        <v>25</v>
      </c>
      <c r="Y132" s="52">
        <v>30</v>
      </c>
      <c r="Z132" s="52">
        <v>50</v>
      </c>
      <c r="AA132" s="52">
        <v>105</v>
      </c>
      <c r="AB132" s="53">
        <v>0.42</v>
      </c>
      <c r="AC132" s="72">
        <v>145</v>
      </c>
      <c r="AD132" s="55">
        <v>0.57999999999999996</v>
      </c>
      <c r="AE132" s="56">
        <v>2</v>
      </c>
      <c r="AF132" s="57" t="s">
        <v>72</v>
      </c>
      <c r="AG132" s="58">
        <v>100</v>
      </c>
      <c r="AH132" s="58">
        <v>0</v>
      </c>
      <c r="AI132" s="58">
        <v>100</v>
      </c>
      <c r="AJ132" s="49">
        <v>25</v>
      </c>
      <c r="AK132" s="49">
        <v>125</v>
      </c>
      <c r="AL132" s="52">
        <v>12.5</v>
      </c>
      <c r="AM132" s="52">
        <v>25</v>
      </c>
      <c r="AN132" s="52">
        <v>37.5</v>
      </c>
      <c r="AO132" s="59">
        <v>0.3</v>
      </c>
      <c r="AP132" s="60">
        <v>87.5</v>
      </c>
      <c r="AQ132" s="61">
        <v>0.7</v>
      </c>
      <c r="AR132" s="60" t="s">
        <v>78</v>
      </c>
      <c r="AS132" s="62">
        <v>300</v>
      </c>
      <c r="AT132" s="62">
        <v>0</v>
      </c>
      <c r="AU132" s="62">
        <v>300</v>
      </c>
      <c r="AV132" s="62">
        <v>375</v>
      </c>
      <c r="AW132" s="47" t="s">
        <v>74</v>
      </c>
      <c r="AX132" s="64"/>
      <c r="AY132" s="64" t="s">
        <v>4593</v>
      </c>
      <c r="AZ132" s="86"/>
      <c r="BA132" s="64"/>
      <c r="BB132" s="64"/>
      <c r="BC132" s="64"/>
      <c r="BD132" s="46"/>
      <c r="BE132" s="46" t="e">
        <v>#REF!</v>
      </c>
      <c r="BF132" s="46" t="s">
        <v>79</v>
      </c>
      <c r="BG132" s="65">
        <v>0.5</v>
      </c>
      <c r="BH132" s="66" t="s">
        <v>4594</v>
      </c>
      <c r="BI132" s="63" t="s">
        <v>4595</v>
      </c>
    </row>
    <row r="133" spans="1:61" ht="38.25" x14ac:dyDescent="0.2">
      <c r="A133" s="45" t="s">
        <v>4596</v>
      </c>
      <c r="B133" s="46"/>
      <c r="C133" s="46" t="s">
        <v>4597</v>
      </c>
      <c r="D133" s="46" t="s">
        <v>4598</v>
      </c>
      <c r="E133" s="46" t="s">
        <v>68</v>
      </c>
      <c r="F133" s="46" t="s">
        <v>68</v>
      </c>
      <c r="G133" s="46" t="s">
        <v>68</v>
      </c>
      <c r="H133" s="46" t="s">
        <v>68</v>
      </c>
      <c r="I133" s="46" t="s">
        <v>68</v>
      </c>
      <c r="J133" s="46" t="s">
        <v>71</v>
      </c>
      <c r="K133" s="47">
        <v>100</v>
      </c>
      <c r="L133" s="47">
        <v>0</v>
      </c>
      <c r="M133" s="47">
        <v>100</v>
      </c>
      <c r="N133" s="46"/>
      <c r="O133" s="71" t="s">
        <v>68</v>
      </c>
      <c r="P133" s="64"/>
      <c r="Q133" s="46" t="s">
        <v>3826</v>
      </c>
      <c r="R133" s="46" t="s">
        <v>4563</v>
      </c>
      <c r="S133" s="49">
        <v>25</v>
      </c>
      <c r="T133" s="49">
        <v>125</v>
      </c>
      <c r="U133" s="67">
        <v>0.46</v>
      </c>
      <c r="V133" s="67">
        <v>0.7</v>
      </c>
      <c r="W133" s="51">
        <v>0</v>
      </c>
      <c r="X133" s="52">
        <v>12.5</v>
      </c>
      <c r="Y133" s="52">
        <v>30</v>
      </c>
      <c r="Z133" s="52">
        <v>25</v>
      </c>
      <c r="AA133" s="52">
        <v>67.5</v>
      </c>
      <c r="AB133" s="53">
        <v>0.54</v>
      </c>
      <c r="AC133" s="75">
        <v>57.5</v>
      </c>
      <c r="AD133" s="55">
        <v>0.46</v>
      </c>
      <c r="AE133" s="56">
        <v>2</v>
      </c>
      <c r="AF133" s="57" t="s">
        <v>72</v>
      </c>
      <c r="AG133" s="58">
        <v>50</v>
      </c>
      <c r="AH133" s="58">
        <v>0</v>
      </c>
      <c r="AI133" s="58">
        <v>50</v>
      </c>
      <c r="AJ133" s="49">
        <v>12.5</v>
      </c>
      <c r="AK133" s="49">
        <v>62.5</v>
      </c>
      <c r="AL133" s="52">
        <v>6.25</v>
      </c>
      <c r="AM133" s="52">
        <v>12.5</v>
      </c>
      <c r="AN133" s="52">
        <v>18.75</v>
      </c>
      <c r="AO133" s="59">
        <v>0.3</v>
      </c>
      <c r="AP133" s="60">
        <v>43.75</v>
      </c>
      <c r="AQ133" s="61">
        <v>0.7</v>
      </c>
      <c r="AR133" s="60" t="s">
        <v>78</v>
      </c>
      <c r="AS133" s="62">
        <v>150</v>
      </c>
      <c r="AT133" s="62">
        <v>0</v>
      </c>
      <c r="AU133" s="62">
        <v>150</v>
      </c>
      <c r="AV133" s="62">
        <v>187.5</v>
      </c>
      <c r="AW133" s="47" t="s">
        <v>74</v>
      </c>
      <c r="AX133" s="64"/>
      <c r="AY133" s="64" t="s">
        <v>4599</v>
      </c>
      <c r="AZ133" s="86"/>
      <c r="BA133" s="64"/>
      <c r="BB133" s="64"/>
      <c r="BC133" s="64"/>
      <c r="BD133" s="46"/>
      <c r="BE133" s="46" t="e">
        <v>#REF!</v>
      </c>
      <c r="BF133" s="46" t="s">
        <v>79</v>
      </c>
      <c r="BG133" s="65">
        <v>0.25</v>
      </c>
      <c r="BH133" s="66" t="s">
        <v>4600</v>
      </c>
      <c r="BI133" s="63" t="s">
        <v>4601</v>
      </c>
    </row>
    <row r="134" spans="1:61" ht="89.25" x14ac:dyDescent="0.2">
      <c r="A134" s="45" t="s">
        <v>4602</v>
      </c>
      <c r="B134" s="46"/>
      <c r="C134" s="46" t="s">
        <v>4603</v>
      </c>
      <c r="D134" s="46" t="s">
        <v>4567</v>
      </c>
      <c r="E134" s="46" t="s">
        <v>4604</v>
      </c>
      <c r="F134" s="46" t="s">
        <v>68</v>
      </c>
      <c r="G134" s="46" t="s">
        <v>68</v>
      </c>
      <c r="H134" s="46" t="s">
        <v>68</v>
      </c>
      <c r="I134" s="46" t="s">
        <v>454</v>
      </c>
      <c r="J134" s="46" t="s">
        <v>68</v>
      </c>
      <c r="K134" s="47" t="s">
        <v>68</v>
      </c>
      <c r="L134" s="47" t="s">
        <v>68</v>
      </c>
      <c r="M134" s="47" t="s">
        <v>68</v>
      </c>
      <c r="N134" s="46"/>
      <c r="O134" s="71" t="s">
        <v>68</v>
      </c>
      <c r="P134" s="64"/>
      <c r="Q134" s="46" t="s">
        <v>3826</v>
      </c>
      <c r="R134" s="46" t="s">
        <v>4563</v>
      </c>
      <c r="S134" s="83" t="s">
        <v>68</v>
      </c>
      <c r="T134" s="83" t="s">
        <v>68</v>
      </c>
      <c r="U134" s="28" t="s">
        <v>68</v>
      </c>
      <c r="V134" s="28" t="s">
        <v>68</v>
      </c>
      <c r="W134" s="29" t="s">
        <v>68</v>
      </c>
      <c r="X134" s="83" t="s">
        <v>68</v>
      </c>
      <c r="Y134" s="83" t="s">
        <v>68</v>
      </c>
      <c r="Z134" s="83" t="s">
        <v>68</v>
      </c>
      <c r="AA134" s="83" t="s">
        <v>68</v>
      </c>
      <c r="AB134" s="84" t="s">
        <v>68</v>
      </c>
      <c r="AC134" s="83" t="s">
        <v>68</v>
      </c>
      <c r="AD134" s="84" t="s">
        <v>68</v>
      </c>
      <c r="AE134" s="56">
        <v>2</v>
      </c>
      <c r="AF134" s="57" t="s">
        <v>72</v>
      </c>
      <c r="AG134" s="47" t="s">
        <v>68</v>
      </c>
      <c r="AH134" s="47" t="s">
        <v>68</v>
      </c>
      <c r="AI134" s="58">
        <v>0</v>
      </c>
      <c r="AJ134" s="83" t="s">
        <v>68</v>
      </c>
      <c r="AK134" s="83" t="s">
        <v>68</v>
      </c>
      <c r="AL134" s="83" t="s">
        <v>68</v>
      </c>
      <c r="AM134" s="83" t="s">
        <v>68</v>
      </c>
      <c r="AN134" s="83" t="s">
        <v>68</v>
      </c>
      <c r="AO134" s="85" t="s">
        <v>68</v>
      </c>
      <c r="AP134" s="83" t="s">
        <v>68</v>
      </c>
      <c r="AQ134" s="84" t="s">
        <v>68</v>
      </c>
      <c r="AR134" s="83" t="s">
        <v>68</v>
      </c>
      <c r="AS134" s="47" t="s">
        <v>68</v>
      </c>
      <c r="AT134" s="47" t="s">
        <v>68</v>
      </c>
      <c r="AU134" s="47" t="s">
        <v>68</v>
      </c>
      <c r="AV134" s="47" t="s">
        <v>68</v>
      </c>
      <c r="AW134" s="47" t="s">
        <v>74</v>
      </c>
      <c r="AX134" s="64"/>
      <c r="AY134" s="64" t="s">
        <v>4605</v>
      </c>
      <c r="AZ134" s="86"/>
      <c r="BA134" s="64"/>
      <c r="BB134" s="64"/>
      <c r="BC134" s="64"/>
      <c r="BD134" s="46"/>
      <c r="BE134" s="46" t="e">
        <v>#REF!</v>
      </c>
      <c r="BF134" s="46" t="s">
        <v>79</v>
      </c>
      <c r="BG134" s="65">
        <v>1</v>
      </c>
      <c r="BH134" s="66" t="s">
        <v>4606</v>
      </c>
      <c r="BI134" s="63" t="s">
        <v>4607</v>
      </c>
    </row>
    <row r="135" spans="1:61" ht="89.25" x14ac:dyDescent="0.2">
      <c r="A135" s="45" t="s">
        <v>4608</v>
      </c>
      <c r="B135" s="46"/>
      <c r="C135" s="46" t="s">
        <v>4603</v>
      </c>
      <c r="D135" s="46" t="s">
        <v>4567</v>
      </c>
      <c r="E135" s="46" t="s">
        <v>4604</v>
      </c>
      <c r="F135" s="46" t="s">
        <v>68</v>
      </c>
      <c r="G135" s="46" t="s">
        <v>68</v>
      </c>
      <c r="H135" s="46" t="s">
        <v>68</v>
      </c>
      <c r="I135" s="46" t="s">
        <v>445</v>
      </c>
      <c r="J135" s="46" t="s">
        <v>68</v>
      </c>
      <c r="K135" s="47" t="s">
        <v>68</v>
      </c>
      <c r="L135" s="47" t="s">
        <v>68</v>
      </c>
      <c r="M135" s="47" t="s">
        <v>68</v>
      </c>
      <c r="N135" s="46"/>
      <c r="O135" s="71" t="s">
        <v>68</v>
      </c>
      <c r="P135" s="64"/>
      <c r="Q135" s="46" t="s">
        <v>3826</v>
      </c>
      <c r="R135" s="46" t="s">
        <v>4563</v>
      </c>
      <c r="S135" s="83" t="s">
        <v>68</v>
      </c>
      <c r="T135" s="83" t="s">
        <v>68</v>
      </c>
      <c r="U135" s="28" t="s">
        <v>68</v>
      </c>
      <c r="V135" s="28" t="s">
        <v>68</v>
      </c>
      <c r="W135" s="29" t="s">
        <v>68</v>
      </c>
      <c r="X135" s="83" t="s">
        <v>68</v>
      </c>
      <c r="Y135" s="83" t="s">
        <v>68</v>
      </c>
      <c r="Z135" s="83" t="s">
        <v>68</v>
      </c>
      <c r="AA135" s="83" t="s">
        <v>68</v>
      </c>
      <c r="AB135" s="84" t="s">
        <v>68</v>
      </c>
      <c r="AC135" s="83" t="s">
        <v>68</v>
      </c>
      <c r="AD135" s="84" t="s">
        <v>68</v>
      </c>
      <c r="AE135" s="56">
        <v>2</v>
      </c>
      <c r="AF135" s="57" t="s">
        <v>72</v>
      </c>
      <c r="AG135" s="47" t="s">
        <v>68</v>
      </c>
      <c r="AH135" s="47" t="s">
        <v>68</v>
      </c>
      <c r="AI135" s="58">
        <v>0</v>
      </c>
      <c r="AJ135" s="83" t="s">
        <v>68</v>
      </c>
      <c r="AK135" s="83" t="s">
        <v>68</v>
      </c>
      <c r="AL135" s="83" t="s">
        <v>68</v>
      </c>
      <c r="AM135" s="83" t="s">
        <v>68</v>
      </c>
      <c r="AN135" s="83" t="s">
        <v>68</v>
      </c>
      <c r="AO135" s="85" t="s">
        <v>68</v>
      </c>
      <c r="AP135" s="83" t="s">
        <v>68</v>
      </c>
      <c r="AQ135" s="84" t="s">
        <v>68</v>
      </c>
      <c r="AR135" s="83" t="s">
        <v>68</v>
      </c>
      <c r="AS135" s="47" t="s">
        <v>68</v>
      </c>
      <c r="AT135" s="47" t="s">
        <v>68</v>
      </c>
      <c r="AU135" s="47" t="s">
        <v>68</v>
      </c>
      <c r="AV135" s="47" t="s">
        <v>68</v>
      </c>
      <c r="AW135" s="47" t="s">
        <v>74</v>
      </c>
      <c r="AX135" s="64"/>
      <c r="AY135" s="64" t="s">
        <v>4609</v>
      </c>
      <c r="AZ135" s="86"/>
      <c r="BA135" s="64"/>
      <c r="BB135" s="64"/>
      <c r="BC135" s="64"/>
      <c r="BD135" s="46"/>
      <c r="BE135" s="46" t="e">
        <v>#REF!</v>
      </c>
      <c r="BF135" s="46" t="s">
        <v>79</v>
      </c>
      <c r="BG135" s="65">
        <v>1</v>
      </c>
      <c r="BH135" s="66" t="s">
        <v>4610</v>
      </c>
      <c r="BI135" s="63" t="s">
        <v>4611</v>
      </c>
    </row>
    <row r="136" spans="1:61" ht="89.25" x14ac:dyDescent="0.2">
      <c r="A136" s="45" t="s">
        <v>4612</v>
      </c>
      <c r="B136" s="46"/>
      <c r="C136" s="46" t="s">
        <v>4603</v>
      </c>
      <c r="D136" s="46" t="s">
        <v>4567</v>
      </c>
      <c r="E136" s="46" t="s">
        <v>4604</v>
      </c>
      <c r="F136" s="46" t="s">
        <v>68</v>
      </c>
      <c r="G136" s="46" t="s">
        <v>68</v>
      </c>
      <c r="H136" s="46" t="s">
        <v>68</v>
      </c>
      <c r="I136" s="46" t="s">
        <v>449</v>
      </c>
      <c r="J136" s="46" t="s">
        <v>68</v>
      </c>
      <c r="K136" s="47" t="s">
        <v>68</v>
      </c>
      <c r="L136" s="47" t="s">
        <v>68</v>
      </c>
      <c r="M136" s="47" t="s">
        <v>68</v>
      </c>
      <c r="N136" s="46"/>
      <c r="O136" s="71" t="s">
        <v>68</v>
      </c>
      <c r="P136" s="64"/>
      <c r="Q136" s="46" t="s">
        <v>3826</v>
      </c>
      <c r="R136" s="46" t="s">
        <v>4563</v>
      </c>
      <c r="S136" s="83" t="s">
        <v>68</v>
      </c>
      <c r="T136" s="83" t="s">
        <v>68</v>
      </c>
      <c r="U136" s="28" t="s">
        <v>68</v>
      </c>
      <c r="V136" s="28" t="s">
        <v>68</v>
      </c>
      <c r="W136" s="29" t="s">
        <v>68</v>
      </c>
      <c r="X136" s="83" t="s">
        <v>68</v>
      </c>
      <c r="Y136" s="83" t="s">
        <v>68</v>
      </c>
      <c r="Z136" s="83" t="s">
        <v>68</v>
      </c>
      <c r="AA136" s="83" t="s">
        <v>68</v>
      </c>
      <c r="AB136" s="84" t="s">
        <v>68</v>
      </c>
      <c r="AC136" s="83" t="s">
        <v>68</v>
      </c>
      <c r="AD136" s="84" t="s">
        <v>68</v>
      </c>
      <c r="AE136" s="56">
        <v>2</v>
      </c>
      <c r="AF136" s="57" t="s">
        <v>72</v>
      </c>
      <c r="AG136" s="47" t="s">
        <v>68</v>
      </c>
      <c r="AH136" s="47" t="s">
        <v>68</v>
      </c>
      <c r="AI136" s="58">
        <v>0</v>
      </c>
      <c r="AJ136" s="83" t="s">
        <v>68</v>
      </c>
      <c r="AK136" s="83" t="s">
        <v>68</v>
      </c>
      <c r="AL136" s="83" t="s">
        <v>68</v>
      </c>
      <c r="AM136" s="83" t="s">
        <v>68</v>
      </c>
      <c r="AN136" s="83" t="s">
        <v>68</v>
      </c>
      <c r="AO136" s="85" t="s">
        <v>68</v>
      </c>
      <c r="AP136" s="83" t="s">
        <v>68</v>
      </c>
      <c r="AQ136" s="84" t="s">
        <v>68</v>
      </c>
      <c r="AR136" s="83" t="s">
        <v>68</v>
      </c>
      <c r="AS136" s="47" t="s">
        <v>68</v>
      </c>
      <c r="AT136" s="47" t="s">
        <v>68</v>
      </c>
      <c r="AU136" s="47" t="s">
        <v>68</v>
      </c>
      <c r="AV136" s="47" t="s">
        <v>68</v>
      </c>
      <c r="AW136" s="47" t="s">
        <v>74</v>
      </c>
      <c r="AX136" s="64"/>
      <c r="AY136" s="64" t="s">
        <v>4613</v>
      </c>
      <c r="AZ136" s="86"/>
      <c r="BA136" s="64"/>
      <c r="BB136" s="64"/>
      <c r="BC136" s="64"/>
      <c r="BD136" s="46"/>
      <c r="BE136" s="46" t="e">
        <v>#REF!</v>
      </c>
      <c r="BF136" s="46" t="s">
        <v>79</v>
      </c>
      <c r="BG136" s="65">
        <v>1</v>
      </c>
      <c r="BH136" s="66" t="s">
        <v>4614</v>
      </c>
      <c r="BI136" s="63" t="s">
        <v>4615</v>
      </c>
    </row>
    <row r="137" spans="1:61" ht="76.5" x14ac:dyDescent="0.2">
      <c r="A137" s="45" t="s">
        <v>4616</v>
      </c>
      <c r="B137" s="46"/>
      <c r="C137" s="46" t="s">
        <v>4603</v>
      </c>
      <c r="D137" s="46" t="s">
        <v>4567</v>
      </c>
      <c r="E137" s="46" t="s">
        <v>4617</v>
      </c>
      <c r="F137" s="46" t="s">
        <v>68</v>
      </c>
      <c r="G137" s="46" t="s">
        <v>68</v>
      </c>
      <c r="H137" s="46" t="s">
        <v>68</v>
      </c>
      <c r="I137" s="46" t="s">
        <v>454</v>
      </c>
      <c r="J137" s="46" t="s">
        <v>71</v>
      </c>
      <c r="K137" s="47">
        <v>150</v>
      </c>
      <c r="L137" s="47">
        <v>270</v>
      </c>
      <c r="M137" s="47">
        <v>420</v>
      </c>
      <c r="N137" s="46"/>
      <c r="O137" s="71" t="s">
        <v>68</v>
      </c>
      <c r="P137" s="64"/>
      <c r="Q137" s="46" t="s">
        <v>3826</v>
      </c>
      <c r="R137" s="46" t="s">
        <v>4563</v>
      </c>
      <c r="S137" s="49">
        <v>105</v>
      </c>
      <c r="T137" s="49">
        <v>525</v>
      </c>
      <c r="U137" s="50">
        <v>0.12857142857142856</v>
      </c>
      <c r="V137" s="50">
        <v>7.3913043478260873E-2</v>
      </c>
      <c r="W137" s="77">
        <v>1.8</v>
      </c>
      <c r="X137" s="52">
        <v>52.5</v>
      </c>
      <c r="Y137" s="52">
        <v>30</v>
      </c>
      <c r="Z137" s="52">
        <v>375</v>
      </c>
      <c r="AA137" s="52">
        <v>457.5</v>
      </c>
      <c r="AB137" s="53">
        <v>0.87142857142857144</v>
      </c>
      <c r="AC137" s="75">
        <v>67.5</v>
      </c>
      <c r="AD137" s="55">
        <v>0.12857142857142856</v>
      </c>
      <c r="AE137" s="56">
        <v>2</v>
      </c>
      <c r="AF137" s="57" t="s">
        <v>72</v>
      </c>
      <c r="AG137" s="58">
        <v>75</v>
      </c>
      <c r="AH137" s="58">
        <v>270</v>
      </c>
      <c r="AI137" s="58">
        <v>345</v>
      </c>
      <c r="AJ137" s="49">
        <v>86.25</v>
      </c>
      <c r="AK137" s="49">
        <v>431.25</v>
      </c>
      <c r="AL137" s="52">
        <v>43.125</v>
      </c>
      <c r="AM137" s="52">
        <v>356.25</v>
      </c>
      <c r="AN137" s="52">
        <v>399.375</v>
      </c>
      <c r="AO137" s="59">
        <v>0.92608695652173911</v>
      </c>
      <c r="AP137" s="60">
        <v>31.875</v>
      </c>
      <c r="AQ137" s="61">
        <v>7.3913043478260873E-2</v>
      </c>
      <c r="AR137" s="60" t="s">
        <v>73</v>
      </c>
      <c r="AS137" s="62">
        <v>225</v>
      </c>
      <c r="AT137" s="62">
        <v>405</v>
      </c>
      <c r="AU137" s="62">
        <v>630</v>
      </c>
      <c r="AV137" s="62">
        <v>787.5</v>
      </c>
      <c r="AW137" s="47" t="s">
        <v>74</v>
      </c>
      <c r="AX137" s="64"/>
      <c r="AY137" s="64" t="s">
        <v>4618</v>
      </c>
      <c r="AZ137" s="86"/>
      <c r="BA137" s="64"/>
      <c r="BB137" s="64"/>
      <c r="BC137" s="64"/>
      <c r="BD137" s="46"/>
      <c r="BE137" s="46" t="e">
        <v>#REF!</v>
      </c>
      <c r="BF137" s="46" t="s">
        <v>79</v>
      </c>
      <c r="BG137" s="65">
        <v>1</v>
      </c>
      <c r="BH137" s="66" t="s">
        <v>4619</v>
      </c>
      <c r="BI137" s="63" t="s">
        <v>4620</v>
      </c>
    </row>
    <row r="138" spans="1:61" ht="76.5" x14ac:dyDescent="0.2">
      <c r="A138" s="45" t="s">
        <v>4621</v>
      </c>
      <c r="B138" s="46"/>
      <c r="C138" s="46" t="s">
        <v>4603</v>
      </c>
      <c r="D138" s="46" t="s">
        <v>4567</v>
      </c>
      <c r="E138" s="46" t="s">
        <v>4617</v>
      </c>
      <c r="F138" s="46" t="s">
        <v>68</v>
      </c>
      <c r="G138" s="46" t="s">
        <v>68</v>
      </c>
      <c r="H138" s="46" t="s">
        <v>68</v>
      </c>
      <c r="I138" s="46" t="s">
        <v>445</v>
      </c>
      <c r="J138" s="46" t="s">
        <v>71</v>
      </c>
      <c r="K138" s="47">
        <v>150</v>
      </c>
      <c r="L138" s="47">
        <v>420</v>
      </c>
      <c r="M138" s="47">
        <v>570</v>
      </c>
      <c r="N138" s="46"/>
      <c r="O138" s="71" t="s">
        <v>68</v>
      </c>
      <c r="P138" s="64"/>
      <c r="Q138" s="46" t="s">
        <v>3826</v>
      </c>
      <c r="R138" s="46" t="s">
        <v>4563</v>
      </c>
      <c r="S138" s="49">
        <v>142.5</v>
      </c>
      <c r="T138" s="49">
        <v>712.5</v>
      </c>
      <c r="U138" s="50">
        <v>6.8421052631578952E-2</v>
      </c>
      <c r="V138" s="50">
        <v>2.1212121212121213E-2</v>
      </c>
      <c r="W138" s="77">
        <v>2.8</v>
      </c>
      <c r="X138" s="52">
        <v>71.25</v>
      </c>
      <c r="Y138" s="52">
        <v>30</v>
      </c>
      <c r="Z138" s="52">
        <v>562.5</v>
      </c>
      <c r="AA138" s="52">
        <v>663.75</v>
      </c>
      <c r="AB138" s="53">
        <v>0.93157894736842106</v>
      </c>
      <c r="AC138" s="75">
        <v>48.75</v>
      </c>
      <c r="AD138" s="55">
        <v>6.8421052631578952E-2</v>
      </c>
      <c r="AE138" s="56">
        <v>2</v>
      </c>
      <c r="AF138" s="57" t="s">
        <v>72</v>
      </c>
      <c r="AG138" s="58">
        <v>75</v>
      </c>
      <c r="AH138" s="58">
        <v>420</v>
      </c>
      <c r="AI138" s="58">
        <v>495</v>
      </c>
      <c r="AJ138" s="49">
        <v>123.75</v>
      </c>
      <c r="AK138" s="49">
        <v>618.75</v>
      </c>
      <c r="AL138" s="52">
        <v>61.875</v>
      </c>
      <c r="AM138" s="52">
        <v>543.75</v>
      </c>
      <c r="AN138" s="52">
        <v>605.625</v>
      </c>
      <c r="AO138" s="59">
        <v>0.97878787878787876</v>
      </c>
      <c r="AP138" s="60">
        <v>13.125</v>
      </c>
      <c r="AQ138" s="61">
        <v>2.1212121212121213E-2</v>
      </c>
      <c r="AR138" s="60" t="s">
        <v>73</v>
      </c>
      <c r="AS138" s="62">
        <v>225</v>
      </c>
      <c r="AT138" s="62">
        <v>630</v>
      </c>
      <c r="AU138" s="62">
        <v>855</v>
      </c>
      <c r="AV138" s="62">
        <v>1068.75</v>
      </c>
      <c r="AW138" s="47" t="s">
        <v>74</v>
      </c>
      <c r="AX138" s="64"/>
      <c r="AY138" s="64" t="s">
        <v>4622</v>
      </c>
      <c r="AZ138" s="86"/>
      <c r="BA138" s="64"/>
      <c r="BB138" s="64"/>
      <c r="BC138" s="64"/>
      <c r="BD138" s="46"/>
      <c r="BE138" s="46" t="e">
        <v>#REF!</v>
      </c>
      <c r="BF138" s="46" t="s">
        <v>79</v>
      </c>
      <c r="BG138" s="65">
        <v>1</v>
      </c>
      <c r="BH138" s="66" t="s">
        <v>4623</v>
      </c>
      <c r="BI138" s="63" t="s">
        <v>4624</v>
      </c>
    </row>
    <row r="139" spans="1:61" ht="63.75" x14ac:dyDescent="0.2">
      <c r="A139" s="45" t="s">
        <v>4625</v>
      </c>
      <c r="B139" s="46"/>
      <c r="C139" s="46" t="s">
        <v>4603</v>
      </c>
      <c r="D139" s="46" t="s">
        <v>4626</v>
      </c>
      <c r="E139" s="46" t="s">
        <v>4617</v>
      </c>
      <c r="F139" s="46" t="s">
        <v>68</v>
      </c>
      <c r="G139" s="46" t="s">
        <v>68</v>
      </c>
      <c r="H139" s="46" t="s">
        <v>68</v>
      </c>
      <c r="I139" s="46" t="s">
        <v>454</v>
      </c>
      <c r="J139" s="46" t="s">
        <v>68</v>
      </c>
      <c r="K139" s="47" t="s">
        <v>68</v>
      </c>
      <c r="L139" s="47" t="s">
        <v>68</v>
      </c>
      <c r="M139" s="47" t="s">
        <v>68</v>
      </c>
      <c r="N139" s="46"/>
      <c r="O139" s="71" t="s">
        <v>68</v>
      </c>
      <c r="P139" s="64"/>
      <c r="Q139" s="46" t="s">
        <v>3826</v>
      </c>
      <c r="R139" s="46" t="s">
        <v>4563</v>
      </c>
      <c r="S139" s="83" t="s">
        <v>68</v>
      </c>
      <c r="T139" s="83" t="s">
        <v>68</v>
      </c>
      <c r="U139" s="28" t="s">
        <v>68</v>
      </c>
      <c r="V139" s="28" t="s">
        <v>68</v>
      </c>
      <c r="W139" s="29" t="s">
        <v>68</v>
      </c>
      <c r="X139" s="83" t="s">
        <v>68</v>
      </c>
      <c r="Y139" s="83" t="s">
        <v>68</v>
      </c>
      <c r="Z139" s="83" t="s">
        <v>68</v>
      </c>
      <c r="AA139" s="83" t="s">
        <v>68</v>
      </c>
      <c r="AB139" s="84" t="s">
        <v>68</v>
      </c>
      <c r="AC139" s="83" t="s">
        <v>68</v>
      </c>
      <c r="AD139" s="84" t="s">
        <v>68</v>
      </c>
      <c r="AE139" s="56">
        <v>2</v>
      </c>
      <c r="AF139" s="57" t="s">
        <v>72</v>
      </c>
      <c r="AG139" s="47" t="s">
        <v>68</v>
      </c>
      <c r="AH139" s="47" t="s">
        <v>68</v>
      </c>
      <c r="AI139" s="58">
        <v>0</v>
      </c>
      <c r="AJ139" s="83" t="s">
        <v>68</v>
      </c>
      <c r="AK139" s="83" t="s">
        <v>68</v>
      </c>
      <c r="AL139" s="83" t="s">
        <v>68</v>
      </c>
      <c r="AM139" s="83" t="s">
        <v>68</v>
      </c>
      <c r="AN139" s="83" t="s">
        <v>68</v>
      </c>
      <c r="AO139" s="85" t="s">
        <v>68</v>
      </c>
      <c r="AP139" s="83" t="s">
        <v>68</v>
      </c>
      <c r="AQ139" s="84" t="s">
        <v>68</v>
      </c>
      <c r="AR139" s="83" t="s">
        <v>68</v>
      </c>
      <c r="AS139" s="47" t="s">
        <v>68</v>
      </c>
      <c r="AT139" s="47" t="s">
        <v>68</v>
      </c>
      <c r="AU139" s="47" t="s">
        <v>68</v>
      </c>
      <c r="AV139" s="47" t="s">
        <v>68</v>
      </c>
      <c r="AW139" s="47" t="s">
        <v>74</v>
      </c>
      <c r="AX139" s="64"/>
      <c r="AY139" s="64" t="s">
        <v>4627</v>
      </c>
      <c r="AZ139" s="86"/>
      <c r="BA139" s="64"/>
      <c r="BB139" s="64"/>
      <c r="BC139" s="64"/>
      <c r="BD139" s="46"/>
      <c r="BE139" s="46" t="e">
        <v>#REF!</v>
      </c>
      <c r="BF139" s="46" t="s">
        <v>79</v>
      </c>
      <c r="BG139" s="65">
        <v>1</v>
      </c>
      <c r="BH139" s="66" t="s">
        <v>4628</v>
      </c>
      <c r="BI139" s="63" t="s">
        <v>4629</v>
      </c>
    </row>
    <row r="140" spans="1:61" ht="63.75" x14ac:dyDescent="0.2">
      <c r="A140" s="45" t="s">
        <v>4630</v>
      </c>
      <c r="B140" s="46"/>
      <c r="C140" s="46" t="s">
        <v>4603</v>
      </c>
      <c r="D140" s="46" t="s">
        <v>4626</v>
      </c>
      <c r="E140" s="46" t="s">
        <v>4617</v>
      </c>
      <c r="F140" s="46" t="s">
        <v>68</v>
      </c>
      <c r="G140" s="46" t="s">
        <v>68</v>
      </c>
      <c r="H140" s="46" t="s">
        <v>68</v>
      </c>
      <c r="I140" s="46" t="s">
        <v>445</v>
      </c>
      <c r="J140" s="46" t="s">
        <v>68</v>
      </c>
      <c r="K140" s="47" t="s">
        <v>68</v>
      </c>
      <c r="L140" s="47" t="s">
        <v>68</v>
      </c>
      <c r="M140" s="47" t="s">
        <v>68</v>
      </c>
      <c r="N140" s="46"/>
      <c r="O140" s="71" t="s">
        <v>68</v>
      </c>
      <c r="P140" s="64"/>
      <c r="Q140" s="46" t="s">
        <v>3826</v>
      </c>
      <c r="R140" s="46" t="s">
        <v>4563</v>
      </c>
      <c r="S140" s="83" t="s">
        <v>68</v>
      </c>
      <c r="T140" s="83" t="s">
        <v>68</v>
      </c>
      <c r="U140" s="28" t="s">
        <v>68</v>
      </c>
      <c r="V140" s="28" t="s">
        <v>68</v>
      </c>
      <c r="W140" s="29" t="s">
        <v>68</v>
      </c>
      <c r="X140" s="83" t="s">
        <v>68</v>
      </c>
      <c r="Y140" s="83" t="s">
        <v>68</v>
      </c>
      <c r="Z140" s="83" t="s">
        <v>68</v>
      </c>
      <c r="AA140" s="83" t="s">
        <v>68</v>
      </c>
      <c r="AB140" s="84" t="s">
        <v>68</v>
      </c>
      <c r="AC140" s="83" t="s">
        <v>68</v>
      </c>
      <c r="AD140" s="84" t="s">
        <v>68</v>
      </c>
      <c r="AE140" s="56">
        <v>2</v>
      </c>
      <c r="AF140" s="57" t="s">
        <v>72</v>
      </c>
      <c r="AG140" s="47" t="s">
        <v>68</v>
      </c>
      <c r="AH140" s="47" t="s">
        <v>68</v>
      </c>
      <c r="AI140" s="58">
        <v>0</v>
      </c>
      <c r="AJ140" s="83" t="s">
        <v>68</v>
      </c>
      <c r="AK140" s="83" t="s">
        <v>68</v>
      </c>
      <c r="AL140" s="83" t="s">
        <v>68</v>
      </c>
      <c r="AM140" s="83" t="s">
        <v>68</v>
      </c>
      <c r="AN140" s="83" t="s">
        <v>68</v>
      </c>
      <c r="AO140" s="85" t="s">
        <v>68</v>
      </c>
      <c r="AP140" s="83" t="s">
        <v>68</v>
      </c>
      <c r="AQ140" s="84" t="s">
        <v>68</v>
      </c>
      <c r="AR140" s="83" t="s">
        <v>68</v>
      </c>
      <c r="AS140" s="47" t="s">
        <v>68</v>
      </c>
      <c r="AT140" s="47" t="s">
        <v>68</v>
      </c>
      <c r="AU140" s="47" t="s">
        <v>68</v>
      </c>
      <c r="AV140" s="47" t="s">
        <v>68</v>
      </c>
      <c r="AW140" s="47" t="s">
        <v>74</v>
      </c>
      <c r="AX140" s="64"/>
      <c r="AY140" s="64" t="s">
        <v>4631</v>
      </c>
      <c r="AZ140" s="86"/>
      <c r="BA140" s="64"/>
      <c r="BB140" s="64"/>
      <c r="BC140" s="64"/>
      <c r="BD140" s="46"/>
      <c r="BE140" s="46" t="e">
        <v>#REF!</v>
      </c>
      <c r="BF140" s="46" t="s">
        <v>79</v>
      </c>
      <c r="BG140" s="65">
        <v>1</v>
      </c>
      <c r="BH140" s="66" t="s">
        <v>4632</v>
      </c>
      <c r="BI140" s="63" t="s">
        <v>4633</v>
      </c>
    </row>
    <row r="141" spans="1:61" ht="63.75" x14ac:dyDescent="0.2">
      <c r="A141" s="45" t="s">
        <v>4634</v>
      </c>
      <c r="B141" s="46"/>
      <c r="C141" s="46" t="s">
        <v>4603</v>
      </c>
      <c r="D141" s="46" t="s">
        <v>4626</v>
      </c>
      <c r="E141" s="46" t="s">
        <v>4617</v>
      </c>
      <c r="F141" s="46" t="s">
        <v>68</v>
      </c>
      <c r="G141" s="46" t="s">
        <v>68</v>
      </c>
      <c r="H141" s="46" t="s">
        <v>68</v>
      </c>
      <c r="I141" s="46" t="s">
        <v>449</v>
      </c>
      <c r="J141" s="46" t="s">
        <v>68</v>
      </c>
      <c r="K141" s="47" t="s">
        <v>68</v>
      </c>
      <c r="L141" s="47" t="s">
        <v>68</v>
      </c>
      <c r="M141" s="47" t="s">
        <v>68</v>
      </c>
      <c r="N141" s="46"/>
      <c r="O141" s="71" t="s">
        <v>68</v>
      </c>
      <c r="P141" s="64"/>
      <c r="Q141" s="46" t="s">
        <v>3826</v>
      </c>
      <c r="R141" s="46" t="s">
        <v>4563</v>
      </c>
      <c r="S141" s="83" t="s">
        <v>68</v>
      </c>
      <c r="T141" s="83" t="s">
        <v>68</v>
      </c>
      <c r="U141" s="28" t="s">
        <v>68</v>
      </c>
      <c r="V141" s="28" t="s">
        <v>68</v>
      </c>
      <c r="W141" s="29" t="s">
        <v>68</v>
      </c>
      <c r="X141" s="83" t="s">
        <v>68</v>
      </c>
      <c r="Y141" s="83" t="s">
        <v>68</v>
      </c>
      <c r="Z141" s="83" t="s">
        <v>68</v>
      </c>
      <c r="AA141" s="83" t="s">
        <v>68</v>
      </c>
      <c r="AB141" s="84" t="s">
        <v>68</v>
      </c>
      <c r="AC141" s="83" t="s">
        <v>68</v>
      </c>
      <c r="AD141" s="84" t="s">
        <v>68</v>
      </c>
      <c r="AE141" s="56">
        <v>2</v>
      </c>
      <c r="AF141" s="57" t="s">
        <v>72</v>
      </c>
      <c r="AG141" s="47" t="s">
        <v>68</v>
      </c>
      <c r="AH141" s="47" t="s">
        <v>68</v>
      </c>
      <c r="AI141" s="58">
        <v>0</v>
      </c>
      <c r="AJ141" s="83" t="s">
        <v>68</v>
      </c>
      <c r="AK141" s="83" t="s">
        <v>68</v>
      </c>
      <c r="AL141" s="83" t="s">
        <v>68</v>
      </c>
      <c r="AM141" s="83" t="s">
        <v>68</v>
      </c>
      <c r="AN141" s="83" t="s">
        <v>68</v>
      </c>
      <c r="AO141" s="85" t="s">
        <v>68</v>
      </c>
      <c r="AP141" s="83" t="s">
        <v>68</v>
      </c>
      <c r="AQ141" s="84" t="s">
        <v>68</v>
      </c>
      <c r="AR141" s="83" t="s">
        <v>68</v>
      </c>
      <c r="AS141" s="47" t="s">
        <v>68</v>
      </c>
      <c r="AT141" s="47" t="s">
        <v>68</v>
      </c>
      <c r="AU141" s="47" t="s">
        <v>68</v>
      </c>
      <c r="AV141" s="47" t="s">
        <v>68</v>
      </c>
      <c r="AW141" s="47" t="s">
        <v>74</v>
      </c>
      <c r="AX141" s="64"/>
      <c r="AY141" s="64" t="s">
        <v>4635</v>
      </c>
      <c r="AZ141" s="86"/>
      <c r="BA141" s="64"/>
      <c r="BB141" s="64"/>
      <c r="BC141" s="64"/>
      <c r="BD141" s="46"/>
      <c r="BE141" s="46" t="e">
        <v>#REF!</v>
      </c>
      <c r="BF141" s="46" t="s">
        <v>79</v>
      </c>
      <c r="BG141" s="65">
        <v>1</v>
      </c>
      <c r="BH141" s="66" t="s">
        <v>4636</v>
      </c>
      <c r="BI141" s="63" t="s">
        <v>4637</v>
      </c>
    </row>
    <row r="142" spans="1:61" ht="25.5" x14ac:dyDescent="0.2">
      <c r="A142" s="45" t="s">
        <v>4638</v>
      </c>
      <c r="B142" s="46"/>
      <c r="C142" s="46" t="s">
        <v>4639</v>
      </c>
      <c r="D142" s="46" t="s">
        <v>4598</v>
      </c>
      <c r="E142" s="46" t="s">
        <v>68</v>
      </c>
      <c r="F142" s="46" t="s">
        <v>68</v>
      </c>
      <c r="G142" s="46" t="s">
        <v>68</v>
      </c>
      <c r="H142" s="46" t="s">
        <v>68</v>
      </c>
      <c r="I142" s="46" t="s">
        <v>68</v>
      </c>
      <c r="J142" s="46" t="s">
        <v>71</v>
      </c>
      <c r="K142" s="47">
        <v>130</v>
      </c>
      <c r="L142" s="47">
        <v>30</v>
      </c>
      <c r="M142" s="47">
        <v>160</v>
      </c>
      <c r="N142" s="46"/>
      <c r="O142" s="71" t="s">
        <v>68</v>
      </c>
      <c r="P142" s="64"/>
      <c r="Q142" s="46" t="s">
        <v>3826</v>
      </c>
      <c r="R142" s="46" t="s">
        <v>4563</v>
      </c>
      <c r="S142" s="49">
        <v>40</v>
      </c>
      <c r="T142" s="49">
        <v>200</v>
      </c>
      <c r="U142" s="67">
        <v>0.4</v>
      </c>
      <c r="V142" s="67">
        <v>0.44736842105263158</v>
      </c>
      <c r="W142" s="51">
        <v>0.23076923076923078</v>
      </c>
      <c r="X142" s="52">
        <v>20</v>
      </c>
      <c r="Y142" s="52">
        <v>30</v>
      </c>
      <c r="Z142" s="52">
        <v>70</v>
      </c>
      <c r="AA142" s="52">
        <v>120</v>
      </c>
      <c r="AB142" s="53">
        <v>0.6</v>
      </c>
      <c r="AC142" s="68">
        <v>80</v>
      </c>
      <c r="AD142" s="55">
        <v>0.4</v>
      </c>
      <c r="AE142" s="56">
        <v>2</v>
      </c>
      <c r="AF142" s="57" t="s">
        <v>72</v>
      </c>
      <c r="AG142" s="58">
        <v>65</v>
      </c>
      <c r="AH142" s="58">
        <v>30</v>
      </c>
      <c r="AI142" s="58">
        <v>95</v>
      </c>
      <c r="AJ142" s="49">
        <v>23.75</v>
      </c>
      <c r="AK142" s="49">
        <v>118.75</v>
      </c>
      <c r="AL142" s="52">
        <v>11.875</v>
      </c>
      <c r="AM142" s="52">
        <v>53.75</v>
      </c>
      <c r="AN142" s="52">
        <v>65.625</v>
      </c>
      <c r="AO142" s="59">
        <v>0.55263157894736847</v>
      </c>
      <c r="AP142" s="60">
        <v>53.125</v>
      </c>
      <c r="AQ142" s="61">
        <v>0.44736842105263158</v>
      </c>
      <c r="AR142" s="60" t="s">
        <v>78</v>
      </c>
      <c r="AS142" s="62">
        <v>195</v>
      </c>
      <c r="AT142" s="62">
        <v>45</v>
      </c>
      <c r="AU142" s="62">
        <v>240</v>
      </c>
      <c r="AV142" s="62">
        <v>300</v>
      </c>
      <c r="AW142" s="47" t="s">
        <v>74</v>
      </c>
      <c r="AX142" s="64"/>
      <c r="AY142" s="64" t="s">
        <v>4640</v>
      </c>
      <c r="AZ142" s="86"/>
      <c r="BA142" s="64"/>
      <c r="BB142" s="64"/>
      <c r="BC142" s="64"/>
      <c r="BD142" s="46"/>
      <c r="BE142" s="46" t="e">
        <v>#REF!</v>
      </c>
      <c r="BF142" s="46" t="s">
        <v>79</v>
      </c>
      <c r="BG142" s="65">
        <v>0.75</v>
      </c>
      <c r="BH142" s="66" t="s">
        <v>4641</v>
      </c>
      <c r="BI142" s="63" t="s">
        <v>4642</v>
      </c>
    </row>
    <row r="143" spans="1:61" ht="38.25" x14ac:dyDescent="0.2">
      <c r="A143" s="45" t="s">
        <v>4643</v>
      </c>
      <c r="B143" s="46"/>
      <c r="C143" s="46" t="s">
        <v>4639</v>
      </c>
      <c r="D143" s="46" t="s">
        <v>4644</v>
      </c>
      <c r="E143" s="46" t="s">
        <v>68</v>
      </c>
      <c r="F143" s="46" t="s">
        <v>68</v>
      </c>
      <c r="G143" s="46" t="s">
        <v>68</v>
      </c>
      <c r="H143" s="46" t="s">
        <v>68</v>
      </c>
      <c r="I143" s="46" t="s">
        <v>68</v>
      </c>
      <c r="J143" s="46" t="s">
        <v>68</v>
      </c>
      <c r="K143" s="47" t="s">
        <v>68</v>
      </c>
      <c r="L143" s="47" t="s">
        <v>68</v>
      </c>
      <c r="M143" s="47" t="s">
        <v>68</v>
      </c>
      <c r="N143" s="46"/>
      <c r="O143" s="71" t="s">
        <v>68</v>
      </c>
      <c r="P143" s="64"/>
      <c r="Q143" s="46" t="s">
        <v>3826</v>
      </c>
      <c r="R143" s="46" t="s">
        <v>4563</v>
      </c>
      <c r="S143" s="83" t="s">
        <v>68</v>
      </c>
      <c r="T143" s="83" t="s">
        <v>68</v>
      </c>
      <c r="U143" s="28" t="s">
        <v>68</v>
      </c>
      <c r="V143" s="28" t="s">
        <v>68</v>
      </c>
      <c r="W143" s="29" t="s">
        <v>68</v>
      </c>
      <c r="X143" s="83" t="s">
        <v>68</v>
      </c>
      <c r="Y143" s="83" t="s">
        <v>68</v>
      </c>
      <c r="Z143" s="83" t="s">
        <v>68</v>
      </c>
      <c r="AA143" s="83" t="s">
        <v>68</v>
      </c>
      <c r="AB143" s="84" t="s">
        <v>68</v>
      </c>
      <c r="AC143" s="83" t="s">
        <v>68</v>
      </c>
      <c r="AD143" s="84" t="s">
        <v>68</v>
      </c>
      <c r="AE143" s="56">
        <v>2</v>
      </c>
      <c r="AF143" s="57" t="s">
        <v>72</v>
      </c>
      <c r="AG143" s="47" t="s">
        <v>68</v>
      </c>
      <c r="AH143" s="47" t="s">
        <v>68</v>
      </c>
      <c r="AI143" s="58">
        <v>0</v>
      </c>
      <c r="AJ143" s="83" t="s">
        <v>68</v>
      </c>
      <c r="AK143" s="83" t="s">
        <v>68</v>
      </c>
      <c r="AL143" s="83" t="s">
        <v>68</v>
      </c>
      <c r="AM143" s="83" t="s">
        <v>68</v>
      </c>
      <c r="AN143" s="83" t="s">
        <v>68</v>
      </c>
      <c r="AO143" s="85" t="s">
        <v>68</v>
      </c>
      <c r="AP143" s="83" t="s">
        <v>68</v>
      </c>
      <c r="AQ143" s="84" t="s">
        <v>68</v>
      </c>
      <c r="AR143" s="83" t="s">
        <v>68</v>
      </c>
      <c r="AS143" s="47" t="s">
        <v>68</v>
      </c>
      <c r="AT143" s="47" t="s">
        <v>68</v>
      </c>
      <c r="AU143" s="47" t="s">
        <v>68</v>
      </c>
      <c r="AV143" s="47" t="s">
        <v>68</v>
      </c>
      <c r="AW143" s="47" t="s">
        <v>74</v>
      </c>
      <c r="AX143" s="64"/>
      <c r="AY143" s="64" t="s">
        <v>4645</v>
      </c>
      <c r="AZ143" s="86"/>
      <c r="BA143" s="64"/>
      <c r="BB143" s="64"/>
      <c r="BC143" s="64"/>
      <c r="BD143" s="46"/>
      <c r="BE143" s="46" t="e">
        <v>#REF!</v>
      </c>
      <c r="BF143" s="46" t="s">
        <v>79</v>
      </c>
      <c r="BG143" s="65">
        <v>0.75</v>
      </c>
      <c r="BH143" s="66" t="s">
        <v>4646</v>
      </c>
      <c r="BI143" s="63" t="s">
        <v>4647</v>
      </c>
    </row>
    <row r="144" spans="1:61" ht="25.5" x14ac:dyDescent="0.2">
      <c r="A144" s="45" t="s">
        <v>4648</v>
      </c>
      <c r="B144" s="46"/>
      <c r="C144" s="46" t="s">
        <v>4649</v>
      </c>
      <c r="D144" s="46" t="s">
        <v>4598</v>
      </c>
      <c r="E144" s="46" t="s">
        <v>68</v>
      </c>
      <c r="F144" s="46" t="s">
        <v>68</v>
      </c>
      <c r="G144" s="46" t="s">
        <v>68</v>
      </c>
      <c r="H144" s="46" t="s">
        <v>68</v>
      </c>
      <c r="I144" s="46" t="s">
        <v>68</v>
      </c>
      <c r="J144" s="46" t="s">
        <v>68</v>
      </c>
      <c r="K144" s="47" t="s">
        <v>68</v>
      </c>
      <c r="L144" s="47" t="s">
        <v>68</v>
      </c>
      <c r="M144" s="47" t="s">
        <v>68</v>
      </c>
      <c r="N144" s="46"/>
      <c r="O144" s="71" t="s">
        <v>68</v>
      </c>
      <c r="P144" s="64"/>
      <c r="Q144" s="46" t="s">
        <v>3826</v>
      </c>
      <c r="R144" s="46" t="s">
        <v>4563</v>
      </c>
      <c r="S144" s="83" t="s">
        <v>68</v>
      </c>
      <c r="T144" s="83" t="s">
        <v>68</v>
      </c>
      <c r="U144" s="28" t="s">
        <v>68</v>
      </c>
      <c r="V144" s="28" t="s">
        <v>68</v>
      </c>
      <c r="W144" s="29" t="s">
        <v>68</v>
      </c>
      <c r="X144" s="83" t="s">
        <v>68</v>
      </c>
      <c r="Y144" s="83" t="s">
        <v>68</v>
      </c>
      <c r="Z144" s="83" t="s">
        <v>68</v>
      </c>
      <c r="AA144" s="83" t="s">
        <v>68</v>
      </c>
      <c r="AB144" s="84" t="s">
        <v>68</v>
      </c>
      <c r="AC144" s="83" t="s">
        <v>68</v>
      </c>
      <c r="AD144" s="84" t="s">
        <v>68</v>
      </c>
      <c r="AE144" s="56">
        <v>2</v>
      </c>
      <c r="AF144" s="57" t="s">
        <v>72</v>
      </c>
      <c r="AG144" s="47" t="s">
        <v>68</v>
      </c>
      <c r="AH144" s="47" t="s">
        <v>68</v>
      </c>
      <c r="AI144" s="58">
        <v>0</v>
      </c>
      <c r="AJ144" s="83" t="s">
        <v>68</v>
      </c>
      <c r="AK144" s="83" t="s">
        <v>68</v>
      </c>
      <c r="AL144" s="83" t="s">
        <v>68</v>
      </c>
      <c r="AM144" s="83" t="s">
        <v>68</v>
      </c>
      <c r="AN144" s="83" t="s">
        <v>68</v>
      </c>
      <c r="AO144" s="85" t="s">
        <v>68</v>
      </c>
      <c r="AP144" s="83" t="s">
        <v>68</v>
      </c>
      <c r="AQ144" s="84" t="s">
        <v>68</v>
      </c>
      <c r="AR144" s="83" t="s">
        <v>68</v>
      </c>
      <c r="AS144" s="47" t="s">
        <v>68</v>
      </c>
      <c r="AT144" s="47" t="s">
        <v>68</v>
      </c>
      <c r="AU144" s="47" t="s">
        <v>68</v>
      </c>
      <c r="AV144" s="47" t="s">
        <v>68</v>
      </c>
      <c r="AW144" s="47" t="s">
        <v>74</v>
      </c>
      <c r="AX144" s="64"/>
      <c r="AY144" s="64" t="s">
        <v>4650</v>
      </c>
      <c r="AZ144" s="86"/>
      <c r="BA144" s="64"/>
      <c r="BB144" s="64"/>
      <c r="BC144" s="64"/>
      <c r="BD144" s="46"/>
      <c r="BE144" s="46" t="e">
        <v>#REF!</v>
      </c>
      <c r="BF144" s="46" t="s">
        <v>79</v>
      </c>
      <c r="BG144" s="65">
        <v>0.75</v>
      </c>
      <c r="BH144" s="66" t="s">
        <v>4651</v>
      </c>
      <c r="BI144" s="63" t="s">
        <v>4652</v>
      </c>
    </row>
    <row r="145" spans="1:61" ht="25.5" x14ac:dyDescent="0.2">
      <c r="A145" s="45" t="s">
        <v>4653</v>
      </c>
      <c r="B145" s="46"/>
      <c r="C145" s="46" t="s">
        <v>4654</v>
      </c>
      <c r="D145" s="46" t="s">
        <v>4598</v>
      </c>
      <c r="E145" s="46" t="s">
        <v>68</v>
      </c>
      <c r="F145" s="46" t="s">
        <v>68</v>
      </c>
      <c r="G145" s="46" t="s">
        <v>68</v>
      </c>
      <c r="H145" s="46" t="s">
        <v>68</v>
      </c>
      <c r="I145" s="46" t="s">
        <v>68</v>
      </c>
      <c r="J145" s="46" t="s">
        <v>68</v>
      </c>
      <c r="K145" s="47" t="s">
        <v>68</v>
      </c>
      <c r="L145" s="47" t="s">
        <v>68</v>
      </c>
      <c r="M145" s="47" t="s">
        <v>68</v>
      </c>
      <c r="N145" s="46"/>
      <c r="O145" s="71" t="s">
        <v>68</v>
      </c>
      <c r="P145" s="64"/>
      <c r="Q145" s="46" t="s">
        <v>3826</v>
      </c>
      <c r="R145" s="46" t="s">
        <v>4563</v>
      </c>
      <c r="S145" s="83" t="s">
        <v>68</v>
      </c>
      <c r="T145" s="83" t="s">
        <v>68</v>
      </c>
      <c r="U145" s="28" t="s">
        <v>68</v>
      </c>
      <c r="V145" s="28" t="s">
        <v>68</v>
      </c>
      <c r="W145" s="29" t="s">
        <v>68</v>
      </c>
      <c r="X145" s="83" t="s">
        <v>68</v>
      </c>
      <c r="Y145" s="83" t="s">
        <v>68</v>
      </c>
      <c r="Z145" s="83" t="s">
        <v>68</v>
      </c>
      <c r="AA145" s="83" t="s">
        <v>68</v>
      </c>
      <c r="AB145" s="84" t="s">
        <v>68</v>
      </c>
      <c r="AC145" s="83" t="s">
        <v>68</v>
      </c>
      <c r="AD145" s="84" t="s">
        <v>68</v>
      </c>
      <c r="AE145" s="56">
        <v>2</v>
      </c>
      <c r="AF145" s="57" t="s">
        <v>72</v>
      </c>
      <c r="AG145" s="47" t="s">
        <v>68</v>
      </c>
      <c r="AH145" s="47" t="s">
        <v>68</v>
      </c>
      <c r="AI145" s="58">
        <v>0</v>
      </c>
      <c r="AJ145" s="83" t="s">
        <v>68</v>
      </c>
      <c r="AK145" s="83" t="s">
        <v>68</v>
      </c>
      <c r="AL145" s="83" t="s">
        <v>68</v>
      </c>
      <c r="AM145" s="83" t="s">
        <v>68</v>
      </c>
      <c r="AN145" s="83" t="s">
        <v>68</v>
      </c>
      <c r="AO145" s="85" t="s">
        <v>68</v>
      </c>
      <c r="AP145" s="83" t="s">
        <v>68</v>
      </c>
      <c r="AQ145" s="84" t="s">
        <v>68</v>
      </c>
      <c r="AR145" s="83" t="s">
        <v>68</v>
      </c>
      <c r="AS145" s="47" t="s">
        <v>68</v>
      </c>
      <c r="AT145" s="47" t="s">
        <v>68</v>
      </c>
      <c r="AU145" s="47" t="s">
        <v>68</v>
      </c>
      <c r="AV145" s="47" t="s">
        <v>68</v>
      </c>
      <c r="AW145" s="47" t="s">
        <v>74</v>
      </c>
      <c r="AX145" s="64"/>
      <c r="AY145" s="64" t="s">
        <v>4655</v>
      </c>
      <c r="AZ145" s="86"/>
      <c r="BA145" s="64"/>
      <c r="BB145" s="64"/>
      <c r="BC145" s="64"/>
      <c r="BD145" s="46"/>
      <c r="BE145" s="46" t="e">
        <v>#REF!</v>
      </c>
      <c r="BF145" s="46" t="s">
        <v>79</v>
      </c>
      <c r="BG145" s="65">
        <v>0.25</v>
      </c>
      <c r="BH145" s="66" t="s">
        <v>4656</v>
      </c>
      <c r="BI145" s="63" t="s">
        <v>4657</v>
      </c>
    </row>
    <row r="146" spans="1:61" ht="38.25" x14ac:dyDescent="0.2">
      <c r="A146" s="45" t="s">
        <v>4658</v>
      </c>
      <c r="B146" s="46"/>
      <c r="C146" s="46" t="s">
        <v>4654</v>
      </c>
      <c r="D146" s="46" t="s">
        <v>4644</v>
      </c>
      <c r="E146" s="46" t="s">
        <v>68</v>
      </c>
      <c r="F146" s="46" t="s">
        <v>68</v>
      </c>
      <c r="G146" s="46" t="s">
        <v>68</v>
      </c>
      <c r="H146" s="46" t="s">
        <v>68</v>
      </c>
      <c r="I146" s="46" t="s">
        <v>68</v>
      </c>
      <c r="J146" s="46" t="s">
        <v>68</v>
      </c>
      <c r="K146" s="47" t="s">
        <v>68</v>
      </c>
      <c r="L146" s="47" t="s">
        <v>68</v>
      </c>
      <c r="M146" s="47" t="s">
        <v>68</v>
      </c>
      <c r="N146" s="46"/>
      <c r="O146" s="71" t="s">
        <v>68</v>
      </c>
      <c r="P146" s="64"/>
      <c r="Q146" s="46" t="s">
        <v>3826</v>
      </c>
      <c r="R146" s="46" t="s">
        <v>4563</v>
      </c>
      <c r="S146" s="83" t="s">
        <v>68</v>
      </c>
      <c r="T146" s="83" t="s">
        <v>68</v>
      </c>
      <c r="U146" s="28" t="s">
        <v>68</v>
      </c>
      <c r="V146" s="28" t="s">
        <v>68</v>
      </c>
      <c r="W146" s="29" t="s">
        <v>68</v>
      </c>
      <c r="X146" s="83" t="s">
        <v>68</v>
      </c>
      <c r="Y146" s="83" t="s">
        <v>68</v>
      </c>
      <c r="Z146" s="83" t="s">
        <v>68</v>
      </c>
      <c r="AA146" s="83" t="s">
        <v>68</v>
      </c>
      <c r="AB146" s="84" t="s">
        <v>68</v>
      </c>
      <c r="AC146" s="83" t="s">
        <v>68</v>
      </c>
      <c r="AD146" s="84" t="s">
        <v>68</v>
      </c>
      <c r="AE146" s="56">
        <v>2</v>
      </c>
      <c r="AF146" s="57" t="s">
        <v>72</v>
      </c>
      <c r="AG146" s="47" t="s">
        <v>68</v>
      </c>
      <c r="AH146" s="47" t="s">
        <v>68</v>
      </c>
      <c r="AI146" s="58">
        <v>0</v>
      </c>
      <c r="AJ146" s="83" t="s">
        <v>68</v>
      </c>
      <c r="AK146" s="83" t="s">
        <v>68</v>
      </c>
      <c r="AL146" s="83" t="s">
        <v>68</v>
      </c>
      <c r="AM146" s="83" t="s">
        <v>68</v>
      </c>
      <c r="AN146" s="83" t="s">
        <v>68</v>
      </c>
      <c r="AO146" s="85" t="s">
        <v>68</v>
      </c>
      <c r="AP146" s="83" t="s">
        <v>68</v>
      </c>
      <c r="AQ146" s="84" t="s">
        <v>68</v>
      </c>
      <c r="AR146" s="83" t="s">
        <v>68</v>
      </c>
      <c r="AS146" s="47" t="s">
        <v>68</v>
      </c>
      <c r="AT146" s="47" t="s">
        <v>68</v>
      </c>
      <c r="AU146" s="47" t="s">
        <v>68</v>
      </c>
      <c r="AV146" s="47" t="s">
        <v>68</v>
      </c>
      <c r="AW146" s="47" t="s">
        <v>74</v>
      </c>
      <c r="AX146" s="64"/>
      <c r="AY146" s="64" t="s">
        <v>4659</v>
      </c>
      <c r="AZ146" s="86"/>
      <c r="BA146" s="64"/>
      <c r="BB146" s="64"/>
      <c r="BC146" s="64"/>
      <c r="BD146" s="46"/>
      <c r="BE146" s="46" t="e">
        <v>#REF!</v>
      </c>
      <c r="BF146" s="46" t="s">
        <v>79</v>
      </c>
      <c r="BG146" s="65">
        <v>0.25</v>
      </c>
      <c r="BH146" s="66" t="s">
        <v>4660</v>
      </c>
      <c r="BI146" s="63" t="s">
        <v>4661</v>
      </c>
    </row>
    <row r="147" spans="1:61" ht="25.5" x14ac:dyDescent="0.2">
      <c r="A147" s="45" t="s">
        <v>4662</v>
      </c>
      <c r="B147" s="46"/>
      <c r="C147" s="46" t="s">
        <v>4663</v>
      </c>
      <c r="D147" s="46" t="s">
        <v>68</v>
      </c>
      <c r="E147" s="46" t="s">
        <v>68</v>
      </c>
      <c r="F147" s="46" t="s">
        <v>68</v>
      </c>
      <c r="G147" s="46" t="s">
        <v>68</v>
      </c>
      <c r="H147" s="46" t="s">
        <v>68</v>
      </c>
      <c r="I147" s="46" t="s">
        <v>68</v>
      </c>
      <c r="J147" s="46" t="s">
        <v>68</v>
      </c>
      <c r="K147" s="47" t="s">
        <v>68</v>
      </c>
      <c r="L147" s="47" t="s">
        <v>68</v>
      </c>
      <c r="M147" s="47" t="s">
        <v>68</v>
      </c>
      <c r="N147" s="46"/>
      <c r="O147" s="71" t="s">
        <v>68</v>
      </c>
      <c r="P147" s="64"/>
      <c r="Q147" s="46" t="s">
        <v>3826</v>
      </c>
      <c r="R147" s="46" t="s">
        <v>4563</v>
      </c>
      <c r="S147" s="83" t="s">
        <v>68</v>
      </c>
      <c r="T147" s="83" t="s">
        <v>68</v>
      </c>
      <c r="U147" s="28" t="s">
        <v>68</v>
      </c>
      <c r="V147" s="28" t="s">
        <v>68</v>
      </c>
      <c r="W147" s="29" t="s">
        <v>68</v>
      </c>
      <c r="X147" s="83" t="s">
        <v>68</v>
      </c>
      <c r="Y147" s="83" t="s">
        <v>68</v>
      </c>
      <c r="Z147" s="83" t="s">
        <v>68</v>
      </c>
      <c r="AA147" s="83" t="s">
        <v>68</v>
      </c>
      <c r="AB147" s="84" t="s">
        <v>68</v>
      </c>
      <c r="AC147" s="83" t="s">
        <v>68</v>
      </c>
      <c r="AD147" s="84" t="s">
        <v>68</v>
      </c>
      <c r="AE147" s="56">
        <v>2</v>
      </c>
      <c r="AF147" s="57" t="s">
        <v>72</v>
      </c>
      <c r="AG147" s="47" t="s">
        <v>68</v>
      </c>
      <c r="AH147" s="47" t="s">
        <v>68</v>
      </c>
      <c r="AI147" s="58">
        <v>0</v>
      </c>
      <c r="AJ147" s="83" t="s">
        <v>68</v>
      </c>
      <c r="AK147" s="83" t="s">
        <v>68</v>
      </c>
      <c r="AL147" s="83" t="s">
        <v>68</v>
      </c>
      <c r="AM147" s="83" t="s">
        <v>68</v>
      </c>
      <c r="AN147" s="83" t="s">
        <v>68</v>
      </c>
      <c r="AO147" s="85" t="s">
        <v>68</v>
      </c>
      <c r="AP147" s="83" t="s">
        <v>68</v>
      </c>
      <c r="AQ147" s="84" t="s">
        <v>68</v>
      </c>
      <c r="AR147" s="83" t="s">
        <v>68</v>
      </c>
      <c r="AS147" s="47" t="s">
        <v>68</v>
      </c>
      <c r="AT147" s="47" t="s">
        <v>68</v>
      </c>
      <c r="AU147" s="47" t="s">
        <v>68</v>
      </c>
      <c r="AV147" s="47" t="s">
        <v>68</v>
      </c>
      <c r="AW147" s="47" t="s">
        <v>74</v>
      </c>
      <c r="AX147" s="64"/>
      <c r="AY147" s="64" t="s">
        <v>4664</v>
      </c>
      <c r="AZ147" s="86"/>
      <c r="BA147" s="64"/>
      <c r="BB147" s="64"/>
      <c r="BC147" s="64"/>
      <c r="BD147" s="46"/>
      <c r="BE147" s="46" t="e">
        <v>#REF!</v>
      </c>
      <c r="BF147" s="46" t="s">
        <v>79</v>
      </c>
      <c r="BG147" s="65">
        <v>0.5</v>
      </c>
      <c r="BH147" s="66" t="s">
        <v>4665</v>
      </c>
      <c r="BI147" s="63" t="s">
        <v>4663</v>
      </c>
    </row>
    <row r="148" spans="1:61" ht="63.75" x14ac:dyDescent="0.2">
      <c r="A148" s="45" t="s">
        <v>4666</v>
      </c>
      <c r="B148" s="46"/>
      <c r="C148" s="46" t="s">
        <v>4667</v>
      </c>
      <c r="D148" s="46" t="s">
        <v>4668</v>
      </c>
      <c r="E148" s="46" t="s">
        <v>68</v>
      </c>
      <c r="F148" s="46" t="s">
        <v>68</v>
      </c>
      <c r="G148" s="46" t="s">
        <v>68</v>
      </c>
      <c r="H148" s="46" t="s">
        <v>68</v>
      </c>
      <c r="I148" s="46" t="s">
        <v>68</v>
      </c>
      <c r="J148" s="46" t="s">
        <v>71</v>
      </c>
      <c r="K148" s="47">
        <v>165</v>
      </c>
      <c r="L148" s="47">
        <v>1000</v>
      </c>
      <c r="M148" s="47">
        <v>1165</v>
      </c>
      <c r="N148" s="46"/>
      <c r="O148" s="71" t="s">
        <v>68</v>
      </c>
      <c r="P148" s="64"/>
      <c r="Q148" s="46" t="s">
        <v>3826</v>
      </c>
      <c r="R148" s="46" t="s">
        <v>4563</v>
      </c>
      <c r="S148" s="49">
        <v>291.25</v>
      </c>
      <c r="T148" s="49">
        <v>1456.25</v>
      </c>
      <c r="U148" s="50">
        <v>7.0815450643776826E-2</v>
      </c>
      <c r="V148" s="78">
        <v>-3.903002309468822E-2</v>
      </c>
      <c r="W148" s="77">
        <v>6.0606060606060606</v>
      </c>
      <c r="X148" s="52">
        <v>145.625</v>
      </c>
      <c r="Y148" s="52">
        <v>30</v>
      </c>
      <c r="Z148" s="52">
        <v>1291.25</v>
      </c>
      <c r="AA148" s="52">
        <v>1466.875</v>
      </c>
      <c r="AB148" s="53">
        <v>1.0072961373390559</v>
      </c>
      <c r="AC148" s="54">
        <v>103.125</v>
      </c>
      <c r="AD148" s="55">
        <v>7.0815450643776826E-2</v>
      </c>
      <c r="AE148" s="56">
        <v>2</v>
      </c>
      <c r="AF148" s="57" t="s">
        <v>72</v>
      </c>
      <c r="AG148" s="58">
        <v>82.5</v>
      </c>
      <c r="AH148" s="58">
        <v>1000</v>
      </c>
      <c r="AI148" s="58">
        <v>1082.5</v>
      </c>
      <c r="AJ148" s="49">
        <v>270.625</v>
      </c>
      <c r="AK148" s="49">
        <v>1353.125</v>
      </c>
      <c r="AL148" s="52">
        <v>135.3125</v>
      </c>
      <c r="AM148" s="52">
        <v>1270.625</v>
      </c>
      <c r="AN148" s="52">
        <v>1405.9375</v>
      </c>
      <c r="AO148" s="59">
        <v>1.0390300230946883</v>
      </c>
      <c r="AP148" s="79">
        <v>-52.8125</v>
      </c>
      <c r="AQ148" s="80">
        <v>-3.903002309468822E-2</v>
      </c>
      <c r="AR148" s="60" t="s">
        <v>73</v>
      </c>
      <c r="AS148" s="62">
        <v>248</v>
      </c>
      <c r="AT148" s="62">
        <v>1500</v>
      </c>
      <c r="AU148" s="62">
        <v>1748</v>
      </c>
      <c r="AV148" s="62">
        <v>2185</v>
      </c>
      <c r="AW148" s="47" t="s">
        <v>74</v>
      </c>
      <c r="AX148" s="64"/>
      <c r="AY148" s="64" t="s">
        <v>4669</v>
      </c>
      <c r="AZ148" s="86"/>
      <c r="BA148" s="64"/>
      <c r="BB148" s="64"/>
      <c r="BC148" s="64"/>
      <c r="BD148" s="46"/>
      <c r="BE148" s="46" t="e">
        <v>#REF!</v>
      </c>
      <c r="BF148" s="46" t="s">
        <v>79</v>
      </c>
      <c r="BG148" s="65">
        <v>1</v>
      </c>
      <c r="BH148" s="66" t="s">
        <v>4670</v>
      </c>
      <c r="BI148" s="63" t="s">
        <v>4671</v>
      </c>
    </row>
    <row r="149" spans="1:61" ht="25.5" x14ac:dyDescent="0.2">
      <c r="A149" s="45" t="s">
        <v>4672</v>
      </c>
      <c r="B149" s="46"/>
      <c r="C149" s="46" t="s">
        <v>4673</v>
      </c>
      <c r="D149" s="46" t="s">
        <v>68</v>
      </c>
      <c r="E149" s="46" t="s">
        <v>68</v>
      </c>
      <c r="F149" s="46" t="s">
        <v>68</v>
      </c>
      <c r="G149" s="46" t="s">
        <v>68</v>
      </c>
      <c r="H149" s="46" t="s">
        <v>68</v>
      </c>
      <c r="I149" s="46" t="s">
        <v>68</v>
      </c>
      <c r="J149" s="46" t="s">
        <v>68</v>
      </c>
      <c r="K149" s="47" t="s">
        <v>68</v>
      </c>
      <c r="L149" s="47" t="s">
        <v>68</v>
      </c>
      <c r="M149" s="47" t="s">
        <v>68</v>
      </c>
      <c r="N149" s="46"/>
      <c r="O149" s="71" t="s">
        <v>68</v>
      </c>
      <c r="P149" s="64"/>
      <c r="Q149" s="46" t="s">
        <v>3826</v>
      </c>
      <c r="R149" s="46" t="s">
        <v>4563</v>
      </c>
      <c r="S149" s="83" t="s">
        <v>68</v>
      </c>
      <c r="T149" s="83" t="s">
        <v>68</v>
      </c>
      <c r="U149" s="28" t="s">
        <v>68</v>
      </c>
      <c r="V149" s="28" t="s">
        <v>68</v>
      </c>
      <c r="W149" s="29" t="s">
        <v>68</v>
      </c>
      <c r="X149" s="83" t="s">
        <v>68</v>
      </c>
      <c r="Y149" s="83" t="s">
        <v>68</v>
      </c>
      <c r="Z149" s="83" t="s">
        <v>68</v>
      </c>
      <c r="AA149" s="83" t="s">
        <v>68</v>
      </c>
      <c r="AB149" s="84" t="s">
        <v>68</v>
      </c>
      <c r="AC149" s="83" t="s">
        <v>68</v>
      </c>
      <c r="AD149" s="84" t="s">
        <v>68</v>
      </c>
      <c r="AE149" s="56">
        <v>2</v>
      </c>
      <c r="AF149" s="57" t="s">
        <v>72</v>
      </c>
      <c r="AG149" s="47" t="s">
        <v>68</v>
      </c>
      <c r="AH149" s="47" t="s">
        <v>68</v>
      </c>
      <c r="AI149" s="58">
        <v>0</v>
      </c>
      <c r="AJ149" s="83" t="s">
        <v>68</v>
      </c>
      <c r="AK149" s="83" t="s">
        <v>68</v>
      </c>
      <c r="AL149" s="83" t="s">
        <v>68</v>
      </c>
      <c r="AM149" s="83" t="s">
        <v>68</v>
      </c>
      <c r="AN149" s="83" t="s">
        <v>68</v>
      </c>
      <c r="AO149" s="85" t="s">
        <v>68</v>
      </c>
      <c r="AP149" s="83" t="s">
        <v>68</v>
      </c>
      <c r="AQ149" s="84" t="s">
        <v>68</v>
      </c>
      <c r="AR149" s="83" t="s">
        <v>68</v>
      </c>
      <c r="AS149" s="47" t="s">
        <v>68</v>
      </c>
      <c r="AT149" s="47" t="s">
        <v>68</v>
      </c>
      <c r="AU149" s="47" t="s">
        <v>68</v>
      </c>
      <c r="AV149" s="47" t="s">
        <v>68</v>
      </c>
      <c r="AW149" s="47" t="s">
        <v>74</v>
      </c>
      <c r="AX149" s="64"/>
      <c r="AY149" s="64" t="s">
        <v>4674</v>
      </c>
      <c r="AZ149" s="86"/>
      <c r="BA149" s="64"/>
      <c r="BB149" s="64"/>
      <c r="BC149" s="64"/>
      <c r="BD149" s="46"/>
      <c r="BE149" s="46" t="e">
        <v>#REF!</v>
      </c>
      <c r="BF149" s="46" t="s">
        <v>79</v>
      </c>
      <c r="BG149" s="65">
        <v>0.5</v>
      </c>
      <c r="BH149" s="66" t="s">
        <v>4675</v>
      </c>
      <c r="BI149" s="63" t="s">
        <v>4673</v>
      </c>
    </row>
    <row r="150" spans="1:61" ht="25.5" x14ac:dyDescent="0.2">
      <c r="A150" s="45" t="s">
        <v>4676</v>
      </c>
      <c r="B150" s="46"/>
      <c r="C150" s="46" t="s">
        <v>4677</v>
      </c>
      <c r="D150" s="46" t="s">
        <v>68</v>
      </c>
      <c r="E150" s="46" t="s">
        <v>68</v>
      </c>
      <c r="F150" s="46" t="s">
        <v>68</v>
      </c>
      <c r="G150" s="46" t="s">
        <v>68</v>
      </c>
      <c r="H150" s="46" t="s">
        <v>68</v>
      </c>
      <c r="I150" s="46" t="s">
        <v>68</v>
      </c>
      <c r="J150" s="46" t="s">
        <v>68</v>
      </c>
      <c r="K150" s="47" t="s">
        <v>68</v>
      </c>
      <c r="L150" s="47" t="s">
        <v>68</v>
      </c>
      <c r="M150" s="47" t="s">
        <v>68</v>
      </c>
      <c r="N150" s="46"/>
      <c r="O150" s="71" t="s">
        <v>68</v>
      </c>
      <c r="P150" s="64"/>
      <c r="Q150" s="46" t="s">
        <v>3826</v>
      </c>
      <c r="R150" s="46" t="s">
        <v>4563</v>
      </c>
      <c r="S150" s="83" t="s">
        <v>68</v>
      </c>
      <c r="T150" s="83" t="s">
        <v>68</v>
      </c>
      <c r="U150" s="28" t="s">
        <v>68</v>
      </c>
      <c r="V150" s="28" t="s">
        <v>68</v>
      </c>
      <c r="W150" s="29" t="s">
        <v>68</v>
      </c>
      <c r="X150" s="83" t="s">
        <v>68</v>
      </c>
      <c r="Y150" s="83" t="s">
        <v>68</v>
      </c>
      <c r="Z150" s="83" t="s">
        <v>68</v>
      </c>
      <c r="AA150" s="83" t="s">
        <v>68</v>
      </c>
      <c r="AB150" s="84" t="s">
        <v>68</v>
      </c>
      <c r="AC150" s="83" t="s">
        <v>68</v>
      </c>
      <c r="AD150" s="84" t="s">
        <v>68</v>
      </c>
      <c r="AE150" s="56">
        <v>2</v>
      </c>
      <c r="AF150" s="57" t="s">
        <v>72</v>
      </c>
      <c r="AG150" s="47" t="s">
        <v>68</v>
      </c>
      <c r="AH150" s="47" t="s">
        <v>68</v>
      </c>
      <c r="AI150" s="58">
        <v>0</v>
      </c>
      <c r="AJ150" s="83" t="s">
        <v>68</v>
      </c>
      <c r="AK150" s="83" t="s">
        <v>68</v>
      </c>
      <c r="AL150" s="83" t="s">
        <v>68</v>
      </c>
      <c r="AM150" s="83" t="s">
        <v>68</v>
      </c>
      <c r="AN150" s="83" t="s">
        <v>68</v>
      </c>
      <c r="AO150" s="85" t="s">
        <v>68</v>
      </c>
      <c r="AP150" s="83" t="s">
        <v>68</v>
      </c>
      <c r="AQ150" s="84" t="s">
        <v>68</v>
      </c>
      <c r="AR150" s="83" t="s">
        <v>68</v>
      </c>
      <c r="AS150" s="47" t="s">
        <v>68</v>
      </c>
      <c r="AT150" s="47" t="s">
        <v>68</v>
      </c>
      <c r="AU150" s="47" t="s">
        <v>68</v>
      </c>
      <c r="AV150" s="47" t="s">
        <v>68</v>
      </c>
      <c r="AW150" s="47" t="s">
        <v>74</v>
      </c>
      <c r="AX150" s="64"/>
      <c r="AY150" s="64" t="s">
        <v>4678</v>
      </c>
      <c r="AZ150" s="86"/>
      <c r="BA150" s="64"/>
      <c r="BB150" s="64"/>
      <c r="BC150" s="64"/>
      <c r="BD150" s="46"/>
      <c r="BE150" s="46" t="e">
        <v>#REF!</v>
      </c>
      <c r="BF150" s="46" t="s">
        <v>75</v>
      </c>
      <c r="BG150" s="65">
        <v>0.5</v>
      </c>
      <c r="BH150" s="66" t="s">
        <v>4679</v>
      </c>
      <c r="BI150" s="63" t="s">
        <v>4677</v>
      </c>
    </row>
    <row r="151" spans="1:61" ht="25.5" x14ac:dyDescent="0.2">
      <c r="A151" s="45" t="s">
        <v>4680</v>
      </c>
      <c r="B151" s="46"/>
      <c r="C151" s="46" t="s">
        <v>4681</v>
      </c>
      <c r="D151" s="46" t="s">
        <v>4682</v>
      </c>
      <c r="E151" s="46" t="s">
        <v>68</v>
      </c>
      <c r="F151" s="46" t="s">
        <v>68</v>
      </c>
      <c r="G151" s="46" t="s">
        <v>68</v>
      </c>
      <c r="H151" s="46" t="s">
        <v>68</v>
      </c>
      <c r="I151" s="46" t="s">
        <v>68</v>
      </c>
      <c r="J151" s="46" t="s">
        <v>71</v>
      </c>
      <c r="K151" s="47">
        <v>130</v>
      </c>
      <c r="L151" s="47">
        <v>51.818181818181813</v>
      </c>
      <c r="M151" s="47">
        <v>181.81818181818181</v>
      </c>
      <c r="N151" s="46"/>
      <c r="O151" s="71" t="s">
        <v>68</v>
      </c>
      <c r="P151" s="64"/>
      <c r="Q151" s="46" t="s">
        <v>3826</v>
      </c>
      <c r="R151" s="46" t="s">
        <v>4563</v>
      </c>
      <c r="S151" s="49">
        <v>45.454545454545453</v>
      </c>
      <c r="T151" s="49">
        <v>227.27272727272725</v>
      </c>
      <c r="U151" s="67">
        <v>0.33999999999999991</v>
      </c>
      <c r="V151" s="67">
        <v>0.3451361867704279</v>
      </c>
      <c r="W151" s="51">
        <v>0.39860139860139854</v>
      </c>
      <c r="X151" s="52">
        <v>22.727272727272727</v>
      </c>
      <c r="Y151" s="52">
        <v>30</v>
      </c>
      <c r="Z151" s="52">
        <v>97.272727272727266</v>
      </c>
      <c r="AA151" s="52">
        <v>150</v>
      </c>
      <c r="AB151" s="53">
        <v>0.66</v>
      </c>
      <c r="AC151" s="75">
        <v>77.272727272727252</v>
      </c>
      <c r="AD151" s="55">
        <v>0.33999999999999991</v>
      </c>
      <c r="AE151" s="56">
        <v>2</v>
      </c>
      <c r="AF151" s="57" t="s">
        <v>72</v>
      </c>
      <c r="AG151" s="58">
        <v>65</v>
      </c>
      <c r="AH151" s="58">
        <v>51.818181818181813</v>
      </c>
      <c r="AI151" s="58">
        <v>116.81818181818181</v>
      </c>
      <c r="AJ151" s="49">
        <v>29.204545454545453</v>
      </c>
      <c r="AK151" s="49">
        <v>146.02272727272725</v>
      </c>
      <c r="AL151" s="52">
        <v>14.602272727272727</v>
      </c>
      <c r="AM151" s="52">
        <v>81.022727272727266</v>
      </c>
      <c r="AN151" s="52">
        <v>95.625</v>
      </c>
      <c r="AO151" s="59">
        <v>0.6548638132295721</v>
      </c>
      <c r="AP151" s="60">
        <v>50.397727272727252</v>
      </c>
      <c r="AQ151" s="61">
        <v>0.3451361867704279</v>
      </c>
      <c r="AR151" s="60" t="s">
        <v>78</v>
      </c>
      <c r="AS151" s="62">
        <v>195</v>
      </c>
      <c r="AT151" s="62">
        <v>78</v>
      </c>
      <c r="AU151" s="62">
        <v>273</v>
      </c>
      <c r="AV151" s="62">
        <v>341.25</v>
      </c>
      <c r="AW151" s="47" t="s">
        <v>74</v>
      </c>
      <c r="AX151" s="64"/>
      <c r="AY151" s="64" t="s">
        <v>4683</v>
      </c>
      <c r="AZ151" s="86"/>
      <c r="BA151" s="64"/>
      <c r="BB151" s="64"/>
      <c r="BC151" s="64"/>
      <c r="BD151" s="46"/>
      <c r="BE151" s="46" t="e">
        <v>#REF!</v>
      </c>
      <c r="BF151" s="46" t="s">
        <v>79</v>
      </c>
      <c r="BG151" s="65">
        <v>0.25</v>
      </c>
      <c r="BH151" s="66" t="s">
        <v>4684</v>
      </c>
      <c r="BI151" s="63" t="s">
        <v>4685</v>
      </c>
    </row>
    <row r="152" spans="1:61" ht="38.25" x14ac:dyDescent="0.2">
      <c r="A152" s="45" t="s">
        <v>4686</v>
      </c>
      <c r="B152" s="46"/>
      <c r="C152" s="46" t="s">
        <v>4687</v>
      </c>
      <c r="D152" s="46" t="s">
        <v>68</v>
      </c>
      <c r="E152" s="46" t="s">
        <v>68</v>
      </c>
      <c r="F152" s="46" t="s">
        <v>68</v>
      </c>
      <c r="G152" s="46" t="s">
        <v>68</v>
      </c>
      <c r="H152" s="46" t="s">
        <v>68</v>
      </c>
      <c r="I152" s="46" t="s">
        <v>454</v>
      </c>
      <c r="J152" s="46" t="s">
        <v>71</v>
      </c>
      <c r="K152" s="47">
        <v>200</v>
      </c>
      <c r="L152" s="47">
        <v>1000</v>
      </c>
      <c r="M152" s="47">
        <v>1200</v>
      </c>
      <c r="N152" s="46"/>
      <c r="O152" s="71" t="s">
        <v>68</v>
      </c>
      <c r="P152" s="64"/>
      <c r="Q152" s="46" t="s">
        <v>3826</v>
      </c>
      <c r="R152" s="46" t="s">
        <v>4563</v>
      </c>
      <c r="S152" s="49">
        <v>300</v>
      </c>
      <c r="T152" s="49">
        <v>1500</v>
      </c>
      <c r="U152" s="50">
        <v>1.3333333333333334E-2</v>
      </c>
      <c r="V152" s="78">
        <v>-2.7272727272727271E-2</v>
      </c>
      <c r="W152" s="77">
        <v>5</v>
      </c>
      <c r="X152" s="52">
        <v>150</v>
      </c>
      <c r="Y152" s="52">
        <v>30</v>
      </c>
      <c r="Z152" s="52">
        <v>1300</v>
      </c>
      <c r="AA152" s="52">
        <v>1480</v>
      </c>
      <c r="AB152" s="53">
        <v>0.98666666666666669</v>
      </c>
      <c r="AC152" s="75">
        <v>20</v>
      </c>
      <c r="AD152" s="55">
        <v>1.3333333333333334E-2</v>
      </c>
      <c r="AE152" s="56">
        <v>2</v>
      </c>
      <c r="AF152" s="57" t="s">
        <v>72</v>
      </c>
      <c r="AG152" s="58">
        <v>100</v>
      </c>
      <c r="AH152" s="58">
        <v>1000</v>
      </c>
      <c r="AI152" s="58">
        <v>1100</v>
      </c>
      <c r="AJ152" s="49">
        <v>275</v>
      </c>
      <c r="AK152" s="49">
        <v>1375</v>
      </c>
      <c r="AL152" s="52">
        <v>137.5</v>
      </c>
      <c r="AM152" s="52">
        <v>1275</v>
      </c>
      <c r="AN152" s="52">
        <v>1412.5</v>
      </c>
      <c r="AO152" s="59">
        <v>1.0272727272727273</v>
      </c>
      <c r="AP152" s="79">
        <v>-37.5</v>
      </c>
      <c r="AQ152" s="80">
        <v>-2.7272727272727271E-2</v>
      </c>
      <c r="AR152" s="60" t="s">
        <v>73</v>
      </c>
      <c r="AS152" s="62">
        <v>300</v>
      </c>
      <c r="AT152" s="62">
        <v>1500</v>
      </c>
      <c r="AU152" s="62">
        <v>1800</v>
      </c>
      <c r="AV152" s="62">
        <v>2250</v>
      </c>
      <c r="AW152" s="47" t="s">
        <v>74</v>
      </c>
      <c r="AX152" s="64"/>
      <c r="AY152" s="64" t="s">
        <v>4688</v>
      </c>
      <c r="AZ152" s="86"/>
      <c r="BA152" s="64"/>
      <c r="BB152" s="64"/>
      <c r="BC152" s="64"/>
      <c r="BD152" s="46"/>
      <c r="BE152" s="46" t="e">
        <v>#REF!</v>
      </c>
      <c r="BF152" s="46" t="s">
        <v>79</v>
      </c>
      <c r="BG152" s="65">
        <v>1</v>
      </c>
      <c r="BH152" s="66" t="s">
        <v>4689</v>
      </c>
      <c r="BI152" s="63" t="s">
        <v>4690</v>
      </c>
    </row>
    <row r="153" spans="1:61" ht="38.25" x14ac:dyDescent="0.2">
      <c r="A153" s="45" t="s">
        <v>4691</v>
      </c>
      <c r="B153" s="46"/>
      <c r="C153" s="46" t="s">
        <v>4687</v>
      </c>
      <c r="D153" s="46" t="s">
        <v>68</v>
      </c>
      <c r="E153" s="46" t="s">
        <v>68</v>
      </c>
      <c r="F153" s="46" t="s">
        <v>68</v>
      </c>
      <c r="G153" s="46" t="s">
        <v>68</v>
      </c>
      <c r="H153" s="46" t="s">
        <v>68</v>
      </c>
      <c r="I153" s="46" t="s">
        <v>445</v>
      </c>
      <c r="J153" s="46" t="s">
        <v>71</v>
      </c>
      <c r="K153" s="47">
        <v>250</v>
      </c>
      <c r="L153" s="47">
        <v>1450</v>
      </c>
      <c r="M153" s="47">
        <v>1700</v>
      </c>
      <c r="N153" s="46"/>
      <c r="O153" s="71" t="s">
        <v>68</v>
      </c>
      <c r="P153" s="64"/>
      <c r="Q153" s="46" t="s">
        <v>3826</v>
      </c>
      <c r="R153" s="46" t="s">
        <v>4563</v>
      </c>
      <c r="S153" s="49">
        <v>425</v>
      </c>
      <c r="T153" s="49">
        <v>2125</v>
      </c>
      <c r="U153" s="50">
        <v>3.5294117647058825E-3</v>
      </c>
      <c r="V153" s="78">
        <v>-3.650793650793651E-2</v>
      </c>
      <c r="W153" s="77">
        <v>5.8</v>
      </c>
      <c r="X153" s="52">
        <v>212.5</v>
      </c>
      <c r="Y153" s="52">
        <v>30</v>
      </c>
      <c r="Z153" s="52">
        <v>1875</v>
      </c>
      <c r="AA153" s="52">
        <v>2117.5</v>
      </c>
      <c r="AB153" s="53">
        <v>0.99647058823529411</v>
      </c>
      <c r="AC153" s="75">
        <v>7.5</v>
      </c>
      <c r="AD153" s="55">
        <v>3.5294117647058825E-3</v>
      </c>
      <c r="AE153" s="56">
        <v>2</v>
      </c>
      <c r="AF153" s="57" t="s">
        <v>72</v>
      </c>
      <c r="AG153" s="58">
        <v>125</v>
      </c>
      <c r="AH153" s="58">
        <v>1450</v>
      </c>
      <c r="AI153" s="58">
        <v>1575</v>
      </c>
      <c r="AJ153" s="49">
        <v>393.75</v>
      </c>
      <c r="AK153" s="49">
        <v>1968.75</v>
      </c>
      <c r="AL153" s="52">
        <v>196.875</v>
      </c>
      <c r="AM153" s="52">
        <v>1843.75</v>
      </c>
      <c r="AN153" s="52">
        <v>2040.625</v>
      </c>
      <c r="AO153" s="59">
        <v>1.0365079365079366</v>
      </c>
      <c r="AP153" s="79">
        <v>-71.875</v>
      </c>
      <c r="AQ153" s="80">
        <v>-3.650793650793651E-2</v>
      </c>
      <c r="AR153" s="60" t="s">
        <v>73</v>
      </c>
      <c r="AS153" s="62">
        <v>375</v>
      </c>
      <c r="AT153" s="62">
        <v>2175</v>
      </c>
      <c r="AU153" s="62">
        <v>2550</v>
      </c>
      <c r="AV153" s="62">
        <v>3187.5</v>
      </c>
      <c r="AW153" s="47" t="s">
        <v>74</v>
      </c>
      <c r="AX153" s="64"/>
      <c r="AY153" s="64" t="s">
        <v>4692</v>
      </c>
      <c r="AZ153" s="86"/>
      <c r="BA153" s="64"/>
      <c r="BB153" s="64"/>
      <c r="BC153" s="64"/>
      <c r="BD153" s="46"/>
      <c r="BE153" s="46" t="e">
        <v>#REF!</v>
      </c>
      <c r="BF153" s="46" t="s">
        <v>79</v>
      </c>
      <c r="BG153" s="65">
        <v>1</v>
      </c>
      <c r="BH153" s="66" t="s">
        <v>4693</v>
      </c>
      <c r="BI153" s="63" t="s">
        <v>4694</v>
      </c>
    </row>
    <row r="154" spans="1:61" ht="38.25" x14ac:dyDescent="0.2">
      <c r="A154" s="45" t="s">
        <v>4695</v>
      </c>
      <c r="B154" s="46"/>
      <c r="C154" s="46" t="s">
        <v>4687</v>
      </c>
      <c r="D154" s="46" t="s">
        <v>68</v>
      </c>
      <c r="E154" s="46" t="s">
        <v>68</v>
      </c>
      <c r="F154" s="46" t="s">
        <v>68</v>
      </c>
      <c r="G154" s="46" t="s">
        <v>68</v>
      </c>
      <c r="H154" s="46" t="s">
        <v>68</v>
      </c>
      <c r="I154" s="46" t="s">
        <v>449</v>
      </c>
      <c r="J154" s="46" t="s">
        <v>71</v>
      </c>
      <c r="K154" s="47">
        <v>250</v>
      </c>
      <c r="L154" s="47">
        <v>2450</v>
      </c>
      <c r="M154" s="47">
        <v>2700</v>
      </c>
      <c r="N154" s="46"/>
      <c r="O154" s="71" t="s">
        <v>68</v>
      </c>
      <c r="P154" s="64"/>
      <c r="Q154" s="46" t="s">
        <v>3826</v>
      </c>
      <c r="R154" s="46" t="s">
        <v>4563</v>
      </c>
      <c r="S154" s="49">
        <v>675</v>
      </c>
      <c r="T154" s="49">
        <v>3375</v>
      </c>
      <c r="U154" s="50">
        <v>4.6296296296296294E-2</v>
      </c>
      <c r="V154" s="78">
        <v>-6.1165048543689322E-2</v>
      </c>
      <c r="W154" s="77">
        <v>9.8000000000000007</v>
      </c>
      <c r="X154" s="52">
        <v>337.5</v>
      </c>
      <c r="Y154" s="52">
        <v>30</v>
      </c>
      <c r="Z154" s="52">
        <v>3125</v>
      </c>
      <c r="AA154" s="52">
        <v>3492.5</v>
      </c>
      <c r="AB154" s="53">
        <v>1.0348148148148149</v>
      </c>
      <c r="AC154" s="72">
        <v>156.25</v>
      </c>
      <c r="AD154" s="55">
        <v>4.6296296296296294E-2</v>
      </c>
      <c r="AE154" s="56">
        <v>2</v>
      </c>
      <c r="AF154" s="57" t="s">
        <v>72</v>
      </c>
      <c r="AG154" s="58">
        <v>125</v>
      </c>
      <c r="AH154" s="58">
        <v>2450</v>
      </c>
      <c r="AI154" s="58">
        <v>2575</v>
      </c>
      <c r="AJ154" s="49">
        <v>643.75</v>
      </c>
      <c r="AK154" s="49">
        <v>3218.75</v>
      </c>
      <c r="AL154" s="52">
        <v>321.875</v>
      </c>
      <c r="AM154" s="52">
        <v>3093.75</v>
      </c>
      <c r="AN154" s="52">
        <v>3415.625</v>
      </c>
      <c r="AO154" s="59">
        <v>1.0611650485436894</v>
      </c>
      <c r="AP154" s="79">
        <v>-196.875</v>
      </c>
      <c r="AQ154" s="80">
        <v>-6.1165048543689322E-2</v>
      </c>
      <c r="AR154" s="60" t="s">
        <v>73</v>
      </c>
      <c r="AS154" s="62">
        <v>375</v>
      </c>
      <c r="AT154" s="62">
        <v>3675</v>
      </c>
      <c r="AU154" s="62">
        <v>4050</v>
      </c>
      <c r="AV154" s="62">
        <v>5062.5</v>
      </c>
      <c r="AW154" s="47" t="s">
        <v>74</v>
      </c>
      <c r="AX154" s="64"/>
      <c r="AY154" s="64" t="s">
        <v>4696</v>
      </c>
      <c r="AZ154" s="86"/>
      <c r="BA154" s="64"/>
      <c r="BB154" s="64"/>
      <c r="BC154" s="64"/>
      <c r="BD154" s="46"/>
      <c r="BE154" s="46" t="e">
        <v>#REF!</v>
      </c>
      <c r="BF154" s="46" t="s">
        <v>79</v>
      </c>
      <c r="BG154" s="65">
        <v>1</v>
      </c>
      <c r="BH154" s="66" t="s">
        <v>4697</v>
      </c>
      <c r="BI154" s="63" t="s">
        <v>4698</v>
      </c>
    </row>
    <row r="155" spans="1:61" ht="25.5" x14ac:dyDescent="0.2">
      <c r="A155" s="45" t="s">
        <v>4699</v>
      </c>
      <c r="B155" s="46"/>
      <c r="C155" s="46" t="s">
        <v>4700</v>
      </c>
      <c r="D155" s="46" t="s">
        <v>4701</v>
      </c>
      <c r="E155" s="46" t="s">
        <v>68</v>
      </c>
      <c r="F155" s="46" t="s">
        <v>68</v>
      </c>
      <c r="G155" s="46" t="s">
        <v>68</v>
      </c>
      <c r="H155" s="46" t="s">
        <v>68</v>
      </c>
      <c r="I155" s="46" t="s">
        <v>68</v>
      </c>
      <c r="J155" s="46" t="s">
        <v>71</v>
      </c>
      <c r="K155" s="47">
        <v>130</v>
      </c>
      <c r="L155" s="47">
        <v>70</v>
      </c>
      <c r="M155" s="47">
        <v>200</v>
      </c>
      <c r="N155" s="46"/>
      <c r="O155" s="71" t="s">
        <v>68</v>
      </c>
      <c r="P155" s="64"/>
      <c r="Q155" s="46" t="s">
        <v>3826</v>
      </c>
      <c r="R155" s="46" t="s">
        <v>4563</v>
      </c>
      <c r="S155" s="49">
        <v>50</v>
      </c>
      <c r="T155" s="49">
        <v>250</v>
      </c>
      <c r="U155" s="67">
        <v>0.3</v>
      </c>
      <c r="V155" s="28">
        <v>0.28518518518518521</v>
      </c>
      <c r="W155" s="51">
        <v>0.53846153846153844</v>
      </c>
      <c r="X155" s="52">
        <v>25</v>
      </c>
      <c r="Y155" s="52">
        <v>30</v>
      </c>
      <c r="Z155" s="52">
        <v>120</v>
      </c>
      <c r="AA155" s="52">
        <v>175</v>
      </c>
      <c r="AB155" s="53">
        <v>0.7</v>
      </c>
      <c r="AC155" s="75">
        <v>75</v>
      </c>
      <c r="AD155" s="55">
        <v>0.3</v>
      </c>
      <c r="AE155" s="56">
        <v>2</v>
      </c>
      <c r="AF155" s="57" t="s">
        <v>72</v>
      </c>
      <c r="AG155" s="58">
        <v>65</v>
      </c>
      <c r="AH155" s="58">
        <v>70</v>
      </c>
      <c r="AI155" s="58">
        <v>135</v>
      </c>
      <c r="AJ155" s="49">
        <v>33.75</v>
      </c>
      <c r="AK155" s="49">
        <v>168.75</v>
      </c>
      <c r="AL155" s="52">
        <v>16.875</v>
      </c>
      <c r="AM155" s="52">
        <v>103.75</v>
      </c>
      <c r="AN155" s="52">
        <v>120.625</v>
      </c>
      <c r="AO155" s="59">
        <v>0.71481481481481479</v>
      </c>
      <c r="AP155" s="60">
        <v>48.125</v>
      </c>
      <c r="AQ155" s="61">
        <v>0.28518518518518521</v>
      </c>
      <c r="AR155" s="60" t="s">
        <v>78</v>
      </c>
      <c r="AS155" s="62">
        <v>195</v>
      </c>
      <c r="AT155" s="62">
        <v>105</v>
      </c>
      <c r="AU155" s="62">
        <v>300</v>
      </c>
      <c r="AV155" s="62">
        <v>375</v>
      </c>
      <c r="AW155" s="47" t="s">
        <v>74</v>
      </c>
      <c r="AX155" s="64"/>
      <c r="AY155" s="64" t="s">
        <v>4702</v>
      </c>
      <c r="AZ155" s="86"/>
      <c r="BA155" s="64"/>
      <c r="BB155" s="64"/>
      <c r="BC155" s="64"/>
      <c r="BD155" s="46"/>
      <c r="BE155" s="46" t="e">
        <v>#REF!</v>
      </c>
      <c r="BF155" s="46" t="s">
        <v>79</v>
      </c>
      <c r="BG155" s="65">
        <v>0.25</v>
      </c>
      <c r="BH155" s="66" t="s">
        <v>4703</v>
      </c>
      <c r="BI155" s="63" t="s">
        <v>4704</v>
      </c>
    </row>
    <row r="156" spans="1:61" ht="38.25" x14ac:dyDescent="0.2">
      <c r="A156" s="45" t="s">
        <v>4705</v>
      </c>
      <c r="B156" s="46"/>
      <c r="C156" s="46" t="s">
        <v>4597</v>
      </c>
      <c r="D156" s="46" t="s">
        <v>4701</v>
      </c>
      <c r="E156" s="46" t="s">
        <v>68</v>
      </c>
      <c r="F156" s="46" t="s">
        <v>68</v>
      </c>
      <c r="G156" s="46" t="s">
        <v>68</v>
      </c>
      <c r="H156" s="46" t="s">
        <v>68</v>
      </c>
      <c r="I156" s="46" t="s">
        <v>68</v>
      </c>
      <c r="J156" s="46" t="s">
        <v>71</v>
      </c>
      <c r="K156" s="47">
        <v>130</v>
      </c>
      <c r="L156" s="47">
        <v>20</v>
      </c>
      <c r="M156" s="47">
        <v>150</v>
      </c>
      <c r="N156" s="46"/>
      <c r="O156" s="71" t="s">
        <v>68</v>
      </c>
      <c r="P156" s="64"/>
      <c r="Q156" s="46" t="s">
        <v>3826</v>
      </c>
      <c r="R156" s="46" t="s">
        <v>4563</v>
      </c>
      <c r="S156" s="49">
        <v>37.5</v>
      </c>
      <c r="T156" s="49">
        <v>187.5</v>
      </c>
      <c r="U156" s="67">
        <v>0.43333333333333335</v>
      </c>
      <c r="V156" s="67">
        <v>0.5117647058823529</v>
      </c>
      <c r="W156" s="51">
        <v>0.15384615384615385</v>
      </c>
      <c r="X156" s="52">
        <v>18.75</v>
      </c>
      <c r="Y156" s="52">
        <v>30</v>
      </c>
      <c r="Z156" s="52">
        <v>57.5</v>
      </c>
      <c r="AA156" s="52">
        <v>106.25</v>
      </c>
      <c r="AB156" s="53">
        <v>0.56666666666666665</v>
      </c>
      <c r="AC156" s="68">
        <v>81.25</v>
      </c>
      <c r="AD156" s="55">
        <v>0.43333333333333335</v>
      </c>
      <c r="AE156" s="56">
        <v>2</v>
      </c>
      <c r="AF156" s="57" t="s">
        <v>72</v>
      </c>
      <c r="AG156" s="58">
        <v>65</v>
      </c>
      <c r="AH156" s="58">
        <v>20</v>
      </c>
      <c r="AI156" s="58">
        <v>85</v>
      </c>
      <c r="AJ156" s="49">
        <v>21.25</v>
      </c>
      <c r="AK156" s="49">
        <v>106.25</v>
      </c>
      <c r="AL156" s="52">
        <v>10.625</v>
      </c>
      <c r="AM156" s="52">
        <v>41.25</v>
      </c>
      <c r="AN156" s="52">
        <v>51.875</v>
      </c>
      <c r="AO156" s="59">
        <v>0.48823529411764705</v>
      </c>
      <c r="AP156" s="60">
        <v>54.375</v>
      </c>
      <c r="AQ156" s="61">
        <v>0.5117647058823529</v>
      </c>
      <c r="AR156" s="60" t="s">
        <v>78</v>
      </c>
      <c r="AS156" s="62">
        <v>195</v>
      </c>
      <c r="AT156" s="62">
        <v>30</v>
      </c>
      <c r="AU156" s="62">
        <v>225</v>
      </c>
      <c r="AV156" s="62">
        <v>281.25</v>
      </c>
      <c r="AW156" s="47" t="s">
        <v>74</v>
      </c>
      <c r="AX156" s="64"/>
      <c r="AY156" s="64" t="s">
        <v>4706</v>
      </c>
      <c r="AZ156" s="86"/>
      <c r="BA156" s="64"/>
      <c r="BB156" s="64"/>
      <c r="BC156" s="64"/>
      <c r="BD156" s="46"/>
      <c r="BE156" s="46" t="e">
        <v>#REF!</v>
      </c>
      <c r="BF156" s="46" t="s">
        <v>79</v>
      </c>
      <c r="BG156" s="65">
        <v>0.25</v>
      </c>
      <c r="BH156" s="66" t="s">
        <v>4707</v>
      </c>
      <c r="BI156" s="63" t="s">
        <v>4708</v>
      </c>
    </row>
    <row r="157" spans="1:61" ht="38.25" x14ac:dyDescent="0.2">
      <c r="A157" s="45" t="s">
        <v>4709</v>
      </c>
      <c r="B157" s="46"/>
      <c r="C157" s="46" t="s">
        <v>4710</v>
      </c>
      <c r="D157" s="46" t="s">
        <v>68</v>
      </c>
      <c r="E157" s="46" t="s">
        <v>68</v>
      </c>
      <c r="F157" s="46" t="s">
        <v>68</v>
      </c>
      <c r="G157" s="46" t="s">
        <v>68</v>
      </c>
      <c r="H157" s="46" t="s">
        <v>68</v>
      </c>
      <c r="I157" s="46" t="s">
        <v>68</v>
      </c>
      <c r="J157" s="46" t="s">
        <v>68</v>
      </c>
      <c r="K157" s="47" t="s">
        <v>68</v>
      </c>
      <c r="L157" s="47" t="s">
        <v>68</v>
      </c>
      <c r="M157" s="47" t="s">
        <v>68</v>
      </c>
      <c r="N157" s="46"/>
      <c r="O157" s="71" t="s">
        <v>68</v>
      </c>
      <c r="P157" s="64"/>
      <c r="Q157" s="46" t="s">
        <v>3826</v>
      </c>
      <c r="R157" s="46" t="s">
        <v>4563</v>
      </c>
      <c r="S157" s="83" t="s">
        <v>68</v>
      </c>
      <c r="T157" s="83" t="s">
        <v>68</v>
      </c>
      <c r="U157" s="28" t="s">
        <v>68</v>
      </c>
      <c r="V157" s="28" t="s">
        <v>68</v>
      </c>
      <c r="W157" s="29" t="s">
        <v>68</v>
      </c>
      <c r="X157" s="83" t="s">
        <v>68</v>
      </c>
      <c r="Y157" s="83" t="s">
        <v>68</v>
      </c>
      <c r="Z157" s="83" t="s">
        <v>68</v>
      </c>
      <c r="AA157" s="83" t="s">
        <v>68</v>
      </c>
      <c r="AB157" s="84" t="s">
        <v>68</v>
      </c>
      <c r="AC157" s="83" t="s">
        <v>68</v>
      </c>
      <c r="AD157" s="84" t="s">
        <v>68</v>
      </c>
      <c r="AE157" s="56">
        <v>2</v>
      </c>
      <c r="AF157" s="57" t="s">
        <v>72</v>
      </c>
      <c r="AG157" s="47" t="s">
        <v>68</v>
      </c>
      <c r="AH157" s="47" t="s">
        <v>68</v>
      </c>
      <c r="AI157" s="58">
        <v>0</v>
      </c>
      <c r="AJ157" s="83" t="s">
        <v>68</v>
      </c>
      <c r="AK157" s="83" t="s">
        <v>68</v>
      </c>
      <c r="AL157" s="83" t="s">
        <v>68</v>
      </c>
      <c r="AM157" s="83" t="s">
        <v>68</v>
      </c>
      <c r="AN157" s="83" t="s">
        <v>68</v>
      </c>
      <c r="AO157" s="85" t="s">
        <v>68</v>
      </c>
      <c r="AP157" s="83" t="s">
        <v>68</v>
      </c>
      <c r="AQ157" s="84" t="s">
        <v>68</v>
      </c>
      <c r="AR157" s="83" t="s">
        <v>68</v>
      </c>
      <c r="AS157" s="47" t="s">
        <v>68</v>
      </c>
      <c r="AT157" s="47" t="s">
        <v>68</v>
      </c>
      <c r="AU157" s="47" t="s">
        <v>68</v>
      </c>
      <c r="AV157" s="47" t="s">
        <v>68</v>
      </c>
      <c r="AW157" s="47" t="s">
        <v>74</v>
      </c>
      <c r="AX157" s="64"/>
      <c r="AY157" s="64" t="s">
        <v>4711</v>
      </c>
      <c r="AZ157" s="86"/>
      <c r="BA157" s="64"/>
      <c r="BB157" s="64"/>
      <c r="BC157" s="64"/>
      <c r="BD157" s="46"/>
      <c r="BE157" s="46" t="e">
        <v>#REF!</v>
      </c>
      <c r="BF157" s="46" t="s">
        <v>79</v>
      </c>
      <c r="BG157" s="65">
        <v>1</v>
      </c>
      <c r="BH157" s="66" t="s">
        <v>4712</v>
      </c>
      <c r="BI157" s="63" t="s">
        <v>4710</v>
      </c>
    </row>
    <row r="158" spans="1:61" ht="38.25" x14ac:dyDescent="0.2">
      <c r="A158" s="45" t="s">
        <v>4713</v>
      </c>
      <c r="B158" s="46"/>
      <c r="C158" s="46" t="s">
        <v>4714</v>
      </c>
      <c r="D158" s="46" t="s">
        <v>4715</v>
      </c>
      <c r="E158" s="46" t="s">
        <v>68</v>
      </c>
      <c r="F158" s="46" t="s">
        <v>68</v>
      </c>
      <c r="G158" s="46" t="s">
        <v>68</v>
      </c>
      <c r="H158" s="46" t="s">
        <v>68</v>
      </c>
      <c r="I158" s="46" t="s">
        <v>68</v>
      </c>
      <c r="J158" s="46" t="s">
        <v>71</v>
      </c>
      <c r="K158" s="47">
        <v>200</v>
      </c>
      <c r="L158" s="47">
        <v>2050</v>
      </c>
      <c r="M158" s="47">
        <v>2250</v>
      </c>
      <c r="N158" s="46"/>
      <c r="O158" s="71" t="s">
        <v>68</v>
      </c>
      <c r="P158" s="64"/>
      <c r="Q158" s="46" t="s">
        <v>3826</v>
      </c>
      <c r="R158" s="46" t="s">
        <v>4563</v>
      </c>
      <c r="S158" s="49">
        <v>562.5</v>
      </c>
      <c r="T158" s="49">
        <v>2812.5</v>
      </c>
      <c r="U158" s="50">
        <v>4.4444444444444446E-2</v>
      </c>
      <c r="V158" s="78">
        <v>-6.2790697674418611E-2</v>
      </c>
      <c r="W158" s="77">
        <v>10.25</v>
      </c>
      <c r="X158" s="52">
        <v>281.25</v>
      </c>
      <c r="Y158" s="52">
        <v>30</v>
      </c>
      <c r="Z158" s="52">
        <v>2612.5</v>
      </c>
      <c r="AA158" s="52">
        <v>2923.75</v>
      </c>
      <c r="AB158" s="53">
        <v>1.0395555555555556</v>
      </c>
      <c r="AC158" s="72">
        <v>125</v>
      </c>
      <c r="AD158" s="55">
        <v>4.4444444444444446E-2</v>
      </c>
      <c r="AE158" s="56">
        <v>2</v>
      </c>
      <c r="AF158" s="57" t="s">
        <v>72</v>
      </c>
      <c r="AG158" s="58">
        <v>100</v>
      </c>
      <c r="AH158" s="58">
        <v>2050</v>
      </c>
      <c r="AI158" s="58">
        <v>2150</v>
      </c>
      <c r="AJ158" s="49">
        <v>537.5</v>
      </c>
      <c r="AK158" s="49">
        <v>2687.5</v>
      </c>
      <c r="AL158" s="52">
        <v>268.75</v>
      </c>
      <c r="AM158" s="52">
        <v>2587.5</v>
      </c>
      <c r="AN158" s="52">
        <v>2856.25</v>
      </c>
      <c r="AO158" s="59">
        <v>1.0627906976744186</v>
      </c>
      <c r="AP158" s="79">
        <v>-168.75</v>
      </c>
      <c r="AQ158" s="80">
        <v>-6.2790697674418611E-2</v>
      </c>
      <c r="AR158" s="60" t="s">
        <v>73</v>
      </c>
      <c r="AS158" s="62">
        <v>300</v>
      </c>
      <c r="AT158" s="62">
        <v>3075</v>
      </c>
      <c r="AU158" s="62">
        <v>3375</v>
      </c>
      <c r="AV158" s="62">
        <v>4218.75</v>
      </c>
      <c r="AW158" s="47" t="s">
        <v>74</v>
      </c>
      <c r="AX158" s="64"/>
      <c r="AY158" s="64" t="s">
        <v>4716</v>
      </c>
      <c r="AZ158" s="86"/>
      <c r="BA158" s="64"/>
      <c r="BB158" s="64"/>
      <c r="BC158" s="64"/>
      <c r="BD158" s="46"/>
      <c r="BE158" s="46" t="e">
        <v>#REF!</v>
      </c>
      <c r="BF158" s="46" t="s">
        <v>79</v>
      </c>
      <c r="BG158" s="65">
        <v>1</v>
      </c>
      <c r="BH158" s="66" t="s">
        <v>4717</v>
      </c>
      <c r="BI158" s="63" t="s">
        <v>4718</v>
      </c>
    </row>
    <row r="159" spans="1:61" ht="38.25" x14ac:dyDescent="0.2">
      <c r="A159" s="45" t="s">
        <v>4719</v>
      </c>
      <c r="B159" s="46"/>
      <c r="C159" s="46" t="s">
        <v>4720</v>
      </c>
      <c r="D159" s="46" t="s">
        <v>68</v>
      </c>
      <c r="E159" s="46" t="s">
        <v>68</v>
      </c>
      <c r="F159" s="46" t="s">
        <v>68</v>
      </c>
      <c r="G159" s="46" t="s">
        <v>68</v>
      </c>
      <c r="H159" s="46" t="s">
        <v>68</v>
      </c>
      <c r="I159" s="46" t="s">
        <v>68</v>
      </c>
      <c r="J159" s="46" t="s">
        <v>71</v>
      </c>
      <c r="K159" s="47">
        <v>300</v>
      </c>
      <c r="L159" s="47">
        <v>3450</v>
      </c>
      <c r="M159" s="47">
        <v>3750</v>
      </c>
      <c r="N159" s="46"/>
      <c r="O159" s="71" t="s">
        <v>68</v>
      </c>
      <c r="P159" s="64"/>
      <c r="Q159" s="46" t="s">
        <v>3826</v>
      </c>
      <c r="R159" s="46" t="s">
        <v>4563</v>
      </c>
      <c r="S159" s="49">
        <v>937.5</v>
      </c>
      <c r="T159" s="49">
        <v>4687.5</v>
      </c>
      <c r="U159" s="50">
        <v>0.04</v>
      </c>
      <c r="V159" s="78">
        <v>-6.6666666666666666E-2</v>
      </c>
      <c r="W159" s="77">
        <v>11.5</v>
      </c>
      <c r="X159" s="52">
        <v>468.75</v>
      </c>
      <c r="Y159" s="52">
        <v>30</v>
      </c>
      <c r="Z159" s="52">
        <v>4387.5</v>
      </c>
      <c r="AA159" s="52">
        <v>4886.25</v>
      </c>
      <c r="AB159" s="53">
        <v>1.0424</v>
      </c>
      <c r="AC159" s="72">
        <v>187.5</v>
      </c>
      <c r="AD159" s="55">
        <v>0.04</v>
      </c>
      <c r="AE159" s="56">
        <v>2</v>
      </c>
      <c r="AF159" s="57" t="s">
        <v>72</v>
      </c>
      <c r="AG159" s="58">
        <v>150</v>
      </c>
      <c r="AH159" s="58">
        <v>3450</v>
      </c>
      <c r="AI159" s="58">
        <v>3600</v>
      </c>
      <c r="AJ159" s="49">
        <v>900</v>
      </c>
      <c r="AK159" s="49">
        <v>4500</v>
      </c>
      <c r="AL159" s="52">
        <v>450</v>
      </c>
      <c r="AM159" s="52">
        <v>4350</v>
      </c>
      <c r="AN159" s="52">
        <v>4800</v>
      </c>
      <c r="AO159" s="59">
        <v>1.0666666666666667</v>
      </c>
      <c r="AP159" s="79">
        <v>-300</v>
      </c>
      <c r="AQ159" s="80">
        <v>-6.6666666666666666E-2</v>
      </c>
      <c r="AR159" s="60" t="s">
        <v>73</v>
      </c>
      <c r="AS159" s="62">
        <v>450</v>
      </c>
      <c r="AT159" s="62">
        <v>5175</v>
      </c>
      <c r="AU159" s="62">
        <v>5625</v>
      </c>
      <c r="AV159" s="62">
        <v>7031.25</v>
      </c>
      <c r="AW159" s="47" t="s">
        <v>74</v>
      </c>
      <c r="AX159" s="64"/>
      <c r="AY159" s="64" t="s">
        <v>4721</v>
      </c>
      <c r="AZ159" s="86"/>
      <c r="BA159" s="64"/>
      <c r="BB159" s="64"/>
      <c r="BC159" s="64"/>
      <c r="BD159" s="46"/>
      <c r="BE159" s="46" t="e">
        <v>#REF!</v>
      </c>
      <c r="BF159" s="46" t="s">
        <v>79</v>
      </c>
      <c r="BG159" s="65">
        <v>1</v>
      </c>
      <c r="BH159" s="66" t="s">
        <v>4722</v>
      </c>
      <c r="BI159" s="63" t="s">
        <v>4720</v>
      </c>
    </row>
    <row r="160" spans="1:61" ht="51" x14ac:dyDescent="0.2">
      <c r="A160" s="45" t="s">
        <v>4723</v>
      </c>
      <c r="B160" s="46"/>
      <c r="C160" s="46" t="s">
        <v>4724</v>
      </c>
      <c r="D160" s="46" t="s">
        <v>68</v>
      </c>
      <c r="E160" s="46" t="s">
        <v>68</v>
      </c>
      <c r="F160" s="46" t="s">
        <v>68</v>
      </c>
      <c r="G160" s="46" t="s">
        <v>68</v>
      </c>
      <c r="H160" s="46" t="s">
        <v>68</v>
      </c>
      <c r="I160" s="46" t="s">
        <v>68</v>
      </c>
      <c r="J160" s="46" t="s">
        <v>71</v>
      </c>
      <c r="K160" s="47">
        <v>300</v>
      </c>
      <c r="L160" s="47">
        <v>3300</v>
      </c>
      <c r="M160" s="47">
        <v>3600</v>
      </c>
      <c r="N160" s="46"/>
      <c r="O160" s="71" t="s">
        <v>68</v>
      </c>
      <c r="P160" s="64"/>
      <c r="Q160" s="46" t="s">
        <v>3826</v>
      </c>
      <c r="R160" s="46" t="s">
        <v>4563</v>
      </c>
      <c r="S160" s="49">
        <v>900</v>
      </c>
      <c r="T160" s="49">
        <v>4500</v>
      </c>
      <c r="U160" s="50">
        <v>4.1666666666666664E-2</v>
      </c>
      <c r="V160" s="78">
        <v>-6.5217391304347824E-2</v>
      </c>
      <c r="W160" s="77">
        <v>11</v>
      </c>
      <c r="X160" s="52">
        <v>450</v>
      </c>
      <c r="Y160" s="52">
        <v>30</v>
      </c>
      <c r="Z160" s="52">
        <v>4200</v>
      </c>
      <c r="AA160" s="52">
        <v>4680</v>
      </c>
      <c r="AB160" s="53">
        <v>1.04</v>
      </c>
      <c r="AC160" s="72">
        <v>187.5</v>
      </c>
      <c r="AD160" s="55">
        <v>4.1666666666666664E-2</v>
      </c>
      <c r="AE160" s="56">
        <v>2</v>
      </c>
      <c r="AF160" s="57" t="s">
        <v>72</v>
      </c>
      <c r="AG160" s="58">
        <v>150</v>
      </c>
      <c r="AH160" s="58">
        <v>3300</v>
      </c>
      <c r="AI160" s="58">
        <v>3450</v>
      </c>
      <c r="AJ160" s="49">
        <v>862.5</v>
      </c>
      <c r="AK160" s="49">
        <v>4312.5</v>
      </c>
      <c r="AL160" s="52">
        <v>431.25</v>
      </c>
      <c r="AM160" s="52">
        <v>4162.5</v>
      </c>
      <c r="AN160" s="52">
        <v>4593.75</v>
      </c>
      <c r="AO160" s="59">
        <v>1.0652173913043479</v>
      </c>
      <c r="AP160" s="79">
        <v>-281.25</v>
      </c>
      <c r="AQ160" s="80">
        <v>-6.5217391304347824E-2</v>
      </c>
      <c r="AR160" s="60" t="s">
        <v>73</v>
      </c>
      <c r="AS160" s="62">
        <v>450</v>
      </c>
      <c r="AT160" s="62">
        <v>4950</v>
      </c>
      <c r="AU160" s="62">
        <v>5400</v>
      </c>
      <c r="AV160" s="62">
        <v>6750</v>
      </c>
      <c r="AW160" s="47" t="s">
        <v>74</v>
      </c>
      <c r="AX160" s="64"/>
      <c r="AY160" s="64" t="s">
        <v>4725</v>
      </c>
      <c r="AZ160" s="86"/>
      <c r="BA160" s="64"/>
      <c r="BB160" s="64"/>
      <c r="BC160" s="64"/>
      <c r="BD160" s="46"/>
      <c r="BE160" s="46" t="e">
        <v>#REF!</v>
      </c>
      <c r="BF160" s="46" t="s">
        <v>79</v>
      </c>
      <c r="BG160" s="65">
        <v>1</v>
      </c>
      <c r="BH160" s="66" t="s">
        <v>4726</v>
      </c>
      <c r="BI160" s="63" t="s">
        <v>4724</v>
      </c>
    </row>
    <row r="161" spans="1:61" ht="38.25" x14ac:dyDescent="0.2">
      <c r="A161" s="45" t="s">
        <v>4727</v>
      </c>
      <c r="B161" s="46"/>
      <c r="C161" s="46" t="s">
        <v>4728</v>
      </c>
      <c r="D161" s="46" t="s">
        <v>68</v>
      </c>
      <c r="E161" s="46" t="s">
        <v>68</v>
      </c>
      <c r="F161" s="46" t="s">
        <v>68</v>
      </c>
      <c r="G161" s="46" t="s">
        <v>68</v>
      </c>
      <c r="H161" s="46" t="s">
        <v>68</v>
      </c>
      <c r="I161" s="46" t="s">
        <v>68</v>
      </c>
      <c r="J161" s="46" t="s">
        <v>68</v>
      </c>
      <c r="K161" s="47" t="s">
        <v>68</v>
      </c>
      <c r="L161" s="47" t="s">
        <v>68</v>
      </c>
      <c r="M161" s="47" t="s">
        <v>68</v>
      </c>
      <c r="N161" s="46"/>
      <c r="O161" s="71" t="s">
        <v>68</v>
      </c>
      <c r="P161" s="64"/>
      <c r="Q161" s="46" t="s">
        <v>3826</v>
      </c>
      <c r="R161" s="46" t="s">
        <v>4563</v>
      </c>
      <c r="S161" s="83" t="s">
        <v>68</v>
      </c>
      <c r="T161" s="83" t="s">
        <v>68</v>
      </c>
      <c r="U161" s="28" t="s">
        <v>68</v>
      </c>
      <c r="V161" s="28" t="s">
        <v>68</v>
      </c>
      <c r="W161" s="29" t="s">
        <v>68</v>
      </c>
      <c r="X161" s="83" t="s">
        <v>68</v>
      </c>
      <c r="Y161" s="83" t="s">
        <v>68</v>
      </c>
      <c r="Z161" s="83" t="s">
        <v>68</v>
      </c>
      <c r="AA161" s="83" t="s">
        <v>68</v>
      </c>
      <c r="AB161" s="84" t="s">
        <v>68</v>
      </c>
      <c r="AC161" s="83" t="s">
        <v>68</v>
      </c>
      <c r="AD161" s="84" t="s">
        <v>68</v>
      </c>
      <c r="AE161" s="56">
        <v>2</v>
      </c>
      <c r="AF161" s="57" t="s">
        <v>72</v>
      </c>
      <c r="AG161" s="47" t="s">
        <v>68</v>
      </c>
      <c r="AH161" s="47" t="s">
        <v>68</v>
      </c>
      <c r="AI161" s="58">
        <v>0</v>
      </c>
      <c r="AJ161" s="83" t="s">
        <v>68</v>
      </c>
      <c r="AK161" s="83" t="s">
        <v>68</v>
      </c>
      <c r="AL161" s="83" t="s">
        <v>68</v>
      </c>
      <c r="AM161" s="83" t="s">
        <v>68</v>
      </c>
      <c r="AN161" s="83" t="s">
        <v>68</v>
      </c>
      <c r="AO161" s="85" t="s">
        <v>68</v>
      </c>
      <c r="AP161" s="83" t="s">
        <v>68</v>
      </c>
      <c r="AQ161" s="84" t="s">
        <v>68</v>
      </c>
      <c r="AR161" s="83" t="s">
        <v>68</v>
      </c>
      <c r="AS161" s="47" t="s">
        <v>68</v>
      </c>
      <c r="AT161" s="47" t="s">
        <v>68</v>
      </c>
      <c r="AU161" s="47" t="s">
        <v>68</v>
      </c>
      <c r="AV161" s="47" t="s">
        <v>68</v>
      </c>
      <c r="AW161" s="47" t="s">
        <v>74</v>
      </c>
      <c r="AX161" s="64"/>
      <c r="AY161" s="64" t="s">
        <v>4729</v>
      </c>
      <c r="AZ161" s="86"/>
      <c r="BA161" s="64"/>
      <c r="BB161" s="64"/>
      <c r="BC161" s="64"/>
      <c r="BD161" s="46"/>
      <c r="BE161" s="46" t="e">
        <v>#REF!</v>
      </c>
      <c r="BF161" s="46" t="s">
        <v>79</v>
      </c>
      <c r="BG161" s="65">
        <v>1</v>
      </c>
      <c r="BH161" s="66" t="s">
        <v>4730</v>
      </c>
      <c r="BI161" s="63" t="s">
        <v>4728</v>
      </c>
    </row>
    <row r="162" spans="1:61" ht="38.25" x14ac:dyDescent="0.2">
      <c r="A162" s="45" t="s">
        <v>4731</v>
      </c>
      <c r="B162" s="46"/>
      <c r="C162" s="46" t="s">
        <v>4732</v>
      </c>
      <c r="D162" s="46" t="s">
        <v>68</v>
      </c>
      <c r="E162" s="46" t="s">
        <v>68</v>
      </c>
      <c r="F162" s="46" t="s">
        <v>68</v>
      </c>
      <c r="G162" s="46" t="s">
        <v>68</v>
      </c>
      <c r="H162" s="46" t="s">
        <v>68</v>
      </c>
      <c r="I162" s="46" t="s">
        <v>68</v>
      </c>
      <c r="J162" s="46" t="s">
        <v>71</v>
      </c>
      <c r="K162" s="47">
        <v>250</v>
      </c>
      <c r="L162" s="47">
        <v>1550</v>
      </c>
      <c r="M162" s="47">
        <v>1800</v>
      </c>
      <c r="N162" s="46"/>
      <c r="O162" s="71" t="s">
        <v>68</v>
      </c>
      <c r="P162" s="64"/>
      <c r="Q162" s="46" t="s">
        <v>3826</v>
      </c>
      <c r="R162" s="46" t="s">
        <v>4563</v>
      </c>
      <c r="S162" s="49">
        <v>450</v>
      </c>
      <c r="T162" s="49">
        <v>2250</v>
      </c>
      <c r="U162" s="50">
        <v>6.9444444444444448E-2</v>
      </c>
      <c r="V162" s="78">
        <v>-4.0298507462686567E-2</v>
      </c>
      <c r="W162" s="77">
        <v>6.2</v>
      </c>
      <c r="X162" s="52">
        <v>225</v>
      </c>
      <c r="Y162" s="52">
        <v>30</v>
      </c>
      <c r="Z162" s="52">
        <v>2000</v>
      </c>
      <c r="AA162" s="52">
        <v>2255</v>
      </c>
      <c r="AB162" s="53">
        <v>1.0022222222222221</v>
      </c>
      <c r="AC162" s="72">
        <v>156.25</v>
      </c>
      <c r="AD162" s="55">
        <v>6.9444444444444448E-2</v>
      </c>
      <c r="AE162" s="56">
        <v>2</v>
      </c>
      <c r="AF162" s="57" t="s">
        <v>72</v>
      </c>
      <c r="AG162" s="58">
        <v>125</v>
      </c>
      <c r="AH162" s="58">
        <v>1550</v>
      </c>
      <c r="AI162" s="58">
        <v>1675</v>
      </c>
      <c r="AJ162" s="49">
        <v>418.75</v>
      </c>
      <c r="AK162" s="49">
        <v>2093.75</v>
      </c>
      <c r="AL162" s="52">
        <v>209.375</v>
      </c>
      <c r="AM162" s="52">
        <v>1968.75</v>
      </c>
      <c r="AN162" s="52">
        <v>2178.125</v>
      </c>
      <c r="AO162" s="59">
        <v>1.0402985074626865</v>
      </c>
      <c r="AP162" s="79">
        <v>-84.375</v>
      </c>
      <c r="AQ162" s="80">
        <v>-4.0298507462686567E-2</v>
      </c>
      <c r="AR162" s="60" t="s">
        <v>73</v>
      </c>
      <c r="AS162" s="62">
        <v>375</v>
      </c>
      <c r="AT162" s="62">
        <v>2325</v>
      </c>
      <c r="AU162" s="62">
        <v>2700</v>
      </c>
      <c r="AV162" s="62">
        <v>3375</v>
      </c>
      <c r="AW162" s="47" t="s">
        <v>74</v>
      </c>
      <c r="AX162" s="64"/>
      <c r="AY162" s="64" t="s">
        <v>4733</v>
      </c>
      <c r="AZ162" s="86"/>
      <c r="BA162" s="64"/>
      <c r="BB162" s="64"/>
      <c r="BC162" s="64"/>
      <c r="BD162" s="46"/>
      <c r="BE162" s="46" t="e">
        <v>#REF!</v>
      </c>
      <c r="BF162" s="46" t="s">
        <v>79</v>
      </c>
      <c r="BG162" s="65">
        <v>1</v>
      </c>
      <c r="BH162" s="66" t="s">
        <v>4734</v>
      </c>
      <c r="BI162" s="63" t="s">
        <v>4732</v>
      </c>
    </row>
    <row r="163" spans="1:61" ht="38.25" x14ac:dyDescent="0.2">
      <c r="A163" s="45" t="s">
        <v>4735</v>
      </c>
      <c r="B163" s="46"/>
      <c r="C163" s="46" t="s">
        <v>4736</v>
      </c>
      <c r="D163" s="46" t="s">
        <v>68</v>
      </c>
      <c r="E163" s="46" t="s">
        <v>68</v>
      </c>
      <c r="F163" s="46" t="s">
        <v>68</v>
      </c>
      <c r="G163" s="46" t="s">
        <v>68</v>
      </c>
      <c r="H163" s="46" t="s">
        <v>68</v>
      </c>
      <c r="I163" s="46" t="s">
        <v>68</v>
      </c>
      <c r="J163" s="46" t="s">
        <v>71</v>
      </c>
      <c r="K163" s="47">
        <v>200</v>
      </c>
      <c r="L163" s="47">
        <v>1800</v>
      </c>
      <c r="M163" s="47">
        <v>2000</v>
      </c>
      <c r="N163" s="46"/>
      <c r="O163" s="71" t="s">
        <v>68</v>
      </c>
      <c r="P163" s="64"/>
      <c r="Q163" s="46" t="s">
        <v>3826</v>
      </c>
      <c r="R163" s="46" t="s">
        <v>4563</v>
      </c>
      <c r="S163" s="49">
        <v>500</v>
      </c>
      <c r="T163" s="49">
        <v>2500</v>
      </c>
      <c r="U163" s="50">
        <v>0.05</v>
      </c>
      <c r="V163" s="78">
        <v>-5.7894736842105263E-2</v>
      </c>
      <c r="W163" s="77">
        <v>9</v>
      </c>
      <c r="X163" s="52">
        <v>250</v>
      </c>
      <c r="Y163" s="52">
        <v>30</v>
      </c>
      <c r="Z163" s="52">
        <v>2300</v>
      </c>
      <c r="AA163" s="52">
        <v>2580</v>
      </c>
      <c r="AB163" s="53">
        <v>1.032</v>
      </c>
      <c r="AC163" s="72">
        <v>125</v>
      </c>
      <c r="AD163" s="55">
        <v>0.05</v>
      </c>
      <c r="AE163" s="56">
        <v>2</v>
      </c>
      <c r="AF163" s="57" t="s">
        <v>72</v>
      </c>
      <c r="AG163" s="58">
        <v>100</v>
      </c>
      <c r="AH163" s="58">
        <v>1800</v>
      </c>
      <c r="AI163" s="58">
        <v>1900</v>
      </c>
      <c r="AJ163" s="49">
        <v>475</v>
      </c>
      <c r="AK163" s="49">
        <v>2375</v>
      </c>
      <c r="AL163" s="52">
        <v>237.5</v>
      </c>
      <c r="AM163" s="52">
        <v>2275</v>
      </c>
      <c r="AN163" s="52">
        <v>2512.5</v>
      </c>
      <c r="AO163" s="59">
        <v>1.0578947368421052</v>
      </c>
      <c r="AP163" s="79">
        <v>-137.5</v>
      </c>
      <c r="AQ163" s="80">
        <v>-5.7894736842105263E-2</v>
      </c>
      <c r="AR163" s="60" t="s">
        <v>73</v>
      </c>
      <c r="AS163" s="62">
        <v>300</v>
      </c>
      <c r="AT163" s="62">
        <v>2700</v>
      </c>
      <c r="AU163" s="62">
        <v>3000</v>
      </c>
      <c r="AV163" s="62">
        <v>3750</v>
      </c>
      <c r="AW163" s="47" t="s">
        <v>74</v>
      </c>
      <c r="AX163" s="64"/>
      <c r="AY163" s="64" t="s">
        <v>4737</v>
      </c>
      <c r="AZ163" s="86"/>
      <c r="BA163" s="64"/>
      <c r="BB163" s="64"/>
      <c r="BC163" s="64"/>
      <c r="BD163" s="46"/>
      <c r="BE163" s="46" t="e">
        <v>#REF!</v>
      </c>
      <c r="BF163" s="46" t="s">
        <v>79</v>
      </c>
      <c r="BG163" s="65">
        <v>1</v>
      </c>
      <c r="BH163" s="66" t="s">
        <v>4738</v>
      </c>
      <c r="BI163" s="63" t="s">
        <v>4736</v>
      </c>
    </row>
    <row r="164" spans="1:61" ht="63.75" x14ac:dyDescent="0.2">
      <c r="A164" s="45" t="s">
        <v>4739</v>
      </c>
      <c r="B164" s="46"/>
      <c r="C164" s="46" t="s">
        <v>4740</v>
      </c>
      <c r="D164" s="46" t="s">
        <v>4668</v>
      </c>
      <c r="E164" s="46"/>
      <c r="F164" s="46"/>
      <c r="G164" s="46"/>
      <c r="H164" s="46"/>
      <c r="I164" s="46"/>
      <c r="J164" s="46" t="s">
        <v>71</v>
      </c>
      <c r="K164" s="47">
        <v>200</v>
      </c>
      <c r="L164" s="47">
        <v>1800</v>
      </c>
      <c r="M164" s="47">
        <v>2000</v>
      </c>
      <c r="N164" s="46"/>
      <c r="O164" s="71" t="s">
        <v>68</v>
      </c>
      <c r="P164" s="64"/>
      <c r="Q164" s="46" t="s">
        <v>3826</v>
      </c>
      <c r="R164" s="46" t="s">
        <v>4563</v>
      </c>
      <c r="S164" s="49">
        <v>500</v>
      </c>
      <c r="T164" s="49">
        <v>2500</v>
      </c>
      <c r="U164" s="50">
        <v>0.05</v>
      </c>
      <c r="V164" s="78">
        <v>-5.7894736842105263E-2</v>
      </c>
      <c r="W164" s="77">
        <v>9</v>
      </c>
      <c r="X164" s="52">
        <v>250</v>
      </c>
      <c r="Y164" s="52">
        <v>30</v>
      </c>
      <c r="Z164" s="52">
        <v>2300</v>
      </c>
      <c r="AA164" s="52">
        <v>2580</v>
      </c>
      <c r="AB164" s="53">
        <v>1.032</v>
      </c>
      <c r="AC164" s="72">
        <v>125</v>
      </c>
      <c r="AD164" s="55">
        <v>0.05</v>
      </c>
      <c r="AE164" s="56">
        <v>2</v>
      </c>
      <c r="AF164" s="57" t="s">
        <v>72</v>
      </c>
      <c r="AG164" s="58">
        <v>100</v>
      </c>
      <c r="AH164" s="58">
        <v>1800</v>
      </c>
      <c r="AI164" s="58">
        <v>1900</v>
      </c>
      <c r="AJ164" s="49">
        <v>475</v>
      </c>
      <c r="AK164" s="49">
        <v>2375</v>
      </c>
      <c r="AL164" s="52">
        <v>237.5</v>
      </c>
      <c r="AM164" s="52">
        <v>2275</v>
      </c>
      <c r="AN164" s="52">
        <v>2512.5</v>
      </c>
      <c r="AO164" s="59">
        <v>1.0578947368421052</v>
      </c>
      <c r="AP164" s="79">
        <v>-137.5</v>
      </c>
      <c r="AQ164" s="80">
        <v>-5.7894736842105263E-2</v>
      </c>
      <c r="AR164" s="60" t="s">
        <v>73</v>
      </c>
      <c r="AS164" s="62">
        <v>300</v>
      </c>
      <c r="AT164" s="62">
        <v>2700</v>
      </c>
      <c r="AU164" s="62">
        <v>3000</v>
      </c>
      <c r="AV164" s="62">
        <v>3750</v>
      </c>
      <c r="AW164" s="47"/>
      <c r="AX164" s="64"/>
      <c r="AY164" s="64" t="s">
        <v>4741</v>
      </c>
      <c r="AZ164" s="86"/>
      <c r="BA164" s="64"/>
      <c r="BB164" s="64"/>
      <c r="BC164" s="64"/>
      <c r="BD164" s="46"/>
      <c r="BE164" s="46" t="e">
        <v>#REF!</v>
      </c>
      <c r="BF164" s="46" t="s">
        <v>79</v>
      </c>
      <c r="BG164" s="65">
        <v>1</v>
      </c>
      <c r="BH164" s="66"/>
      <c r="BI164" s="63" t="s">
        <v>4742</v>
      </c>
    </row>
  </sheetData>
  <hyperlinks>
    <hyperlink ref="BD16" r:id="rId1"/>
    <hyperlink ref="BD17" r:id="rId2"/>
    <hyperlink ref="BD25" r:id="rId3"/>
    <hyperlink ref="BD78" r:id="rId4"/>
    <hyperlink ref="BD79" r:id="rId5"/>
    <hyperlink ref="BD103" r:id="rId6"/>
    <hyperlink ref="BD104" r:id="rId7"/>
    <hyperlink ref="BD111" r:id="rId8"/>
    <hyperlink ref="BD112" r:id="rId9"/>
    <hyperlink ref="BD113" r:id="rId10"/>
    <hyperlink ref="BD114" r:id="rId11"/>
    <hyperlink ref="BD115" r:id="rId12"/>
    <hyperlink ref="BD116" r:id="rId13"/>
    <hyperlink ref="BD117" r:id="rId14"/>
    <hyperlink ref="BD118" r:id="rId15"/>
    <hyperlink ref="BD119" r:id="rId16"/>
    <hyperlink ref="BD120" r:id="rId17"/>
    <hyperlink ref="BD121" r:id="rId18"/>
    <hyperlink ref="BD122" r:id="rId19"/>
    <hyperlink ref="BD125" r:id="rId20"/>
    <hyperlink ref="BD131" r:id="rId21"/>
  </hyperlinks>
  <pageMargins left="0.511811024" right="0.511811024" top="0.78740157499999996" bottom="0.78740157499999996" header="0.31496062000000002" footer="0.31496062000000002"/>
  <legacyDrawing r:id="rId2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078"/>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22.710937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48.85546875" customWidth="1"/>
    <col min="15" max="15" width="88.85546875" customWidth="1"/>
    <col min="16" max="16" width="26.28515625" customWidth="1"/>
    <col min="18" max="18" width="34.140625" customWidth="1"/>
    <col min="19" max="19" width="31" customWidth="1"/>
    <col min="20" max="20" width="33.140625" customWidth="1"/>
    <col min="21" max="21" width="37.85546875" customWidth="1"/>
    <col min="22" max="22" width="26.85546875" customWidth="1"/>
    <col min="23" max="23" width="25.42578125" customWidth="1"/>
    <col min="24" max="24" width="45.7109375" customWidth="1"/>
    <col min="51" max="51" width="47.5703125" customWidth="1"/>
    <col min="53" max="53" width="40" customWidth="1"/>
    <col min="54" max="54" width="55.140625" customWidth="1"/>
    <col min="56" max="56" width="69.42578125" customWidth="1"/>
    <col min="57" max="57" width="26.140625" customWidth="1"/>
    <col min="60" max="60" width="19.85546875" customWidth="1"/>
    <col min="61" max="61" width="42.42578125"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4743</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4744</v>
      </c>
      <c r="AZ1" s="21"/>
      <c r="BA1" s="9" t="s">
        <v>60</v>
      </c>
      <c r="BB1" s="9" t="s">
        <v>4745</v>
      </c>
      <c r="BC1" s="9" t="s">
        <v>4746</v>
      </c>
      <c r="BD1" s="9" t="s">
        <v>61</v>
      </c>
      <c r="BE1" s="9" t="s">
        <v>62</v>
      </c>
      <c r="BF1" s="9" t="s">
        <v>63</v>
      </c>
      <c r="BG1" s="22" t="s">
        <v>64</v>
      </c>
      <c r="BH1" s="9" t="s">
        <v>65</v>
      </c>
      <c r="BI1" s="9" t="s">
        <v>66</v>
      </c>
    </row>
    <row r="2" spans="1:61" ht="25.5" hidden="1" x14ac:dyDescent="0.2">
      <c r="A2" s="23" t="s">
        <v>4747</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4748</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4747</v>
      </c>
      <c r="BF2" s="24"/>
      <c r="BG2" s="33"/>
      <c r="BH2" s="27" t="s">
        <v>4749</v>
      </c>
      <c r="BI2" s="24" t="s">
        <v>68</v>
      </c>
    </row>
    <row r="3" spans="1:61" ht="25.5" hidden="1" x14ac:dyDescent="0.2">
      <c r="A3" s="34" t="s">
        <v>4750</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4748</v>
      </c>
      <c r="R3" s="38" t="s">
        <v>4751</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4752</v>
      </c>
      <c r="BI3" s="35" t="s">
        <v>68</v>
      </c>
    </row>
    <row r="4" spans="1:61" ht="229.5" x14ac:dyDescent="0.2">
      <c r="A4" s="45" t="s">
        <v>4753</v>
      </c>
      <c r="B4" s="46"/>
      <c r="C4" s="46" t="s">
        <v>4754</v>
      </c>
      <c r="D4" s="46" t="s">
        <v>4755</v>
      </c>
      <c r="E4" s="46"/>
      <c r="F4" s="46" t="s">
        <v>68</v>
      </c>
      <c r="G4" s="46" t="s">
        <v>68</v>
      </c>
      <c r="H4" s="46" t="s">
        <v>68</v>
      </c>
      <c r="I4" s="46" t="s">
        <v>68</v>
      </c>
      <c r="J4" s="46" t="s">
        <v>71</v>
      </c>
      <c r="K4" s="47">
        <v>200</v>
      </c>
      <c r="L4" s="47">
        <v>150</v>
      </c>
      <c r="M4" s="47">
        <v>350</v>
      </c>
      <c r="N4" s="46"/>
      <c r="O4" s="71" t="s">
        <v>4756</v>
      </c>
      <c r="P4" s="46" t="s">
        <v>4757</v>
      </c>
      <c r="Q4" s="46" t="s">
        <v>4748</v>
      </c>
      <c r="R4" s="46" t="s">
        <v>4751</v>
      </c>
      <c r="S4" s="49">
        <v>87.5</v>
      </c>
      <c r="T4" s="49">
        <v>437.5</v>
      </c>
      <c r="U4" s="28">
        <v>0.28857142857142859</v>
      </c>
      <c r="V4" s="67">
        <v>0.35714285714285715</v>
      </c>
      <c r="W4" s="51">
        <v>0.75</v>
      </c>
      <c r="X4" s="52">
        <v>43.75</v>
      </c>
      <c r="Y4" s="52">
        <v>30</v>
      </c>
      <c r="Z4" s="52">
        <v>237.5</v>
      </c>
      <c r="AA4" s="52">
        <v>311.25</v>
      </c>
      <c r="AB4" s="53">
        <v>0.71142857142857141</v>
      </c>
      <c r="AC4" s="72">
        <v>126.25</v>
      </c>
      <c r="AD4" s="55">
        <v>0.28857142857142859</v>
      </c>
      <c r="AE4" s="73">
        <v>3</v>
      </c>
      <c r="AF4" s="57" t="s">
        <v>95</v>
      </c>
      <c r="AG4" s="58">
        <v>200</v>
      </c>
      <c r="AH4" s="58">
        <v>150</v>
      </c>
      <c r="AI4" s="58">
        <v>350</v>
      </c>
      <c r="AJ4" s="49">
        <v>87.5</v>
      </c>
      <c r="AK4" s="49">
        <v>437.5</v>
      </c>
      <c r="AL4" s="52">
        <v>43.75</v>
      </c>
      <c r="AM4" s="52">
        <v>237.5</v>
      </c>
      <c r="AN4" s="52">
        <v>281.25</v>
      </c>
      <c r="AO4" s="59">
        <v>0.6428571428571429</v>
      </c>
      <c r="AP4" s="60">
        <v>156.25</v>
      </c>
      <c r="AQ4" s="61">
        <v>0.35714285714285715</v>
      </c>
      <c r="AR4" s="60" t="s">
        <v>78</v>
      </c>
      <c r="AS4" s="62">
        <v>320</v>
      </c>
      <c r="AT4" s="62">
        <v>240</v>
      </c>
      <c r="AU4" s="62">
        <v>560</v>
      </c>
      <c r="AV4" s="62">
        <v>700</v>
      </c>
      <c r="AW4" s="63" t="s">
        <v>74</v>
      </c>
      <c r="AX4" s="64">
        <v>45365</v>
      </c>
      <c r="AY4" s="64" t="s">
        <v>4758</v>
      </c>
      <c r="BA4" s="46" t="s">
        <v>107</v>
      </c>
      <c r="BB4" s="46" t="s">
        <v>4759</v>
      </c>
      <c r="BC4" s="46" t="s">
        <v>4760</v>
      </c>
      <c r="BD4" s="46"/>
      <c r="BE4" s="46" t="e">
        <v>#REF!</v>
      </c>
      <c r="BF4" s="46" t="s">
        <v>4748</v>
      </c>
      <c r="BG4" s="65">
        <v>1</v>
      </c>
      <c r="BH4" s="66" t="s">
        <v>4761</v>
      </c>
      <c r="BI4" s="63" t="s">
        <v>4762</v>
      </c>
    </row>
    <row r="5" spans="1:61" ht="25.5" x14ac:dyDescent="0.2">
      <c r="A5" s="45" t="s">
        <v>4763</v>
      </c>
      <c r="B5" s="46"/>
      <c r="C5" s="46" t="s">
        <v>4764</v>
      </c>
      <c r="D5" s="46" t="s">
        <v>2636</v>
      </c>
      <c r="E5" s="46" t="s">
        <v>68</v>
      </c>
      <c r="F5" s="46" t="s">
        <v>68</v>
      </c>
      <c r="G5" s="46" t="s">
        <v>68</v>
      </c>
      <c r="H5" s="46" t="s">
        <v>68</v>
      </c>
      <c r="I5" s="46" t="s">
        <v>68</v>
      </c>
      <c r="J5" s="46" t="s">
        <v>71</v>
      </c>
      <c r="K5" s="47">
        <v>180</v>
      </c>
      <c r="L5" s="47">
        <v>70</v>
      </c>
      <c r="M5" s="47">
        <v>250</v>
      </c>
      <c r="N5" s="46"/>
      <c r="O5" s="71" t="s">
        <v>68</v>
      </c>
      <c r="P5" s="64"/>
      <c r="Q5" s="46" t="s">
        <v>4748</v>
      </c>
      <c r="R5" s="46" t="s">
        <v>4751</v>
      </c>
      <c r="S5" s="49">
        <v>62.5</v>
      </c>
      <c r="T5" s="49">
        <v>312.5</v>
      </c>
      <c r="U5" s="67">
        <v>0.38</v>
      </c>
      <c r="V5" s="67">
        <v>0.47599999999999998</v>
      </c>
      <c r="W5" s="51">
        <v>0.3888888888888889</v>
      </c>
      <c r="X5" s="52">
        <v>31.25</v>
      </c>
      <c r="Y5" s="52">
        <v>30</v>
      </c>
      <c r="Z5" s="52">
        <v>132.5</v>
      </c>
      <c r="AA5" s="52">
        <v>193.75</v>
      </c>
      <c r="AB5" s="53">
        <v>0.62</v>
      </c>
      <c r="AC5" s="54">
        <v>118.75</v>
      </c>
      <c r="AD5" s="55">
        <v>0.38</v>
      </c>
      <c r="AE5" s="73">
        <v>3</v>
      </c>
      <c r="AF5" s="57" t="s">
        <v>95</v>
      </c>
      <c r="AG5" s="58">
        <v>180</v>
      </c>
      <c r="AH5" s="58">
        <v>70</v>
      </c>
      <c r="AI5" s="58">
        <v>250</v>
      </c>
      <c r="AJ5" s="49">
        <v>62.5</v>
      </c>
      <c r="AK5" s="49">
        <v>312.5</v>
      </c>
      <c r="AL5" s="52">
        <v>31.25</v>
      </c>
      <c r="AM5" s="52">
        <v>132.5</v>
      </c>
      <c r="AN5" s="52">
        <v>163.75</v>
      </c>
      <c r="AO5" s="59">
        <v>0.52400000000000002</v>
      </c>
      <c r="AP5" s="60">
        <v>148.75</v>
      </c>
      <c r="AQ5" s="61">
        <v>0.47599999999999998</v>
      </c>
      <c r="AR5" s="60" t="s">
        <v>78</v>
      </c>
      <c r="AS5" s="62">
        <v>288</v>
      </c>
      <c r="AT5" s="62">
        <v>112</v>
      </c>
      <c r="AU5" s="62">
        <v>400</v>
      </c>
      <c r="AV5" s="62">
        <v>500</v>
      </c>
      <c r="AW5" s="63" t="s">
        <v>74</v>
      </c>
      <c r="AX5" s="64">
        <v>45149</v>
      </c>
      <c r="AY5" s="64" t="s">
        <v>4765</v>
      </c>
      <c r="BA5" s="64"/>
      <c r="BB5" s="64"/>
      <c r="BC5" s="64"/>
      <c r="BD5" s="46"/>
      <c r="BE5" s="46" t="e">
        <v>#REF!</v>
      </c>
      <c r="BF5" s="46" t="s">
        <v>4748</v>
      </c>
      <c r="BG5" s="65">
        <v>1</v>
      </c>
      <c r="BH5" s="66" t="s">
        <v>4766</v>
      </c>
      <c r="BI5" s="63" t="s">
        <v>4767</v>
      </c>
    </row>
    <row r="6" spans="1:61" ht="25.5" x14ac:dyDescent="0.2">
      <c r="A6" s="45" t="s">
        <v>4768</v>
      </c>
      <c r="B6" s="46"/>
      <c r="C6" s="46" t="s">
        <v>4764</v>
      </c>
      <c r="D6" s="46" t="s">
        <v>85</v>
      </c>
      <c r="E6" s="46" t="s">
        <v>4769</v>
      </c>
      <c r="F6" s="46" t="s">
        <v>4770</v>
      </c>
      <c r="G6" s="46" t="s">
        <v>68</v>
      </c>
      <c r="H6" s="46" t="s">
        <v>68</v>
      </c>
      <c r="I6" s="46" t="s">
        <v>68</v>
      </c>
      <c r="J6" s="46" t="s">
        <v>71</v>
      </c>
      <c r="K6" s="47">
        <v>180</v>
      </c>
      <c r="L6" s="47">
        <f>25*5</f>
        <v>125</v>
      </c>
      <c r="M6" s="47">
        <v>305</v>
      </c>
      <c r="N6" s="46"/>
      <c r="O6" s="71" t="s">
        <v>68</v>
      </c>
      <c r="P6" s="64"/>
      <c r="Q6" s="46" t="s">
        <v>4748</v>
      </c>
      <c r="R6" s="46" t="s">
        <v>4751</v>
      </c>
      <c r="S6" s="49">
        <v>76.25</v>
      </c>
      <c r="T6" s="49">
        <v>381.25</v>
      </c>
      <c r="U6" s="28">
        <v>0.29344262295081969</v>
      </c>
      <c r="V6" s="67">
        <v>0.37213114754098359</v>
      </c>
      <c r="W6" s="51">
        <v>0.69444444444444442</v>
      </c>
      <c r="X6" s="52">
        <v>38.125</v>
      </c>
      <c r="Y6" s="52">
        <v>30</v>
      </c>
      <c r="Z6" s="52">
        <v>201.25</v>
      </c>
      <c r="AA6" s="52">
        <v>269.375</v>
      </c>
      <c r="AB6" s="53">
        <v>0.70655737704918031</v>
      </c>
      <c r="AC6" s="54">
        <v>111.875</v>
      </c>
      <c r="AD6" s="55">
        <v>0.29344262295081969</v>
      </c>
      <c r="AE6" s="73">
        <v>3</v>
      </c>
      <c r="AF6" s="57" t="s">
        <v>95</v>
      </c>
      <c r="AG6" s="58">
        <v>180</v>
      </c>
      <c r="AH6" s="58">
        <v>125</v>
      </c>
      <c r="AI6" s="58">
        <v>305</v>
      </c>
      <c r="AJ6" s="49">
        <v>76.25</v>
      </c>
      <c r="AK6" s="49">
        <v>381.25</v>
      </c>
      <c r="AL6" s="52">
        <v>38.125</v>
      </c>
      <c r="AM6" s="52">
        <v>201.25</v>
      </c>
      <c r="AN6" s="52">
        <v>239.375</v>
      </c>
      <c r="AO6" s="59">
        <v>0.62786885245901636</v>
      </c>
      <c r="AP6" s="60">
        <v>141.875</v>
      </c>
      <c r="AQ6" s="61">
        <v>0.37213114754098359</v>
      </c>
      <c r="AR6" s="60" t="s">
        <v>78</v>
      </c>
      <c r="AS6" s="62">
        <v>288</v>
      </c>
      <c r="AT6" s="62">
        <v>200</v>
      </c>
      <c r="AU6" s="62">
        <v>488</v>
      </c>
      <c r="AV6" s="62">
        <v>610</v>
      </c>
      <c r="AW6" s="63" t="s">
        <v>74</v>
      </c>
      <c r="AX6" s="64">
        <v>45149</v>
      </c>
      <c r="AY6" s="64" t="s">
        <v>4771</v>
      </c>
      <c r="BA6" s="64"/>
      <c r="BB6" s="64"/>
      <c r="BC6" s="64"/>
      <c r="BD6" s="46"/>
      <c r="BE6" s="46" t="e">
        <v>#REF!</v>
      </c>
      <c r="BF6" s="46" t="s">
        <v>4748</v>
      </c>
      <c r="BG6" s="65">
        <v>1</v>
      </c>
      <c r="BH6" s="66" t="s">
        <v>4772</v>
      </c>
      <c r="BI6" s="63" t="s">
        <v>4773</v>
      </c>
    </row>
    <row r="7" spans="1:61" ht="25.5" x14ac:dyDescent="0.2">
      <c r="A7" s="45" t="s">
        <v>4774</v>
      </c>
      <c r="B7" s="46"/>
      <c r="C7" s="46" t="s">
        <v>4764</v>
      </c>
      <c r="D7" s="46" t="s">
        <v>85</v>
      </c>
      <c r="E7" s="46" t="s">
        <v>4775</v>
      </c>
      <c r="F7" s="46" t="s">
        <v>4770</v>
      </c>
      <c r="G7" s="46" t="s">
        <v>68</v>
      </c>
      <c r="H7" s="46" t="s">
        <v>68</v>
      </c>
      <c r="I7" s="46" t="s">
        <v>68</v>
      </c>
      <c r="J7" s="46" t="s">
        <v>71</v>
      </c>
      <c r="K7" s="47">
        <v>200</v>
      </c>
      <c r="L7" s="47">
        <f>25*10</f>
        <v>250</v>
      </c>
      <c r="M7" s="47">
        <v>450</v>
      </c>
      <c r="N7" s="46"/>
      <c r="O7" s="71" t="s">
        <v>68</v>
      </c>
      <c r="P7" s="64"/>
      <c r="Q7" s="46" t="s">
        <v>4748</v>
      </c>
      <c r="R7" s="46" t="s">
        <v>4751</v>
      </c>
      <c r="S7" s="49">
        <v>112.5</v>
      </c>
      <c r="T7" s="49">
        <v>562.5</v>
      </c>
      <c r="U7" s="28">
        <v>0.20222222222222222</v>
      </c>
      <c r="V7" s="28">
        <v>0.25555555555555554</v>
      </c>
      <c r="W7" s="74">
        <v>1.25</v>
      </c>
      <c r="X7" s="52">
        <v>56.25</v>
      </c>
      <c r="Y7" s="52">
        <v>30</v>
      </c>
      <c r="Z7" s="52">
        <v>362.5</v>
      </c>
      <c r="AA7" s="52">
        <v>448.75</v>
      </c>
      <c r="AB7" s="53">
        <v>0.79777777777777781</v>
      </c>
      <c r="AC7" s="54">
        <v>113.75</v>
      </c>
      <c r="AD7" s="55">
        <v>0.20222222222222222</v>
      </c>
      <c r="AE7" s="73">
        <v>3</v>
      </c>
      <c r="AF7" s="57" t="s">
        <v>95</v>
      </c>
      <c r="AG7" s="58">
        <v>200</v>
      </c>
      <c r="AH7" s="58">
        <v>250</v>
      </c>
      <c r="AI7" s="58">
        <v>450</v>
      </c>
      <c r="AJ7" s="49">
        <v>112.5</v>
      </c>
      <c r="AK7" s="49">
        <v>562.5</v>
      </c>
      <c r="AL7" s="52">
        <v>56.25</v>
      </c>
      <c r="AM7" s="52">
        <v>362.5</v>
      </c>
      <c r="AN7" s="52">
        <v>418.75</v>
      </c>
      <c r="AO7" s="59">
        <v>0.74444444444444446</v>
      </c>
      <c r="AP7" s="60">
        <v>143.75</v>
      </c>
      <c r="AQ7" s="61">
        <v>0.25555555555555554</v>
      </c>
      <c r="AR7" s="60" t="s">
        <v>78</v>
      </c>
      <c r="AS7" s="62">
        <v>320</v>
      </c>
      <c r="AT7" s="62">
        <v>400</v>
      </c>
      <c r="AU7" s="62">
        <v>720</v>
      </c>
      <c r="AV7" s="62">
        <v>900</v>
      </c>
      <c r="AW7" s="63" t="s">
        <v>74</v>
      </c>
      <c r="AX7" s="64">
        <v>45149</v>
      </c>
      <c r="AY7" s="64" t="s">
        <v>4776</v>
      </c>
      <c r="BA7" s="64"/>
      <c r="BB7" s="64"/>
      <c r="BC7" s="64"/>
      <c r="BD7" s="46"/>
      <c r="BE7" s="46" t="e">
        <v>#REF!</v>
      </c>
      <c r="BF7" s="46" t="s">
        <v>4748</v>
      </c>
      <c r="BG7" s="65">
        <v>1.5</v>
      </c>
      <c r="BH7" s="66"/>
      <c r="BI7" s="63" t="s">
        <v>4777</v>
      </c>
    </row>
    <row r="8" spans="1:61" ht="25.5" x14ac:dyDescent="0.2">
      <c r="A8" s="45" t="s">
        <v>4778</v>
      </c>
      <c r="B8" s="46"/>
      <c r="C8" s="46" t="s">
        <v>4764</v>
      </c>
      <c r="D8" s="46" t="s">
        <v>85</v>
      </c>
      <c r="E8" s="46" t="s">
        <v>4779</v>
      </c>
      <c r="F8" s="46" t="s">
        <v>4770</v>
      </c>
      <c r="G8" s="46" t="s">
        <v>68</v>
      </c>
      <c r="H8" s="46" t="s">
        <v>68</v>
      </c>
      <c r="I8" s="46" t="s">
        <v>68</v>
      </c>
      <c r="J8" s="46" t="s">
        <v>71</v>
      </c>
      <c r="K8" s="47">
        <v>220</v>
      </c>
      <c r="L8" s="47">
        <f>25*15</f>
        <v>375</v>
      </c>
      <c r="M8" s="47">
        <v>595</v>
      </c>
      <c r="N8" s="46"/>
      <c r="O8" s="71" t="s">
        <v>68</v>
      </c>
      <c r="P8" s="64"/>
      <c r="Q8" s="46" t="s">
        <v>4748</v>
      </c>
      <c r="R8" s="46" t="s">
        <v>4751</v>
      </c>
      <c r="S8" s="49">
        <v>148.75</v>
      </c>
      <c r="T8" s="49">
        <v>743.75</v>
      </c>
      <c r="U8" s="50">
        <v>0.15546218487394958</v>
      </c>
      <c r="V8" s="50">
        <v>0.19579831932773109</v>
      </c>
      <c r="W8" s="77">
        <v>1.7045454545454546</v>
      </c>
      <c r="X8" s="52">
        <v>74.375</v>
      </c>
      <c r="Y8" s="52">
        <v>30</v>
      </c>
      <c r="Z8" s="52">
        <v>523.75</v>
      </c>
      <c r="AA8" s="52">
        <v>628.125</v>
      </c>
      <c r="AB8" s="53">
        <v>0.84453781512605042</v>
      </c>
      <c r="AC8" s="54">
        <v>115.625</v>
      </c>
      <c r="AD8" s="55">
        <v>0.15546218487394958</v>
      </c>
      <c r="AE8" s="73">
        <v>3</v>
      </c>
      <c r="AF8" s="57" t="s">
        <v>95</v>
      </c>
      <c r="AG8" s="58">
        <v>220</v>
      </c>
      <c r="AH8" s="58">
        <v>375</v>
      </c>
      <c r="AI8" s="58">
        <v>595</v>
      </c>
      <c r="AJ8" s="49">
        <v>148.75</v>
      </c>
      <c r="AK8" s="49">
        <v>743.75</v>
      </c>
      <c r="AL8" s="52">
        <v>74.375</v>
      </c>
      <c r="AM8" s="52">
        <v>523.75</v>
      </c>
      <c r="AN8" s="52">
        <v>598.125</v>
      </c>
      <c r="AO8" s="59">
        <v>0.80420168067226894</v>
      </c>
      <c r="AP8" s="60">
        <v>145.625</v>
      </c>
      <c r="AQ8" s="61">
        <v>0.19579831932773109</v>
      </c>
      <c r="AR8" s="60" t="s">
        <v>73</v>
      </c>
      <c r="AS8" s="62">
        <v>352</v>
      </c>
      <c r="AT8" s="62">
        <v>600</v>
      </c>
      <c r="AU8" s="62">
        <v>952</v>
      </c>
      <c r="AV8" s="62">
        <v>1190</v>
      </c>
      <c r="AW8" s="63" t="s">
        <v>74</v>
      </c>
      <c r="AX8" s="64">
        <v>45149</v>
      </c>
      <c r="AY8" s="64" t="s">
        <v>4780</v>
      </c>
      <c r="BA8" s="64"/>
      <c r="BB8" s="64"/>
      <c r="BC8" s="64"/>
      <c r="BD8" s="46"/>
      <c r="BE8" s="46" t="e">
        <v>#REF!</v>
      </c>
      <c r="BF8" s="46" t="s">
        <v>4748</v>
      </c>
      <c r="BG8" s="65">
        <v>2</v>
      </c>
      <c r="BH8" s="66"/>
      <c r="BI8" s="63" t="s">
        <v>4781</v>
      </c>
    </row>
    <row r="9" spans="1:61" ht="127.5" x14ac:dyDescent="0.2">
      <c r="A9" s="45" t="s">
        <v>4782</v>
      </c>
      <c r="B9" s="46"/>
      <c r="C9" s="46" t="s">
        <v>4783</v>
      </c>
      <c r="D9" s="46" t="s">
        <v>85</v>
      </c>
      <c r="E9" s="46" t="s">
        <v>4770</v>
      </c>
      <c r="F9" s="46" t="s">
        <v>4784</v>
      </c>
      <c r="G9" s="46"/>
      <c r="H9" s="46"/>
      <c r="I9" s="46"/>
      <c r="J9" s="46" t="s">
        <v>71</v>
      </c>
      <c r="K9" s="47">
        <v>200</v>
      </c>
      <c r="L9" s="47">
        <v>650</v>
      </c>
      <c r="M9" s="47">
        <v>850</v>
      </c>
      <c r="N9" s="46"/>
      <c r="O9" s="71" t="s">
        <v>68</v>
      </c>
      <c r="P9" s="64"/>
      <c r="Q9" s="46" t="s">
        <v>4748</v>
      </c>
      <c r="R9" s="46" t="s">
        <v>4751</v>
      </c>
      <c r="S9" s="49">
        <v>212.5</v>
      </c>
      <c r="T9" s="49">
        <v>1062.5</v>
      </c>
      <c r="U9" s="50">
        <v>0.06</v>
      </c>
      <c r="V9" s="50">
        <v>8.8235294117647065E-2</v>
      </c>
      <c r="W9" s="77">
        <v>3.25</v>
      </c>
      <c r="X9" s="52">
        <v>106.25</v>
      </c>
      <c r="Y9" s="52">
        <v>30</v>
      </c>
      <c r="Z9" s="52">
        <v>862.5</v>
      </c>
      <c r="AA9" s="52">
        <v>998.75</v>
      </c>
      <c r="AB9" s="53">
        <v>0.94</v>
      </c>
      <c r="AC9" s="75">
        <v>63.75</v>
      </c>
      <c r="AD9" s="55">
        <v>0.06</v>
      </c>
      <c r="AE9" s="73">
        <v>3</v>
      </c>
      <c r="AF9" s="57" t="s">
        <v>95</v>
      </c>
      <c r="AG9" s="58">
        <v>200</v>
      </c>
      <c r="AH9" s="58">
        <v>650</v>
      </c>
      <c r="AI9" s="58">
        <v>850</v>
      </c>
      <c r="AJ9" s="49">
        <v>212.5</v>
      </c>
      <c r="AK9" s="49">
        <v>1062.5</v>
      </c>
      <c r="AL9" s="52">
        <v>106.25</v>
      </c>
      <c r="AM9" s="52">
        <v>862.5</v>
      </c>
      <c r="AN9" s="52">
        <v>968.75</v>
      </c>
      <c r="AO9" s="59">
        <v>0.91176470588235292</v>
      </c>
      <c r="AP9" s="60">
        <v>93.75</v>
      </c>
      <c r="AQ9" s="61">
        <v>8.8235294117647065E-2</v>
      </c>
      <c r="AR9" s="60" t="s">
        <v>73</v>
      </c>
      <c r="AS9" s="62">
        <v>320</v>
      </c>
      <c r="AT9" s="62">
        <v>1040</v>
      </c>
      <c r="AU9" s="62">
        <v>1360</v>
      </c>
      <c r="AV9" s="62">
        <v>1700</v>
      </c>
      <c r="AW9" s="63" t="s">
        <v>74</v>
      </c>
      <c r="AX9" s="64">
        <v>45315</v>
      </c>
      <c r="AY9" s="64" t="s">
        <v>4785</v>
      </c>
      <c r="BA9" s="64"/>
      <c r="BB9" s="64"/>
      <c r="BC9" s="64"/>
      <c r="BD9" s="70" t="s">
        <v>4786</v>
      </c>
      <c r="BE9" s="46" t="e">
        <v>#REF!</v>
      </c>
      <c r="BF9" s="46" t="s">
        <v>4748</v>
      </c>
      <c r="BG9" s="65">
        <v>4</v>
      </c>
      <c r="BH9" s="66"/>
      <c r="BI9" s="63" t="s">
        <v>4787</v>
      </c>
    </row>
    <row r="10" spans="1:61" ht="25.5" x14ac:dyDescent="0.2">
      <c r="A10" s="45" t="s">
        <v>4788</v>
      </c>
      <c r="B10" s="46"/>
      <c r="C10" s="46" t="s">
        <v>4783</v>
      </c>
      <c r="D10" s="46" t="s">
        <v>85</v>
      </c>
      <c r="E10" s="46" t="s">
        <v>4770</v>
      </c>
      <c r="F10" s="46" t="s">
        <v>4789</v>
      </c>
      <c r="G10" s="46" t="s">
        <v>68</v>
      </c>
      <c r="H10" s="46" t="s">
        <v>68</v>
      </c>
      <c r="I10" s="46" t="s">
        <v>68</v>
      </c>
      <c r="J10" s="46" t="s">
        <v>71</v>
      </c>
      <c r="K10" s="47">
        <v>400</v>
      </c>
      <c r="L10" s="47">
        <v>850</v>
      </c>
      <c r="M10" s="47">
        <v>1250</v>
      </c>
      <c r="N10" s="46"/>
      <c r="O10" s="71" t="s">
        <v>68</v>
      </c>
      <c r="P10" s="64"/>
      <c r="Q10" s="46" t="s">
        <v>4748</v>
      </c>
      <c r="R10" s="46" t="s">
        <v>4751</v>
      </c>
      <c r="S10" s="49">
        <v>312.5</v>
      </c>
      <c r="T10" s="49">
        <v>1562.5</v>
      </c>
      <c r="U10" s="50">
        <v>0.1368</v>
      </c>
      <c r="V10" s="50">
        <v>0.156</v>
      </c>
      <c r="W10" s="77">
        <v>2.125</v>
      </c>
      <c r="X10" s="52">
        <v>156.25</v>
      </c>
      <c r="Y10" s="52">
        <v>30</v>
      </c>
      <c r="Z10" s="52">
        <v>1162.5</v>
      </c>
      <c r="AA10" s="52">
        <v>1348.75</v>
      </c>
      <c r="AB10" s="53">
        <v>0.86319999999999997</v>
      </c>
      <c r="AC10" s="72">
        <v>213.75</v>
      </c>
      <c r="AD10" s="55">
        <v>0.1368</v>
      </c>
      <c r="AE10" s="73">
        <v>3</v>
      </c>
      <c r="AF10" s="57" t="s">
        <v>95</v>
      </c>
      <c r="AG10" s="58">
        <v>400</v>
      </c>
      <c r="AH10" s="58">
        <v>850</v>
      </c>
      <c r="AI10" s="58">
        <v>1250</v>
      </c>
      <c r="AJ10" s="49">
        <v>312.5</v>
      </c>
      <c r="AK10" s="49">
        <v>1562.5</v>
      </c>
      <c r="AL10" s="52">
        <v>156.25</v>
      </c>
      <c r="AM10" s="52">
        <v>1162.5</v>
      </c>
      <c r="AN10" s="52">
        <v>1318.75</v>
      </c>
      <c r="AO10" s="59">
        <v>0.84399999999999997</v>
      </c>
      <c r="AP10" s="60">
        <v>243.75</v>
      </c>
      <c r="AQ10" s="61">
        <v>0.156</v>
      </c>
      <c r="AR10" s="60" t="s">
        <v>73</v>
      </c>
      <c r="AS10" s="62">
        <v>640</v>
      </c>
      <c r="AT10" s="62">
        <v>1360</v>
      </c>
      <c r="AU10" s="62">
        <v>2000</v>
      </c>
      <c r="AV10" s="62">
        <v>2500</v>
      </c>
      <c r="AW10" s="63" t="s">
        <v>74</v>
      </c>
      <c r="AX10" s="64">
        <v>45149</v>
      </c>
      <c r="AY10" s="64" t="s">
        <v>4790</v>
      </c>
      <c r="BA10" s="64"/>
      <c r="BB10" s="64"/>
      <c r="BC10" s="64"/>
      <c r="BD10" s="46"/>
      <c r="BE10" s="46" t="e">
        <v>#REF!</v>
      </c>
      <c r="BF10" s="46" t="s">
        <v>4748</v>
      </c>
      <c r="BG10" s="65">
        <v>4</v>
      </c>
      <c r="BH10" s="66" t="s">
        <v>4791</v>
      </c>
      <c r="BI10" s="63" t="s">
        <v>4792</v>
      </c>
    </row>
    <row r="11" spans="1:61" ht="25.5" x14ac:dyDescent="0.2">
      <c r="A11" s="45" t="s">
        <v>4793</v>
      </c>
      <c r="B11" s="46"/>
      <c r="C11" s="46" t="s">
        <v>4794</v>
      </c>
      <c r="D11" s="46" t="s">
        <v>4795</v>
      </c>
      <c r="E11" s="46" t="s">
        <v>4784</v>
      </c>
      <c r="F11" s="46" t="s">
        <v>68</v>
      </c>
      <c r="G11" s="46" t="s">
        <v>68</v>
      </c>
      <c r="H11" s="46" t="s">
        <v>68</v>
      </c>
      <c r="I11" s="46" t="s">
        <v>68</v>
      </c>
      <c r="J11" s="46" t="s">
        <v>71</v>
      </c>
      <c r="K11" s="47">
        <v>160</v>
      </c>
      <c r="L11" s="47">
        <v>110</v>
      </c>
      <c r="M11" s="47">
        <v>270</v>
      </c>
      <c r="N11" s="46"/>
      <c r="O11" s="71" t="s">
        <v>68</v>
      </c>
      <c r="P11" s="64"/>
      <c r="Q11" s="46" t="s">
        <v>4748</v>
      </c>
      <c r="R11" s="46" t="s">
        <v>4751</v>
      </c>
      <c r="S11" s="49">
        <v>67.5</v>
      </c>
      <c r="T11" s="49">
        <v>337.5</v>
      </c>
      <c r="U11" s="28">
        <v>0.28518518518518521</v>
      </c>
      <c r="V11" s="28">
        <v>0.23684210526315788</v>
      </c>
      <c r="W11" s="51">
        <v>0.6875</v>
      </c>
      <c r="X11" s="52">
        <v>33.75</v>
      </c>
      <c r="Y11" s="52">
        <v>30</v>
      </c>
      <c r="Z11" s="52">
        <v>177.5</v>
      </c>
      <c r="AA11" s="52">
        <v>241.25</v>
      </c>
      <c r="AB11" s="53">
        <v>0.71481481481481479</v>
      </c>
      <c r="AC11" s="54">
        <v>96.25</v>
      </c>
      <c r="AD11" s="55">
        <v>0.28518518518518521</v>
      </c>
      <c r="AE11" s="56">
        <v>2</v>
      </c>
      <c r="AF11" s="57" t="s">
        <v>72</v>
      </c>
      <c r="AG11" s="58">
        <v>80</v>
      </c>
      <c r="AH11" s="58">
        <v>110</v>
      </c>
      <c r="AI11" s="58">
        <v>190</v>
      </c>
      <c r="AJ11" s="49">
        <v>47.5</v>
      </c>
      <c r="AK11" s="49">
        <v>237.5</v>
      </c>
      <c r="AL11" s="52">
        <v>23.75</v>
      </c>
      <c r="AM11" s="52">
        <v>157.5</v>
      </c>
      <c r="AN11" s="52">
        <v>181.25</v>
      </c>
      <c r="AO11" s="59">
        <v>0.76315789473684215</v>
      </c>
      <c r="AP11" s="60">
        <v>56.25</v>
      </c>
      <c r="AQ11" s="61">
        <v>0.23684210526315788</v>
      </c>
      <c r="AR11" s="60" t="s">
        <v>78</v>
      </c>
      <c r="AS11" s="62">
        <v>240</v>
      </c>
      <c r="AT11" s="62">
        <v>165</v>
      </c>
      <c r="AU11" s="62">
        <v>405</v>
      </c>
      <c r="AV11" s="62">
        <v>506.25</v>
      </c>
      <c r="AW11" s="63" t="s">
        <v>74</v>
      </c>
      <c r="AX11" s="64">
        <v>45149</v>
      </c>
      <c r="AY11" s="64" t="s">
        <v>4796</v>
      </c>
      <c r="BA11" s="64"/>
      <c r="BB11" s="64"/>
      <c r="BC11" s="64"/>
      <c r="BD11" s="46"/>
      <c r="BE11" s="46" t="e">
        <v>#REF!</v>
      </c>
      <c r="BF11" s="46" t="s">
        <v>79</v>
      </c>
      <c r="BG11" s="65">
        <v>1</v>
      </c>
      <c r="BH11" s="66" t="s">
        <v>4797</v>
      </c>
      <c r="BI11" s="63" t="s">
        <v>4798</v>
      </c>
    </row>
    <row r="12" spans="1:61" ht="25.5" x14ac:dyDescent="0.2">
      <c r="A12" s="45" t="s">
        <v>4799</v>
      </c>
      <c r="B12" s="46"/>
      <c r="C12" s="46" t="s">
        <v>4794</v>
      </c>
      <c r="D12" s="46" t="s">
        <v>4795</v>
      </c>
      <c r="E12" s="46" t="s">
        <v>4789</v>
      </c>
      <c r="F12" s="46" t="s">
        <v>68</v>
      </c>
      <c r="G12" s="46" t="s">
        <v>68</v>
      </c>
      <c r="H12" s="46" t="s">
        <v>68</v>
      </c>
      <c r="I12" s="46" t="s">
        <v>68</v>
      </c>
      <c r="J12" s="46" t="s">
        <v>71</v>
      </c>
      <c r="K12" s="47">
        <v>200</v>
      </c>
      <c r="L12" s="47">
        <v>200</v>
      </c>
      <c r="M12" s="47">
        <v>400</v>
      </c>
      <c r="N12" s="46"/>
      <c r="O12" s="71" t="s">
        <v>68</v>
      </c>
      <c r="P12" s="64"/>
      <c r="Q12" s="46" t="s">
        <v>4748</v>
      </c>
      <c r="R12" s="46" t="s">
        <v>4751</v>
      </c>
      <c r="S12" s="49">
        <v>100</v>
      </c>
      <c r="T12" s="49">
        <v>500</v>
      </c>
      <c r="U12" s="28">
        <v>0.24</v>
      </c>
      <c r="V12" s="50">
        <v>0.16666666666666666</v>
      </c>
      <c r="W12" s="51">
        <v>1</v>
      </c>
      <c r="X12" s="52">
        <v>50</v>
      </c>
      <c r="Y12" s="52">
        <v>30</v>
      </c>
      <c r="Z12" s="52">
        <v>300</v>
      </c>
      <c r="AA12" s="52">
        <v>380</v>
      </c>
      <c r="AB12" s="53">
        <v>0.76</v>
      </c>
      <c r="AC12" s="54">
        <v>120</v>
      </c>
      <c r="AD12" s="55">
        <v>0.24</v>
      </c>
      <c r="AE12" s="56">
        <v>2</v>
      </c>
      <c r="AF12" s="57" t="s">
        <v>72</v>
      </c>
      <c r="AG12" s="58">
        <v>100</v>
      </c>
      <c r="AH12" s="58">
        <v>200</v>
      </c>
      <c r="AI12" s="58">
        <v>300</v>
      </c>
      <c r="AJ12" s="49">
        <v>75</v>
      </c>
      <c r="AK12" s="49">
        <v>375</v>
      </c>
      <c r="AL12" s="52">
        <v>37.5</v>
      </c>
      <c r="AM12" s="52">
        <v>275</v>
      </c>
      <c r="AN12" s="52">
        <v>312.5</v>
      </c>
      <c r="AO12" s="59">
        <v>0.83333333333333337</v>
      </c>
      <c r="AP12" s="60">
        <v>62.5</v>
      </c>
      <c r="AQ12" s="61">
        <v>0.16666666666666666</v>
      </c>
      <c r="AR12" s="60" t="s">
        <v>73</v>
      </c>
      <c r="AS12" s="62">
        <v>300</v>
      </c>
      <c r="AT12" s="62">
        <v>300</v>
      </c>
      <c r="AU12" s="62">
        <v>600</v>
      </c>
      <c r="AV12" s="62">
        <v>750</v>
      </c>
      <c r="AW12" s="63" t="s">
        <v>74</v>
      </c>
      <c r="AX12" s="64">
        <v>45149</v>
      </c>
      <c r="AY12" s="64" t="s">
        <v>4800</v>
      </c>
      <c r="BA12" s="64"/>
      <c r="BB12" s="64"/>
      <c r="BC12" s="64"/>
      <c r="BD12" s="46"/>
      <c r="BE12" s="46" t="e">
        <v>#REF!</v>
      </c>
      <c r="BF12" s="46" t="s">
        <v>79</v>
      </c>
      <c r="BG12" s="65">
        <v>1</v>
      </c>
      <c r="BH12" s="66" t="s">
        <v>4801</v>
      </c>
      <c r="BI12" s="63" t="s">
        <v>4802</v>
      </c>
    </row>
    <row r="13" spans="1:61" ht="25.5" x14ac:dyDescent="0.2">
      <c r="A13" s="45" t="s">
        <v>4803</v>
      </c>
      <c r="B13" s="46"/>
      <c r="C13" s="46" t="s">
        <v>4804</v>
      </c>
      <c r="D13" s="46" t="s">
        <v>4795</v>
      </c>
      <c r="E13" s="46" t="s">
        <v>4784</v>
      </c>
      <c r="F13" s="46" t="s">
        <v>68</v>
      </c>
      <c r="G13" s="46" t="s">
        <v>68</v>
      </c>
      <c r="H13" s="46" t="s">
        <v>68</v>
      </c>
      <c r="I13" s="46" t="s">
        <v>68</v>
      </c>
      <c r="J13" s="46" t="s">
        <v>71</v>
      </c>
      <c r="K13" s="47">
        <v>200</v>
      </c>
      <c r="L13" s="47">
        <v>150</v>
      </c>
      <c r="M13" s="47">
        <v>350</v>
      </c>
      <c r="N13" s="46"/>
      <c r="O13" s="71" t="s">
        <v>68</v>
      </c>
      <c r="P13" s="64"/>
      <c r="Q13" s="46" t="s">
        <v>4748</v>
      </c>
      <c r="R13" s="46" t="s">
        <v>4751</v>
      </c>
      <c r="S13" s="49">
        <v>87.5</v>
      </c>
      <c r="T13" s="49">
        <v>437.5</v>
      </c>
      <c r="U13" s="28">
        <v>0.28857142857142859</v>
      </c>
      <c r="V13" s="67">
        <v>0.35714285714285715</v>
      </c>
      <c r="W13" s="51">
        <v>0.75</v>
      </c>
      <c r="X13" s="52">
        <v>43.75</v>
      </c>
      <c r="Y13" s="52">
        <v>30</v>
      </c>
      <c r="Z13" s="52">
        <v>237.5</v>
      </c>
      <c r="AA13" s="52">
        <v>311.25</v>
      </c>
      <c r="AB13" s="53">
        <v>0.71142857142857141</v>
      </c>
      <c r="AC13" s="72">
        <v>126.25</v>
      </c>
      <c r="AD13" s="55">
        <v>0.28857142857142859</v>
      </c>
      <c r="AE13" s="73">
        <v>3</v>
      </c>
      <c r="AF13" s="57" t="s">
        <v>95</v>
      </c>
      <c r="AG13" s="58">
        <v>200</v>
      </c>
      <c r="AH13" s="58">
        <v>150</v>
      </c>
      <c r="AI13" s="58">
        <v>350</v>
      </c>
      <c r="AJ13" s="49">
        <v>87.5</v>
      </c>
      <c r="AK13" s="49">
        <v>437.5</v>
      </c>
      <c r="AL13" s="52">
        <v>43.75</v>
      </c>
      <c r="AM13" s="52">
        <v>237.5</v>
      </c>
      <c r="AN13" s="52">
        <v>281.25</v>
      </c>
      <c r="AO13" s="59">
        <v>0.6428571428571429</v>
      </c>
      <c r="AP13" s="60">
        <v>156.25</v>
      </c>
      <c r="AQ13" s="61">
        <v>0.35714285714285715</v>
      </c>
      <c r="AR13" s="60" t="s">
        <v>78</v>
      </c>
      <c r="AS13" s="62">
        <v>320</v>
      </c>
      <c r="AT13" s="62">
        <v>240</v>
      </c>
      <c r="AU13" s="62">
        <v>560</v>
      </c>
      <c r="AV13" s="62">
        <v>700</v>
      </c>
      <c r="AW13" s="63" t="s">
        <v>74</v>
      </c>
      <c r="AX13" s="64">
        <v>45149</v>
      </c>
      <c r="AY13" s="64" t="s">
        <v>4805</v>
      </c>
      <c r="BA13" s="64"/>
      <c r="BB13" s="64"/>
      <c r="BC13" s="64"/>
      <c r="BD13" s="46"/>
      <c r="BE13" s="46" t="e">
        <v>#REF!</v>
      </c>
      <c r="BF13" s="46" t="s">
        <v>79</v>
      </c>
      <c r="BG13" s="65">
        <v>1</v>
      </c>
      <c r="BH13" s="66" t="s">
        <v>4806</v>
      </c>
      <c r="BI13" s="63" t="s">
        <v>4807</v>
      </c>
    </row>
    <row r="14" spans="1:61" ht="25.5" x14ac:dyDescent="0.2">
      <c r="A14" s="45" t="s">
        <v>4808</v>
      </c>
      <c r="B14" s="46"/>
      <c r="C14" s="46" t="s">
        <v>4804</v>
      </c>
      <c r="D14" s="46" t="s">
        <v>4795</v>
      </c>
      <c r="E14" s="46" t="s">
        <v>4789</v>
      </c>
      <c r="F14" s="46" t="s">
        <v>68</v>
      </c>
      <c r="G14" s="46" t="s">
        <v>68</v>
      </c>
      <c r="H14" s="46" t="s">
        <v>68</v>
      </c>
      <c r="I14" s="46" t="s">
        <v>68</v>
      </c>
      <c r="J14" s="46" t="s">
        <v>71</v>
      </c>
      <c r="K14" s="47">
        <v>200</v>
      </c>
      <c r="L14" s="47">
        <v>260</v>
      </c>
      <c r="M14" s="47">
        <v>460</v>
      </c>
      <c r="N14" s="46"/>
      <c r="O14" s="71" t="s">
        <v>68</v>
      </c>
      <c r="P14" s="64"/>
      <c r="Q14" s="46" t="s">
        <v>4748</v>
      </c>
      <c r="R14" s="46" t="s">
        <v>4751</v>
      </c>
      <c r="S14" s="49">
        <v>115</v>
      </c>
      <c r="T14" s="49">
        <v>575</v>
      </c>
      <c r="U14" s="50">
        <v>0.19565217391304349</v>
      </c>
      <c r="V14" s="28">
        <v>0.24782608695652175</v>
      </c>
      <c r="W14" s="74">
        <v>1.3</v>
      </c>
      <c r="X14" s="52">
        <v>57.5</v>
      </c>
      <c r="Y14" s="52">
        <v>30</v>
      </c>
      <c r="Z14" s="52">
        <v>375</v>
      </c>
      <c r="AA14" s="52">
        <v>462.5</v>
      </c>
      <c r="AB14" s="53">
        <v>0.80434782608695654</v>
      </c>
      <c r="AC14" s="54">
        <v>112.5</v>
      </c>
      <c r="AD14" s="55">
        <v>0.19565217391304349</v>
      </c>
      <c r="AE14" s="73">
        <v>3</v>
      </c>
      <c r="AF14" s="57" t="s">
        <v>95</v>
      </c>
      <c r="AG14" s="58">
        <v>200</v>
      </c>
      <c r="AH14" s="58">
        <v>260</v>
      </c>
      <c r="AI14" s="58">
        <v>460</v>
      </c>
      <c r="AJ14" s="49">
        <v>115</v>
      </c>
      <c r="AK14" s="49">
        <v>575</v>
      </c>
      <c r="AL14" s="52">
        <v>57.5</v>
      </c>
      <c r="AM14" s="52">
        <v>375</v>
      </c>
      <c r="AN14" s="52">
        <v>432.5</v>
      </c>
      <c r="AO14" s="59">
        <v>0.75217391304347825</v>
      </c>
      <c r="AP14" s="60">
        <v>142.5</v>
      </c>
      <c r="AQ14" s="61">
        <v>0.24782608695652175</v>
      </c>
      <c r="AR14" s="60" t="s">
        <v>78</v>
      </c>
      <c r="AS14" s="62">
        <v>320</v>
      </c>
      <c r="AT14" s="62">
        <v>416</v>
      </c>
      <c r="AU14" s="62">
        <v>736</v>
      </c>
      <c r="AV14" s="62">
        <v>920</v>
      </c>
      <c r="AW14" s="63" t="s">
        <v>74</v>
      </c>
      <c r="AX14" s="64">
        <v>45149</v>
      </c>
      <c r="AY14" s="64" t="s">
        <v>4809</v>
      </c>
      <c r="BA14" s="64"/>
      <c r="BB14" s="64"/>
      <c r="BC14" s="64"/>
      <c r="BD14" s="46"/>
      <c r="BE14" s="46" t="e">
        <v>#REF!</v>
      </c>
      <c r="BF14" s="46" t="s">
        <v>79</v>
      </c>
      <c r="BG14" s="65">
        <v>1</v>
      </c>
      <c r="BH14" s="66" t="s">
        <v>4810</v>
      </c>
      <c r="BI14" s="63" t="s">
        <v>4811</v>
      </c>
    </row>
    <row r="15" spans="1:61" ht="25.5" x14ac:dyDescent="0.2">
      <c r="A15" s="45" t="s">
        <v>4812</v>
      </c>
      <c r="B15" s="46"/>
      <c r="C15" s="46" t="s">
        <v>4813</v>
      </c>
      <c r="D15" s="46" t="s">
        <v>4784</v>
      </c>
      <c r="E15" s="46" t="s">
        <v>68</v>
      </c>
      <c r="F15" s="46" t="s">
        <v>68</v>
      </c>
      <c r="G15" s="46" t="s">
        <v>68</v>
      </c>
      <c r="H15" s="46" t="s">
        <v>68</v>
      </c>
      <c r="I15" s="46" t="s">
        <v>68</v>
      </c>
      <c r="J15" s="46" t="s">
        <v>71</v>
      </c>
      <c r="K15" s="47">
        <v>150</v>
      </c>
      <c r="L15" s="47">
        <v>30</v>
      </c>
      <c r="M15" s="47">
        <v>180</v>
      </c>
      <c r="N15" s="46"/>
      <c r="O15" s="71" t="s">
        <v>68</v>
      </c>
      <c r="P15" s="64"/>
      <c r="Q15" s="46" t="s">
        <v>4748</v>
      </c>
      <c r="R15" s="46" t="s">
        <v>4751</v>
      </c>
      <c r="S15" s="49">
        <v>45</v>
      </c>
      <c r="T15" s="49">
        <v>225</v>
      </c>
      <c r="U15" s="67">
        <v>0.43333333333333335</v>
      </c>
      <c r="V15" s="67">
        <v>0.56666666666666665</v>
      </c>
      <c r="W15" s="51">
        <v>0.2</v>
      </c>
      <c r="X15" s="52">
        <v>22.5</v>
      </c>
      <c r="Y15" s="52">
        <v>30</v>
      </c>
      <c r="Z15" s="52">
        <v>75</v>
      </c>
      <c r="AA15" s="52">
        <v>127.5</v>
      </c>
      <c r="AB15" s="53">
        <v>0.56666666666666665</v>
      </c>
      <c r="AC15" s="54">
        <v>97.5</v>
      </c>
      <c r="AD15" s="55">
        <v>0.43333333333333335</v>
      </c>
      <c r="AE15" s="73">
        <v>3</v>
      </c>
      <c r="AF15" s="57" t="s">
        <v>95</v>
      </c>
      <c r="AG15" s="58">
        <v>150</v>
      </c>
      <c r="AH15" s="58">
        <v>30</v>
      </c>
      <c r="AI15" s="58">
        <v>180</v>
      </c>
      <c r="AJ15" s="49">
        <v>45</v>
      </c>
      <c r="AK15" s="49">
        <v>225</v>
      </c>
      <c r="AL15" s="52">
        <v>22.5</v>
      </c>
      <c r="AM15" s="52">
        <v>75</v>
      </c>
      <c r="AN15" s="52">
        <v>97.5</v>
      </c>
      <c r="AO15" s="59">
        <v>0.43333333333333335</v>
      </c>
      <c r="AP15" s="60">
        <v>127.5</v>
      </c>
      <c r="AQ15" s="61">
        <v>0.56666666666666665</v>
      </c>
      <c r="AR15" s="60" t="s">
        <v>78</v>
      </c>
      <c r="AS15" s="62">
        <v>240</v>
      </c>
      <c r="AT15" s="62">
        <v>48</v>
      </c>
      <c r="AU15" s="62">
        <v>288</v>
      </c>
      <c r="AV15" s="62">
        <v>360</v>
      </c>
      <c r="AW15" s="63" t="s">
        <v>74</v>
      </c>
      <c r="AX15" s="64">
        <v>45149</v>
      </c>
      <c r="AY15" s="64" t="s">
        <v>4814</v>
      </c>
      <c r="BA15" s="64"/>
      <c r="BB15" s="64"/>
      <c r="BC15" s="64"/>
      <c r="BD15" s="46"/>
      <c r="BE15" s="46" t="e">
        <v>#REF!</v>
      </c>
      <c r="BF15" s="46" t="s">
        <v>79</v>
      </c>
      <c r="BG15" s="65">
        <v>0.75</v>
      </c>
      <c r="BH15" s="66" t="s">
        <v>4815</v>
      </c>
      <c r="BI15" s="63" t="s">
        <v>4816</v>
      </c>
    </row>
    <row r="16" spans="1:61" ht="25.5" x14ac:dyDescent="0.2">
      <c r="A16" s="45" t="s">
        <v>4817</v>
      </c>
      <c r="B16" s="46"/>
      <c r="C16" s="46" t="s">
        <v>4813</v>
      </c>
      <c r="D16" s="46" t="s">
        <v>4789</v>
      </c>
      <c r="E16" s="46" t="s">
        <v>68</v>
      </c>
      <c r="F16" s="46" t="s">
        <v>68</v>
      </c>
      <c r="G16" s="46" t="s">
        <v>68</v>
      </c>
      <c r="H16" s="46" t="s">
        <v>68</v>
      </c>
      <c r="I16" s="46" t="s">
        <v>68</v>
      </c>
      <c r="J16" s="46" t="s">
        <v>71</v>
      </c>
      <c r="K16" s="47">
        <v>150</v>
      </c>
      <c r="L16" s="47">
        <v>40</v>
      </c>
      <c r="M16" s="47">
        <v>190</v>
      </c>
      <c r="N16" s="46"/>
      <c r="O16" s="71" t="s">
        <v>68</v>
      </c>
      <c r="P16" s="64"/>
      <c r="Q16" s="46" t="s">
        <v>4748</v>
      </c>
      <c r="R16" s="46" t="s">
        <v>4751</v>
      </c>
      <c r="S16" s="49">
        <v>47.5</v>
      </c>
      <c r="T16" s="49">
        <v>237.5</v>
      </c>
      <c r="U16" s="67">
        <v>0.40526315789473683</v>
      </c>
      <c r="V16" s="67">
        <v>0.53157894736842104</v>
      </c>
      <c r="W16" s="51">
        <v>0.26666666666666666</v>
      </c>
      <c r="X16" s="52">
        <v>23.75</v>
      </c>
      <c r="Y16" s="52">
        <v>30</v>
      </c>
      <c r="Z16" s="52">
        <v>87.5</v>
      </c>
      <c r="AA16" s="52">
        <v>141.25</v>
      </c>
      <c r="AB16" s="53">
        <v>0.59473684210526312</v>
      </c>
      <c r="AC16" s="54">
        <v>96.25</v>
      </c>
      <c r="AD16" s="55">
        <v>0.40526315789473683</v>
      </c>
      <c r="AE16" s="73">
        <v>3</v>
      </c>
      <c r="AF16" s="57" t="s">
        <v>95</v>
      </c>
      <c r="AG16" s="58">
        <v>150</v>
      </c>
      <c r="AH16" s="58">
        <v>40</v>
      </c>
      <c r="AI16" s="58">
        <v>190</v>
      </c>
      <c r="AJ16" s="49">
        <v>47.5</v>
      </c>
      <c r="AK16" s="49">
        <v>237.5</v>
      </c>
      <c r="AL16" s="52">
        <v>23.75</v>
      </c>
      <c r="AM16" s="52">
        <v>87.5</v>
      </c>
      <c r="AN16" s="52">
        <v>111.25</v>
      </c>
      <c r="AO16" s="59">
        <v>0.46842105263157896</v>
      </c>
      <c r="AP16" s="60">
        <v>126.25</v>
      </c>
      <c r="AQ16" s="61">
        <v>0.53157894736842104</v>
      </c>
      <c r="AR16" s="60" t="s">
        <v>78</v>
      </c>
      <c r="AS16" s="62">
        <v>240</v>
      </c>
      <c r="AT16" s="62">
        <v>64</v>
      </c>
      <c r="AU16" s="62">
        <v>304</v>
      </c>
      <c r="AV16" s="62">
        <v>380</v>
      </c>
      <c r="AW16" s="63" t="s">
        <v>74</v>
      </c>
      <c r="AX16" s="64">
        <v>45149</v>
      </c>
      <c r="AY16" s="64" t="s">
        <v>4818</v>
      </c>
      <c r="BA16" s="64"/>
      <c r="BB16" s="64"/>
      <c r="BC16" s="64"/>
      <c r="BD16" s="46"/>
      <c r="BE16" s="46" t="e">
        <v>#REF!</v>
      </c>
      <c r="BF16" s="46" t="s">
        <v>79</v>
      </c>
      <c r="BG16" s="65">
        <v>0.75</v>
      </c>
      <c r="BH16" s="66" t="s">
        <v>4819</v>
      </c>
      <c r="BI16" s="63" t="s">
        <v>4820</v>
      </c>
    </row>
    <row r="17" spans="1:61" ht="25.5" x14ac:dyDescent="0.2">
      <c r="A17" s="45" t="s">
        <v>4821</v>
      </c>
      <c r="B17" s="46"/>
      <c r="C17" s="46" t="s">
        <v>4822</v>
      </c>
      <c r="D17" s="46" t="s">
        <v>4823</v>
      </c>
      <c r="E17" s="46" t="s">
        <v>68</v>
      </c>
      <c r="F17" s="46" t="s">
        <v>68</v>
      </c>
      <c r="G17" s="46" t="s">
        <v>68</v>
      </c>
      <c r="H17" s="46" t="s">
        <v>68</v>
      </c>
      <c r="I17" s="46" t="s">
        <v>68</v>
      </c>
      <c r="J17" s="46" t="s">
        <v>71</v>
      </c>
      <c r="K17" s="47">
        <v>200</v>
      </c>
      <c r="L17" s="47">
        <v>150</v>
      </c>
      <c r="M17" s="47">
        <v>350</v>
      </c>
      <c r="N17" s="46"/>
      <c r="O17" s="71" t="s">
        <v>68</v>
      </c>
      <c r="P17" s="64"/>
      <c r="Q17" s="46" t="s">
        <v>4748</v>
      </c>
      <c r="R17" s="46" t="s">
        <v>4751</v>
      </c>
      <c r="S17" s="49">
        <v>87.5</v>
      </c>
      <c r="T17" s="49">
        <v>437.5</v>
      </c>
      <c r="U17" s="28">
        <v>0.28857142857142859</v>
      </c>
      <c r="V17" s="67">
        <v>0.35714285714285715</v>
      </c>
      <c r="W17" s="51">
        <v>0.75</v>
      </c>
      <c r="X17" s="52">
        <v>43.75</v>
      </c>
      <c r="Y17" s="52">
        <v>30</v>
      </c>
      <c r="Z17" s="52">
        <v>237.5</v>
      </c>
      <c r="AA17" s="52">
        <v>311.25</v>
      </c>
      <c r="AB17" s="53">
        <v>0.71142857142857141</v>
      </c>
      <c r="AC17" s="72">
        <v>126.25</v>
      </c>
      <c r="AD17" s="55">
        <v>0.28857142857142859</v>
      </c>
      <c r="AE17" s="73">
        <v>3</v>
      </c>
      <c r="AF17" s="57" t="s">
        <v>95</v>
      </c>
      <c r="AG17" s="58">
        <v>200</v>
      </c>
      <c r="AH17" s="58">
        <v>150</v>
      </c>
      <c r="AI17" s="58">
        <v>350</v>
      </c>
      <c r="AJ17" s="49">
        <v>87.5</v>
      </c>
      <c r="AK17" s="49">
        <v>437.5</v>
      </c>
      <c r="AL17" s="52">
        <v>43.75</v>
      </c>
      <c r="AM17" s="52">
        <v>237.5</v>
      </c>
      <c r="AN17" s="52">
        <v>281.25</v>
      </c>
      <c r="AO17" s="59">
        <v>0.6428571428571429</v>
      </c>
      <c r="AP17" s="60">
        <v>156.25</v>
      </c>
      <c r="AQ17" s="61">
        <v>0.35714285714285715</v>
      </c>
      <c r="AR17" s="60" t="s">
        <v>78</v>
      </c>
      <c r="AS17" s="62">
        <v>320</v>
      </c>
      <c r="AT17" s="62">
        <v>240</v>
      </c>
      <c r="AU17" s="62">
        <v>560</v>
      </c>
      <c r="AV17" s="62">
        <v>700</v>
      </c>
      <c r="AW17" s="63" t="s">
        <v>74</v>
      </c>
      <c r="AX17" s="64">
        <v>45149</v>
      </c>
      <c r="AY17" s="64" t="s">
        <v>4824</v>
      </c>
      <c r="BA17" s="64"/>
      <c r="BB17" s="64"/>
      <c r="BC17" s="64"/>
      <c r="BD17" s="46"/>
      <c r="BE17" s="46" t="e">
        <v>#REF!</v>
      </c>
      <c r="BF17" s="46" t="s">
        <v>4748</v>
      </c>
      <c r="BG17" s="65">
        <v>1.5</v>
      </c>
      <c r="BH17" s="66" t="s">
        <v>4825</v>
      </c>
      <c r="BI17" s="63" t="s">
        <v>4826</v>
      </c>
    </row>
    <row r="18" spans="1:61" ht="25.5" x14ac:dyDescent="0.2">
      <c r="A18" s="45" t="s">
        <v>4827</v>
      </c>
      <c r="B18" s="46"/>
      <c r="C18" s="46" t="s">
        <v>4828</v>
      </c>
      <c r="D18" s="46" t="s">
        <v>4829</v>
      </c>
      <c r="E18" s="46" t="s">
        <v>4830</v>
      </c>
      <c r="F18" s="46" t="s">
        <v>68</v>
      </c>
      <c r="G18" s="46" t="s">
        <v>68</v>
      </c>
      <c r="H18" s="46" t="s">
        <v>68</v>
      </c>
      <c r="I18" s="46" t="s">
        <v>68</v>
      </c>
      <c r="J18" s="46" t="s">
        <v>71</v>
      </c>
      <c r="K18" s="47">
        <v>300</v>
      </c>
      <c r="L18" s="47">
        <f>250+250</f>
        <v>500</v>
      </c>
      <c r="M18" s="47">
        <v>800</v>
      </c>
      <c r="N18" s="46"/>
      <c r="O18" s="71" t="s">
        <v>68</v>
      </c>
      <c r="P18" s="64"/>
      <c r="Q18" s="46" t="s">
        <v>4748</v>
      </c>
      <c r="R18" s="46" t="s">
        <v>4751</v>
      </c>
      <c r="S18" s="49">
        <v>200</v>
      </c>
      <c r="T18" s="49">
        <v>1000</v>
      </c>
      <c r="U18" s="50">
        <v>0.17</v>
      </c>
      <c r="V18" s="28">
        <v>0.2</v>
      </c>
      <c r="W18" s="77">
        <v>1.6666666666666667</v>
      </c>
      <c r="X18" s="52">
        <v>100</v>
      </c>
      <c r="Y18" s="52">
        <v>30</v>
      </c>
      <c r="Z18" s="52">
        <v>700</v>
      </c>
      <c r="AA18" s="52">
        <v>830</v>
      </c>
      <c r="AB18" s="53">
        <v>0.83</v>
      </c>
      <c r="AC18" s="72">
        <v>170</v>
      </c>
      <c r="AD18" s="55">
        <v>0.17</v>
      </c>
      <c r="AE18" s="73">
        <v>3</v>
      </c>
      <c r="AF18" s="57" t="s">
        <v>95</v>
      </c>
      <c r="AG18" s="58">
        <v>300</v>
      </c>
      <c r="AH18" s="58">
        <v>500</v>
      </c>
      <c r="AI18" s="58">
        <v>800</v>
      </c>
      <c r="AJ18" s="49">
        <v>200</v>
      </c>
      <c r="AK18" s="49">
        <v>1000</v>
      </c>
      <c r="AL18" s="52">
        <v>100</v>
      </c>
      <c r="AM18" s="52">
        <v>700</v>
      </c>
      <c r="AN18" s="52">
        <v>800</v>
      </c>
      <c r="AO18" s="59">
        <v>0.8</v>
      </c>
      <c r="AP18" s="60">
        <v>200</v>
      </c>
      <c r="AQ18" s="61">
        <v>0.2</v>
      </c>
      <c r="AR18" s="60" t="s">
        <v>78</v>
      </c>
      <c r="AS18" s="62">
        <v>480</v>
      </c>
      <c r="AT18" s="62">
        <v>800</v>
      </c>
      <c r="AU18" s="62">
        <v>1280</v>
      </c>
      <c r="AV18" s="62">
        <v>1600</v>
      </c>
      <c r="AW18" s="63" t="s">
        <v>74</v>
      </c>
      <c r="AX18" s="64">
        <v>45149</v>
      </c>
      <c r="AY18" s="64" t="s">
        <v>4831</v>
      </c>
      <c r="BA18" s="64"/>
      <c r="BB18" s="64"/>
      <c r="BC18" s="64"/>
      <c r="BD18" s="46"/>
      <c r="BE18" s="46" t="e">
        <v>#REF!</v>
      </c>
      <c r="BF18" s="46" t="s">
        <v>4748</v>
      </c>
      <c r="BG18" s="65">
        <v>3</v>
      </c>
      <c r="BH18" s="66"/>
      <c r="BI18" s="63" t="s">
        <v>4832</v>
      </c>
    </row>
    <row r="19" spans="1:61" ht="38.25" x14ac:dyDescent="0.2">
      <c r="A19" s="45" t="s">
        <v>4833</v>
      </c>
      <c r="B19" s="46"/>
      <c r="C19" s="46" t="s">
        <v>4828</v>
      </c>
      <c r="D19" s="46" t="s">
        <v>4829</v>
      </c>
      <c r="E19" s="46" t="s">
        <v>4834</v>
      </c>
      <c r="F19" s="46" t="s">
        <v>68</v>
      </c>
      <c r="G19" s="46" t="s">
        <v>68</v>
      </c>
      <c r="H19" s="46" t="s">
        <v>68</v>
      </c>
      <c r="I19" s="46" t="s">
        <v>68</v>
      </c>
      <c r="J19" s="46" t="s">
        <v>71</v>
      </c>
      <c r="K19" s="47">
        <v>300</v>
      </c>
      <c r="L19" s="47">
        <v>250</v>
      </c>
      <c r="M19" s="47">
        <v>550</v>
      </c>
      <c r="N19" s="46"/>
      <c r="O19" s="71" t="s">
        <v>68</v>
      </c>
      <c r="P19" s="64"/>
      <c r="Q19" s="46" t="s">
        <v>4748</v>
      </c>
      <c r="R19" s="46" t="s">
        <v>4751</v>
      </c>
      <c r="S19" s="49">
        <v>137.5</v>
      </c>
      <c r="T19" s="49">
        <v>687.5</v>
      </c>
      <c r="U19" s="28">
        <v>0.29272727272727272</v>
      </c>
      <c r="V19" s="67">
        <v>0.33636363636363636</v>
      </c>
      <c r="W19" s="51">
        <v>0.83333333333333337</v>
      </c>
      <c r="X19" s="52">
        <v>68.75</v>
      </c>
      <c r="Y19" s="52">
        <v>30</v>
      </c>
      <c r="Z19" s="52">
        <v>387.5</v>
      </c>
      <c r="AA19" s="52">
        <v>486.25</v>
      </c>
      <c r="AB19" s="53">
        <v>0.70727272727272728</v>
      </c>
      <c r="AC19" s="72">
        <v>201.25</v>
      </c>
      <c r="AD19" s="55">
        <v>0.29272727272727272</v>
      </c>
      <c r="AE19" s="73">
        <v>3</v>
      </c>
      <c r="AF19" s="57" t="s">
        <v>95</v>
      </c>
      <c r="AG19" s="58">
        <v>300</v>
      </c>
      <c r="AH19" s="58">
        <v>250</v>
      </c>
      <c r="AI19" s="58">
        <v>550</v>
      </c>
      <c r="AJ19" s="49">
        <v>137.5</v>
      </c>
      <c r="AK19" s="49">
        <v>687.5</v>
      </c>
      <c r="AL19" s="52">
        <v>68.75</v>
      </c>
      <c r="AM19" s="52">
        <v>387.5</v>
      </c>
      <c r="AN19" s="52">
        <v>456.25</v>
      </c>
      <c r="AO19" s="59">
        <v>0.66363636363636369</v>
      </c>
      <c r="AP19" s="60">
        <v>231.25</v>
      </c>
      <c r="AQ19" s="61">
        <v>0.33636363636363636</v>
      </c>
      <c r="AR19" s="60" t="s">
        <v>78</v>
      </c>
      <c r="AS19" s="62">
        <v>480</v>
      </c>
      <c r="AT19" s="62">
        <v>400</v>
      </c>
      <c r="AU19" s="62">
        <v>880</v>
      </c>
      <c r="AV19" s="62">
        <v>1100</v>
      </c>
      <c r="AW19" s="63" t="s">
        <v>74</v>
      </c>
      <c r="AX19" s="64">
        <v>45149</v>
      </c>
      <c r="AY19" s="64" t="s">
        <v>4835</v>
      </c>
      <c r="BA19" s="64"/>
      <c r="BB19" s="64"/>
      <c r="BC19" s="64"/>
      <c r="BD19" s="46"/>
      <c r="BE19" s="46" t="e">
        <v>#REF!</v>
      </c>
      <c r="BF19" s="46" t="s">
        <v>4748</v>
      </c>
      <c r="BG19" s="65">
        <v>3</v>
      </c>
      <c r="BH19" s="66"/>
      <c r="BI19" s="63" t="s">
        <v>4836</v>
      </c>
    </row>
    <row r="20" spans="1:61" ht="25.5" x14ac:dyDescent="0.2">
      <c r="A20" s="34" t="s">
        <v>4837</v>
      </c>
      <c r="B20" s="35"/>
      <c r="C20" s="35" t="s">
        <v>68</v>
      </c>
      <c r="D20" s="35" t="s">
        <v>68</v>
      </c>
      <c r="E20" s="35" t="s">
        <v>68</v>
      </c>
      <c r="F20" s="35" t="s">
        <v>68</v>
      </c>
      <c r="G20" s="35" t="s">
        <v>68</v>
      </c>
      <c r="H20" s="35" t="s">
        <v>68</v>
      </c>
      <c r="I20" s="35" t="s">
        <v>68</v>
      </c>
      <c r="J20" s="35" t="s">
        <v>68</v>
      </c>
      <c r="K20" s="36" t="s">
        <v>68</v>
      </c>
      <c r="L20" s="36" t="s">
        <v>68</v>
      </c>
      <c r="M20" s="36" t="s">
        <v>68</v>
      </c>
      <c r="N20" s="35"/>
      <c r="O20" s="35" t="s">
        <v>68</v>
      </c>
      <c r="P20" s="37"/>
      <c r="Q20" s="38" t="s">
        <v>4748</v>
      </c>
      <c r="R20" s="38" t="s">
        <v>4838</v>
      </c>
      <c r="S20" s="36" t="s">
        <v>68</v>
      </c>
      <c r="T20" s="36" t="s">
        <v>68</v>
      </c>
      <c r="U20" s="39" t="s">
        <v>68</v>
      </c>
      <c r="V20" s="39" t="s">
        <v>68</v>
      </c>
      <c r="W20" s="40" t="s">
        <v>68</v>
      </c>
      <c r="X20" s="36" t="s">
        <v>68</v>
      </c>
      <c r="Y20" s="36" t="s">
        <v>68</v>
      </c>
      <c r="Z20" s="36" t="s">
        <v>68</v>
      </c>
      <c r="AA20" s="36" t="s">
        <v>68</v>
      </c>
      <c r="AB20" s="39" t="s">
        <v>68</v>
      </c>
      <c r="AC20" s="36" t="s">
        <v>68</v>
      </c>
      <c r="AD20" s="39" t="s">
        <v>68</v>
      </c>
      <c r="AE20" s="41"/>
      <c r="AF20" s="42" t="s">
        <v>68</v>
      </c>
      <c r="AG20" s="36" t="s">
        <v>68</v>
      </c>
      <c r="AH20" s="36" t="s">
        <v>68</v>
      </c>
      <c r="AI20" s="36" t="s">
        <v>68</v>
      </c>
      <c r="AJ20" s="36" t="s">
        <v>68</v>
      </c>
      <c r="AK20" s="36" t="s">
        <v>68</v>
      </c>
      <c r="AL20" s="36" t="s">
        <v>68</v>
      </c>
      <c r="AM20" s="36" t="s">
        <v>68</v>
      </c>
      <c r="AN20" s="36" t="s">
        <v>68</v>
      </c>
      <c r="AO20" s="43" t="s">
        <v>68</v>
      </c>
      <c r="AP20" s="36" t="s">
        <v>68</v>
      </c>
      <c r="AQ20" s="39" t="s">
        <v>68</v>
      </c>
      <c r="AR20" s="36" t="s">
        <v>68</v>
      </c>
      <c r="AS20" s="36" t="s">
        <v>68</v>
      </c>
      <c r="AT20" s="36" t="s">
        <v>68</v>
      </c>
      <c r="AU20" s="36" t="s">
        <v>68</v>
      </c>
      <c r="AV20" s="36" t="s">
        <v>68</v>
      </c>
      <c r="AW20" s="35"/>
      <c r="AX20" s="37"/>
      <c r="AY20" s="37" t="s">
        <v>68</v>
      </c>
      <c r="BA20" s="37"/>
      <c r="BB20" s="37"/>
      <c r="BC20" s="37"/>
      <c r="BD20" s="35"/>
      <c r="BE20" s="35" t="e">
        <v>#REF!</v>
      </c>
      <c r="BF20" s="35"/>
      <c r="BG20" s="44"/>
      <c r="BH20" s="38" t="s">
        <v>4839</v>
      </c>
      <c r="BI20" s="35" t="s">
        <v>68</v>
      </c>
    </row>
    <row r="21" spans="1:61" ht="25.5" x14ac:dyDescent="0.2">
      <c r="A21" s="45" t="s">
        <v>4840</v>
      </c>
      <c r="B21" s="46"/>
      <c r="C21" s="46" t="s">
        <v>4841</v>
      </c>
      <c r="D21" s="46" t="s">
        <v>4842</v>
      </c>
      <c r="E21" s="46" t="s">
        <v>68</v>
      </c>
      <c r="F21" s="46" t="s">
        <v>68</v>
      </c>
      <c r="G21" s="46" t="s">
        <v>68</v>
      </c>
      <c r="H21" s="46" t="s">
        <v>68</v>
      </c>
      <c r="I21" s="46" t="s">
        <v>68</v>
      </c>
      <c r="J21" s="46" t="s">
        <v>71</v>
      </c>
      <c r="K21" s="47">
        <v>160</v>
      </c>
      <c r="L21" s="47">
        <v>20</v>
      </c>
      <c r="M21" s="47">
        <v>180</v>
      </c>
      <c r="N21" s="46"/>
      <c r="O21" s="71" t="s">
        <v>68</v>
      </c>
      <c r="P21" s="64"/>
      <c r="Q21" s="46" t="s">
        <v>4748</v>
      </c>
      <c r="R21" s="46" t="s">
        <v>4838</v>
      </c>
      <c r="S21" s="49">
        <v>45</v>
      </c>
      <c r="T21" s="49">
        <v>225</v>
      </c>
      <c r="U21" s="67">
        <v>0.4777777777777778</v>
      </c>
      <c r="V21" s="67">
        <v>0.54</v>
      </c>
      <c r="W21" s="51">
        <v>0.125</v>
      </c>
      <c r="X21" s="52">
        <v>22.5</v>
      </c>
      <c r="Y21" s="52">
        <v>30</v>
      </c>
      <c r="Z21" s="52">
        <v>65</v>
      </c>
      <c r="AA21" s="52">
        <v>117.5</v>
      </c>
      <c r="AB21" s="53">
        <v>0.52222222222222225</v>
      </c>
      <c r="AC21" s="54">
        <v>107.5</v>
      </c>
      <c r="AD21" s="55">
        <v>0.4777777777777778</v>
      </c>
      <c r="AE21" s="56">
        <v>2</v>
      </c>
      <c r="AF21" s="57" t="s">
        <v>72</v>
      </c>
      <c r="AG21" s="58">
        <v>80</v>
      </c>
      <c r="AH21" s="58">
        <v>20</v>
      </c>
      <c r="AI21" s="58">
        <v>100</v>
      </c>
      <c r="AJ21" s="49">
        <v>25</v>
      </c>
      <c r="AK21" s="49">
        <v>125</v>
      </c>
      <c r="AL21" s="52">
        <v>12.5</v>
      </c>
      <c r="AM21" s="52">
        <v>45</v>
      </c>
      <c r="AN21" s="52">
        <v>57.5</v>
      </c>
      <c r="AO21" s="59">
        <v>0.46</v>
      </c>
      <c r="AP21" s="60">
        <v>67.5</v>
      </c>
      <c r="AQ21" s="61">
        <v>0.54</v>
      </c>
      <c r="AR21" s="60" t="s">
        <v>78</v>
      </c>
      <c r="AS21" s="62">
        <v>240</v>
      </c>
      <c r="AT21" s="62">
        <v>30</v>
      </c>
      <c r="AU21" s="62">
        <v>270</v>
      </c>
      <c r="AV21" s="62">
        <v>337.5</v>
      </c>
      <c r="AW21" s="63" t="s">
        <v>74</v>
      </c>
      <c r="AX21" s="64">
        <v>45149</v>
      </c>
      <c r="AY21" s="64" t="s">
        <v>4843</v>
      </c>
      <c r="BA21" s="64"/>
      <c r="BB21" s="64"/>
      <c r="BC21" s="64"/>
      <c r="BD21" s="46"/>
      <c r="BE21" s="46" t="e">
        <v>#REF!</v>
      </c>
      <c r="BF21" s="46" t="s">
        <v>79</v>
      </c>
      <c r="BG21" s="65">
        <v>0.25</v>
      </c>
      <c r="BH21" s="66"/>
      <c r="BI21" s="63" t="s">
        <v>4844</v>
      </c>
    </row>
    <row r="22" spans="1:61" x14ac:dyDescent="0.2">
      <c r="A22" s="45" t="s">
        <v>4845</v>
      </c>
      <c r="B22" s="46"/>
      <c r="C22" s="46" t="s">
        <v>4846</v>
      </c>
      <c r="D22" s="46" t="s">
        <v>68</v>
      </c>
      <c r="E22" s="46" t="s">
        <v>68</v>
      </c>
      <c r="F22" s="46" t="s">
        <v>68</v>
      </c>
      <c r="G22" s="46" t="s">
        <v>68</v>
      </c>
      <c r="H22" s="46" t="s">
        <v>68</v>
      </c>
      <c r="I22" s="46" t="s">
        <v>68</v>
      </c>
      <c r="J22" s="46" t="s">
        <v>71</v>
      </c>
      <c r="K22" s="47">
        <v>180</v>
      </c>
      <c r="L22" s="47">
        <v>40</v>
      </c>
      <c r="M22" s="47">
        <v>220</v>
      </c>
      <c r="N22" s="46"/>
      <c r="O22" s="71" t="s">
        <v>68</v>
      </c>
      <c r="P22" s="64"/>
      <c r="Q22" s="46" t="s">
        <v>4748</v>
      </c>
      <c r="R22" s="46" t="s">
        <v>4838</v>
      </c>
      <c r="S22" s="49">
        <v>55</v>
      </c>
      <c r="T22" s="49">
        <v>275</v>
      </c>
      <c r="U22" s="67">
        <v>0.44545454545454544</v>
      </c>
      <c r="V22" s="67">
        <v>0.55454545454545456</v>
      </c>
      <c r="W22" s="51">
        <v>0.22222222222222221</v>
      </c>
      <c r="X22" s="52">
        <v>27.5</v>
      </c>
      <c r="Y22" s="52">
        <v>30</v>
      </c>
      <c r="Z22" s="52">
        <v>95</v>
      </c>
      <c r="AA22" s="52">
        <v>152.5</v>
      </c>
      <c r="AB22" s="53">
        <v>0.55454545454545456</v>
      </c>
      <c r="AC22" s="72">
        <v>122.5</v>
      </c>
      <c r="AD22" s="55">
        <v>0.44545454545454544</v>
      </c>
      <c r="AE22" s="73">
        <v>3</v>
      </c>
      <c r="AF22" s="57" t="s">
        <v>95</v>
      </c>
      <c r="AG22" s="58">
        <v>180</v>
      </c>
      <c r="AH22" s="58">
        <v>40</v>
      </c>
      <c r="AI22" s="58">
        <v>220</v>
      </c>
      <c r="AJ22" s="49">
        <v>55</v>
      </c>
      <c r="AK22" s="49">
        <v>275</v>
      </c>
      <c r="AL22" s="52">
        <v>27.5</v>
      </c>
      <c r="AM22" s="52">
        <v>95</v>
      </c>
      <c r="AN22" s="52">
        <v>122.5</v>
      </c>
      <c r="AO22" s="59">
        <v>0.44545454545454544</v>
      </c>
      <c r="AP22" s="60">
        <v>152.5</v>
      </c>
      <c r="AQ22" s="61">
        <v>0.55454545454545456</v>
      </c>
      <c r="AR22" s="60" t="s">
        <v>78</v>
      </c>
      <c r="AS22" s="62">
        <v>288</v>
      </c>
      <c r="AT22" s="62">
        <v>64</v>
      </c>
      <c r="AU22" s="62">
        <v>352</v>
      </c>
      <c r="AV22" s="62">
        <v>440</v>
      </c>
      <c r="AW22" s="63" t="s">
        <v>74</v>
      </c>
      <c r="AX22" s="64">
        <v>45149</v>
      </c>
      <c r="AY22" s="64" t="s">
        <v>4847</v>
      </c>
      <c r="BA22" s="64"/>
      <c r="BB22" s="64"/>
      <c r="BC22" s="64"/>
      <c r="BD22" s="46"/>
      <c r="BE22" s="46" t="e">
        <v>#REF!</v>
      </c>
      <c r="BF22" s="46" t="s">
        <v>79</v>
      </c>
      <c r="BG22" s="65">
        <v>1</v>
      </c>
      <c r="BH22" s="66"/>
      <c r="BI22" s="63" t="s">
        <v>4846</v>
      </c>
    </row>
    <row r="23" spans="1:61" ht="25.5" x14ac:dyDescent="0.2">
      <c r="A23" s="45" t="s">
        <v>4848</v>
      </c>
      <c r="B23" s="46"/>
      <c r="C23" s="46" t="s">
        <v>4849</v>
      </c>
      <c r="D23" s="46" t="s">
        <v>4850</v>
      </c>
      <c r="E23" s="46" t="s">
        <v>4851</v>
      </c>
      <c r="F23" s="46" t="s">
        <v>68</v>
      </c>
      <c r="G23" s="46" t="s">
        <v>68</v>
      </c>
      <c r="H23" s="46" t="s">
        <v>68</v>
      </c>
      <c r="I23" s="46" t="s">
        <v>68</v>
      </c>
      <c r="J23" s="46" t="s">
        <v>71</v>
      </c>
      <c r="K23" s="47">
        <v>180</v>
      </c>
      <c r="L23" s="47">
        <v>180</v>
      </c>
      <c r="M23" s="47">
        <v>360</v>
      </c>
      <c r="N23" s="46"/>
      <c r="O23" s="71" t="s">
        <v>68</v>
      </c>
      <c r="P23" s="64"/>
      <c r="Q23" s="46" t="s">
        <v>4748</v>
      </c>
      <c r="R23" s="46" t="s">
        <v>4838</v>
      </c>
      <c r="S23" s="49">
        <v>90</v>
      </c>
      <c r="T23" s="49">
        <v>450</v>
      </c>
      <c r="U23" s="28">
        <v>0.23333333333333334</v>
      </c>
      <c r="V23" s="67">
        <v>0.3</v>
      </c>
      <c r="W23" s="51">
        <v>1</v>
      </c>
      <c r="X23" s="52">
        <v>45</v>
      </c>
      <c r="Y23" s="52">
        <v>30</v>
      </c>
      <c r="Z23" s="52">
        <v>270</v>
      </c>
      <c r="AA23" s="52">
        <v>345</v>
      </c>
      <c r="AB23" s="53">
        <v>0.76666666666666672</v>
      </c>
      <c r="AC23" s="54">
        <v>105</v>
      </c>
      <c r="AD23" s="55">
        <v>0.23333333333333334</v>
      </c>
      <c r="AE23" s="73">
        <v>3</v>
      </c>
      <c r="AF23" s="57" t="s">
        <v>95</v>
      </c>
      <c r="AG23" s="58">
        <v>180</v>
      </c>
      <c r="AH23" s="58">
        <v>180</v>
      </c>
      <c r="AI23" s="58">
        <v>360</v>
      </c>
      <c r="AJ23" s="49">
        <v>90</v>
      </c>
      <c r="AK23" s="49">
        <v>450</v>
      </c>
      <c r="AL23" s="52">
        <v>45</v>
      </c>
      <c r="AM23" s="52">
        <v>270</v>
      </c>
      <c r="AN23" s="52">
        <v>315</v>
      </c>
      <c r="AO23" s="59">
        <v>0.7</v>
      </c>
      <c r="AP23" s="60">
        <v>135</v>
      </c>
      <c r="AQ23" s="61">
        <v>0.3</v>
      </c>
      <c r="AR23" s="60" t="s">
        <v>78</v>
      </c>
      <c r="AS23" s="62">
        <v>288</v>
      </c>
      <c r="AT23" s="62">
        <v>288</v>
      </c>
      <c r="AU23" s="62">
        <v>576</v>
      </c>
      <c r="AV23" s="62">
        <v>720</v>
      </c>
      <c r="AW23" s="63" t="s">
        <v>74</v>
      </c>
      <c r="AX23" s="64">
        <v>45149</v>
      </c>
      <c r="AY23" s="64" t="s">
        <v>4852</v>
      </c>
      <c r="BA23" s="64"/>
      <c r="BB23" s="64"/>
      <c r="BC23" s="64"/>
      <c r="BD23" s="46"/>
      <c r="BE23" s="46" t="e">
        <v>#REF!</v>
      </c>
      <c r="BF23" s="46" t="s">
        <v>79</v>
      </c>
      <c r="BG23" s="65">
        <v>0.75</v>
      </c>
      <c r="BH23" s="66"/>
      <c r="BI23" s="63" t="s">
        <v>4853</v>
      </c>
    </row>
    <row r="24" spans="1:61" ht="38.25" x14ac:dyDescent="0.2">
      <c r="A24" s="45" t="s">
        <v>4854</v>
      </c>
      <c r="B24" s="46"/>
      <c r="C24" s="46" t="s">
        <v>4849</v>
      </c>
      <c r="D24" s="46" t="s">
        <v>4850</v>
      </c>
      <c r="E24" s="46" t="s">
        <v>4851</v>
      </c>
      <c r="F24" s="46" t="s">
        <v>4855</v>
      </c>
      <c r="G24" s="46" t="s">
        <v>68</v>
      </c>
      <c r="H24" s="46" t="s">
        <v>68</v>
      </c>
      <c r="I24" s="46" t="s">
        <v>68</v>
      </c>
      <c r="J24" s="46" t="s">
        <v>71</v>
      </c>
      <c r="K24" s="47">
        <f>K23+80</f>
        <v>260</v>
      </c>
      <c r="L24" s="47">
        <f>L23+20</f>
        <v>200</v>
      </c>
      <c r="M24" s="47">
        <v>460</v>
      </c>
      <c r="N24" s="46"/>
      <c r="O24" s="71" t="s">
        <v>68</v>
      </c>
      <c r="P24" s="64"/>
      <c r="Q24" s="46" t="s">
        <v>4748</v>
      </c>
      <c r="R24" s="46" t="s">
        <v>4838</v>
      </c>
      <c r="S24" s="49">
        <v>115</v>
      </c>
      <c r="T24" s="49">
        <v>575</v>
      </c>
      <c r="U24" s="67">
        <v>0.3</v>
      </c>
      <c r="V24" s="67">
        <v>0.35217391304347828</v>
      </c>
      <c r="W24" s="51">
        <v>0.76923076923076927</v>
      </c>
      <c r="X24" s="52">
        <v>57.5</v>
      </c>
      <c r="Y24" s="52">
        <v>30</v>
      </c>
      <c r="Z24" s="52">
        <v>315</v>
      </c>
      <c r="AA24" s="52">
        <v>402.5</v>
      </c>
      <c r="AB24" s="53">
        <v>0.7</v>
      </c>
      <c r="AC24" s="72">
        <v>172.5</v>
      </c>
      <c r="AD24" s="55">
        <v>0.3</v>
      </c>
      <c r="AE24" s="73">
        <v>3</v>
      </c>
      <c r="AF24" s="57" t="s">
        <v>95</v>
      </c>
      <c r="AG24" s="58">
        <v>260</v>
      </c>
      <c r="AH24" s="58">
        <v>200</v>
      </c>
      <c r="AI24" s="58">
        <v>460</v>
      </c>
      <c r="AJ24" s="49">
        <v>115</v>
      </c>
      <c r="AK24" s="49">
        <v>575</v>
      </c>
      <c r="AL24" s="52">
        <v>57.5</v>
      </c>
      <c r="AM24" s="52">
        <v>315</v>
      </c>
      <c r="AN24" s="52">
        <v>372.5</v>
      </c>
      <c r="AO24" s="59">
        <v>0.64782608695652177</v>
      </c>
      <c r="AP24" s="60">
        <v>202.5</v>
      </c>
      <c r="AQ24" s="61">
        <v>0.35217391304347828</v>
      </c>
      <c r="AR24" s="60" t="s">
        <v>78</v>
      </c>
      <c r="AS24" s="62">
        <v>416</v>
      </c>
      <c r="AT24" s="62">
        <v>320</v>
      </c>
      <c r="AU24" s="62">
        <v>736</v>
      </c>
      <c r="AV24" s="62">
        <v>920</v>
      </c>
      <c r="AW24" s="63" t="s">
        <v>74</v>
      </c>
      <c r="AX24" s="64">
        <v>45149</v>
      </c>
      <c r="AY24" s="64" t="s">
        <v>4856</v>
      </c>
      <c r="BA24" s="64"/>
      <c r="BB24" s="64"/>
      <c r="BC24" s="64"/>
      <c r="BD24" s="46"/>
      <c r="BE24" s="46" t="e">
        <v>#REF!</v>
      </c>
      <c r="BF24" s="46" t="s">
        <v>79</v>
      </c>
      <c r="BG24" s="65">
        <v>1.75</v>
      </c>
      <c r="BH24" s="66"/>
      <c r="BI24" s="63" t="s">
        <v>4857</v>
      </c>
    </row>
    <row r="25" spans="1:61" ht="25.5" x14ac:dyDescent="0.2">
      <c r="A25" s="45" t="s">
        <v>4858</v>
      </c>
      <c r="B25" s="46"/>
      <c r="C25" s="46" t="s">
        <v>4849</v>
      </c>
      <c r="D25" s="46" t="s">
        <v>4859</v>
      </c>
      <c r="E25" s="46" t="s">
        <v>4851</v>
      </c>
      <c r="F25" s="46" t="s">
        <v>68</v>
      </c>
      <c r="G25" s="46" t="s">
        <v>68</v>
      </c>
      <c r="H25" s="46" t="s">
        <v>68</v>
      </c>
      <c r="I25" s="46" t="s">
        <v>68</v>
      </c>
      <c r="J25" s="46" t="s">
        <v>71</v>
      </c>
      <c r="K25" s="47">
        <v>200</v>
      </c>
      <c r="L25" s="47">
        <v>280</v>
      </c>
      <c r="M25" s="47">
        <v>480</v>
      </c>
      <c r="N25" s="46"/>
      <c r="O25" s="71" t="s">
        <v>68</v>
      </c>
      <c r="P25" s="64"/>
      <c r="Q25" s="46" t="s">
        <v>4748</v>
      </c>
      <c r="R25" s="46" t="s">
        <v>4838</v>
      </c>
      <c r="S25" s="49">
        <v>120</v>
      </c>
      <c r="T25" s="49">
        <v>600</v>
      </c>
      <c r="U25" s="50">
        <v>0.18333333333333332</v>
      </c>
      <c r="V25" s="28">
        <v>0.23333333333333334</v>
      </c>
      <c r="W25" s="74">
        <v>1.4</v>
      </c>
      <c r="X25" s="52">
        <v>60</v>
      </c>
      <c r="Y25" s="52">
        <v>30</v>
      </c>
      <c r="Z25" s="52">
        <v>400</v>
      </c>
      <c r="AA25" s="52">
        <v>490</v>
      </c>
      <c r="AB25" s="53">
        <v>0.81666666666666665</v>
      </c>
      <c r="AC25" s="54">
        <v>110</v>
      </c>
      <c r="AD25" s="55">
        <v>0.18333333333333332</v>
      </c>
      <c r="AE25" s="73">
        <v>3</v>
      </c>
      <c r="AF25" s="57" t="s">
        <v>95</v>
      </c>
      <c r="AG25" s="58">
        <v>200</v>
      </c>
      <c r="AH25" s="58">
        <v>280</v>
      </c>
      <c r="AI25" s="58">
        <v>480</v>
      </c>
      <c r="AJ25" s="49">
        <v>120</v>
      </c>
      <c r="AK25" s="49">
        <v>600</v>
      </c>
      <c r="AL25" s="52">
        <v>60</v>
      </c>
      <c r="AM25" s="52">
        <v>400</v>
      </c>
      <c r="AN25" s="52">
        <v>460</v>
      </c>
      <c r="AO25" s="59">
        <v>0.76666666666666672</v>
      </c>
      <c r="AP25" s="60">
        <v>140</v>
      </c>
      <c r="AQ25" s="61">
        <v>0.23333333333333334</v>
      </c>
      <c r="AR25" s="60" t="s">
        <v>78</v>
      </c>
      <c r="AS25" s="62">
        <v>320</v>
      </c>
      <c r="AT25" s="62">
        <v>448</v>
      </c>
      <c r="AU25" s="62">
        <v>768</v>
      </c>
      <c r="AV25" s="62">
        <v>960</v>
      </c>
      <c r="AW25" s="63" t="s">
        <v>74</v>
      </c>
      <c r="AX25" s="64">
        <v>45149</v>
      </c>
      <c r="AY25" s="64" t="s">
        <v>4860</v>
      </c>
      <c r="BA25" s="64"/>
      <c r="BB25" s="64"/>
      <c r="BC25" s="64"/>
      <c r="BD25" s="46"/>
      <c r="BE25" s="46" t="e">
        <v>#REF!</v>
      </c>
      <c r="BF25" s="46" t="s">
        <v>79</v>
      </c>
      <c r="BG25" s="65">
        <v>0.75</v>
      </c>
      <c r="BH25" s="66"/>
      <c r="BI25" s="63" t="s">
        <v>4861</v>
      </c>
    </row>
    <row r="26" spans="1:61" ht="38.25" x14ac:dyDescent="0.2">
      <c r="A26" s="45" t="s">
        <v>4862</v>
      </c>
      <c r="B26" s="46"/>
      <c r="C26" s="46" t="s">
        <v>4849</v>
      </c>
      <c r="D26" s="46" t="s">
        <v>4859</v>
      </c>
      <c r="E26" s="46" t="s">
        <v>4851</v>
      </c>
      <c r="F26" s="46" t="s">
        <v>4855</v>
      </c>
      <c r="G26" s="46" t="s">
        <v>68</v>
      </c>
      <c r="H26" s="46" t="s">
        <v>68</v>
      </c>
      <c r="I26" s="46" t="s">
        <v>68</v>
      </c>
      <c r="J26" s="46" t="s">
        <v>71</v>
      </c>
      <c r="K26" s="47">
        <f>K25+80</f>
        <v>280</v>
      </c>
      <c r="L26" s="47">
        <f>L25+20</f>
        <v>300</v>
      </c>
      <c r="M26" s="47">
        <v>580</v>
      </c>
      <c r="N26" s="46"/>
      <c r="O26" s="71" t="s">
        <v>68</v>
      </c>
      <c r="P26" s="64"/>
      <c r="Q26" s="46" t="s">
        <v>4748</v>
      </c>
      <c r="R26" s="46" t="s">
        <v>4838</v>
      </c>
      <c r="S26" s="49">
        <v>145</v>
      </c>
      <c r="T26" s="49">
        <v>725</v>
      </c>
      <c r="U26" s="28">
        <v>0.24482758620689654</v>
      </c>
      <c r="V26" s="28">
        <v>0.28620689655172415</v>
      </c>
      <c r="W26" s="74">
        <v>1.0714285714285714</v>
      </c>
      <c r="X26" s="52">
        <v>72.5</v>
      </c>
      <c r="Y26" s="52">
        <v>30</v>
      </c>
      <c r="Z26" s="52">
        <v>445</v>
      </c>
      <c r="AA26" s="52">
        <v>547.5</v>
      </c>
      <c r="AB26" s="53">
        <v>0.7551724137931034</v>
      </c>
      <c r="AC26" s="72">
        <v>177.5</v>
      </c>
      <c r="AD26" s="55">
        <v>0.24482758620689654</v>
      </c>
      <c r="AE26" s="73">
        <v>3</v>
      </c>
      <c r="AF26" s="57" t="s">
        <v>95</v>
      </c>
      <c r="AG26" s="58">
        <v>280</v>
      </c>
      <c r="AH26" s="58">
        <v>300</v>
      </c>
      <c r="AI26" s="58">
        <v>580</v>
      </c>
      <c r="AJ26" s="49">
        <v>145</v>
      </c>
      <c r="AK26" s="49">
        <v>725</v>
      </c>
      <c r="AL26" s="52">
        <v>72.5</v>
      </c>
      <c r="AM26" s="52">
        <v>445</v>
      </c>
      <c r="AN26" s="52">
        <v>517.5</v>
      </c>
      <c r="AO26" s="59">
        <v>0.71379310344827585</v>
      </c>
      <c r="AP26" s="60">
        <v>207.5</v>
      </c>
      <c r="AQ26" s="61">
        <v>0.28620689655172415</v>
      </c>
      <c r="AR26" s="60" t="s">
        <v>78</v>
      </c>
      <c r="AS26" s="62">
        <v>448</v>
      </c>
      <c r="AT26" s="62">
        <v>480</v>
      </c>
      <c r="AU26" s="62">
        <v>928</v>
      </c>
      <c r="AV26" s="62">
        <v>1160</v>
      </c>
      <c r="AW26" s="63" t="s">
        <v>74</v>
      </c>
      <c r="AX26" s="64">
        <v>45149</v>
      </c>
      <c r="AY26" s="64" t="s">
        <v>4863</v>
      </c>
      <c r="BA26" s="64"/>
      <c r="BB26" s="64"/>
      <c r="BC26" s="64"/>
      <c r="BD26" s="46"/>
      <c r="BE26" s="46" t="e">
        <v>#REF!</v>
      </c>
      <c r="BF26" s="46" t="s">
        <v>79</v>
      </c>
      <c r="BG26" s="65">
        <v>1.75</v>
      </c>
      <c r="BH26" s="66"/>
      <c r="BI26" s="63" t="s">
        <v>4864</v>
      </c>
    </row>
    <row r="27" spans="1:61" x14ac:dyDescent="0.2">
      <c r="A27" s="45" t="s">
        <v>4865</v>
      </c>
      <c r="B27" s="46"/>
      <c r="C27" s="46" t="s">
        <v>4866</v>
      </c>
      <c r="D27" s="46" t="s">
        <v>68</v>
      </c>
      <c r="E27" s="46" t="s">
        <v>68</v>
      </c>
      <c r="F27" s="46" t="s">
        <v>68</v>
      </c>
      <c r="G27" s="46" t="s">
        <v>68</v>
      </c>
      <c r="H27" s="46" t="s">
        <v>68</v>
      </c>
      <c r="I27" s="46" t="s">
        <v>68</v>
      </c>
      <c r="J27" s="46" t="s">
        <v>71</v>
      </c>
      <c r="K27" s="47">
        <v>150</v>
      </c>
      <c r="L27" s="47">
        <v>30</v>
      </c>
      <c r="M27" s="47">
        <v>180</v>
      </c>
      <c r="N27" s="46"/>
      <c r="O27" s="71" t="s">
        <v>68</v>
      </c>
      <c r="P27" s="64"/>
      <c r="Q27" s="46" t="s">
        <v>4748</v>
      </c>
      <c r="R27" s="46" t="s">
        <v>4838</v>
      </c>
      <c r="S27" s="49">
        <v>45</v>
      </c>
      <c r="T27" s="49">
        <v>225</v>
      </c>
      <c r="U27" s="67">
        <v>0.43333333333333335</v>
      </c>
      <c r="V27" s="67">
        <v>0.47142857142857142</v>
      </c>
      <c r="W27" s="51">
        <v>0.2</v>
      </c>
      <c r="X27" s="52">
        <v>22.5</v>
      </c>
      <c r="Y27" s="52">
        <v>30</v>
      </c>
      <c r="Z27" s="52">
        <v>75</v>
      </c>
      <c r="AA27" s="52">
        <v>127.5</v>
      </c>
      <c r="AB27" s="53">
        <v>0.56666666666666665</v>
      </c>
      <c r="AC27" s="54">
        <v>97.5</v>
      </c>
      <c r="AD27" s="55">
        <v>0.43333333333333335</v>
      </c>
      <c r="AE27" s="56">
        <v>2</v>
      </c>
      <c r="AF27" s="57" t="s">
        <v>72</v>
      </c>
      <c r="AG27" s="58">
        <v>75</v>
      </c>
      <c r="AH27" s="58">
        <v>30</v>
      </c>
      <c r="AI27" s="58">
        <v>105</v>
      </c>
      <c r="AJ27" s="49">
        <v>26.25</v>
      </c>
      <c r="AK27" s="49">
        <v>131.25</v>
      </c>
      <c r="AL27" s="52">
        <v>13.125</v>
      </c>
      <c r="AM27" s="52">
        <v>56.25</v>
      </c>
      <c r="AN27" s="52">
        <v>69.375</v>
      </c>
      <c r="AO27" s="59">
        <v>0.52857142857142858</v>
      </c>
      <c r="AP27" s="60">
        <v>61.875</v>
      </c>
      <c r="AQ27" s="61">
        <v>0.47142857142857142</v>
      </c>
      <c r="AR27" s="60" t="s">
        <v>78</v>
      </c>
      <c r="AS27" s="62">
        <v>225</v>
      </c>
      <c r="AT27" s="62">
        <v>45</v>
      </c>
      <c r="AU27" s="62">
        <v>270</v>
      </c>
      <c r="AV27" s="62">
        <v>337.5</v>
      </c>
      <c r="AW27" s="63" t="s">
        <v>74</v>
      </c>
      <c r="AX27" s="64">
        <v>45149</v>
      </c>
      <c r="AY27" s="64" t="s">
        <v>4867</v>
      </c>
      <c r="BA27" s="64"/>
      <c r="BB27" s="64"/>
      <c r="BC27" s="64"/>
      <c r="BD27" s="46"/>
      <c r="BE27" s="46" t="e">
        <v>#REF!</v>
      </c>
      <c r="BF27" s="46" t="s">
        <v>79</v>
      </c>
      <c r="BG27" s="65">
        <v>0.75</v>
      </c>
      <c r="BH27" s="66"/>
      <c r="BI27" s="63" t="s">
        <v>4866</v>
      </c>
    </row>
    <row r="28" spans="1:61" ht="25.5" x14ac:dyDescent="0.2">
      <c r="A28" s="45" t="s">
        <v>4868</v>
      </c>
      <c r="B28" s="46"/>
      <c r="C28" s="46" t="s">
        <v>4869</v>
      </c>
      <c r="D28" s="46" t="s">
        <v>4851</v>
      </c>
      <c r="E28" s="46" t="s">
        <v>68</v>
      </c>
      <c r="F28" s="46" t="s">
        <v>68</v>
      </c>
      <c r="G28" s="46" t="s">
        <v>68</v>
      </c>
      <c r="H28" s="46" t="s">
        <v>68</v>
      </c>
      <c r="I28" s="46" t="s">
        <v>68</v>
      </c>
      <c r="J28" s="46" t="s">
        <v>71</v>
      </c>
      <c r="K28" s="47">
        <v>160</v>
      </c>
      <c r="L28" s="47">
        <v>50</v>
      </c>
      <c r="M28" s="47">
        <v>210</v>
      </c>
      <c r="N28" s="46"/>
      <c r="O28" s="71" t="s">
        <v>68</v>
      </c>
      <c r="P28" s="64"/>
      <c r="Q28" s="46" t="s">
        <v>4748</v>
      </c>
      <c r="R28" s="46" t="s">
        <v>4838</v>
      </c>
      <c r="S28" s="49">
        <v>52.5</v>
      </c>
      <c r="T28" s="49">
        <v>262.5</v>
      </c>
      <c r="U28" s="67">
        <v>0.39523809523809522</v>
      </c>
      <c r="V28" s="67">
        <v>0.3923076923076923</v>
      </c>
      <c r="W28" s="51">
        <v>0.3125</v>
      </c>
      <c r="X28" s="52">
        <v>26.25</v>
      </c>
      <c r="Y28" s="52">
        <v>30</v>
      </c>
      <c r="Z28" s="52">
        <v>102.5</v>
      </c>
      <c r="AA28" s="52">
        <v>158.75</v>
      </c>
      <c r="AB28" s="53">
        <v>0.60476190476190472</v>
      </c>
      <c r="AC28" s="54">
        <v>103.75</v>
      </c>
      <c r="AD28" s="55">
        <v>0.39523809523809522</v>
      </c>
      <c r="AE28" s="56">
        <v>2</v>
      </c>
      <c r="AF28" s="57" t="s">
        <v>72</v>
      </c>
      <c r="AG28" s="58">
        <v>80</v>
      </c>
      <c r="AH28" s="58">
        <v>50</v>
      </c>
      <c r="AI28" s="58">
        <v>130</v>
      </c>
      <c r="AJ28" s="49">
        <v>32.5</v>
      </c>
      <c r="AK28" s="49">
        <v>162.5</v>
      </c>
      <c r="AL28" s="52">
        <v>16.25</v>
      </c>
      <c r="AM28" s="52">
        <v>82.5</v>
      </c>
      <c r="AN28" s="52">
        <v>98.75</v>
      </c>
      <c r="AO28" s="59">
        <v>0.60769230769230764</v>
      </c>
      <c r="AP28" s="60">
        <v>63.75</v>
      </c>
      <c r="AQ28" s="61">
        <v>0.3923076923076923</v>
      </c>
      <c r="AR28" s="60" t="s">
        <v>78</v>
      </c>
      <c r="AS28" s="62">
        <v>240</v>
      </c>
      <c r="AT28" s="62">
        <v>75</v>
      </c>
      <c r="AU28" s="62">
        <v>315</v>
      </c>
      <c r="AV28" s="62">
        <v>393.75</v>
      </c>
      <c r="AW28" s="63" t="s">
        <v>74</v>
      </c>
      <c r="AX28" s="64">
        <v>45149</v>
      </c>
      <c r="AY28" s="64" t="s">
        <v>4870</v>
      </c>
      <c r="BA28" s="64"/>
      <c r="BB28" s="64"/>
      <c r="BC28" s="64"/>
      <c r="BD28" s="46"/>
      <c r="BE28" s="46" t="e">
        <v>#REF!</v>
      </c>
      <c r="BF28" s="46" t="s">
        <v>75</v>
      </c>
      <c r="BG28" s="65">
        <v>0.75</v>
      </c>
      <c r="BH28" s="66"/>
      <c r="BI28" s="63" t="s">
        <v>4871</v>
      </c>
    </row>
    <row r="29" spans="1:61" x14ac:dyDescent="0.2">
      <c r="A29" s="45" t="s">
        <v>4872</v>
      </c>
      <c r="B29" s="46"/>
      <c r="C29" s="46" t="s">
        <v>4873</v>
      </c>
      <c r="D29" s="46"/>
      <c r="E29" s="46"/>
      <c r="F29" s="46" t="s">
        <v>68</v>
      </c>
      <c r="G29" s="46" t="s">
        <v>68</v>
      </c>
      <c r="H29" s="46" t="s">
        <v>68</v>
      </c>
      <c r="I29" s="46" t="s">
        <v>68</v>
      </c>
      <c r="J29" s="46" t="s">
        <v>2996</v>
      </c>
      <c r="K29" s="47">
        <v>100</v>
      </c>
      <c r="L29" s="47">
        <v>200</v>
      </c>
      <c r="M29" s="47">
        <v>300</v>
      </c>
      <c r="N29" s="46"/>
      <c r="O29" s="71" t="s">
        <v>68</v>
      </c>
      <c r="P29" s="64"/>
      <c r="Q29" s="46" t="s">
        <v>4748</v>
      </c>
      <c r="R29" s="46" t="s">
        <v>4838</v>
      </c>
      <c r="S29" s="49">
        <v>75</v>
      </c>
      <c r="T29" s="49">
        <v>375</v>
      </c>
      <c r="U29" s="50">
        <v>8.666666666666667E-2</v>
      </c>
      <c r="V29" s="50">
        <v>0.16666666666666666</v>
      </c>
      <c r="W29" s="77">
        <v>2</v>
      </c>
      <c r="X29" s="52">
        <v>37.5</v>
      </c>
      <c r="Y29" s="52">
        <v>30</v>
      </c>
      <c r="Z29" s="52">
        <v>275</v>
      </c>
      <c r="AA29" s="52">
        <v>342.5</v>
      </c>
      <c r="AB29" s="53">
        <v>0.91333333333333333</v>
      </c>
      <c r="AC29" s="75">
        <v>32.5</v>
      </c>
      <c r="AD29" s="55">
        <v>8.666666666666667E-2</v>
      </c>
      <c r="AE29" s="73">
        <v>3</v>
      </c>
      <c r="AF29" s="57" t="s">
        <v>95</v>
      </c>
      <c r="AG29" s="58">
        <v>100</v>
      </c>
      <c r="AH29" s="58">
        <v>200</v>
      </c>
      <c r="AI29" s="58">
        <v>300</v>
      </c>
      <c r="AJ29" s="49">
        <v>75</v>
      </c>
      <c r="AK29" s="49">
        <v>375</v>
      </c>
      <c r="AL29" s="52">
        <v>37.5</v>
      </c>
      <c r="AM29" s="52">
        <v>275</v>
      </c>
      <c r="AN29" s="52">
        <v>312.5</v>
      </c>
      <c r="AO29" s="59">
        <v>0.83333333333333337</v>
      </c>
      <c r="AP29" s="60">
        <v>62.5</v>
      </c>
      <c r="AQ29" s="61">
        <v>0.16666666666666666</v>
      </c>
      <c r="AR29" s="60" t="s">
        <v>73</v>
      </c>
      <c r="AS29" s="62">
        <v>160</v>
      </c>
      <c r="AT29" s="62">
        <v>320</v>
      </c>
      <c r="AU29" s="62">
        <v>480</v>
      </c>
      <c r="AV29" s="62">
        <v>600</v>
      </c>
      <c r="AW29" s="63" t="s">
        <v>74</v>
      </c>
      <c r="AX29" s="64">
        <v>45357</v>
      </c>
      <c r="AY29" s="64" t="s">
        <v>4874</v>
      </c>
      <c r="BA29" s="64"/>
      <c r="BB29" s="64"/>
      <c r="BC29" s="64"/>
      <c r="BD29" s="46"/>
      <c r="BE29" s="46" t="e">
        <v>#REF!</v>
      </c>
      <c r="BF29" s="46" t="s">
        <v>75</v>
      </c>
      <c r="BG29" s="65">
        <v>1.75</v>
      </c>
      <c r="BH29" s="66"/>
      <c r="BI29" s="63" t="s">
        <v>4873</v>
      </c>
    </row>
    <row r="30" spans="1:61" ht="25.5" x14ac:dyDescent="0.2">
      <c r="A30" s="45" t="s">
        <v>4875</v>
      </c>
      <c r="B30" s="46"/>
      <c r="C30" s="46" t="s">
        <v>4876</v>
      </c>
      <c r="D30" s="46" t="s">
        <v>4851</v>
      </c>
      <c r="E30" s="46" t="s">
        <v>68</v>
      </c>
      <c r="F30" s="46" t="s">
        <v>68</v>
      </c>
      <c r="G30" s="46" t="s">
        <v>68</v>
      </c>
      <c r="H30" s="46" t="s">
        <v>68</v>
      </c>
      <c r="I30" s="46" t="s">
        <v>68</v>
      </c>
      <c r="J30" s="46" t="s">
        <v>71</v>
      </c>
      <c r="K30" s="47">
        <v>160</v>
      </c>
      <c r="L30" s="47">
        <v>50</v>
      </c>
      <c r="M30" s="47">
        <v>210</v>
      </c>
      <c r="N30" s="46"/>
      <c r="O30" s="71" t="s">
        <v>68</v>
      </c>
      <c r="P30" s="64"/>
      <c r="Q30" s="46" t="s">
        <v>4748</v>
      </c>
      <c r="R30" s="46" t="s">
        <v>4838</v>
      </c>
      <c r="S30" s="49">
        <v>52.5</v>
      </c>
      <c r="T30" s="49">
        <v>262.5</v>
      </c>
      <c r="U30" s="67">
        <v>0.39523809523809522</v>
      </c>
      <c r="V30" s="67">
        <v>0.3923076923076923</v>
      </c>
      <c r="W30" s="51">
        <v>0.3125</v>
      </c>
      <c r="X30" s="52">
        <v>26.25</v>
      </c>
      <c r="Y30" s="52">
        <v>30</v>
      </c>
      <c r="Z30" s="52">
        <v>102.5</v>
      </c>
      <c r="AA30" s="52">
        <v>158.75</v>
      </c>
      <c r="AB30" s="53">
        <v>0.60476190476190472</v>
      </c>
      <c r="AC30" s="54">
        <v>103.75</v>
      </c>
      <c r="AD30" s="55">
        <v>0.39523809523809522</v>
      </c>
      <c r="AE30" s="56">
        <v>2</v>
      </c>
      <c r="AF30" s="57" t="s">
        <v>72</v>
      </c>
      <c r="AG30" s="58">
        <v>80</v>
      </c>
      <c r="AH30" s="58">
        <v>50</v>
      </c>
      <c r="AI30" s="58">
        <v>130</v>
      </c>
      <c r="AJ30" s="49">
        <v>32.5</v>
      </c>
      <c r="AK30" s="49">
        <v>162.5</v>
      </c>
      <c r="AL30" s="52">
        <v>16.25</v>
      </c>
      <c r="AM30" s="52">
        <v>82.5</v>
      </c>
      <c r="AN30" s="52">
        <v>98.75</v>
      </c>
      <c r="AO30" s="59">
        <v>0.60769230769230764</v>
      </c>
      <c r="AP30" s="60">
        <v>63.75</v>
      </c>
      <c r="AQ30" s="61">
        <v>0.3923076923076923</v>
      </c>
      <c r="AR30" s="60" t="s">
        <v>78</v>
      </c>
      <c r="AS30" s="62">
        <v>240</v>
      </c>
      <c r="AT30" s="62">
        <v>75</v>
      </c>
      <c r="AU30" s="62">
        <v>315</v>
      </c>
      <c r="AV30" s="62">
        <v>393.75</v>
      </c>
      <c r="AW30" s="63" t="s">
        <v>74</v>
      </c>
      <c r="AX30" s="64">
        <v>45149</v>
      </c>
      <c r="AY30" s="64" t="s">
        <v>4877</v>
      </c>
      <c r="BA30" s="64"/>
      <c r="BB30" s="64"/>
      <c r="BC30" s="64"/>
      <c r="BD30" s="46"/>
      <c r="BE30" s="46" t="e">
        <v>#REF!</v>
      </c>
      <c r="BF30" s="46" t="s">
        <v>75</v>
      </c>
      <c r="BG30" s="65">
        <v>0.75</v>
      </c>
      <c r="BH30" s="66"/>
      <c r="BI30" s="63" t="s">
        <v>4878</v>
      </c>
    </row>
    <row r="31" spans="1:61" ht="25.5" x14ac:dyDescent="0.2">
      <c r="A31" s="45" t="s">
        <v>4879</v>
      </c>
      <c r="B31" s="46"/>
      <c r="C31" s="46" t="s">
        <v>4876</v>
      </c>
      <c r="D31" s="46" t="s">
        <v>4851</v>
      </c>
      <c r="E31" s="46" t="s">
        <v>4855</v>
      </c>
      <c r="F31" s="46" t="s">
        <v>68</v>
      </c>
      <c r="G31" s="46" t="s">
        <v>68</v>
      </c>
      <c r="H31" s="46" t="s">
        <v>68</v>
      </c>
      <c r="I31" s="46" t="s">
        <v>68</v>
      </c>
      <c r="J31" s="46" t="s">
        <v>71</v>
      </c>
      <c r="K31" s="47">
        <f>K30+80</f>
        <v>240</v>
      </c>
      <c r="L31" s="47">
        <f>L30+20</f>
        <v>70</v>
      </c>
      <c r="M31" s="47">
        <v>310</v>
      </c>
      <c r="N31" s="46"/>
      <c r="O31" s="71" t="s">
        <v>68</v>
      </c>
      <c r="P31" s="64"/>
      <c r="Q31" s="46" t="s">
        <v>4748</v>
      </c>
      <c r="R31" s="46" t="s">
        <v>4838</v>
      </c>
      <c r="S31" s="49">
        <v>77.5</v>
      </c>
      <c r="T31" s="49">
        <v>387.5</v>
      </c>
      <c r="U31" s="67">
        <v>0.44193548387096776</v>
      </c>
      <c r="V31" s="67">
        <v>0.51935483870967747</v>
      </c>
      <c r="W31" s="51">
        <v>0.29166666666666669</v>
      </c>
      <c r="X31" s="52">
        <v>38.75</v>
      </c>
      <c r="Y31" s="52">
        <v>30</v>
      </c>
      <c r="Z31" s="52">
        <v>147.5</v>
      </c>
      <c r="AA31" s="52">
        <v>216.25</v>
      </c>
      <c r="AB31" s="53">
        <v>0.5580645161290323</v>
      </c>
      <c r="AC31" s="72">
        <v>171.25</v>
      </c>
      <c r="AD31" s="55">
        <v>0.44193548387096776</v>
      </c>
      <c r="AE31" s="73">
        <v>3</v>
      </c>
      <c r="AF31" s="57" t="s">
        <v>95</v>
      </c>
      <c r="AG31" s="58">
        <v>240</v>
      </c>
      <c r="AH31" s="58">
        <v>70</v>
      </c>
      <c r="AI31" s="58">
        <v>310</v>
      </c>
      <c r="AJ31" s="49">
        <v>77.5</v>
      </c>
      <c r="AK31" s="49">
        <v>387.5</v>
      </c>
      <c r="AL31" s="52">
        <v>38.75</v>
      </c>
      <c r="AM31" s="52">
        <v>147.5</v>
      </c>
      <c r="AN31" s="52">
        <v>186.25</v>
      </c>
      <c r="AO31" s="59">
        <v>0.48064516129032259</v>
      </c>
      <c r="AP31" s="60">
        <v>201.25</v>
      </c>
      <c r="AQ31" s="61">
        <v>0.51935483870967747</v>
      </c>
      <c r="AR31" s="60" t="s">
        <v>78</v>
      </c>
      <c r="AS31" s="62">
        <v>384</v>
      </c>
      <c r="AT31" s="62">
        <v>112</v>
      </c>
      <c r="AU31" s="62">
        <v>496</v>
      </c>
      <c r="AV31" s="62">
        <v>620</v>
      </c>
      <c r="AW31" s="63" t="s">
        <v>74</v>
      </c>
      <c r="AX31" s="64">
        <v>45149</v>
      </c>
      <c r="AY31" s="64" t="s">
        <v>4880</v>
      </c>
      <c r="BA31" s="64"/>
      <c r="BB31" s="64"/>
      <c r="BC31" s="64"/>
      <c r="BD31" s="46"/>
      <c r="BE31" s="46" t="e">
        <v>#REF!</v>
      </c>
      <c r="BF31" s="46" t="s">
        <v>75</v>
      </c>
      <c r="BG31" s="65">
        <v>1.75</v>
      </c>
      <c r="BH31" s="66"/>
      <c r="BI31" s="63" t="s">
        <v>4881</v>
      </c>
    </row>
    <row r="32" spans="1:61" ht="25.5" x14ac:dyDescent="0.2">
      <c r="A32" s="45" t="s">
        <v>4882</v>
      </c>
      <c r="B32" s="46"/>
      <c r="C32" s="46" t="s">
        <v>4883</v>
      </c>
      <c r="D32" s="46" t="s">
        <v>4851</v>
      </c>
      <c r="E32" s="46" t="s">
        <v>68</v>
      </c>
      <c r="F32" s="46" t="s">
        <v>68</v>
      </c>
      <c r="G32" s="46" t="s">
        <v>68</v>
      </c>
      <c r="H32" s="46" t="s">
        <v>68</v>
      </c>
      <c r="I32" s="46" t="s">
        <v>68</v>
      </c>
      <c r="J32" s="46" t="s">
        <v>71</v>
      </c>
      <c r="K32" s="47">
        <v>160</v>
      </c>
      <c r="L32" s="47">
        <v>40</v>
      </c>
      <c r="M32" s="47">
        <v>200</v>
      </c>
      <c r="N32" s="46"/>
      <c r="O32" s="71" t="s">
        <v>68</v>
      </c>
      <c r="P32" s="64"/>
      <c r="Q32" s="46" t="s">
        <v>4748</v>
      </c>
      <c r="R32" s="46" t="s">
        <v>4838</v>
      </c>
      <c r="S32" s="49">
        <v>50</v>
      </c>
      <c r="T32" s="49">
        <v>250</v>
      </c>
      <c r="U32" s="67">
        <v>0.42</v>
      </c>
      <c r="V32" s="67">
        <v>0.43333333333333335</v>
      </c>
      <c r="W32" s="51">
        <v>0.25</v>
      </c>
      <c r="X32" s="52">
        <v>25</v>
      </c>
      <c r="Y32" s="52">
        <v>30</v>
      </c>
      <c r="Z32" s="52">
        <v>90</v>
      </c>
      <c r="AA32" s="52">
        <v>145</v>
      </c>
      <c r="AB32" s="53">
        <v>0.57999999999999996</v>
      </c>
      <c r="AC32" s="54">
        <v>105</v>
      </c>
      <c r="AD32" s="55">
        <v>0.42</v>
      </c>
      <c r="AE32" s="56">
        <v>2</v>
      </c>
      <c r="AF32" s="57" t="s">
        <v>72</v>
      </c>
      <c r="AG32" s="58">
        <v>80</v>
      </c>
      <c r="AH32" s="58">
        <v>40</v>
      </c>
      <c r="AI32" s="58">
        <v>120</v>
      </c>
      <c r="AJ32" s="49">
        <v>30</v>
      </c>
      <c r="AK32" s="49">
        <v>150</v>
      </c>
      <c r="AL32" s="52">
        <v>15</v>
      </c>
      <c r="AM32" s="52">
        <v>70</v>
      </c>
      <c r="AN32" s="52">
        <v>85</v>
      </c>
      <c r="AO32" s="59">
        <v>0.56666666666666665</v>
      </c>
      <c r="AP32" s="60">
        <v>65</v>
      </c>
      <c r="AQ32" s="61">
        <v>0.43333333333333335</v>
      </c>
      <c r="AR32" s="60" t="s">
        <v>78</v>
      </c>
      <c r="AS32" s="62">
        <v>240</v>
      </c>
      <c r="AT32" s="62">
        <v>60</v>
      </c>
      <c r="AU32" s="62">
        <v>300</v>
      </c>
      <c r="AV32" s="62">
        <v>375</v>
      </c>
      <c r="AW32" s="63" t="s">
        <v>74</v>
      </c>
      <c r="AX32" s="64">
        <v>45149</v>
      </c>
      <c r="AY32" s="64" t="s">
        <v>4884</v>
      </c>
      <c r="BA32" s="64"/>
      <c r="BB32" s="64"/>
      <c r="BC32" s="64"/>
      <c r="BD32" s="46"/>
      <c r="BE32" s="46" t="e">
        <v>#REF!</v>
      </c>
      <c r="BF32" s="46" t="s">
        <v>79</v>
      </c>
      <c r="BG32" s="65">
        <v>0.75</v>
      </c>
      <c r="BH32" s="66"/>
      <c r="BI32" s="63" t="s">
        <v>4885</v>
      </c>
    </row>
    <row r="33" spans="1:61" ht="25.5" x14ac:dyDescent="0.2">
      <c r="A33" s="45" t="s">
        <v>4886</v>
      </c>
      <c r="B33" s="46"/>
      <c r="C33" s="46" t="s">
        <v>4883</v>
      </c>
      <c r="D33" s="46" t="s">
        <v>4851</v>
      </c>
      <c r="E33" s="46" t="s">
        <v>4855</v>
      </c>
      <c r="F33" s="46" t="s">
        <v>68</v>
      </c>
      <c r="G33" s="46" t="s">
        <v>68</v>
      </c>
      <c r="H33" s="46" t="s">
        <v>68</v>
      </c>
      <c r="I33" s="46" t="s">
        <v>68</v>
      </c>
      <c r="J33" s="46" t="s">
        <v>71</v>
      </c>
      <c r="K33" s="47">
        <f>K32+80</f>
        <v>240</v>
      </c>
      <c r="L33" s="47">
        <f>L32+20</f>
        <v>60</v>
      </c>
      <c r="M33" s="47">
        <v>300</v>
      </c>
      <c r="N33" s="46"/>
      <c r="O33" s="71" t="s">
        <v>68</v>
      </c>
      <c r="P33" s="64"/>
      <c r="Q33" s="46" t="s">
        <v>4748</v>
      </c>
      <c r="R33" s="46" t="s">
        <v>4838</v>
      </c>
      <c r="S33" s="49">
        <v>75</v>
      </c>
      <c r="T33" s="49">
        <v>375</v>
      </c>
      <c r="U33" s="67">
        <v>0.46</v>
      </c>
      <c r="V33" s="67">
        <v>0.54</v>
      </c>
      <c r="W33" s="51">
        <v>0.25</v>
      </c>
      <c r="X33" s="52">
        <v>37.5</v>
      </c>
      <c r="Y33" s="52">
        <v>30</v>
      </c>
      <c r="Z33" s="52">
        <v>135</v>
      </c>
      <c r="AA33" s="52">
        <v>202.5</v>
      </c>
      <c r="AB33" s="53">
        <v>0.54</v>
      </c>
      <c r="AC33" s="72">
        <v>172.5</v>
      </c>
      <c r="AD33" s="55">
        <v>0.46</v>
      </c>
      <c r="AE33" s="73">
        <v>3</v>
      </c>
      <c r="AF33" s="57" t="s">
        <v>95</v>
      </c>
      <c r="AG33" s="58">
        <v>240</v>
      </c>
      <c r="AH33" s="58">
        <v>60</v>
      </c>
      <c r="AI33" s="58">
        <v>300</v>
      </c>
      <c r="AJ33" s="49">
        <v>75</v>
      </c>
      <c r="AK33" s="49">
        <v>375</v>
      </c>
      <c r="AL33" s="52">
        <v>37.5</v>
      </c>
      <c r="AM33" s="52">
        <v>135</v>
      </c>
      <c r="AN33" s="52">
        <v>172.5</v>
      </c>
      <c r="AO33" s="59">
        <v>0.46</v>
      </c>
      <c r="AP33" s="60">
        <v>202.5</v>
      </c>
      <c r="AQ33" s="61">
        <v>0.54</v>
      </c>
      <c r="AR33" s="60" t="s">
        <v>78</v>
      </c>
      <c r="AS33" s="62">
        <v>384</v>
      </c>
      <c r="AT33" s="62">
        <v>96</v>
      </c>
      <c r="AU33" s="62">
        <v>480</v>
      </c>
      <c r="AV33" s="62">
        <v>600</v>
      </c>
      <c r="AW33" s="63" t="s">
        <v>74</v>
      </c>
      <c r="AX33" s="64">
        <v>45149</v>
      </c>
      <c r="AY33" s="64" t="s">
        <v>4887</v>
      </c>
      <c r="BA33" s="64"/>
      <c r="BB33" s="64"/>
      <c r="BC33" s="64"/>
      <c r="BD33" s="46"/>
      <c r="BE33" s="46" t="e">
        <v>#REF!</v>
      </c>
      <c r="BF33" s="46" t="s">
        <v>79</v>
      </c>
      <c r="BG33" s="65">
        <v>1.75</v>
      </c>
      <c r="BH33" s="66"/>
      <c r="BI33" s="63" t="s">
        <v>4888</v>
      </c>
    </row>
    <row r="34" spans="1:61" ht="25.5" x14ac:dyDescent="0.2">
      <c r="A34" s="45" t="s">
        <v>4889</v>
      </c>
      <c r="B34" s="46"/>
      <c r="C34" s="46" t="s">
        <v>4890</v>
      </c>
      <c r="D34" s="46" t="s">
        <v>68</v>
      </c>
      <c r="E34" s="46" t="s">
        <v>68</v>
      </c>
      <c r="F34" s="46" t="s">
        <v>68</v>
      </c>
      <c r="G34" s="46" t="s">
        <v>68</v>
      </c>
      <c r="H34" s="46" t="s">
        <v>68</v>
      </c>
      <c r="I34" s="46" t="s">
        <v>68</v>
      </c>
      <c r="J34" s="46" t="s">
        <v>71</v>
      </c>
      <c r="K34" s="47">
        <v>160</v>
      </c>
      <c r="L34" s="47">
        <v>40</v>
      </c>
      <c r="M34" s="47">
        <v>200</v>
      </c>
      <c r="N34" s="46"/>
      <c r="O34" s="71" t="s">
        <v>68</v>
      </c>
      <c r="P34" s="64"/>
      <c r="Q34" s="46" t="s">
        <v>4748</v>
      </c>
      <c r="R34" s="46" t="s">
        <v>4838</v>
      </c>
      <c r="S34" s="49">
        <v>50</v>
      </c>
      <c r="T34" s="49">
        <v>250</v>
      </c>
      <c r="U34" s="67">
        <v>0.42</v>
      </c>
      <c r="V34" s="67">
        <v>0.43333333333333335</v>
      </c>
      <c r="W34" s="51">
        <v>0.25</v>
      </c>
      <c r="X34" s="52">
        <v>25</v>
      </c>
      <c r="Y34" s="52">
        <v>30</v>
      </c>
      <c r="Z34" s="52">
        <v>90</v>
      </c>
      <c r="AA34" s="52">
        <v>145</v>
      </c>
      <c r="AB34" s="53">
        <v>0.57999999999999996</v>
      </c>
      <c r="AC34" s="54">
        <v>105</v>
      </c>
      <c r="AD34" s="55">
        <v>0.42</v>
      </c>
      <c r="AE34" s="56">
        <v>2</v>
      </c>
      <c r="AF34" s="57" t="s">
        <v>72</v>
      </c>
      <c r="AG34" s="58">
        <v>80</v>
      </c>
      <c r="AH34" s="58">
        <v>40</v>
      </c>
      <c r="AI34" s="58">
        <v>120</v>
      </c>
      <c r="AJ34" s="49">
        <v>30</v>
      </c>
      <c r="AK34" s="49">
        <v>150</v>
      </c>
      <c r="AL34" s="52">
        <v>15</v>
      </c>
      <c r="AM34" s="52">
        <v>70</v>
      </c>
      <c r="AN34" s="52">
        <v>85</v>
      </c>
      <c r="AO34" s="59">
        <v>0.56666666666666665</v>
      </c>
      <c r="AP34" s="60">
        <v>65</v>
      </c>
      <c r="AQ34" s="61">
        <v>0.43333333333333335</v>
      </c>
      <c r="AR34" s="60" t="s">
        <v>78</v>
      </c>
      <c r="AS34" s="62">
        <v>240</v>
      </c>
      <c r="AT34" s="62">
        <v>60</v>
      </c>
      <c r="AU34" s="62">
        <v>300</v>
      </c>
      <c r="AV34" s="62">
        <v>375</v>
      </c>
      <c r="AW34" s="63" t="s">
        <v>74</v>
      </c>
      <c r="AX34" s="64">
        <v>45149</v>
      </c>
      <c r="AY34" s="64" t="s">
        <v>4891</v>
      </c>
      <c r="BA34" s="64"/>
      <c r="BB34" s="64"/>
      <c r="BC34" s="64"/>
      <c r="BD34" s="46"/>
      <c r="BE34" s="46" t="e">
        <v>#REF!</v>
      </c>
      <c r="BF34" s="46" t="s">
        <v>79</v>
      </c>
      <c r="BG34" s="65">
        <v>0.75</v>
      </c>
      <c r="BH34" s="66"/>
      <c r="BI34" s="63" t="s">
        <v>4890</v>
      </c>
    </row>
    <row r="35" spans="1:61" ht="25.5" x14ac:dyDescent="0.2">
      <c r="A35" s="45" t="s">
        <v>4892</v>
      </c>
      <c r="B35" s="46"/>
      <c r="C35" s="46" t="s">
        <v>4893</v>
      </c>
      <c r="D35" s="46" t="s">
        <v>4851</v>
      </c>
      <c r="E35" s="46" t="s">
        <v>68</v>
      </c>
      <c r="F35" s="46" t="s">
        <v>68</v>
      </c>
      <c r="G35" s="46" t="s">
        <v>68</v>
      </c>
      <c r="H35" s="46" t="s">
        <v>68</v>
      </c>
      <c r="I35" s="46" t="s">
        <v>68</v>
      </c>
      <c r="J35" s="46" t="s">
        <v>71</v>
      </c>
      <c r="K35" s="47">
        <v>160</v>
      </c>
      <c r="L35" s="47">
        <v>60</v>
      </c>
      <c r="M35" s="47">
        <v>220</v>
      </c>
      <c r="N35" s="46"/>
      <c r="O35" s="71" t="s">
        <v>68</v>
      </c>
      <c r="P35" s="64"/>
      <c r="Q35" s="46" t="s">
        <v>4748</v>
      </c>
      <c r="R35" s="46" t="s">
        <v>4838</v>
      </c>
      <c r="S35" s="49">
        <v>55</v>
      </c>
      <c r="T35" s="49">
        <v>275</v>
      </c>
      <c r="U35" s="67">
        <v>0.37272727272727274</v>
      </c>
      <c r="V35" s="67">
        <v>0.35714285714285715</v>
      </c>
      <c r="W35" s="51">
        <v>0.375</v>
      </c>
      <c r="X35" s="52">
        <v>27.5</v>
      </c>
      <c r="Y35" s="52">
        <v>30</v>
      </c>
      <c r="Z35" s="52">
        <v>115</v>
      </c>
      <c r="AA35" s="52">
        <v>172.5</v>
      </c>
      <c r="AB35" s="53">
        <v>0.62727272727272732</v>
      </c>
      <c r="AC35" s="54">
        <v>102.5</v>
      </c>
      <c r="AD35" s="55">
        <v>0.37272727272727274</v>
      </c>
      <c r="AE35" s="56">
        <v>2</v>
      </c>
      <c r="AF35" s="57" t="s">
        <v>72</v>
      </c>
      <c r="AG35" s="58">
        <v>80</v>
      </c>
      <c r="AH35" s="58">
        <v>60</v>
      </c>
      <c r="AI35" s="58">
        <v>140</v>
      </c>
      <c r="AJ35" s="49">
        <v>35</v>
      </c>
      <c r="AK35" s="49">
        <v>175</v>
      </c>
      <c r="AL35" s="52">
        <v>17.5</v>
      </c>
      <c r="AM35" s="52">
        <v>95</v>
      </c>
      <c r="AN35" s="52">
        <v>112.5</v>
      </c>
      <c r="AO35" s="59">
        <v>0.6428571428571429</v>
      </c>
      <c r="AP35" s="60">
        <v>62.5</v>
      </c>
      <c r="AQ35" s="61">
        <v>0.35714285714285715</v>
      </c>
      <c r="AR35" s="60" t="s">
        <v>78</v>
      </c>
      <c r="AS35" s="62">
        <v>240</v>
      </c>
      <c r="AT35" s="62">
        <v>90</v>
      </c>
      <c r="AU35" s="62">
        <v>330</v>
      </c>
      <c r="AV35" s="62">
        <v>412.5</v>
      </c>
      <c r="AW35" s="63" t="s">
        <v>74</v>
      </c>
      <c r="AX35" s="64">
        <v>45149</v>
      </c>
      <c r="AY35" s="64" t="s">
        <v>4894</v>
      </c>
      <c r="BA35" s="64"/>
      <c r="BB35" s="64"/>
      <c r="BC35" s="64"/>
      <c r="BD35" s="46"/>
      <c r="BE35" s="46" t="e">
        <v>#REF!</v>
      </c>
      <c r="BF35" s="46" t="s">
        <v>75</v>
      </c>
      <c r="BG35" s="65">
        <v>0.75</v>
      </c>
      <c r="BH35" s="66"/>
      <c r="BI35" s="63" t="s">
        <v>4895</v>
      </c>
    </row>
    <row r="36" spans="1:61" ht="25.5" x14ac:dyDescent="0.2">
      <c r="A36" s="45" t="s">
        <v>4896</v>
      </c>
      <c r="B36" s="46"/>
      <c r="C36" s="46" t="s">
        <v>4893</v>
      </c>
      <c r="D36" s="46" t="s">
        <v>4851</v>
      </c>
      <c r="E36" s="46" t="s">
        <v>4855</v>
      </c>
      <c r="F36" s="46" t="s">
        <v>68</v>
      </c>
      <c r="G36" s="46" t="s">
        <v>68</v>
      </c>
      <c r="H36" s="46" t="s">
        <v>68</v>
      </c>
      <c r="I36" s="46" t="s">
        <v>68</v>
      </c>
      <c r="J36" s="46" t="s">
        <v>71</v>
      </c>
      <c r="K36" s="47">
        <f>K35+80</f>
        <v>240</v>
      </c>
      <c r="L36" s="47">
        <f>L35+20</f>
        <v>80</v>
      </c>
      <c r="M36" s="47">
        <v>320</v>
      </c>
      <c r="N36" s="46"/>
      <c r="O36" s="71" t="s">
        <v>68</v>
      </c>
      <c r="P36" s="64"/>
      <c r="Q36" s="46" t="s">
        <v>4748</v>
      </c>
      <c r="R36" s="46" t="s">
        <v>4838</v>
      </c>
      <c r="S36" s="49">
        <v>80</v>
      </c>
      <c r="T36" s="49">
        <v>400</v>
      </c>
      <c r="U36" s="67">
        <v>0.42499999999999999</v>
      </c>
      <c r="V36" s="67">
        <v>0.5</v>
      </c>
      <c r="W36" s="51">
        <v>0.33333333333333331</v>
      </c>
      <c r="X36" s="52">
        <v>40</v>
      </c>
      <c r="Y36" s="52">
        <v>30</v>
      </c>
      <c r="Z36" s="52">
        <v>160</v>
      </c>
      <c r="AA36" s="52">
        <v>230</v>
      </c>
      <c r="AB36" s="53">
        <v>0.57499999999999996</v>
      </c>
      <c r="AC36" s="72">
        <v>170</v>
      </c>
      <c r="AD36" s="55">
        <v>0.42499999999999999</v>
      </c>
      <c r="AE36" s="73">
        <v>3</v>
      </c>
      <c r="AF36" s="57" t="s">
        <v>95</v>
      </c>
      <c r="AG36" s="58">
        <v>240</v>
      </c>
      <c r="AH36" s="58">
        <v>80</v>
      </c>
      <c r="AI36" s="58">
        <v>320</v>
      </c>
      <c r="AJ36" s="49">
        <v>80</v>
      </c>
      <c r="AK36" s="49">
        <v>400</v>
      </c>
      <c r="AL36" s="52">
        <v>40</v>
      </c>
      <c r="AM36" s="52">
        <v>160</v>
      </c>
      <c r="AN36" s="52">
        <v>200</v>
      </c>
      <c r="AO36" s="59">
        <v>0.5</v>
      </c>
      <c r="AP36" s="60">
        <v>200</v>
      </c>
      <c r="AQ36" s="61">
        <v>0.5</v>
      </c>
      <c r="AR36" s="60" t="s">
        <v>78</v>
      </c>
      <c r="AS36" s="62">
        <v>384</v>
      </c>
      <c r="AT36" s="62">
        <v>128</v>
      </c>
      <c r="AU36" s="62">
        <v>512</v>
      </c>
      <c r="AV36" s="62">
        <v>640</v>
      </c>
      <c r="AW36" s="63" t="s">
        <v>74</v>
      </c>
      <c r="AX36" s="64">
        <v>45149</v>
      </c>
      <c r="AY36" s="64" t="s">
        <v>4897</v>
      </c>
      <c r="BA36" s="64"/>
      <c r="BB36" s="64"/>
      <c r="BC36" s="64"/>
      <c r="BD36" s="46"/>
      <c r="BE36" s="46" t="e">
        <v>#REF!</v>
      </c>
      <c r="BF36" s="46" t="s">
        <v>75</v>
      </c>
      <c r="BG36" s="65">
        <v>1.75</v>
      </c>
      <c r="BH36" s="66"/>
      <c r="BI36" s="63" t="s">
        <v>4898</v>
      </c>
    </row>
    <row r="37" spans="1:61" ht="25.5" x14ac:dyDescent="0.2">
      <c r="A37" s="34" t="s">
        <v>4899</v>
      </c>
      <c r="B37" s="35"/>
      <c r="C37" s="35" t="s">
        <v>68</v>
      </c>
      <c r="D37" s="35" t="s">
        <v>68</v>
      </c>
      <c r="E37" s="35" t="s">
        <v>68</v>
      </c>
      <c r="F37" s="35" t="s">
        <v>68</v>
      </c>
      <c r="G37" s="35" t="s">
        <v>68</v>
      </c>
      <c r="H37" s="35" t="s">
        <v>68</v>
      </c>
      <c r="I37" s="35" t="s">
        <v>68</v>
      </c>
      <c r="J37" s="35" t="s">
        <v>68</v>
      </c>
      <c r="K37" s="36" t="s">
        <v>68</v>
      </c>
      <c r="L37" s="36" t="s">
        <v>68</v>
      </c>
      <c r="M37" s="36" t="s">
        <v>68</v>
      </c>
      <c r="N37" s="35"/>
      <c r="O37" s="35" t="s">
        <v>68</v>
      </c>
      <c r="P37" s="37"/>
      <c r="Q37" s="38" t="s">
        <v>4748</v>
      </c>
      <c r="R37" s="38" t="s">
        <v>4900</v>
      </c>
      <c r="S37" s="36" t="s">
        <v>68</v>
      </c>
      <c r="T37" s="36" t="s">
        <v>68</v>
      </c>
      <c r="U37" s="39" t="s">
        <v>68</v>
      </c>
      <c r="V37" s="39" t="s">
        <v>68</v>
      </c>
      <c r="W37" s="40" t="s">
        <v>68</v>
      </c>
      <c r="X37" s="36" t="s">
        <v>68</v>
      </c>
      <c r="Y37" s="36" t="s">
        <v>68</v>
      </c>
      <c r="Z37" s="36" t="s">
        <v>68</v>
      </c>
      <c r="AA37" s="36" t="s">
        <v>68</v>
      </c>
      <c r="AB37" s="39" t="s">
        <v>68</v>
      </c>
      <c r="AC37" s="36" t="s">
        <v>68</v>
      </c>
      <c r="AD37" s="39" t="s">
        <v>68</v>
      </c>
      <c r="AE37" s="41"/>
      <c r="AF37" s="42" t="s">
        <v>68</v>
      </c>
      <c r="AG37" s="36" t="s">
        <v>68</v>
      </c>
      <c r="AH37" s="36" t="s">
        <v>68</v>
      </c>
      <c r="AI37" s="36" t="s">
        <v>68</v>
      </c>
      <c r="AJ37" s="36" t="s">
        <v>68</v>
      </c>
      <c r="AK37" s="36" t="s">
        <v>68</v>
      </c>
      <c r="AL37" s="36" t="s">
        <v>68</v>
      </c>
      <c r="AM37" s="36" t="s">
        <v>68</v>
      </c>
      <c r="AN37" s="36" t="s">
        <v>68</v>
      </c>
      <c r="AO37" s="43" t="s">
        <v>68</v>
      </c>
      <c r="AP37" s="36" t="s">
        <v>68</v>
      </c>
      <c r="AQ37" s="39" t="s">
        <v>68</v>
      </c>
      <c r="AR37" s="36" t="s">
        <v>68</v>
      </c>
      <c r="AS37" s="36" t="s">
        <v>68</v>
      </c>
      <c r="AT37" s="36" t="s">
        <v>68</v>
      </c>
      <c r="AU37" s="36" t="s">
        <v>68</v>
      </c>
      <c r="AV37" s="36" t="s">
        <v>68</v>
      </c>
      <c r="AW37" s="35"/>
      <c r="AX37" s="37"/>
      <c r="AY37" s="37" t="s">
        <v>68</v>
      </c>
      <c r="BA37" s="37"/>
      <c r="BB37" s="37"/>
      <c r="BC37" s="37"/>
      <c r="BD37" s="35"/>
      <c r="BE37" s="35" t="e">
        <v>#REF!</v>
      </c>
      <c r="BF37" s="35"/>
      <c r="BG37" s="44"/>
      <c r="BH37" s="38" t="s">
        <v>4901</v>
      </c>
      <c r="BI37" s="35" t="s">
        <v>68</v>
      </c>
    </row>
    <row r="38" spans="1:61" ht="25.5" x14ac:dyDescent="0.2">
      <c r="A38" s="45" t="s">
        <v>4902</v>
      </c>
      <c r="B38" s="46"/>
      <c r="C38" s="46" t="s">
        <v>4903</v>
      </c>
      <c r="D38" s="46" t="s">
        <v>68</v>
      </c>
      <c r="E38" s="46" t="s">
        <v>68</v>
      </c>
      <c r="F38" s="46" t="s">
        <v>68</v>
      </c>
      <c r="G38" s="46" t="s">
        <v>68</v>
      </c>
      <c r="H38" s="46" t="s">
        <v>68</v>
      </c>
      <c r="I38" s="46" t="s">
        <v>68</v>
      </c>
      <c r="J38" s="46" t="s">
        <v>71</v>
      </c>
      <c r="K38" s="47">
        <v>150</v>
      </c>
      <c r="L38" s="47">
        <v>50</v>
      </c>
      <c r="M38" s="47">
        <v>200</v>
      </c>
      <c r="N38" s="46"/>
      <c r="O38" s="71" t="s">
        <v>68</v>
      </c>
      <c r="P38" s="64"/>
      <c r="Q38" s="46" t="s">
        <v>4748</v>
      </c>
      <c r="R38" s="46" t="s">
        <v>4900</v>
      </c>
      <c r="S38" s="49">
        <v>50</v>
      </c>
      <c r="T38" s="49">
        <v>250</v>
      </c>
      <c r="U38" s="67">
        <v>0.38</v>
      </c>
      <c r="V38" s="67">
        <v>0.38</v>
      </c>
      <c r="W38" s="51">
        <v>0.33333333333333331</v>
      </c>
      <c r="X38" s="52">
        <v>25</v>
      </c>
      <c r="Y38" s="52">
        <v>30</v>
      </c>
      <c r="Z38" s="52">
        <v>100</v>
      </c>
      <c r="AA38" s="52">
        <v>155</v>
      </c>
      <c r="AB38" s="53">
        <v>0.62</v>
      </c>
      <c r="AC38" s="54">
        <v>95</v>
      </c>
      <c r="AD38" s="55">
        <v>0.38</v>
      </c>
      <c r="AE38" s="56">
        <v>2</v>
      </c>
      <c r="AF38" s="57" t="s">
        <v>72</v>
      </c>
      <c r="AG38" s="58">
        <v>75</v>
      </c>
      <c r="AH38" s="58">
        <v>50</v>
      </c>
      <c r="AI38" s="58">
        <v>125</v>
      </c>
      <c r="AJ38" s="49">
        <v>31.25</v>
      </c>
      <c r="AK38" s="49">
        <v>156.25</v>
      </c>
      <c r="AL38" s="52">
        <v>15.625</v>
      </c>
      <c r="AM38" s="52">
        <v>81.25</v>
      </c>
      <c r="AN38" s="52">
        <v>96.875</v>
      </c>
      <c r="AO38" s="59">
        <v>0.62</v>
      </c>
      <c r="AP38" s="60">
        <v>59.375</v>
      </c>
      <c r="AQ38" s="61">
        <v>0.38</v>
      </c>
      <c r="AR38" s="60" t="s">
        <v>78</v>
      </c>
      <c r="AS38" s="62">
        <v>225</v>
      </c>
      <c r="AT38" s="62">
        <v>75</v>
      </c>
      <c r="AU38" s="62">
        <v>300</v>
      </c>
      <c r="AV38" s="62">
        <v>375</v>
      </c>
      <c r="AW38" s="63" t="s">
        <v>74</v>
      </c>
      <c r="AX38" s="64">
        <v>45149</v>
      </c>
      <c r="AY38" s="64" t="s">
        <v>4904</v>
      </c>
      <c r="BA38" s="64"/>
      <c r="BB38" s="64"/>
      <c r="BC38" s="64"/>
      <c r="BD38" s="46"/>
      <c r="BE38" s="46" t="e">
        <v>#REF!</v>
      </c>
      <c r="BF38" s="46" t="s">
        <v>79</v>
      </c>
      <c r="BG38" s="65">
        <v>1</v>
      </c>
      <c r="BH38" s="66" t="s">
        <v>4905</v>
      </c>
      <c r="BI38" s="63" t="s">
        <v>4903</v>
      </c>
    </row>
    <row r="39" spans="1:61" ht="25.5" x14ac:dyDescent="0.2">
      <c r="A39" s="45" t="s">
        <v>4906</v>
      </c>
      <c r="B39" s="46"/>
      <c r="C39" s="46" t="s">
        <v>4907</v>
      </c>
      <c r="D39" s="46" t="s">
        <v>199</v>
      </c>
      <c r="E39" s="46" t="s">
        <v>4908</v>
      </c>
      <c r="F39" s="46" t="s">
        <v>68</v>
      </c>
      <c r="G39" s="46" t="s">
        <v>68</v>
      </c>
      <c r="H39" s="46" t="s">
        <v>68</v>
      </c>
      <c r="I39" s="46" t="s">
        <v>454</v>
      </c>
      <c r="J39" s="46" t="s">
        <v>71</v>
      </c>
      <c r="K39" s="47">
        <v>140</v>
      </c>
      <c r="L39" s="47">
        <f>20*3</f>
        <v>60</v>
      </c>
      <c r="M39" s="47">
        <v>200</v>
      </c>
      <c r="N39" s="46"/>
      <c r="O39" s="71" t="s">
        <v>68</v>
      </c>
      <c r="P39" s="64"/>
      <c r="Q39" s="46" t="s">
        <v>4748</v>
      </c>
      <c r="R39" s="46" t="s">
        <v>4900</v>
      </c>
      <c r="S39" s="49">
        <v>50</v>
      </c>
      <c r="T39" s="49">
        <v>250</v>
      </c>
      <c r="U39" s="67">
        <v>0.34</v>
      </c>
      <c r="V39" s="67">
        <v>0.33076923076923076</v>
      </c>
      <c r="W39" s="51">
        <v>0.42857142857142855</v>
      </c>
      <c r="X39" s="52">
        <v>25</v>
      </c>
      <c r="Y39" s="52">
        <v>30</v>
      </c>
      <c r="Z39" s="52">
        <v>110</v>
      </c>
      <c r="AA39" s="52">
        <v>165</v>
      </c>
      <c r="AB39" s="53">
        <v>0.66</v>
      </c>
      <c r="AC39" s="68">
        <v>85</v>
      </c>
      <c r="AD39" s="55">
        <v>0.34</v>
      </c>
      <c r="AE39" s="56">
        <v>2</v>
      </c>
      <c r="AF39" s="57" t="s">
        <v>72</v>
      </c>
      <c r="AG39" s="58">
        <v>70</v>
      </c>
      <c r="AH39" s="58">
        <v>60</v>
      </c>
      <c r="AI39" s="58">
        <v>130</v>
      </c>
      <c r="AJ39" s="49">
        <v>32.5</v>
      </c>
      <c r="AK39" s="49">
        <v>162.5</v>
      </c>
      <c r="AL39" s="52">
        <v>16.25</v>
      </c>
      <c r="AM39" s="52">
        <v>92.5</v>
      </c>
      <c r="AN39" s="52">
        <v>108.75</v>
      </c>
      <c r="AO39" s="59">
        <v>0.66923076923076918</v>
      </c>
      <c r="AP39" s="60">
        <v>53.75</v>
      </c>
      <c r="AQ39" s="61">
        <v>0.33076923076923076</v>
      </c>
      <c r="AR39" s="60" t="s">
        <v>78</v>
      </c>
      <c r="AS39" s="62">
        <v>210</v>
      </c>
      <c r="AT39" s="62">
        <v>90</v>
      </c>
      <c r="AU39" s="62">
        <v>300</v>
      </c>
      <c r="AV39" s="62">
        <v>375</v>
      </c>
      <c r="AW39" s="63" t="s">
        <v>74</v>
      </c>
      <c r="AX39" s="64">
        <v>45149</v>
      </c>
      <c r="AY39" s="64" t="s">
        <v>4909</v>
      </c>
      <c r="BA39" s="64"/>
      <c r="BB39" s="64"/>
      <c r="BC39" s="64"/>
      <c r="BD39" s="46"/>
      <c r="BE39" s="46" t="e">
        <v>#REF!</v>
      </c>
      <c r="BF39" s="46" t="s">
        <v>79</v>
      </c>
      <c r="BG39" s="65">
        <v>0.5</v>
      </c>
      <c r="BH39" s="66" t="s">
        <v>4910</v>
      </c>
      <c r="BI39" s="63" t="s">
        <v>4911</v>
      </c>
    </row>
    <row r="40" spans="1:61" ht="25.5" x14ac:dyDescent="0.2">
      <c r="A40" s="45" t="s">
        <v>4912</v>
      </c>
      <c r="B40" s="46"/>
      <c r="C40" s="46" t="s">
        <v>4907</v>
      </c>
      <c r="D40" s="46" t="s">
        <v>199</v>
      </c>
      <c r="E40" s="46" t="s">
        <v>4913</v>
      </c>
      <c r="F40" s="46" t="s">
        <v>68</v>
      </c>
      <c r="G40" s="46" t="s">
        <v>68</v>
      </c>
      <c r="H40" s="46" t="s">
        <v>68</v>
      </c>
      <c r="I40" s="46" t="s">
        <v>454</v>
      </c>
      <c r="J40" s="46" t="s">
        <v>71</v>
      </c>
      <c r="K40" s="47">
        <v>150</v>
      </c>
      <c r="L40" s="47">
        <f>20*6</f>
        <v>120</v>
      </c>
      <c r="M40" s="47">
        <v>270</v>
      </c>
      <c r="N40" s="46"/>
      <c r="O40" s="71" t="s">
        <v>68</v>
      </c>
      <c r="P40" s="64"/>
      <c r="Q40" s="46" t="s">
        <v>4748</v>
      </c>
      <c r="R40" s="46" t="s">
        <v>4900</v>
      </c>
      <c r="S40" s="49">
        <v>67.5</v>
      </c>
      <c r="T40" s="49">
        <v>337.5</v>
      </c>
      <c r="U40" s="28">
        <v>0.25555555555555554</v>
      </c>
      <c r="V40" s="28">
        <v>0.2076923076923077</v>
      </c>
      <c r="W40" s="51">
        <v>0.8</v>
      </c>
      <c r="X40" s="52">
        <v>33.75</v>
      </c>
      <c r="Y40" s="52">
        <v>30</v>
      </c>
      <c r="Z40" s="52">
        <v>187.5</v>
      </c>
      <c r="AA40" s="52">
        <v>251.25</v>
      </c>
      <c r="AB40" s="53">
        <v>0.74444444444444446</v>
      </c>
      <c r="AC40" s="68">
        <v>86.25</v>
      </c>
      <c r="AD40" s="55">
        <v>0.25555555555555554</v>
      </c>
      <c r="AE40" s="56">
        <v>2</v>
      </c>
      <c r="AF40" s="57" t="s">
        <v>72</v>
      </c>
      <c r="AG40" s="58">
        <v>75</v>
      </c>
      <c r="AH40" s="58">
        <v>120</v>
      </c>
      <c r="AI40" s="58">
        <v>195</v>
      </c>
      <c r="AJ40" s="49">
        <v>48.75</v>
      </c>
      <c r="AK40" s="49">
        <v>243.75</v>
      </c>
      <c r="AL40" s="52">
        <v>24.375</v>
      </c>
      <c r="AM40" s="52">
        <v>168.75</v>
      </c>
      <c r="AN40" s="52">
        <v>193.125</v>
      </c>
      <c r="AO40" s="59">
        <v>0.79230769230769227</v>
      </c>
      <c r="AP40" s="60">
        <v>50.625</v>
      </c>
      <c r="AQ40" s="61">
        <v>0.2076923076923077</v>
      </c>
      <c r="AR40" s="60" t="s">
        <v>78</v>
      </c>
      <c r="AS40" s="62">
        <v>225</v>
      </c>
      <c r="AT40" s="62">
        <v>180</v>
      </c>
      <c r="AU40" s="62">
        <v>405</v>
      </c>
      <c r="AV40" s="62">
        <v>506.25</v>
      </c>
      <c r="AW40" s="63" t="s">
        <v>74</v>
      </c>
      <c r="AX40" s="64">
        <v>45149</v>
      </c>
      <c r="AY40" s="64" t="s">
        <v>4914</v>
      </c>
      <c r="BA40" s="64"/>
      <c r="BB40" s="64"/>
      <c r="BC40" s="64"/>
      <c r="BD40" s="46"/>
      <c r="BE40" s="46" t="e">
        <v>#REF!</v>
      </c>
      <c r="BF40" s="46" t="s">
        <v>79</v>
      </c>
      <c r="BG40" s="65">
        <v>0.5</v>
      </c>
      <c r="BH40" s="66"/>
      <c r="BI40" s="63" t="s">
        <v>4915</v>
      </c>
    </row>
    <row r="41" spans="1:61" ht="25.5" x14ac:dyDescent="0.2">
      <c r="A41" s="45" t="s">
        <v>4916</v>
      </c>
      <c r="B41" s="46"/>
      <c r="C41" s="46" t="s">
        <v>4907</v>
      </c>
      <c r="D41" s="46" t="s">
        <v>199</v>
      </c>
      <c r="E41" s="46" t="s">
        <v>4917</v>
      </c>
      <c r="F41" s="46" t="s">
        <v>68</v>
      </c>
      <c r="G41" s="46" t="s">
        <v>68</v>
      </c>
      <c r="H41" s="46" t="s">
        <v>68</v>
      </c>
      <c r="I41" s="46" t="s">
        <v>454</v>
      </c>
      <c r="J41" s="46" t="s">
        <v>71</v>
      </c>
      <c r="K41" s="47">
        <v>160</v>
      </c>
      <c r="L41" s="47">
        <f>20*9</f>
        <v>180</v>
      </c>
      <c r="M41" s="47">
        <v>340</v>
      </c>
      <c r="N41" s="46"/>
      <c r="O41" s="71" t="s">
        <v>68</v>
      </c>
      <c r="P41" s="64"/>
      <c r="Q41" s="46" t="s">
        <v>4748</v>
      </c>
      <c r="R41" s="46" t="s">
        <v>4900</v>
      </c>
      <c r="S41" s="49">
        <v>85</v>
      </c>
      <c r="T41" s="49">
        <v>425</v>
      </c>
      <c r="U41" s="28">
        <v>0.20588235294117646</v>
      </c>
      <c r="V41" s="50">
        <v>0.14615384615384616</v>
      </c>
      <c r="W41" s="74">
        <v>1.125</v>
      </c>
      <c r="X41" s="52">
        <v>42.5</v>
      </c>
      <c r="Y41" s="52">
        <v>30</v>
      </c>
      <c r="Z41" s="52">
        <v>265</v>
      </c>
      <c r="AA41" s="52">
        <v>337.5</v>
      </c>
      <c r="AB41" s="53">
        <v>0.79411764705882348</v>
      </c>
      <c r="AC41" s="68">
        <v>87.5</v>
      </c>
      <c r="AD41" s="55">
        <v>0.20588235294117646</v>
      </c>
      <c r="AE41" s="56">
        <v>2</v>
      </c>
      <c r="AF41" s="57" t="s">
        <v>72</v>
      </c>
      <c r="AG41" s="58">
        <v>80</v>
      </c>
      <c r="AH41" s="58">
        <v>180</v>
      </c>
      <c r="AI41" s="58">
        <v>260</v>
      </c>
      <c r="AJ41" s="49">
        <v>65</v>
      </c>
      <c r="AK41" s="49">
        <v>325</v>
      </c>
      <c r="AL41" s="52">
        <v>32.5</v>
      </c>
      <c r="AM41" s="52">
        <v>245</v>
      </c>
      <c r="AN41" s="52">
        <v>277.5</v>
      </c>
      <c r="AO41" s="59">
        <v>0.85384615384615381</v>
      </c>
      <c r="AP41" s="60">
        <v>47.5</v>
      </c>
      <c r="AQ41" s="61">
        <v>0.14615384615384616</v>
      </c>
      <c r="AR41" s="60" t="s">
        <v>73</v>
      </c>
      <c r="AS41" s="62">
        <v>240</v>
      </c>
      <c r="AT41" s="62">
        <v>270</v>
      </c>
      <c r="AU41" s="62">
        <v>510</v>
      </c>
      <c r="AV41" s="62">
        <v>637.5</v>
      </c>
      <c r="AW41" s="63" t="s">
        <v>74</v>
      </c>
      <c r="AX41" s="64">
        <v>45149</v>
      </c>
      <c r="AY41" s="64" t="s">
        <v>4918</v>
      </c>
      <c r="BA41" s="64"/>
      <c r="BB41" s="64"/>
      <c r="BC41" s="64"/>
      <c r="BD41" s="46"/>
      <c r="BE41" s="46" t="e">
        <v>#REF!</v>
      </c>
      <c r="BF41" s="46" t="s">
        <v>79</v>
      </c>
      <c r="BG41" s="65">
        <v>0.5</v>
      </c>
      <c r="BH41" s="66"/>
      <c r="BI41" s="63" t="s">
        <v>4919</v>
      </c>
    </row>
    <row r="42" spans="1:61" ht="25.5" x14ac:dyDescent="0.2">
      <c r="A42" s="45" t="s">
        <v>4920</v>
      </c>
      <c r="B42" s="46"/>
      <c r="C42" s="46" t="s">
        <v>4907</v>
      </c>
      <c r="D42" s="46" t="s">
        <v>199</v>
      </c>
      <c r="E42" s="46" t="s">
        <v>4908</v>
      </c>
      <c r="F42" s="46" t="s">
        <v>68</v>
      </c>
      <c r="G42" s="46" t="s">
        <v>68</v>
      </c>
      <c r="H42" s="46" t="s">
        <v>68</v>
      </c>
      <c r="I42" s="46" t="s">
        <v>445</v>
      </c>
      <c r="J42" s="46" t="s">
        <v>71</v>
      </c>
      <c r="K42" s="47">
        <v>160</v>
      </c>
      <c r="L42" s="47">
        <f>50*3</f>
        <v>150</v>
      </c>
      <c r="M42" s="47">
        <v>310</v>
      </c>
      <c r="N42" s="46"/>
      <c r="O42" s="71" t="s">
        <v>68</v>
      </c>
      <c r="P42" s="64"/>
      <c r="Q42" s="46" t="s">
        <v>4748</v>
      </c>
      <c r="R42" s="46" t="s">
        <v>4900</v>
      </c>
      <c r="S42" s="49">
        <v>77.5</v>
      </c>
      <c r="T42" s="49">
        <v>387.5</v>
      </c>
      <c r="U42" s="28">
        <v>0.23548387096774193</v>
      </c>
      <c r="V42" s="50">
        <v>0.17826086956521739</v>
      </c>
      <c r="W42" s="51">
        <v>0.9375</v>
      </c>
      <c r="X42" s="52">
        <v>38.75</v>
      </c>
      <c r="Y42" s="52">
        <v>30</v>
      </c>
      <c r="Z42" s="52">
        <v>227.5</v>
      </c>
      <c r="AA42" s="52">
        <v>296.25</v>
      </c>
      <c r="AB42" s="53">
        <v>0.76451612903225807</v>
      </c>
      <c r="AC42" s="54">
        <v>91.25</v>
      </c>
      <c r="AD42" s="55">
        <v>0.23548387096774193</v>
      </c>
      <c r="AE42" s="56">
        <v>2</v>
      </c>
      <c r="AF42" s="57" t="s">
        <v>72</v>
      </c>
      <c r="AG42" s="58">
        <v>80</v>
      </c>
      <c r="AH42" s="58">
        <v>150</v>
      </c>
      <c r="AI42" s="58">
        <v>230</v>
      </c>
      <c r="AJ42" s="49">
        <v>57.5</v>
      </c>
      <c r="AK42" s="49">
        <v>287.5</v>
      </c>
      <c r="AL42" s="52">
        <v>28.75</v>
      </c>
      <c r="AM42" s="52">
        <v>207.5</v>
      </c>
      <c r="AN42" s="52">
        <v>236.25</v>
      </c>
      <c r="AO42" s="59">
        <v>0.82173913043478264</v>
      </c>
      <c r="AP42" s="60">
        <v>51.25</v>
      </c>
      <c r="AQ42" s="61">
        <v>0.17826086956521739</v>
      </c>
      <c r="AR42" s="60" t="s">
        <v>73</v>
      </c>
      <c r="AS42" s="62">
        <v>240</v>
      </c>
      <c r="AT42" s="62">
        <v>225</v>
      </c>
      <c r="AU42" s="62">
        <v>465</v>
      </c>
      <c r="AV42" s="62">
        <v>581.25</v>
      </c>
      <c r="AW42" s="63" t="s">
        <v>74</v>
      </c>
      <c r="AX42" s="64">
        <v>45149</v>
      </c>
      <c r="AY42" s="64" t="s">
        <v>4921</v>
      </c>
      <c r="BA42" s="64"/>
      <c r="BB42" s="64"/>
      <c r="BC42" s="64"/>
      <c r="BD42" s="46"/>
      <c r="BE42" s="46" t="e">
        <v>#REF!</v>
      </c>
      <c r="BF42" s="46" t="s">
        <v>79</v>
      </c>
      <c r="BG42" s="65">
        <v>0.5</v>
      </c>
      <c r="BH42" s="66" t="s">
        <v>4922</v>
      </c>
      <c r="BI42" s="63" t="s">
        <v>4923</v>
      </c>
    </row>
    <row r="43" spans="1:61" ht="25.5" x14ac:dyDescent="0.2">
      <c r="A43" s="45" t="s">
        <v>4924</v>
      </c>
      <c r="B43" s="46"/>
      <c r="C43" s="46" t="s">
        <v>4907</v>
      </c>
      <c r="D43" s="46" t="s">
        <v>199</v>
      </c>
      <c r="E43" s="46" t="s">
        <v>4913</v>
      </c>
      <c r="F43" s="46" t="s">
        <v>68</v>
      </c>
      <c r="G43" s="46" t="s">
        <v>68</v>
      </c>
      <c r="H43" s="46" t="s">
        <v>68</v>
      </c>
      <c r="I43" s="46" t="s">
        <v>445</v>
      </c>
      <c r="J43" s="46" t="s">
        <v>71</v>
      </c>
      <c r="K43" s="47">
        <v>180</v>
      </c>
      <c r="L43" s="47">
        <f>50*6</f>
        <v>300</v>
      </c>
      <c r="M43" s="47">
        <v>480</v>
      </c>
      <c r="N43" s="46"/>
      <c r="O43" s="71" t="s">
        <v>68</v>
      </c>
      <c r="P43" s="64"/>
      <c r="Q43" s="46" t="s">
        <v>4748</v>
      </c>
      <c r="R43" s="46" t="s">
        <v>4900</v>
      </c>
      <c r="S43" s="49">
        <v>120</v>
      </c>
      <c r="T43" s="49">
        <v>600</v>
      </c>
      <c r="U43" s="50">
        <v>0.15</v>
      </c>
      <c r="V43" s="50">
        <v>8.461538461538462E-2</v>
      </c>
      <c r="W43" s="77">
        <v>1.6666666666666667</v>
      </c>
      <c r="X43" s="52">
        <v>60</v>
      </c>
      <c r="Y43" s="52">
        <v>30</v>
      </c>
      <c r="Z43" s="52">
        <v>420</v>
      </c>
      <c r="AA43" s="52">
        <v>510</v>
      </c>
      <c r="AB43" s="53">
        <v>0.85</v>
      </c>
      <c r="AC43" s="54">
        <v>90</v>
      </c>
      <c r="AD43" s="55">
        <v>0.15</v>
      </c>
      <c r="AE43" s="56">
        <v>2</v>
      </c>
      <c r="AF43" s="57" t="s">
        <v>72</v>
      </c>
      <c r="AG43" s="58">
        <v>90</v>
      </c>
      <c r="AH43" s="58">
        <v>300</v>
      </c>
      <c r="AI43" s="58">
        <v>390</v>
      </c>
      <c r="AJ43" s="49">
        <v>97.5</v>
      </c>
      <c r="AK43" s="49">
        <v>487.5</v>
      </c>
      <c r="AL43" s="52">
        <v>48.75</v>
      </c>
      <c r="AM43" s="52">
        <v>397.5</v>
      </c>
      <c r="AN43" s="52">
        <v>446.25</v>
      </c>
      <c r="AO43" s="59">
        <v>0.91538461538461535</v>
      </c>
      <c r="AP43" s="60">
        <v>41.25</v>
      </c>
      <c r="AQ43" s="61">
        <v>8.461538461538462E-2</v>
      </c>
      <c r="AR43" s="60" t="s">
        <v>73</v>
      </c>
      <c r="AS43" s="62">
        <v>270</v>
      </c>
      <c r="AT43" s="62">
        <v>450</v>
      </c>
      <c r="AU43" s="62">
        <v>720</v>
      </c>
      <c r="AV43" s="62">
        <v>900</v>
      </c>
      <c r="AW43" s="63" t="s">
        <v>74</v>
      </c>
      <c r="AX43" s="64">
        <v>45149</v>
      </c>
      <c r="AY43" s="64" t="s">
        <v>4925</v>
      </c>
      <c r="BA43" s="64"/>
      <c r="BB43" s="64"/>
      <c r="BC43" s="64"/>
      <c r="BD43" s="46"/>
      <c r="BE43" s="46" t="e">
        <v>#REF!</v>
      </c>
      <c r="BF43" s="46" t="s">
        <v>79</v>
      </c>
      <c r="BG43" s="65">
        <v>0.5</v>
      </c>
      <c r="BH43" s="66"/>
      <c r="BI43" s="63" t="s">
        <v>4926</v>
      </c>
    </row>
    <row r="44" spans="1:61" ht="25.5" x14ac:dyDescent="0.2">
      <c r="A44" s="45" t="s">
        <v>4927</v>
      </c>
      <c r="B44" s="46"/>
      <c r="C44" s="46" t="s">
        <v>4907</v>
      </c>
      <c r="D44" s="46" t="s">
        <v>199</v>
      </c>
      <c r="E44" s="46" t="s">
        <v>4917</v>
      </c>
      <c r="F44" s="46" t="s">
        <v>68</v>
      </c>
      <c r="G44" s="46" t="s">
        <v>68</v>
      </c>
      <c r="H44" s="46" t="s">
        <v>68</v>
      </c>
      <c r="I44" s="46" t="s">
        <v>445</v>
      </c>
      <c r="J44" s="46" t="s">
        <v>71</v>
      </c>
      <c r="K44" s="47">
        <v>205</v>
      </c>
      <c r="L44" s="47">
        <f>50*9</f>
        <v>450</v>
      </c>
      <c r="M44" s="47">
        <v>655</v>
      </c>
      <c r="N44" s="46"/>
      <c r="O44" s="71" t="s">
        <v>68</v>
      </c>
      <c r="P44" s="64"/>
      <c r="Q44" s="46" t="s">
        <v>4748</v>
      </c>
      <c r="R44" s="46" t="s">
        <v>4900</v>
      </c>
      <c r="S44" s="49">
        <v>163.75</v>
      </c>
      <c r="T44" s="49">
        <v>818.75</v>
      </c>
      <c r="U44" s="50">
        <v>0.11374045801526718</v>
      </c>
      <c r="V44" s="50">
        <v>4.8416289592760182E-2</v>
      </c>
      <c r="W44" s="77">
        <v>2.1951219512195124</v>
      </c>
      <c r="X44" s="52">
        <v>81.875</v>
      </c>
      <c r="Y44" s="52">
        <v>30</v>
      </c>
      <c r="Z44" s="52">
        <v>613.75</v>
      </c>
      <c r="AA44" s="52">
        <v>725.625</v>
      </c>
      <c r="AB44" s="53">
        <v>0.88625954198473278</v>
      </c>
      <c r="AC44" s="54">
        <v>93.125</v>
      </c>
      <c r="AD44" s="55">
        <v>0.11374045801526718</v>
      </c>
      <c r="AE44" s="56">
        <v>2</v>
      </c>
      <c r="AF44" s="57" t="s">
        <v>72</v>
      </c>
      <c r="AG44" s="58">
        <v>102.5</v>
      </c>
      <c r="AH44" s="58">
        <v>450</v>
      </c>
      <c r="AI44" s="58">
        <v>552.5</v>
      </c>
      <c r="AJ44" s="49">
        <v>138.125</v>
      </c>
      <c r="AK44" s="49">
        <v>690.625</v>
      </c>
      <c r="AL44" s="52">
        <v>69.0625</v>
      </c>
      <c r="AM44" s="52">
        <v>588.125</v>
      </c>
      <c r="AN44" s="52">
        <v>657.1875</v>
      </c>
      <c r="AO44" s="59">
        <v>0.95158371040723977</v>
      </c>
      <c r="AP44" s="60">
        <v>33.4375</v>
      </c>
      <c r="AQ44" s="61">
        <v>4.8416289592760182E-2</v>
      </c>
      <c r="AR44" s="60" t="s">
        <v>73</v>
      </c>
      <c r="AS44" s="62">
        <v>308</v>
      </c>
      <c r="AT44" s="62">
        <v>675</v>
      </c>
      <c r="AU44" s="62">
        <v>983</v>
      </c>
      <c r="AV44" s="62">
        <v>1228.75</v>
      </c>
      <c r="AW44" s="63" t="s">
        <v>74</v>
      </c>
      <c r="AX44" s="64">
        <v>45149</v>
      </c>
      <c r="AY44" s="64" t="s">
        <v>4928</v>
      </c>
      <c r="BA44" s="64"/>
      <c r="BB44" s="64"/>
      <c r="BC44" s="64"/>
      <c r="BD44" s="46"/>
      <c r="BE44" s="46" t="e">
        <v>#REF!</v>
      </c>
      <c r="BF44" s="46" t="s">
        <v>79</v>
      </c>
      <c r="BG44" s="65">
        <v>0.5</v>
      </c>
      <c r="BH44" s="66"/>
      <c r="BI44" s="63" t="s">
        <v>4929</v>
      </c>
    </row>
    <row r="45" spans="1:61" ht="25.5" x14ac:dyDescent="0.2">
      <c r="A45" s="45" t="s">
        <v>4930</v>
      </c>
      <c r="B45" s="46"/>
      <c r="C45" s="46" t="s">
        <v>4907</v>
      </c>
      <c r="D45" s="46" t="s">
        <v>199</v>
      </c>
      <c r="E45" s="46" t="s">
        <v>4908</v>
      </c>
      <c r="F45" s="46" t="s">
        <v>68</v>
      </c>
      <c r="G45" s="46" t="s">
        <v>68</v>
      </c>
      <c r="H45" s="46" t="s">
        <v>68</v>
      </c>
      <c r="I45" s="46" t="s">
        <v>449</v>
      </c>
      <c r="J45" s="46" t="s">
        <v>71</v>
      </c>
      <c r="K45" s="47">
        <v>200</v>
      </c>
      <c r="L45" s="47">
        <f>100*3</f>
        <v>300</v>
      </c>
      <c r="M45" s="47">
        <v>500</v>
      </c>
      <c r="N45" s="46"/>
      <c r="O45" s="71" t="s">
        <v>68</v>
      </c>
      <c r="P45" s="64"/>
      <c r="Q45" s="46" t="s">
        <v>4748</v>
      </c>
      <c r="R45" s="46" t="s">
        <v>4900</v>
      </c>
      <c r="S45" s="49">
        <v>125</v>
      </c>
      <c r="T45" s="49">
        <v>625</v>
      </c>
      <c r="U45" s="50">
        <v>0.17199999999999999</v>
      </c>
      <c r="V45" s="50">
        <v>0.1</v>
      </c>
      <c r="W45" s="74">
        <v>1.5</v>
      </c>
      <c r="X45" s="52">
        <v>62.5</v>
      </c>
      <c r="Y45" s="52">
        <v>30</v>
      </c>
      <c r="Z45" s="52">
        <v>425</v>
      </c>
      <c r="AA45" s="52">
        <v>517.5</v>
      </c>
      <c r="AB45" s="53">
        <v>0.82799999999999996</v>
      </c>
      <c r="AC45" s="54">
        <v>107.5</v>
      </c>
      <c r="AD45" s="55">
        <v>0.17199999999999999</v>
      </c>
      <c r="AE45" s="56">
        <v>2</v>
      </c>
      <c r="AF45" s="57" t="s">
        <v>72</v>
      </c>
      <c r="AG45" s="58">
        <v>100</v>
      </c>
      <c r="AH45" s="58">
        <v>300</v>
      </c>
      <c r="AI45" s="58">
        <v>400</v>
      </c>
      <c r="AJ45" s="49">
        <v>100</v>
      </c>
      <c r="AK45" s="49">
        <v>500</v>
      </c>
      <c r="AL45" s="52">
        <v>50</v>
      </c>
      <c r="AM45" s="52">
        <v>400</v>
      </c>
      <c r="AN45" s="52">
        <v>450</v>
      </c>
      <c r="AO45" s="59">
        <v>0.9</v>
      </c>
      <c r="AP45" s="60">
        <v>50</v>
      </c>
      <c r="AQ45" s="61">
        <v>0.1</v>
      </c>
      <c r="AR45" s="60" t="s">
        <v>73</v>
      </c>
      <c r="AS45" s="62">
        <v>300</v>
      </c>
      <c r="AT45" s="62">
        <v>450</v>
      </c>
      <c r="AU45" s="62">
        <v>750</v>
      </c>
      <c r="AV45" s="62">
        <v>937.5</v>
      </c>
      <c r="AW45" s="63" t="s">
        <v>74</v>
      </c>
      <c r="AX45" s="64">
        <v>45149</v>
      </c>
      <c r="AY45" s="64" t="s">
        <v>4931</v>
      </c>
      <c r="BA45" s="64"/>
      <c r="BB45" s="64"/>
      <c r="BC45" s="64"/>
      <c r="BD45" s="46"/>
      <c r="BE45" s="46" t="e">
        <v>#REF!</v>
      </c>
      <c r="BF45" s="46" t="s">
        <v>79</v>
      </c>
      <c r="BG45" s="65">
        <v>0.5</v>
      </c>
      <c r="BH45" s="66" t="s">
        <v>4932</v>
      </c>
      <c r="BI45" s="63" t="s">
        <v>4933</v>
      </c>
    </row>
    <row r="46" spans="1:61" ht="25.5" x14ac:dyDescent="0.2">
      <c r="A46" s="45" t="s">
        <v>4934</v>
      </c>
      <c r="B46" s="46"/>
      <c r="C46" s="46" t="s">
        <v>4907</v>
      </c>
      <c r="D46" s="46" t="s">
        <v>199</v>
      </c>
      <c r="E46" s="46" t="s">
        <v>4913</v>
      </c>
      <c r="F46" s="46" t="s">
        <v>68</v>
      </c>
      <c r="G46" s="46" t="s">
        <v>68</v>
      </c>
      <c r="H46" s="46" t="s">
        <v>68</v>
      </c>
      <c r="I46" s="46" t="s">
        <v>449</v>
      </c>
      <c r="J46" s="46" t="s">
        <v>71</v>
      </c>
      <c r="K46" s="47">
        <v>300</v>
      </c>
      <c r="L46" s="47">
        <f>100*6</f>
        <v>600</v>
      </c>
      <c r="M46" s="47">
        <v>900</v>
      </c>
      <c r="N46" s="46"/>
      <c r="O46" s="71" t="s">
        <v>68</v>
      </c>
      <c r="P46" s="64"/>
      <c r="Q46" s="46" t="s">
        <v>4748</v>
      </c>
      <c r="R46" s="46" t="s">
        <v>4900</v>
      </c>
      <c r="S46" s="49">
        <v>225</v>
      </c>
      <c r="T46" s="49">
        <v>1125</v>
      </c>
      <c r="U46" s="50">
        <v>0.14000000000000001</v>
      </c>
      <c r="V46" s="50">
        <v>0.06</v>
      </c>
      <c r="W46" s="77">
        <v>2</v>
      </c>
      <c r="X46" s="52">
        <v>112.5</v>
      </c>
      <c r="Y46" s="52">
        <v>30</v>
      </c>
      <c r="Z46" s="52">
        <v>825</v>
      </c>
      <c r="AA46" s="52">
        <v>967.5</v>
      </c>
      <c r="AB46" s="53">
        <v>0.86</v>
      </c>
      <c r="AC46" s="72">
        <v>157.5</v>
      </c>
      <c r="AD46" s="55">
        <v>0.14000000000000001</v>
      </c>
      <c r="AE46" s="56">
        <v>2</v>
      </c>
      <c r="AF46" s="57" t="s">
        <v>72</v>
      </c>
      <c r="AG46" s="58">
        <v>150</v>
      </c>
      <c r="AH46" s="58">
        <v>600</v>
      </c>
      <c r="AI46" s="58">
        <v>750</v>
      </c>
      <c r="AJ46" s="49">
        <v>187.5</v>
      </c>
      <c r="AK46" s="49">
        <v>937.5</v>
      </c>
      <c r="AL46" s="52">
        <v>93.75</v>
      </c>
      <c r="AM46" s="52">
        <v>787.5</v>
      </c>
      <c r="AN46" s="52">
        <v>881.25</v>
      </c>
      <c r="AO46" s="59">
        <v>0.94</v>
      </c>
      <c r="AP46" s="60">
        <v>56.25</v>
      </c>
      <c r="AQ46" s="61">
        <v>0.06</v>
      </c>
      <c r="AR46" s="60" t="s">
        <v>73</v>
      </c>
      <c r="AS46" s="62">
        <v>450</v>
      </c>
      <c r="AT46" s="62">
        <v>900</v>
      </c>
      <c r="AU46" s="62">
        <v>1350</v>
      </c>
      <c r="AV46" s="62">
        <v>1687.5</v>
      </c>
      <c r="AW46" s="63" t="s">
        <v>74</v>
      </c>
      <c r="AX46" s="64">
        <v>45149</v>
      </c>
      <c r="AY46" s="64" t="s">
        <v>4935</v>
      </c>
      <c r="BA46" s="64"/>
      <c r="BB46" s="64"/>
      <c r="BC46" s="64"/>
      <c r="BD46" s="46"/>
      <c r="BE46" s="46" t="e">
        <v>#REF!</v>
      </c>
      <c r="BF46" s="46" t="s">
        <v>79</v>
      </c>
      <c r="BG46" s="65">
        <v>0.5</v>
      </c>
      <c r="BH46" s="66"/>
      <c r="BI46" s="63" t="s">
        <v>4936</v>
      </c>
    </row>
    <row r="47" spans="1:61" ht="25.5" x14ac:dyDescent="0.2">
      <c r="A47" s="45" t="s">
        <v>4937</v>
      </c>
      <c r="B47" s="46"/>
      <c r="C47" s="46" t="s">
        <v>4907</v>
      </c>
      <c r="D47" s="46" t="s">
        <v>199</v>
      </c>
      <c r="E47" s="46" t="s">
        <v>4917</v>
      </c>
      <c r="F47" s="46" t="s">
        <v>68</v>
      </c>
      <c r="G47" s="46" t="s">
        <v>68</v>
      </c>
      <c r="H47" s="46" t="s">
        <v>68</v>
      </c>
      <c r="I47" s="46" t="s">
        <v>449</v>
      </c>
      <c r="J47" s="46" t="s">
        <v>71</v>
      </c>
      <c r="K47" s="47">
        <v>400</v>
      </c>
      <c r="L47" s="47">
        <f>100*9</f>
        <v>900</v>
      </c>
      <c r="M47" s="47">
        <v>1300</v>
      </c>
      <c r="N47" s="46"/>
      <c r="O47" s="71" t="s">
        <v>68</v>
      </c>
      <c r="P47" s="64"/>
      <c r="Q47" s="46" t="s">
        <v>4748</v>
      </c>
      <c r="R47" s="46" t="s">
        <v>4900</v>
      </c>
      <c r="S47" s="49">
        <v>325</v>
      </c>
      <c r="T47" s="49">
        <v>1625</v>
      </c>
      <c r="U47" s="50">
        <v>0.12769230769230769</v>
      </c>
      <c r="V47" s="50">
        <v>4.5454545454545456E-2</v>
      </c>
      <c r="W47" s="77">
        <v>2.25</v>
      </c>
      <c r="X47" s="52">
        <v>162.5</v>
      </c>
      <c r="Y47" s="52">
        <v>30</v>
      </c>
      <c r="Z47" s="52">
        <v>1225</v>
      </c>
      <c r="AA47" s="52">
        <v>1417.5</v>
      </c>
      <c r="AB47" s="53">
        <v>0.87230769230769234</v>
      </c>
      <c r="AC47" s="72">
        <v>207.5</v>
      </c>
      <c r="AD47" s="55">
        <v>0.12769230769230769</v>
      </c>
      <c r="AE47" s="56">
        <v>2</v>
      </c>
      <c r="AF47" s="57" t="s">
        <v>72</v>
      </c>
      <c r="AG47" s="58">
        <v>200</v>
      </c>
      <c r="AH47" s="58">
        <v>900</v>
      </c>
      <c r="AI47" s="58">
        <v>1100</v>
      </c>
      <c r="AJ47" s="49">
        <v>275</v>
      </c>
      <c r="AK47" s="49">
        <v>1375</v>
      </c>
      <c r="AL47" s="52">
        <v>137.5</v>
      </c>
      <c r="AM47" s="52">
        <v>1175</v>
      </c>
      <c r="AN47" s="52">
        <v>1312.5</v>
      </c>
      <c r="AO47" s="59">
        <v>0.95454545454545459</v>
      </c>
      <c r="AP47" s="60">
        <v>62.5</v>
      </c>
      <c r="AQ47" s="61">
        <v>4.5454545454545456E-2</v>
      </c>
      <c r="AR47" s="60" t="s">
        <v>73</v>
      </c>
      <c r="AS47" s="62">
        <v>600</v>
      </c>
      <c r="AT47" s="62">
        <v>1350</v>
      </c>
      <c r="AU47" s="62">
        <v>1950</v>
      </c>
      <c r="AV47" s="62">
        <v>2437.5</v>
      </c>
      <c r="AW47" s="63" t="s">
        <v>74</v>
      </c>
      <c r="AX47" s="64">
        <v>45149</v>
      </c>
      <c r="AY47" s="64" t="s">
        <v>4938</v>
      </c>
      <c r="BA47" s="64"/>
      <c r="BB47" s="64"/>
      <c r="BC47" s="64"/>
      <c r="BD47" s="46"/>
      <c r="BE47" s="46" t="e">
        <v>#REF!</v>
      </c>
      <c r="BF47" s="46" t="s">
        <v>79</v>
      </c>
      <c r="BG47" s="65">
        <v>0.5</v>
      </c>
      <c r="BH47" s="66"/>
      <c r="BI47" s="63" t="s">
        <v>4939</v>
      </c>
    </row>
    <row r="48" spans="1:61" ht="25.5" x14ac:dyDescent="0.2">
      <c r="A48" s="45" t="s">
        <v>4940</v>
      </c>
      <c r="B48" s="46"/>
      <c r="C48" s="46" t="s">
        <v>4907</v>
      </c>
      <c r="D48" s="46" t="s">
        <v>4941</v>
      </c>
      <c r="E48" s="46" t="s">
        <v>4908</v>
      </c>
      <c r="F48" s="46" t="s">
        <v>68</v>
      </c>
      <c r="G48" s="46" t="s">
        <v>68</v>
      </c>
      <c r="H48" s="46" t="s">
        <v>68</v>
      </c>
      <c r="I48" s="46" t="s">
        <v>454</v>
      </c>
      <c r="J48" s="46" t="s">
        <v>71</v>
      </c>
      <c r="K48" s="47">
        <v>150</v>
      </c>
      <c r="L48" s="47">
        <f>30*3</f>
        <v>90</v>
      </c>
      <c r="M48" s="47">
        <v>240</v>
      </c>
      <c r="N48" s="46"/>
      <c r="O48" s="71" t="s">
        <v>68</v>
      </c>
      <c r="P48" s="64"/>
      <c r="Q48" s="46" t="s">
        <v>4748</v>
      </c>
      <c r="R48" s="46" t="s">
        <v>4900</v>
      </c>
      <c r="S48" s="49">
        <v>60</v>
      </c>
      <c r="T48" s="49">
        <v>300</v>
      </c>
      <c r="U48" s="67">
        <v>0.3</v>
      </c>
      <c r="V48" s="28">
        <v>0.26363636363636361</v>
      </c>
      <c r="W48" s="51">
        <v>0.6</v>
      </c>
      <c r="X48" s="52">
        <v>30</v>
      </c>
      <c r="Y48" s="52">
        <v>30</v>
      </c>
      <c r="Z48" s="52">
        <v>150</v>
      </c>
      <c r="AA48" s="52">
        <v>210</v>
      </c>
      <c r="AB48" s="53">
        <v>0.7</v>
      </c>
      <c r="AC48" s="54">
        <v>90</v>
      </c>
      <c r="AD48" s="55">
        <v>0.3</v>
      </c>
      <c r="AE48" s="56">
        <v>2</v>
      </c>
      <c r="AF48" s="57" t="s">
        <v>72</v>
      </c>
      <c r="AG48" s="58">
        <v>75</v>
      </c>
      <c r="AH48" s="58">
        <v>90</v>
      </c>
      <c r="AI48" s="58">
        <v>165</v>
      </c>
      <c r="AJ48" s="49">
        <v>41.25</v>
      </c>
      <c r="AK48" s="49">
        <v>206.25</v>
      </c>
      <c r="AL48" s="52">
        <v>20.625</v>
      </c>
      <c r="AM48" s="52">
        <v>131.25</v>
      </c>
      <c r="AN48" s="52">
        <v>151.875</v>
      </c>
      <c r="AO48" s="59">
        <v>0.73636363636363633</v>
      </c>
      <c r="AP48" s="60">
        <v>54.375</v>
      </c>
      <c r="AQ48" s="61">
        <v>0.26363636363636361</v>
      </c>
      <c r="AR48" s="60" t="s">
        <v>78</v>
      </c>
      <c r="AS48" s="62">
        <v>225</v>
      </c>
      <c r="AT48" s="62">
        <v>135</v>
      </c>
      <c r="AU48" s="62">
        <v>360</v>
      </c>
      <c r="AV48" s="62">
        <v>450</v>
      </c>
      <c r="AW48" s="63" t="s">
        <v>74</v>
      </c>
      <c r="AX48" s="64">
        <v>45149</v>
      </c>
      <c r="AY48" s="64" t="s">
        <v>4942</v>
      </c>
      <c r="BA48" s="64"/>
      <c r="BB48" s="64"/>
      <c r="BC48" s="64"/>
      <c r="BD48" s="46"/>
      <c r="BE48" s="46" t="e">
        <v>#REF!</v>
      </c>
      <c r="BF48" s="46" t="s">
        <v>79</v>
      </c>
      <c r="BG48" s="65">
        <v>0.5</v>
      </c>
      <c r="BH48" s="66" t="s">
        <v>4943</v>
      </c>
      <c r="BI48" s="63" t="s">
        <v>4944</v>
      </c>
    </row>
    <row r="49" spans="1:61" ht="25.5" x14ac:dyDescent="0.2">
      <c r="A49" s="45" t="s">
        <v>4945</v>
      </c>
      <c r="B49" s="46"/>
      <c r="C49" s="46" t="s">
        <v>4907</v>
      </c>
      <c r="D49" s="46" t="s">
        <v>4941</v>
      </c>
      <c r="E49" s="46" t="s">
        <v>4913</v>
      </c>
      <c r="F49" s="46" t="s">
        <v>68</v>
      </c>
      <c r="G49" s="46" t="s">
        <v>68</v>
      </c>
      <c r="H49" s="46" t="s">
        <v>68</v>
      </c>
      <c r="I49" s="46" t="s">
        <v>454</v>
      </c>
      <c r="J49" s="46" t="s">
        <v>71</v>
      </c>
      <c r="K49" s="47">
        <v>170</v>
      </c>
      <c r="L49" s="47">
        <f>30*6</f>
        <v>180</v>
      </c>
      <c r="M49" s="47">
        <v>350</v>
      </c>
      <c r="N49" s="46"/>
      <c r="O49" s="71" t="s">
        <v>68</v>
      </c>
      <c r="P49" s="64"/>
      <c r="Q49" s="46" t="s">
        <v>4748</v>
      </c>
      <c r="R49" s="46" t="s">
        <v>4900</v>
      </c>
      <c r="S49" s="49">
        <v>87.5</v>
      </c>
      <c r="T49" s="49">
        <v>437.5</v>
      </c>
      <c r="U49" s="28">
        <v>0.22</v>
      </c>
      <c r="V49" s="50">
        <v>0.15660377358490565</v>
      </c>
      <c r="W49" s="74">
        <v>1.0588235294117647</v>
      </c>
      <c r="X49" s="52">
        <v>43.75</v>
      </c>
      <c r="Y49" s="52">
        <v>30</v>
      </c>
      <c r="Z49" s="52">
        <v>267.5</v>
      </c>
      <c r="AA49" s="52">
        <v>341.25</v>
      </c>
      <c r="AB49" s="53">
        <v>0.78</v>
      </c>
      <c r="AC49" s="54">
        <v>96.25</v>
      </c>
      <c r="AD49" s="55">
        <v>0.22</v>
      </c>
      <c r="AE49" s="56">
        <v>2</v>
      </c>
      <c r="AF49" s="57" t="s">
        <v>72</v>
      </c>
      <c r="AG49" s="58">
        <v>85</v>
      </c>
      <c r="AH49" s="58">
        <v>180</v>
      </c>
      <c r="AI49" s="58">
        <v>265</v>
      </c>
      <c r="AJ49" s="49">
        <v>66.25</v>
      </c>
      <c r="AK49" s="49">
        <v>331.25</v>
      </c>
      <c r="AL49" s="52">
        <v>33.125</v>
      </c>
      <c r="AM49" s="52">
        <v>246.25</v>
      </c>
      <c r="AN49" s="52">
        <v>279.375</v>
      </c>
      <c r="AO49" s="59">
        <v>0.84339622641509437</v>
      </c>
      <c r="AP49" s="60">
        <v>51.875</v>
      </c>
      <c r="AQ49" s="61">
        <v>0.15660377358490565</v>
      </c>
      <c r="AR49" s="60" t="s">
        <v>73</v>
      </c>
      <c r="AS49" s="62">
        <v>255</v>
      </c>
      <c r="AT49" s="62">
        <v>270</v>
      </c>
      <c r="AU49" s="62">
        <v>525</v>
      </c>
      <c r="AV49" s="62">
        <v>656.25</v>
      </c>
      <c r="AW49" s="63" t="s">
        <v>74</v>
      </c>
      <c r="AX49" s="64">
        <v>45149</v>
      </c>
      <c r="AY49" s="64" t="s">
        <v>4946</v>
      </c>
      <c r="BA49" s="64"/>
      <c r="BB49" s="64"/>
      <c r="BC49" s="64"/>
      <c r="BD49" s="46"/>
      <c r="BE49" s="46" t="e">
        <v>#REF!</v>
      </c>
      <c r="BF49" s="46" t="s">
        <v>79</v>
      </c>
      <c r="BG49" s="65">
        <v>0.5</v>
      </c>
      <c r="BH49" s="66"/>
      <c r="BI49" s="63" t="s">
        <v>4947</v>
      </c>
    </row>
    <row r="50" spans="1:61" ht="25.5" x14ac:dyDescent="0.2">
      <c r="A50" s="45" t="s">
        <v>4948</v>
      </c>
      <c r="B50" s="46"/>
      <c r="C50" s="46" t="s">
        <v>4907</v>
      </c>
      <c r="D50" s="46" t="s">
        <v>4941</v>
      </c>
      <c r="E50" s="46" t="s">
        <v>4917</v>
      </c>
      <c r="F50" s="46" t="s">
        <v>68</v>
      </c>
      <c r="G50" s="46" t="s">
        <v>68</v>
      </c>
      <c r="H50" s="46" t="s">
        <v>68</v>
      </c>
      <c r="I50" s="46" t="s">
        <v>454</v>
      </c>
      <c r="J50" s="46" t="s">
        <v>71</v>
      </c>
      <c r="K50" s="47">
        <v>190</v>
      </c>
      <c r="L50" s="47">
        <f>30*9</f>
        <v>270</v>
      </c>
      <c r="M50" s="47">
        <v>460</v>
      </c>
      <c r="N50" s="46"/>
      <c r="O50" s="71" t="s">
        <v>68</v>
      </c>
      <c r="P50" s="64"/>
      <c r="Q50" s="46" t="s">
        <v>4748</v>
      </c>
      <c r="R50" s="46" t="s">
        <v>4900</v>
      </c>
      <c r="S50" s="49">
        <v>115</v>
      </c>
      <c r="T50" s="49">
        <v>575</v>
      </c>
      <c r="U50" s="50">
        <v>0.17826086956521739</v>
      </c>
      <c r="V50" s="50">
        <v>0.10821917808219178</v>
      </c>
      <c r="W50" s="74">
        <v>1.4210526315789473</v>
      </c>
      <c r="X50" s="52">
        <v>57.5</v>
      </c>
      <c r="Y50" s="52">
        <v>30</v>
      </c>
      <c r="Z50" s="52">
        <v>385</v>
      </c>
      <c r="AA50" s="52">
        <v>472.5</v>
      </c>
      <c r="AB50" s="53">
        <v>0.82173913043478264</v>
      </c>
      <c r="AC50" s="54">
        <v>102.5</v>
      </c>
      <c r="AD50" s="55">
        <v>0.17826086956521739</v>
      </c>
      <c r="AE50" s="56">
        <v>2</v>
      </c>
      <c r="AF50" s="57" t="s">
        <v>72</v>
      </c>
      <c r="AG50" s="58">
        <v>95</v>
      </c>
      <c r="AH50" s="58">
        <v>270</v>
      </c>
      <c r="AI50" s="58">
        <v>365</v>
      </c>
      <c r="AJ50" s="49">
        <v>91.25</v>
      </c>
      <c r="AK50" s="49">
        <v>456.25</v>
      </c>
      <c r="AL50" s="52">
        <v>45.625</v>
      </c>
      <c r="AM50" s="52">
        <v>361.25</v>
      </c>
      <c r="AN50" s="52">
        <v>406.875</v>
      </c>
      <c r="AO50" s="59">
        <v>0.89178082191780816</v>
      </c>
      <c r="AP50" s="60">
        <v>49.375</v>
      </c>
      <c r="AQ50" s="61">
        <v>0.10821917808219178</v>
      </c>
      <c r="AR50" s="60" t="s">
        <v>73</v>
      </c>
      <c r="AS50" s="62">
        <v>285</v>
      </c>
      <c r="AT50" s="62">
        <v>405</v>
      </c>
      <c r="AU50" s="62">
        <v>690</v>
      </c>
      <c r="AV50" s="62">
        <v>862.5</v>
      </c>
      <c r="AW50" s="63" t="s">
        <v>74</v>
      </c>
      <c r="AX50" s="64">
        <v>45149</v>
      </c>
      <c r="AY50" s="64" t="s">
        <v>4949</v>
      </c>
      <c r="BA50" s="64"/>
      <c r="BB50" s="64"/>
      <c r="BC50" s="64"/>
      <c r="BD50" s="46"/>
      <c r="BE50" s="46" t="e">
        <v>#REF!</v>
      </c>
      <c r="BF50" s="46" t="s">
        <v>79</v>
      </c>
      <c r="BG50" s="65">
        <v>0.5</v>
      </c>
      <c r="BH50" s="66"/>
      <c r="BI50" s="63" t="s">
        <v>4950</v>
      </c>
    </row>
    <row r="51" spans="1:61" ht="25.5" x14ac:dyDescent="0.2">
      <c r="A51" s="45" t="s">
        <v>4951</v>
      </c>
      <c r="B51" s="46"/>
      <c r="C51" s="46" t="s">
        <v>4907</v>
      </c>
      <c r="D51" s="46" t="s">
        <v>4941</v>
      </c>
      <c r="E51" s="46" t="s">
        <v>4908</v>
      </c>
      <c r="F51" s="46" t="s">
        <v>68</v>
      </c>
      <c r="G51" s="46" t="s">
        <v>68</v>
      </c>
      <c r="H51" s="46" t="s">
        <v>68</v>
      </c>
      <c r="I51" s="46" t="s">
        <v>445</v>
      </c>
      <c r="J51" s="46" t="s">
        <v>71</v>
      </c>
      <c r="K51" s="47">
        <v>170</v>
      </c>
      <c r="L51" s="47">
        <f>60*3</f>
        <v>180</v>
      </c>
      <c r="M51" s="47">
        <v>350</v>
      </c>
      <c r="N51" s="46"/>
      <c r="O51" s="71" t="s">
        <v>68</v>
      </c>
      <c r="P51" s="64"/>
      <c r="Q51" s="46" t="s">
        <v>4748</v>
      </c>
      <c r="R51" s="46" t="s">
        <v>4900</v>
      </c>
      <c r="S51" s="49">
        <v>87.5</v>
      </c>
      <c r="T51" s="49">
        <v>437.5</v>
      </c>
      <c r="U51" s="28">
        <v>0.22</v>
      </c>
      <c r="V51" s="50">
        <v>0.15660377358490565</v>
      </c>
      <c r="W51" s="74">
        <v>1.0588235294117647</v>
      </c>
      <c r="X51" s="52">
        <v>43.75</v>
      </c>
      <c r="Y51" s="52">
        <v>30</v>
      </c>
      <c r="Z51" s="52">
        <v>267.5</v>
      </c>
      <c r="AA51" s="52">
        <v>341.25</v>
      </c>
      <c r="AB51" s="53">
        <v>0.78</v>
      </c>
      <c r="AC51" s="54">
        <v>96.25</v>
      </c>
      <c r="AD51" s="55">
        <v>0.22</v>
      </c>
      <c r="AE51" s="56">
        <v>2</v>
      </c>
      <c r="AF51" s="57" t="s">
        <v>72</v>
      </c>
      <c r="AG51" s="58">
        <v>85</v>
      </c>
      <c r="AH51" s="58">
        <v>180</v>
      </c>
      <c r="AI51" s="58">
        <v>265</v>
      </c>
      <c r="AJ51" s="49">
        <v>66.25</v>
      </c>
      <c r="AK51" s="49">
        <v>331.25</v>
      </c>
      <c r="AL51" s="52">
        <v>33.125</v>
      </c>
      <c r="AM51" s="52">
        <v>246.25</v>
      </c>
      <c r="AN51" s="52">
        <v>279.375</v>
      </c>
      <c r="AO51" s="59">
        <v>0.84339622641509437</v>
      </c>
      <c r="AP51" s="60">
        <v>51.875</v>
      </c>
      <c r="AQ51" s="61">
        <v>0.15660377358490565</v>
      </c>
      <c r="AR51" s="60" t="s">
        <v>73</v>
      </c>
      <c r="AS51" s="62">
        <v>255</v>
      </c>
      <c r="AT51" s="62">
        <v>270</v>
      </c>
      <c r="AU51" s="62">
        <v>525</v>
      </c>
      <c r="AV51" s="62">
        <v>656.25</v>
      </c>
      <c r="AW51" s="63" t="s">
        <v>74</v>
      </c>
      <c r="AX51" s="64">
        <v>45149</v>
      </c>
      <c r="AY51" s="64" t="s">
        <v>4952</v>
      </c>
      <c r="BA51" s="64"/>
      <c r="BB51" s="64"/>
      <c r="BC51" s="64"/>
      <c r="BD51" s="46"/>
      <c r="BE51" s="46" t="e">
        <v>#REF!</v>
      </c>
      <c r="BF51" s="46" t="s">
        <v>79</v>
      </c>
      <c r="BG51" s="65">
        <v>0.5</v>
      </c>
      <c r="BH51" s="66" t="s">
        <v>4953</v>
      </c>
      <c r="BI51" s="63" t="s">
        <v>4954</v>
      </c>
    </row>
    <row r="52" spans="1:61" ht="25.5" x14ac:dyDescent="0.2">
      <c r="A52" s="45" t="s">
        <v>4955</v>
      </c>
      <c r="B52" s="46"/>
      <c r="C52" s="46" t="s">
        <v>4907</v>
      </c>
      <c r="D52" s="46" t="s">
        <v>4941</v>
      </c>
      <c r="E52" s="46" t="s">
        <v>4913</v>
      </c>
      <c r="F52" s="46" t="s">
        <v>68</v>
      </c>
      <c r="G52" s="46" t="s">
        <v>68</v>
      </c>
      <c r="H52" s="46" t="s">
        <v>68</v>
      </c>
      <c r="I52" s="46" t="s">
        <v>445</v>
      </c>
      <c r="J52" s="46" t="s">
        <v>71</v>
      </c>
      <c r="K52" s="47">
        <v>200</v>
      </c>
      <c r="L52" s="47">
        <f>60*6</f>
        <v>360</v>
      </c>
      <c r="M52" s="47">
        <v>560</v>
      </c>
      <c r="N52" s="46"/>
      <c r="O52" s="71" t="s">
        <v>68</v>
      </c>
      <c r="P52" s="64"/>
      <c r="Q52" s="46" t="s">
        <v>4748</v>
      </c>
      <c r="R52" s="46" t="s">
        <v>4900</v>
      </c>
      <c r="S52" s="49">
        <v>140</v>
      </c>
      <c r="T52" s="49">
        <v>700</v>
      </c>
      <c r="U52" s="50">
        <v>0.14285714285714285</v>
      </c>
      <c r="V52" s="50">
        <v>7.3913043478260873E-2</v>
      </c>
      <c r="W52" s="77">
        <v>1.8</v>
      </c>
      <c r="X52" s="52">
        <v>70</v>
      </c>
      <c r="Y52" s="52">
        <v>30</v>
      </c>
      <c r="Z52" s="52">
        <v>500</v>
      </c>
      <c r="AA52" s="52">
        <v>600</v>
      </c>
      <c r="AB52" s="53">
        <v>0.8571428571428571</v>
      </c>
      <c r="AC52" s="54">
        <v>100</v>
      </c>
      <c r="AD52" s="55">
        <v>0.14285714285714285</v>
      </c>
      <c r="AE52" s="56">
        <v>2</v>
      </c>
      <c r="AF52" s="57" t="s">
        <v>72</v>
      </c>
      <c r="AG52" s="58">
        <v>100</v>
      </c>
      <c r="AH52" s="58">
        <v>360</v>
      </c>
      <c r="AI52" s="58">
        <v>460</v>
      </c>
      <c r="AJ52" s="49">
        <v>115</v>
      </c>
      <c r="AK52" s="49">
        <v>575</v>
      </c>
      <c r="AL52" s="52">
        <v>57.5</v>
      </c>
      <c r="AM52" s="52">
        <v>475</v>
      </c>
      <c r="AN52" s="52">
        <v>532.5</v>
      </c>
      <c r="AO52" s="59">
        <v>0.92608695652173911</v>
      </c>
      <c r="AP52" s="60">
        <v>42.5</v>
      </c>
      <c r="AQ52" s="61">
        <v>7.3913043478260873E-2</v>
      </c>
      <c r="AR52" s="60" t="s">
        <v>73</v>
      </c>
      <c r="AS52" s="62">
        <v>300</v>
      </c>
      <c r="AT52" s="62">
        <v>540</v>
      </c>
      <c r="AU52" s="62">
        <v>840</v>
      </c>
      <c r="AV52" s="62">
        <v>1050</v>
      </c>
      <c r="AW52" s="63" t="s">
        <v>74</v>
      </c>
      <c r="AX52" s="64">
        <v>45149</v>
      </c>
      <c r="AY52" s="64" t="s">
        <v>4956</v>
      </c>
      <c r="BA52" s="64"/>
      <c r="BB52" s="64"/>
      <c r="BC52" s="64"/>
      <c r="BD52" s="46"/>
      <c r="BE52" s="46" t="e">
        <v>#REF!</v>
      </c>
      <c r="BF52" s="46" t="s">
        <v>79</v>
      </c>
      <c r="BG52" s="65">
        <v>0.5</v>
      </c>
      <c r="BH52" s="66"/>
      <c r="BI52" s="63" t="s">
        <v>4957</v>
      </c>
    </row>
    <row r="53" spans="1:61" ht="25.5" x14ac:dyDescent="0.2">
      <c r="A53" s="45" t="s">
        <v>4958</v>
      </c>
      <c r="B53" s="46"/>
      <c r="C53" s="46" t="s">
        <v>4907</v>
      </c>
      <c r="D53" s="46" t="s">
        <v>4941</v>
      </c>
      <c r="E53" s="46" t="s">
        <v>4917</v>
      </c>
      <c r="F53" s="46" t="s">
        <v>68</v>
      </c>
      <c r="G53" s="46" t="s">
        <v>68</v>
      </c>
      <c r="H53" s="46" t="s">
        <v>68</v>
      </c>
      <c r="I53" s="46" t="s">
        <v>445</v>
      </c>
      <c r="J53" s="46" t="s">
        <v>71</v>
      </c>
      <c r="K53" s="47">
        <v>230</v>
      </c>
      <c r="L53" s="47">
        <f>60*9</f>
        <v>540</v>
      </c>
      <c r="M53" s="47">
        <v>770</v>
      </c>
      <c r="N53" s="46"/>
      <c r="O53" s="71" t="s">
        <v>68</v>
      </c>
      <c r="P53" s="64"/>
      <c r="Q53" s="46" t="s">
        <v>4748</v>
      </c>
      <c r="R53" s="46" t="s">
        <v>4900</v>
      </c>
      <c r="S53" s="49">
        <v>192.5</v>
      </c>
      <c r="T53" s="49">
        <v>962.5</v>
      </c>
      <c r="U53" s="50">
        <v>0.10779220779220779</v>
      </c>
      <c r="V53" s="50">
        <v>4.0458015267175573E-2</v>
      </c>
      <c r="W53" s="77">
        <v>2.347826086956522</v>
      </c>
      <c r="X53" s="52">
        <v>96.25</v>
      </c>
      <c r="Y53" s="52">
        <v>30</v>
      </c>
      <c r="Z53" s="52">
        <v>732.5</v>
      </c>
      <c r="AA53" s="52">
        <v>858.75</v>
      </c>
      <c r="AB53" s="53">
        <v>0.89220779220779223</v>
      </c>
      <c r="AC53" s="54">
        <v>103.75</v>
      </c>
      <c r="AD53" s="55">
        <v>0.10779220779220779</v>
      </c>
      <c r="AE53" s="56">
        <v>2</v>
      </c>
      <c r="AF53" s="57" t="s">
        <v>72</v>
      </c>
      <c r="AG53" s="58">
        <v>115</v>
      </c>
      <c r="AH53" s="58">
        <v>540</v>
      </c>
      <c r="AI53" s="58">
        <v>655</v>
      </c>
      <c r="AJ53" s="49">
        <v>163.75</v>
      </c>
      <c r="AK53" s="49">
        <v>818.75</v>
      </c>
      <c r="AL53" s="52">
        <v>81.875</v>
      </c>
      <c r="AM53" s="52">
        <v>703.75</v>
      </c>
      <c r="AN53" s="52">
        <v>785.625</v>
      </c>
      <c r="AO53" s="59">
        <v>0.95954198473282448</v>
      </c>
      <c r="AP53" s="60">
        <v>33.125</v>
      </c>
      <c r="AQ53" s="61">
        <v>4.0458015267175573E-2</v>
      </c>
      <c r="AR53" s="60" t="s">
        <v>73</v>
      </c>
      <c r="AS53" s="62">
        <v>345</v>
      </c>
      <c r="AT53" s="62">
        <v>810</v>
      </c>
      <c r="AU53" s="62">
        <v>1155</v>
      </c>
      <c r="AV53" s="62">
        <v>1443.75</v>
      </c>
      <c r="AW53" s="63" t="s">
        <v>74</v>
      </c>
      <c r="AX53" s="64">
        <v>45149</v>
      </c>
      <c r="AY53" s="64" t="s">
        <v>4959</v>
      </c>
      <c r="BA53" s="64"/>
      <c r="BB53" s="64"/>
      <c r="BC53" s="64"/>
      <c r="BD53" s="46"/>
      <c r="BE53" s="46" t="e">
        <v>#REF!</v>
      </c>
      <c r="BF53" s="46" t="s">
        <v>79</v>
      </c>
      <c r="BG53" s="65">
        <v>0.5</v>
      </c>
      <c r="BH53" s="66"/>
      <c r="BI53" s="63" t="s">
        <v>4960</v>
      </c>
    </row>
    <row r="54" spans="1:61" ht="25.5" x14ac:dyDescent="0.2">
      <c r="A54" s="45" t="s">
        <v>4961</v>
      </c>
      <c r="B54" s="46"/>
      <c r="C54" s="46" t="s">
        <v>4907</v>
      </c>
      <c r="D54" s="46" t="s">
        <v>4941</v>
      </c>
      <c r="E54" s="46" t="s">
        <v>4908</v>
      </c>
      <c r="F54" s="46" t="s">
        <v>68</v>
      </c>
      <c r="G54" s="46" t="s">
        <v>68</v>
      </c>
      <c r="H54" s="46" t="s">
        <v>68</v>
      </c>
      <c r="I54" s="46" t="s">
        <v>449</v>
      </c>
      <c r="J54" s="46" t="s">
        <v>71</v>
      </c>
      <c r="K54" s="47">
        <v>220</v>
      </c>
      <c r="L54" s="47">
        <f>120*3</f>
        <v>360</v>
      </c>
      <c r="M54" s="47">
        <v>580</v>
      </c>
      <c r="N54" s="46"/>
      <c r="O54" s="71" t="s">
        <v>68</v>
      </c>
      <c r="P54" s="64"/>
      <c r="Q54" s="46" t="s">
        <v>4748</v>
      </c>
      <c r="R54" s="46" t="s">
        <v>4900</v>
      </c>
      <c r="S54" s="49">
        <v>145</v>
      </c>
      <c r="T54" s="49">
        <v>725</v>
      </c>
      <c r="U54" s="50">
        <v>0.16206896551724137</v>
      </c>
      <c r="V54" s="50">
        <v>8.723404255319149E-2</v>
      </c>
      <c r="W54" s="77">
        <v>1.6363636363636365</v>
      </c>
      <c r="X54" s="52">
        <v>72.5</v>
      </c>
      <c r="Y54" s="52">
        <v>30</v>
      </c>
      <c r="Z54" s="52">
        <v>505</v>
      </c>
      <c r="AA54" s="52">
        <v>607.5</v>
      </c>
      <c r="AB54" s="53">
        <v>0.83793103448275863</v>
      </c>
      <c r="AC54" s="54">
        <v>117.5</v>
      </c>
      <c r="AD54" s="55">
        <v>0.16206896551724137</v>
      </c>
      <c r="AE54" s="56">
        <v>2</v>
      </c>
      <c r="AF54" s="57" t="s">
        <v>72</v>
      </c>
      <c r="AG54" s="58">
        <v>110</v>
      </c>
      <c r="AH54" s="58">
        <v>360</v>
      </c>
      <c r="AI54" s="58">
        <v>470</v>
      </c>
      <c r="AJ54" s="49">
        <v>117.5</v>
      </c>
      <c r="AK54" s="49">
        <v>587.5</v>
      </c>
      <c r="AL54" s="52">
        <v>58.75</v>
      </c>
      <c r="AM54" s="52">
        <v>477.5</v>
      </c>
      <c r="AN54" s="52">
        <v>536.25</v>
      </c>
      <c r="AO54" s="59">
        <v>0.91276595744680855</v>
      </c>
      <c r="AP54" s="60">
        <v>51.25</v>
      </c>
      <c r="AQ54" s="61">
        <v>8.723404255319149E-2</v>
      </c>
      <c r="AR54" s="60" t="s">
        <v>73</v>
      </c>
      <c r="AS54" s="62">
        <v>330</v>
      </c>
      <c r="AT54" s="62">
        <v>540</v>
      </c>
      <c r="AU54" s="62">
        <v>870</v>
      </c>
      <c r="AV54" s="62">
        <v>1087.5</v>
      </c>
      <c r="AW54" s="63" t="s">
        <v>74</v>
      </c>
      <c r="AX54" s="64">
        <v>45149</v>
      </c>
      <c r="AY54" s="64" t="s">
        <v>4962</v>
      </c>
      <c r="BA54" s="64"/>
      <c r="BB54" s="64"/>
      <c r="BC54" s="64"/>
      <c r="BD54" s="46"/>
      <c r="BE54" s="46" t="e">
        <v>#REF!</v>
      </c>
      <c r="BF54" s="46" t="s">
        <v>79</v>
      </c>
      <c r="BG54" s="65">
        <v>0.5</v>
      </c>
      <c r="BH54" s="66" t="s">
        <v>4963</v>
      </c>
      <c r="BI54" s="63" t="s">
        <v>4964</v>
      </c>
    </row>
    <row r="55" spans="1:61" ht="25.5" x14ac:dyDescent="0.2">
      <c r="A55" s="45" t="s">
        <v>4965</v>
      </c>
      <c r="B55" s="46"/>
      <c r="C55" s="46" t="s">
        <v>4907</v>
      </c>
      <c r="D55" s="46" t="s">
        <v>4941</v>
      </c>
      <c r="E55" s="46" t="s">
        <v>4913</v>
      </c>
      <c r="F55" s="46" t="s">
        <v>68</v>
      </c>
      <c r="G55" s="46" t="s">
        <v>68</v>
      </c>
      <c r="H55" s="46" t="s">
        <v>68</v>
      </c>
      <c r="I55" s="46" t="s">
        <v>449</v>
      </c>
      <c r="J55" s="46" t="s">
        <v>71</v>
      </c>
      <c r="K55" s="47">
        <v>320</v>
      </c>
      <c r="L55" s="47">
        <f>120*6</f>
        <v>720</v>
      </c>
      <c r="M55" s="47">
        <v>1040</v>
      </c>
      <c r="N55" s="46"/>
      <c r="O55" s="71" t="s">
        <v>68</v>
      </c>
      <c r="P55" s="64"/>
      <c r="Q55" s="46" t="s">
        <v>4748</v>
      </c>
      <c r="R55" s="46" t="s">
        <v>4900</v>
      </c>
      <c r="S55" s="49">
        <v>260</v>
      </c>
      <c r="T55" s="49">
        <v>1300</v>
      </c>
      <c r="U55" s="50">
        <v>0.12307692307692308</v>
      </c>
      <c r="V55" s="50">
        <v>4.5454545454545456E-2</v>
      </c>
      <c r="W55" s="77">
        <v>2.25</v>
      </c>
      <c r="X55" s="52">
        <v>130</v>
      </c>
      <c r="Y55" s="52">
        <v>30</v>
      </c>
      <c r="Z55" s="52">
        <v>980</v>
      </c>
      <c r="AA55" s="52">
        <v>1140</v>
      </c>
      <c r="AB55" s="53">
        <v>0.87692307692307692</v>
      </c>
      <c r="AC55" s="72">
        <v>160</v>
      </c>
      <c r="AD55" s="55">
        <v>0.12307692307692308</v>
      </c>
      <c r="AE55" s="56">
        <v>2</v>
      </c>
      <c r="AF55" s="57" t="s">
        <v>72</v>
      </c>
      <c r="AG55" s="58">
        <v>160</v>
      </c>
      <c r="AH55" s="58">
        <v>720</v>
      </c>
      <c r="AI55" s="58">
        <v>880</v>
      </c>
      <c r="AJ55" s="49">
        <v>220</v>
      </c>
      <c r="AK55" s="49">
        <v>1100</v>
      </c>
      <c r="AL55" s="52">
        <v>110</v>
      </c>
      <c r="AM55" s="52">
        <v>940</v>
      </c>
      <c r="AN55" s="52">
        <v>1050</v>
      </c>
      <c r="AO55" s="59">
        <v>0.95454545454545459</v>
      </c>
      <c r="AP55" s="60">
        <v>50</v>
      </c>
      <c r="AQ55" s="61">
        <v>4.5454545454545456E-2</v>
      </c>
      <c r="AR55" s="60" t="s">
        <v>73</v>
      </c>
      <c r="AS55" s="62">
        <v>480</v>
      </c>
      <c r="AT55" s="62">
        <v>1080</v>
      </c>
      <c r="AU55" s="62">
        <v>1560</v>
      </c>
      <c r="AV55" s="62">
        <v>1950</v>
      </c>
      <c r="AW55" s="63" t="s">
        <v>74</v>
      </c>
      <c r="AX55" s="64">
        <v>45149</v>
      </c>
      <c r="AY55" s="64" t="s">
        <v>4966</v>
      </c>
      <c r="BA55" s="64"/>
      <c r="BB55" s="64"/>
      <c r="BC55" s="64"/>
      <c r="BD55" s="46"/>
      <c r="BE55" s="46" t="e">
        <v>#REF!</v>
      </c>
      <c r="BF55" s="46" t="s">
        <v>79</v>
      </c>
      <c r="BG55" s="65">
        <v>0.5</v>
      </c>
      <c r="BH55" s="66"/>
      <c r="BI55" s="63" t="s">
        <v>4967</v>
      </c>
    </row>
    <row r="56" spans="1:61" ht="25.5" x14ac:dyDescent="0.2">
      <c r="A56" s="45" t="s">
        <v>4968</v>
      </c>
      <c r="B56" s="46"/>
      <c r="C56" s="46" t="s">
        <v>4907</v>
      </c>
      <c r="D56" s="46" t="s">
        <v>4941</v>
      </c>
      <c r="E56" s="46" t="s">
        <v>4917</v>
      </c>
      <c r="F56" s="46" t="s">
        <v>68</v>
      </c>
      <c r="G56" s="46" t="s">
        <v>68</v>
      </c>
      <c r="H56" s="46" t="s">
        <v>68</v>
      </c>
      <c r="I56" s="46" t="s">
        <v>449</v>
      </c>
      <c r="J56" s="46" t="s">
        <v>71</v>
      </c>
      <c r="K56" s="47">
        <v>420</v>
      </c>
      <c r="L56" s="47">
        <f>120*9</f>
        <v>1080</v>
      </c>
      <c r="M56" s="47">
        <v>1500</v>
      </c>
      <c r="N56" s="46"/>
      <c r="O56" s="71" t="s">
        <v>68</v>
      </c>
      <c r="P56" s="64"/>
      <c r="Q56" s="46" t="s">
        <v>4748</v>
      </c>
      <c r="R56" s="46" t="s">
        <v>4900</v>
      </c>
      <c r="S56" s="49">
        <v>375</v>
      </c>
      <c r="T56" s="49">
        <v>1875</v>
      </c>
      <c r="U56" s="50">
        <v>0.108</v>
      </c>
      <c r="V56" s="50">
        <v>3.0232558139534883E-2</v>
      </c>
      <c r="W56" s="77">
        <v>2.5714285714285716</v>
      </c>
      <c r="X56" s="52">
        <v>187.5</v>
      </c>
      <c r="Y56" s="52">
        <v>30</v>
      </c>
      <c r="Z56" s="52">
        <v>1455</v>
      </c>
      <c r="AA56" s="52">
        <v>1672.5</v>
      </c>
      <c r="AB56" s="53">
        <v>0.89200000000000002</v>
      </c>
      <c r="AC56" s="72">
        <v>202.5</v>
      </c>
      <c r="AD56" s="55">
        <v>0.108</v>
      </c>
      <c r="AE56" s="56">
        <v>2</v>
      </c>
      <c r="AF56" s="57" t="s">
        <v>72</v>
      </c>
      <c r="AG56" s="58">
        <v>210</v>
      </c>
      <c r="AH56" s="58">
        <v>1080</v>
      </c>
      <c r="AI56" s="58">
        <v>1290</v>
      </c>
      <c r="AJ56" s="49">
        <v>322.5</v>
      </c>
      <c r="AK56" s="49">
        <v>1612.5</v>
      </c>
      <c r="AL56" s="52">
        <v>161.25</v>
      </c>
      <c r="AM56" s="52">
        <v>1402.5</v>
      </c>
      <c r="AN56" s="52">
        <v>1563.75</v>
      </c>
      <c r="AO56" s="59">
        <v>0.96976744186046515</v>
      </c>
      <c r="AP56" s="60">
        <v>48.75</v>
      </c>
      <c r="AQ56" s="61">
        <v>3.0232558139534883E-2</v>
      </c>
      <c r="AR56" s="60" t="s">
        <v>73</v>
      </c>
      <c r="AS56" s="62">
        <v>630</v>
      </c>
      <c r="AT56" s="62">
        <v>1620</v>
      </c>
      <c r="AU56" s="62">
        <v>2250</v>
      </c>
      <c r="AV56" s="62">
        <v>2812.5</v>
      </c>
      <c r="AW56" s="63" t="s">
        <v>74</v>
      </c>
      <c r="AX56" s="64">
        <v>45149</v>
      </c>
      <c r="AY56" s="64" t="s">
        <v>4969</v>
      </c>
      <c r="BA56" s="64"/>
      <c r="BB56" s="64"/>
      <c r="BC56" s="64"/>
      <c r="BD56" s="46"/>
      <c r="BE56" s="46" t="e">
        <v>#REF!</v>
      </c>
      <c r="BF56" s="46" t="s">
        <v>79</v>
      </c>
      <c r="BG56" s="65">
        <v>0.5</v>
      </c>
      <c r="BH56" s="66"/>
      <c r="BI56" s="63" t="s">
        <v>4970</v>
      </c>
    </row>
    <row r="57" spans="1:61" ht="25.5" x14ac:dyDescent="0.2">
      <c r="A57" s="45" t="s">
        <v>4971</v>
      </c>
      <c r="B57" s="46"/>
      <c r="C57" s="46" t="s">
        <v>4972</v>
      </c>
      <c r="D57" s="46" t="s">
        <v>4973</v>
      </c>
      <c r="E57" s="46" t="s">
        <v>4974</v>
      </c>
      <c r="F57" s="46" t="s">
        <v>68</v>
      </c>
      <c r="G57" s="46" t="s">
        <v>68</v>
      </c>
      <c r="H57" s="46" t="s">
        <v>68</v>
      </c>
      <c r="I57" s="46" t="s">
        <v>68</v>
      </c>
      <c r="J57" s="46" t="s">
        <v>71</v>
      </c>
      <c r="K57" s="47">
        <v>140</v>
      </c>
      <c r="L57" s="47">
        <v>0</v>
      </c>
      <c r="M57" s="47">
        <v>140</v>
      </c>
      <c r="N57" s="46"/>
      <c r="O57" s="71" t="s">
        <v>68</v>
      </c>
      <c r="P57" s="64"/>
      <c r="Q57" s="46" t="s">
        <v>4748</v>
      </c>
      <c r="R57" s="46" t="s">
        <v>4900</v>
      </c>
      <c r="S57" s="49">
        <v>35</v>
      </c>
      <c r="T57" s="49">
        <v>175</v>
      </c>
      <c r="U57" s="67">
        <v>0.52857142857142858</v>
      </c>
      <c r="V57" s="67">
        <v>0.7</v>
      </c>
      <c r="W57" s="51">
        <v>0</v>
      </c>
      <c r="X57" s="52">
        <v>17.5</v>
      </c>
      <c r="Y57" s="52">
        <v>30</v>
      </c>
      <c r="Z57" s="52">
        <v>35</v>
      </c>
      <c r="AA57" s="52">
        <v>82.5</v>
      </c>
      <c r="AB57" s="53">
        <v>0.47142857142857142</v>
      </c>
      <c r="AC57" s="54">
        <v>92.5</v>
      </c>
      <c r="AD57" s="55">
        <v>0.52857142857142858</v>
      </c>
      <c r="AE57" s="69">
        <v>1</v>
      </c>
      <c r="AF57" s="57" t="s">
        <v>77</v>
      </c>
      <c r="AG57" s="58">
        <v>28</v>
      </c>
      <c r="AH57" s="58">
        <v>0</v>
      </c>
      <c r="AI57" s="58">
        <v>28</v>
      </c>
      <c r="AJ57" s="49">
        <v>7</v>
      </c>
      <c r="AK57" s="49">
        <v>35</v>
      </c>
      <c r="AL57" s="52">
        <v>3.5</v>
      </c>
      <c r="AM57" s="52">
        <v>7</v>
      </c>
      <c r="AN57" s="52">
        <v>10.5</v>
      </c>
      <c r="AO57" s="59">
        <v>0.3</v>
      </c>
      <c r="AP57" s="60">
        <v>24.5</v>
      </c>
      <c r="AQ57" s="61">
        <v>0.7</v>
      </c>
      <c r="AR57" s="60" t="s">
        <v>78</v>
      </c>
      <c r="AS57" s="62">
        <v>182</v>
      </c>
      <c r="AT57" s="62">
        <v>0</v>
      </c>
      <c r="AU57" s="62">
        <v>182</v>
      </c>
      <c r="AV57" s="62">
        <v>227.5</v>
      </c>
      <c r="AW57" s="63" t="s">
        <v>74</v>
      </c>
      <c r="AX57" s="64">
        <v>45149</v>
      </c>
      <c r="AY57" s="64" t="s">
        <v>4975</v>
      </c>
      <c r="BA57" s="64"/>
      <c r="BB57" s="64"/>
      <c r="BC57" s="64"/>
      <c r="BD57" s="46"/>
      <c r="BE57" s="46" t="e">
        <v>#REF!</v>
      </c>
      <c r="BF57" s="46" t="s">
        <v>79</v>
      </c>
      <c r="BG57" s="65">
        <v>0.75</v>
      </c>
      <c r="BH57" s="66" t="s">
        <v>4976</v>
      </c>
      <c r="BI57" s="63" t="s">
        <v>4977</v>
      </c>
    </row>
    <row r="58" spans="1:61" ht="25.5" x14ac:dyDescent="0.2">
      <c r="A58" s="45" t="s">
        <v>4978</v>
      </c>
      <c r="B58" s="46"/>
      <c r="C58" s="46" t="s">
        <v>4972</v>
      </c>
      <c r="D58" s="46" t="s">
        <v>4979</v>
      </c>
      <c r="E58" s="46" t="s">
        <v>4974</v>
      </c>
      <c r="F58" s="46" t="s">
        <v>68</v>
      </c>
      <c r="G58" s="46" t="s">
        <v>68</v>
      </c>
      <c r="H58" s="46" t="s">
        <v>68</v>
      </c>
      <c r="I58" s="46" t="s">
        <v>68</v>
      </c>
      <c r="J58" s="46" t="s">
        <v>71</v>
      </c>
      <c r="K58" s="47">
        <v>150</v>
      </c>
      <c r="L58" s="47">
        <v>40</v>
      </c>
      <c r="M58" s="47">
        <v>190</v>
      </c>
      <c r="N58" s="46"/>
      <c r="O58" s="71" t="s">
        <v>68</v>
      </c>
      <c r="P58" s="64"/>
      <c r="Q58" s="46" t="s">
        <v>4748</v>
      </c>
      <c r="R58" s="46" t="s">
        <v>4900</v>
      </c>
      <c r="S58" s="49">
        <v>47.5</v>
      </c>
      <c r="T58" s="49">
        <v>237.5</v>
      </c>
      <c r="U58" s="67">
        <v>0.40526315789473683</v>
      </c>
      <c r="V58" s="28">
        <v>0.24285714285714285</v>
      </c>
      <c r="W58" s="51">
        <v>0.26666666666666666</v>
      </c>
      <c r="X58" s="52">
        <v>23.75</v>
      </c>
      <c r="Y58" s="52">
        <v>30</v>
      </c>
      <c r="Z58" s="52">
        <v>87.5</v>
      </c>
      <c r="AA58" s="52">
        <v>141.25</v>
      </c>
      <c r="AB58" s="53">
        <v>0.59473684210526312</v>
      </c>
      <c r="AC58" s="54">
        <v>96.25</v>
      </c>
      <c r="AD58" s="55">
        <v>0.40526315789473683</v>
      </c>
      <c r="AE58" s="69">
        <v>1</v>
      </c>
      <c r="AF58" s="57" t="s">
        <v>77</v>
      </c>
      <c r="AG58" s="58">
        <v>30</v>
      </c>
      <c r="AH58" s="58">
        <v>40</v>
      </c>
      <c r="AI58" s="58">
        <v>70</v>
      </c>
      <c r="AJ58" s="49">
        <v>17.5</v>
      </c>
      <c r="AK58" s="49">
        <v>87.5</v>
      </c>
      <c r="AL58" s="52">
        <v>8.75</v>
      </c>
      <c r="AM58" s="52">
        <v>57.5</v>
      </c>
      <c r="AN58" s="52">
        <v>66.25</v>
      </c>
      <c r="AO58" s="59">
        <v>0.75714285714285712</v>
      </c>
      <c r="AP58" s="60">
        <v>21.25</v>
      </c>
      <c r="AQ58" s="61">
        <v>0.24285714285714285</v>
      </c>
      <c r="AR58" s="60" t="s">
        <v>78</v>
      </c>
      <c r="AS58" s="62">
        <v>195</v>
      </c>
      <c r="AT58" s="62">
        <v>52</v>
      </c>
      <c r="AU58" s="62">
        <v>247</v>
      </c>
      <c r="AV58" s="62">
        <v>308.75</v>
      </c>
      <c r="AW58" s="63" t="s">
        <v>74</v>
      </c>
      <c r="AX58" s="64">
        <v>45149</v>
      </c>
      <c r="AY58" s="64" t="s">
        <v>4980</v>
      </c>
      <c r="BA58" s="64"/>
      <c r="BB58" s="64"/>
      <c r="BC58" s="64"/>
      <c r="BD58" s="46"/>
      <c r="BE58" s="46" t="e">
        <v>#REF!</v>
      </c>
      <c r="BF58" s="46" t="s">
        <v>79</v>
      </c>
      <c r="BG58" s="65">
        <v>0.75</v>
      </c>
      <c r="BH58" s="66" t="s">
        <v>4981</v>
      </c>
      <c r="BI58" s="63" t="s">
        <v>4982</v>
      </c>
    </row>
    <row r="59" spans="1:61" ht="25.5" x14ac:dyDescent="0.2">
      <c r="A59" s="45" t="s">
        <v>4983</v>
      </c>
      <c r="B59" s="46"/>
      <c r="C59" s="46" t="s">
        <v>4984</v>
      </c>
      <c r="D59" s="46" t="s">
        <v>4973</v>
      </c>
      <c r="E59" s="46" t="s">
        <v>4974</v>
      </c>
      <c r="F59" s="46" t="s">
        <v>68</v>
      </c>
      <c r="G59" s="46" t="s">
        <v>68</v>
      </c>
      <c r="H59" s="46" t="s">
        <v>68</v>
      </c>
      <c r="I59" s="46" t="s">
        <v>68</v>
      </c>
      <c r="J59" s="46" t="s">
        <v>71</v>
      </c>
      <c r="K59" s="47">
        <v>140</v>
      </c>
      <c r="L59" s="47">
        <v>0</v>
      </c>
      <c r="M59" s="47">
        <v>140</v>
      </c>
      <c r="N59" s="46"/>
      <c r="O59" s="71" t="s">
        <v>68</v>
      </c>
      <c r="P59" s="64"/>
      <c r="Q59" s="46" t="s">
        <v>4748</v>
      </c>
      <c r="R59" s="46" t="s">
        <v>4900</v>
      </c>
      <c r="S59" s="49">
        <v>35</v>
      </c>
      <c r="T59" s="49">
        <v>175</v>
      </c>
      <c r="U59" s="67">
        <v>0.52857142857142858</v>
      </c>
      <c r="V59" s="67">
        <v>0.7</v>
      </c>
      <c r="W59" s="51">
        <v>0</v>
      </c>
      <c r="X59" s="52">
        <v>17.5</v>
      </c>
      <c r="Y59" s="52">
        <v>30</v>
      </c>
      <c r="Z59" s="52">
        <v>35</v>
      </c>
      <c r="AA59" s="52">
        <v>82.5</v>
      </c>
      <c r="AB59" s="53">
        <v>0.47142857142857142</v>
      </c>
      <c r="AC59" s="54">
        <v>92.5</v>
      </c>
      <c r="AD59" s="55">
        <v>0.52857142857142858</v>
      </c>
      <c r="AE59" s="69">
        <v>1</v>
      </c>
      <c r="AF59" s="57" t="s">
        <v>77</v>
      </c>
      <c r="AG59" s="58">
        <v>28</v>
      </c>
      <c r="AH59" s="58">
        <v>0</v>
      </c>
      <c r="AI59" s="58">
        <v>28</v>
      </c>
      <c r="AJ59" s="49">
        <v>7</v>
      </c>
      <c r="AK59" s="49">
        <v>35</v>
      </c>
      <c r="AL59" s="52">
        <v>3.5</v>
      </c>
      <c r="AM59" s="52">
        <v>7</v>
      </c>
      <c r="AN59" s="52">
        <v>10.5</v>
      </c>
      <c r="AO59" s="59">
        <v>0.3</v>
      </c>
      <c r="AP59" s="60">
        <v>24.5</v>
      </c>
      <c r="AQ59" s="61">
        <v>0.7</v>
      </c>
      <c r="AR59" s="60" t="s">
        <v>78</v>
      </c>
      <c r="AS59" s="62">
        <v>182</v>
      </c>
      <c r="AT59" s="62">
        <v>0</v>
      </c>
      <c r="AU59" s="62">
        <v>182</v>
      </c>
      <c r="AV59" s="62">
        <v>227.5</v>
      </c>
      <c r="AW59" s="63" t="s">
        <v>74</v>
      </c>
      <c r="AX59" s="64">
        <v>45149</v>
      </c>
      <c r="AY59" s="64" t="s">
        <v>4985</v>
      </c>
      <c r="BA59" s="64"/>
      <c r="BB59" s="64"/>
      <c r="BC59" s="64"/>
      <c r="BD59" s="46"/>
      <c r="BE59" s="46" t="e">
        <v>#REF!</v>
      </c>
      <c r="BF59" s="46" t="s">
        <v>79</v>
      </c>
      <c r="BG59" s="65">
        <v>0.75</v>
      </c>
      <c r="BH59" s="66" t="s">
        <v>4986</v>
      </c>
      <c r="BI59" s="63" t="s">
        <v>4987</v>
      </c>
    </row>
    <row r="60" spans="1:61" ht="25.5" x14ac:dyDescent="0.2">
      <c r="A60" s="45" t="s">
        <v>4988</v>
      </c>
      <c r="B60" s="46"/>
      <c r="C60" s="46" t="s">
        <v>4984</v>
      </c>
      <c r="D60" s="46" t="s">
        <v>4979</v>
      </c>
      <c r="E60" s="46" t="s">
        <v>4974</v>
      </c>
      <c r="F60" s="46" t="s">
        <v>68</v>
      </c>
      <c r="G60" s="46" t="s">
        <v>68</v>
      </c>
      <c r="H60" s="46" t="s">
        <v>68</v>
      </c>
      <c r="I60" s="46" t="s">
        <v>68</v>
      </c>
      <c r="J60" s="46" t="s">
        <v>71</v>
      </c>
      <c r="K60" s="47">
        <v>150</v>
      </c>
      <c r="L60" s="47">
        <v>60</v>
      </c>
      <c r="M60" s="47">
        <v>210</v>
      </c>
      <c r="N60" s="46"/>
      <c r="O60" s="71" t="s">
        <v>68</v>
      </c>
      <c r="P60" s="64"/>
      <c r="Q60" s="46" t="s">
        <v>4748</v>
      </c>
      <c r="R60" s="46" t="s">
        <v>4900</v>
      </c>
      <c r="S60" s="49">
        <v>52.5</v>
      </c>
      <c r="T60" s="49">
        <v>262.5</v>
      </c>
      <c r="U60" s="67">
        <v>0.35714285714285715</v>
      </c>
      <c r="V60" s="50">
        <v>0.16666666666666666</v>
      </c>
      <c r="W60" s="51">
        <v>0.4</v>
      </c>
      <c r="X60" s="52">
        <v>26.25</v>
      </c>
      <c r="Y60" s="52">
        <v>30</v>
      </c>
      <c r="Z60" s="52">
        <v>112.5</v>
      </c>
      <c r="AA60" s="52">
        <v>168.75</v>
      </c>
      <c r="AB60" s="53">
        <v>0.6428571428571429</v>
      </c>
      <c r="AC60" s="54">
        <v>93.75</v>
      </c>
      <c r="AD60" s="55">
        <v>0.35714285714285715</v>
      </c>
      <c r="AE60" s="69">
        <v>1</v>
      </c>
      <c r="AF60" s="57" t="s">
        <v>77</v>
      </c>
      <c r="AG60" s="58">
        <v>30</v>
      </c>
      <c r="AH60" s="58">
        <v>60</v>
      </c>
      <c r="AI60" s="58">
        <v>90</v>
      </c>
      <c r="AJ60" s="49">
        <v>22.5</v>
      </c>
      <c r="AK60" s="49">
        <v>112.5</v>
      </c>
      <c r="AL60" s="52">
        <v>11.25</v>
      </c>
      <c r="AM60" s="52">
        <v>82.5</v>
      </c>
      <c r="AN60" s="52">
        <v>93.75</v>
      </c>
      <c r="AO60" s="59">
        <v>0.83333333333333337</v>
      </c>
      <c r="AP60" s="60">
        <v>18.75</v>
      </c>
      <c r="AQ60" s="61">
        <v>0.16666666666666666</v>
      </c>
      <c r="AR60" s="60" t="s">
        <v>73</v>
      </c>
      <c r="AS60" s="62">
        <v>195</v>
      </c>
      <c r="AT60" s="62">
        <v>78</v>
      </c>
      <c r="AU60" s="62">
        <v>273</v>
      </c>
      <c r="AV60" s="62">
        <v>341.25</v>
      </c>
      <c r="AW60" s="63" t="s">
        <v>74</v>
      </c>
      <c r="AX60" s="64">
        <v>45149</v>
      </c>
      <c r="AY60" s="64" t="s">
        <v>4989</v>
      </c>
      <c r="BA60" s="64"/>
      <c r="BB60" s="64"/>
      <c r="BC60" s="64"/>
      <c r="BD60" s="46"/>
      <c r="BE60" s="46" t="e">
        <v>#REF!</v>
      </c>
      <c r="BF60" s="46" t="s">
        <v>79</v>
      </c>
      <c r="BG60" s="65">
        <v>0.75</v>
      </c>
      <c r="BH60" s="66" t="s">
        <v>4990</v>
      </c>
      <c r="BI60" s="63" t="s">
        <v>4991</v>
      </c>
    </row>
    <row r="61" spans="1:61" ht="25.5" x14ac:dyDescent="0.2">
      <c r="A61" s="34" t="s">
        <v>4992</v>
      </c>
      <c r="B61" s="35"/>
      <c r="C61" s="35" t="s">
        <v>68</v>
      </c>
      <c r="D61" s="35" t="s">
        <v>68</v>
      </c>
      <c r="E61" s="35" t="s">
        <v>68</v>
      </c>
      <c r="F61" s="35" t="s">
        <v>68</v>
      </c>
      <c r="G61" s="35" t="s">
        <v>68</v>
      </c>
      <c r="H61" s="35" t="s">
        <v>68</v>
      </c>
      <c r="I61" s="35" t="s">
        <v>68</v>
      </c>
      <c r="J61" s="35" t="s">
        <v>68</v>
      </c>
      <c r="K61" s="36" t="s">
        <v>68</v>
      </c>
      <c r="L61" s="36" t="s">
        <v>68</v>
      </c>
      <c r="M61" s="36" t="s">
        <v>68</v>
      </c>
      <c r="N61" s="35"/>
      <c r="O61" s="35" t="s">
        <v>68</v>
      </c>
      <c r="P61" s="37"/>
      <c r="Q61" s="38" t="s">
        <v>4748</v>
      </c>
      <c r="R61" s="38" t="s">
        <v>4993</v>
      </c>
      <c r="S61" s="36" t="s">
        <v>68</v>
      </c>
      <c r="T61" s="36" t="s">
        <v>68</v>
      </c>
      <c r="U61" s="39" t="s">
        <v>68</v>
      </c>
      <c r="V61" s="39" t="s">
        <v>68</v>
      </c>
      <c r="W61" s="40" t="s">
        <v>68</v>
      </c>
      <c r="X61" s="36" t="s">
        <v>68</v>
      </c>
      <c r="Y61" s="36" t="s">
        <v>68</v>
      </c>
      <c r="Z61" s="36" t="s">
        <v>68</v>
      </c>
      <c r="AA61" s="36" t="s">
        <v>68</v>
      </c>
      <c r="AB61" s="39" t="s">
        <v>68</v>
      </c>
      <c r="AC61" s="36" t="s">
        <v>68</v>
      </c>
      <c r="AD61" s="39" t="s">
        <v>68</v>
      </c>
      <c r="AE61" s="41"/>
      <c r="AF61" s="42" t="s">
        <v>68</v>
      </c>
      <c r="AG61" s="36" t="s">
        <v>68</v>
      </c>
      <c r="AH61" s="36" t="s">
        <v>68</v>
      </c>
      <c r="AI61" s="36" t="s">
        <v>68</v>
      </c>
      <c r="AJ61" s="36" t="s">
        <v>68</v>
      </c>
      <c r="AK61" s="36" t="s">
        <v>68</v>
      </c>
      <c r="AL61" s="36" t="s">
        <v>68</v>
      </c>
      <c r="AM61" s="36" t="s">
        <v>68</v>
      </c>
      <c r="AN61" s="36" t="s">
        <v>68</v>
      </c>
      <c r="AO61" s="43" t="s">
        <v>68</v>
      </c>
      <c r="AP61" s="36" t="s">
        <v>68</v>
      </c>
      <c r="AQ61" s="39" t="s">
        <v>68</v>
      </c>
      <c r="AR61" s="36" t="s">
        <v>68</v>
      </c>
      <c r="AS61" s="36" t="s">
        <v>68</v>
      </c>
      <c r="AT61" s="36" t="s">
        <v>68</v>
      </c>
      <c r="AU61" s="36" t="s">
        <v>68</v>
      </c>
      <c r="AV61" s="36" t="s">
        <v>68</v>
      </c>
      <c r="AW61" s="35"/>
      <c r="AX61" s="37"/>
      <c r="AY61" s="37" t="s">
        <v>68</v>
      </c>
      <c r="BA61" s="37"/>
      <c r="BB61" s="37"/>
      <c r="BC61" s="37"/>
      <c r="BD61" s="35"/>
      <c r="BE61" s="35" t="e">
        <v>#REF!</v>
      </c>
      <c r="BF61" s="35"/>
      <c r="BG61" s="44"/>
      <c r="BH61" s="38" t="s">
        <v>4994</v>
      </c>
      <c r="BI61" s="35" t="s">
        <v>68</v>
      </c>
    </row>
    <row r="62" spans="1:61" ht="25.5" x14ac:dyDescent="0.2">
      <c r="A62" s="45" t="s">
        <v>4995</v>
      </c>
      <c r="B62" s="46"/>
      <c r="C62" s="46" t="s">
        <v>4996</v>
      </c>
      <c r="D62" s="46" t="s">
        <v>4997</v>
      </c>
      <c r="E62" s="46" t="s">
        <v>68</v>
      </c>
      <c r="F62" s="46" t="s">
        <v>68</v>
      </c>
      <c r="G62" s="46" t="s">
        <v>68</v>
      </c>
      <c r="H62" s="46" t="s">
        <v>68</v>
      </c>
      <c r="I62" s="46" t="s">
        <v>68</v>
      </c>
      <c r="J62" s="46" t="s">
        <v>2996</v>
      </c>
      <c r="K62" s="47">
        <v>30</v>
      </c>
      <c r="L62" s="47">
        <v>100</v>
      </c>
      <c r="M62" s="47">
        <v>130</v>
      </c>
      <c r="N62" s="46"/>
      <c r="O62" s="71" t="s">
        <v>68</v>
      </c>
      <c r="P62" s="64"/>
      <c r="Q62" s="46" t="s">
        <v>4748</v>
      </c>
      <c r="R62" s="46" t="s">
        <v>4993</v>
      </c>
      <c r="S62" s="49">
        <v>32.5</v>
      </c>
      <c r="T62" s="49">
        <v>162.5</v>
      </c>
      <c r="U62" s="50">
        <v>0.11538461538461539</v>
      </c>
      <c r="V62" s="50">
        <v>8.461538461538462E-2</v>
      </c>
      <c r="W62" s="77">
        <v>3.3333333333333335</v>
      </c>
      <c r="X62" s="52">
        <v>16.25</v>
      </c>
      <c r="Y62" s="52">
        <v>30</v>
      </c>
      <c r="Z62" s="52">
        <v>132.5</v>
      </c>
      <c r="AA62" s="52">
        <v>178.75</v>
      </c>
      <c r="AB62" s="53">
        <v>1.1000000000000001</v>
      </c>
      <c r="AC62" s="75">
        <v>18.75</v>
      </c>
      <c r="AD62" s="55">
        <v>0.11538461538461539</v>
      </c>
      <c r="AE62" s="73">
        <v>4</v>
      </c>
      <c r="AF62" s="57" t="s">
        <v>95</v>
      </c>
      <c r="AG62" s="58">
        <v>30</v>
      </c>
      <c r="AH62" s="58">
        <v>100</v>
      </c>
      <c r="AI62" s="58">
        <v>130</v>
      </c>
      <c r="AJ62" s="49">
        <v>32.5</v>
      </c>
      <c r="AK62" s="49">
        <v>162.5</v>
      </c>
      <c r="AL62" s="52">
        <v>16.25</v>
      </c>
      <c r="AM62" s="52">
        <v>132.5</v>
      </c>
      <c r="AN62" s="52">
        <v>148.75</v>
      </c>
      <c r="AO62" s="59">
        <v>0.91538461538461535</v>
      </c>
      <c r="AP62" s="60">
        <v>13.75</v>
      </c>
      <c r="AQ62" s="61">
        <v>8.461538461538462E-2</v>
      </c>
      <c r="AR62" s="60" t="s">
        <v>73</v>
      </c>
      <c r="AS62" s="62">
        <v>51</v>
      </c>
      <c r="AT62" s="62">
        <v>170</v>
      </c>
      <c r="AU62" s="62">
        <v>221</v>
      </c>
      <c r="AV62" s="62">
        <v>276.25</v>
      </c>
      <c r="AW62" s="47" t="s">
        <v>74</v>
      </c>
      <c r="AX62" s="64">
        <v>45149</v>
      </c>
      <c r="AY62" s="64" t="s">
        <v>4998</v>
      </c>
      <c r="BA62" s="64"/>
      <c r="BB62" s="64"/>
      <c r="BC62" s="64"/>
      <c r="BD62" s="46"/>
      <c r="BE62" s="46" t="e">
        <v>#REF!</v>
      </c>
      <c r="BF62" s="46" t="s">
        <v>75</v>
      </c>
      <c r="BG62" s="65">
        <v>0.5</v>
      </c>
      <c r="BH62" s="66" t="s">
        <v>4999</v>
      </c>
      <c r="BI62" s="63" t="s">
        <v>5000</v>
      </c>
    </row>
    <row r="63" spans="1:61" ht="25.5" x14ac:dyDescent="0.2">
      <c r="A63" s="45" t="s">
        <v>5001</v>
      </c>
      <c r="B63" s="46"/>
      <c r="C63" s="46" t="s">
        <v>5002</v>
      </c>
      <c r="D63" s="46" t="s">
        <v>5003</v>
      </c>
      <c r="E63" s="46" t="s">
        <v>68</v>
      </c>
      <c r="F63" s="46" t="s">
        <v>68</v>
      </c>
      <c r="G63" s="46" t="s">
        <v>68</v>
      </c>
      <c r="H63" s="46" t="s">
        <v>68</v>
      </c>
      <c r="I63" s="46" t="s">
        <v>68</v>
      </c>
      <c r="J63" s="46" t="s">
        <v>2996</v>
      </c>
      <c r="K63" s="47">
        <v>30</v>
      </c>
      <c r="L63" s="47">
        <v>110</v>
      </c>
      <c r="M63" s="47">
        <v>140</v>
      </c>
      <c r="N63" s="46"/>
      <c r="O63" s="71" t="s">
        <v>68</v>
      </c>
      <c r="P63" s="64"/>
      <c r="Q63" s="46" t="s">
        <v>4748</v>
      </c>
      <c r="R63" s="46" t="s">
        <v>4993</v>
      </c>
      <c r="S63" s="49">
        <v>35</v>
      </c>
      <c r="T63" s="49">
        <v>175</v>
      </c>
      <c r="U63" s="50">
        <v>0.10714285714285714</v>
      </c>
      <c r="V63" s="50">
        <v>7.1428571428571425E-2</v>
      </c>
      <c r="W63" s="77">
        <v>3.6666666666666665</v>
      </c>
      <c r="X63" s="52">
        <v>17.5</v>
      </c>
      <c r="Y63" s="52">
        <v>30</v>
      </c>
      <c r="Z63" s="52">
        <v>145</v>
      </c>
      <c r="AA63" s="52">
        <v>192.5</v>
      </c>
      <c r="AB63" s="53">
        <v>1.1000000000000001</v>
      </c>
      <c r="AC63" s="75">
        <v>18.75</v>
      </c>
      <c r="AD63" s="55">
        <v>0.10714285714285714</v>
      </c>
      <c r="AE63" s="73">
        <v>4</v>
      </c>
      <c r="AF63" s="57" t="s">
        <v>95</v>
      </c>
      <c r="AG63" s="58">
        <v>30</v>
      </c>
      <c r="AH63" s="58">
        <v>110</v>
      </c>
      <c r="AI63" s="58">
        <v>140</v>
      </c>
      <c r="AJ63" s="49">
        <v>35</v>
      </c>
      <c r="AK63" s="49">
        <v>175</v>
      </c>
      <c r="AL63" s="52">
        <v>17.5</v>
      </c>
      <c r="AM63" s="52">
        <v>145</v>
      </c>
      <c r="AN63" s="52">
        <v>162.5</v>
      </c>
      <c r="AO63" s="59">
        <v>0.9285714285714286</v>
      </c>
      <c r="AP63" s="60">
        <v>12.5</v>
      </c>
      <c r="AQ63" s="61">
        <v>7.1428571428571425E-2</v>
      </c>
      <c r="AR63" s="60" t="s">
        <v>73</v>
      </c>
      <c r="AS63" s="62">
        <v>51</v>
      </c>
      <c r="AT63" s="62">
        <v>187</v>
      </c>
      <c r="AU63" s="62">
        <v>238</v>
      </c>
      <c r="AV63" s="62">
        <v>297.5</v>
      </c>
      <c r="AW63" s="47" t="s">
        <v>74</v>
      </c>
      <c r="AX63" s="64">
        <v>45149</v>
      </c>
      <c r="AY63" s="64" t="s">
        <v>5004</v>
      </c>
      <c r="BA63" s="64"/>
      <c r="BB63" s="64"/>
      <c r="BC63" s="64"/>
      <c r="BD63" s="46"/>
      <c r="BE63" s="46" t="e">
        <v>#REF!</v>
      </c>
      <c r="BF63" s="46" t="s">
        <v>75</v>
      </c>
      <c r="BG63" s="65">
        <v>1</v>
      </c>
      <c r="BH63" s="66" t="s">
        <v>5005</v>
      </c>
      <c r="BI63" s="63" t="s">
        <v>5006</v>
      </c>
    </row>
    <row r="64" spans="1:61" ht="12.75" x14ac:dyDescent="0.2">
      <c r="A64" s="34" t="s">
        <v>5007</v>
      </c>
      <c r="B64" s="35"/>
      <c r="C64" s="35" t="s">
        <v>68</v>
      </c>
      <c r="D64" s="35" t="s">
        <v>68</v>
      </c>
      <c r="E64" s="35" t="s">
        <v>68</v>
      </c>
      <c r="F64" s="35" t="s">
        <v>68</v>
      </c>
      <c r="G64" s="35" t="s">
        <v>68</v>
      </c>
      <c r="H64" s="35" t="s">
        <v>68</v>
      </c>
      <c r="I64" s="35" t="s">
        <v>68</v>
      </c>
      <c r="J64" s="35" t="s">
        <v>68</v>
      </c>
      <c r="K64" s="36"/>
      <c r="L64" s="36"/>
      <c r="M64" s="36" t="s">
        <v>68</v>
      </c>
      <c r="N64" s="35"/>
      <c r="O64" s="35" t="s">
        <v>68</v>
      </c>
      <c r="P64" s="37"/>
      <c r="Q64" s="38" t="s">
        <v>4748</v>
      </c>
      <c r="R64" s="38" t="s">
        <v>5008</v>
      </c>
      <c r="S64" s="36" t="s">
        <v>68</v>
      </c>
      <c r="T64" s="36" t="s">
        <v>68</v>
      </c>
      <c r="U64" s="39" t="s">
        <v>68</v>
      </c>
      <c r="V64" s="39" t="s">
        <v>68</v>
      </c>
      <c r="W64" s="40" t="s">
        <v>68</v>
      </c>
      <c r="X64" s="36" t="s">
        <v>68</v>
      </c>
      <c r="Y64" s="36" t="s">
        <v>68</v>
      </c>
      <c r="Z64" s="36" t="s">
        <v>68</v>
      </c>
      <c r="AA64" s="36" t="s">
        <v>68</v>
      </c>
      <c r="AB64" s="39" t="s">
        <v>68</v>
      </c>
      <c r="AC64" s="36" t="s">
        <v>68</v>
      </c>
      <c r="AD64" s="39" t="s">
        <v>68</v>
      </c>
      <c r="AE64" s="41"/>
      <c r="AF64" s="42" t="s">
        <v>68</v>
      </c>
      <c r="AG64" s="36" t="s">
        <v>68</v>
      </c>
      <c r="AH64" s="36" t="s">
        <v>68</v>
      </c>
      <c r="AI64" s="36" t="s">
        <v>68</v>
      </c>
      <c r="AJ64" s="36" t="s">
        <v>68</v>
      </c>
      <c r="AK64" s="36" t="s">
        <v>68</v>
      </c>
      <c r="AL64" s="36" t="s">
        <v>68</v>
      </c>
      <c r="AM64" s="36" t="s">
        <v>68</v>
      </c>
      <c r="AN64" s="36" t="s">
        <v>68</v>
      </c>
      <c r="AO64" s="43" t="s">
        <v>68</v>
      </c>
      <c r="AP64" s="36" t="s">
        <v>68</v>
      </c>
      <c r="AQ64" s="39" t="s">
        <v>68</v>
      </c>
      <c r="AR64" s="36" t="s">
        <v>68</v>
      </c>
      <c r="AS64" s="36" t="s">
        <v>68</v>
      </c>
      <c r="AT64" s="36" t="s">
        <v>68</v>
      </c>
      <c r="AU64" s="36" t="s">
        <v>68</v>
      </c>
      <c r="AV64" s="36" t="s">
        <v>68</v>
      </c>
      <c r="AW64" s="35"/>
      <c r="AX64" s="37"/>
      <c r="AY64" s="37" t="s">
        <v>68</v>
      </c>
      <c r="BA64" s="37"/>
      <c r="BB64" s="37"/>
      <c r="BC64" s="37"/>
      <c r="BD64" s="35"/>
      <c r="BE64" s="35" t="e">
        <v>#REF!</v>
      </c>
      <c r="BF64" s="35"/>
      <c r="BG64" s="44"/>
      <c r="BH64" s="35"/>
      <c r="BI64" s="35" t="s">
        <v>68</v>
      </c>
    </row>
    <row r="65" spans="1:61" ht="25.5" x14ac:dyDescent="0.2">
      <c r="A65" s="45" t="s">
        <v>5009</v>
      </c>
      <c r="B65" s="46"/>
      <c r="C65" s="46" t="s">
        <v>5010</v>
      </c>
      <c r="D65" s="46" t="s">
        <v>5011</v>
      </c>
      <c r="E65" s="46" t="s">
        <v>5012</v>
      </c>
      <c r="F65" s="46" t="s">
        <v>68</v>
      </c>
      <c r="G65" s="46" t="s">
        <v>68</v>
      </c>
      <c r="H65" s="46" t="s">
        <v>68</v>
      </c>
      <c r="I65" s="46" t="s">
        <v>68</v>
      </c>
      <c r="J65" s="46" t="s">
        <v>71</v>
      </c>
      <c r="K65" s="47">
        <v>150</v>
      </c>
      <c r="L65" s="47">
        <v>60</v>
      </c>
      <c r="M65" s="47">
        <v>210</v>
      </c>
      <c r="N65" s="46"/>
      <c r="O65" s="71" t="s">
        <v>68</v>
      </c>
      <c r="P65" s="64"/>
      <c r="Q65" s="46" t="s">
        <v>4748</v>
      </c>
      <c r="R65" s="46" t="s">
        <v>5008</v>
      </c>
      <c r="S65" s="49">
        <v>52.5</v>
      </c>
      <c r="T65" s="49">
        <v>262.5</v>
      </c>
      <c r="U65" s="67">
        <v>0.35714285714285715</v>
      </c>
      <c r="V65" s="67">
        <v>0.34444444444444444</v>
      </c>
      <c r="W65" s="51">
        <v>0.4</v>
      </c>
      <c r="X65" s="52">
        <v>26.25</v>
      </c>
      <c r="Y65" s="52">
        <v>30</v>
      </c>
      <c r="Z65" s="52">
        <v>112.5</v>
      </c>
      <c r="AA65" s="52">
        <v>168.75</v>
      </c>
      <c r="AB65" s="53">
        <v>0.6428571428571429</v>
      </c>
      <c r="AC65" s="54">
        <v>93.75</v>
      </c>
      <c r="AD65" s="55">
        <v>0.35714285714285715</v>
      </c>
      <c r="AE65" s="56">
        <v>2</v>
      </c>
      <c r="AF65" s="57" t="s">
        <v>72</v>
      </c>
      <c r="AG65" s="58">
        <v>75</v>
      </c>
      <c r="AH65" s="58">
        <v>60</v>
      </c>
      <c r="AI65" s="58">
        <v>135</v>
      </c>
      <c r="AJ65" s="49">
        <v>33.75</v>
      </c>
      <c r="AK65" s="49">
        <v>168.75</v>
      </c>
      <c r="AL65" s="52">
        <v>16.875</v>
      </c>
      <c r="AM65" s="52">
        <v>93.75</v>
      </c>
      <c r="AN65" s="52">
        <v>110.625</v>
      </c>
      <c r="AO65" s="59">
        <v>0.65555555555555556</v>
      </c>
      <c r="AP65" s="60">
        <v>58.125</v>
      </c>
      <c r="AQ65" s="61">
        <v>0.34444444444444444</v>
      </c>
      <c r="AR65" s="60" t="s">
        <v>78</v>
      </c>
      <c r="AS65" s="62">
        <v>225</v>
      </c>
      <c r="AT65" s="62">
        <v>90</v>
      </c>
      <c r="AU65" s="62">
        <v>315</v>
      </c>
      <c r="AV65" s="62">
        <v>393.75</v>
      </c>
      <c r="AW65" s="63" t="s">
        <v>74</v>
      </c>
      <c r="AX65" s="64">
        <v>45149</v>
      </c>
      <c r="AY65" s="64" t="s">
        <v>5013</v>
      </c>
      <c r="BA65" s="64"/>
      <c r="BB65" s="64"/>
      <c r="BC65" s="64"/>
      <c r="BD65" s="46"/>
      <c r="BE65" s="46" t="e">
        <v>#REF!</v>
      </c>
      <c r="BF65" s="46" t="s">
        <v>75</v>
      </c>
      <c r="BG65" s="65">
        <v>0.25</v>
      </c>
      <c r="BH65" s="66"/>
      <c r="BI65" s="63" t="s">
        <v>5014</v>
      </c>
    </row>
    <row r="66" spans="1:61" x14ac:dyDescent="0.2">
      <c r="A66" s="45" t="s">
        <v>5015</v>
      </c>
      <c r="B66" s="46"/>
      <c r="C66" s="46" t="s">
        <v>5016</v>
      </c>
      <c r="D66" s="46" t="s">
        <v>5017</v>
      </c>
      <c r="E66" s="46" t="s">
        <v>68</v>
      </c>
      <c r="F66" s="46" t="s">
        <v>68</v>
      </c>
      <c r="G66" s="46" t="s">
        <v>68</v>
      </c>
      <c r="H66" s="46" t="s">
        <v>68</v>
      </c>
      <c r="I66" s="46" t="s">
        <v>68</v>
      </c>
      <c r="J66" s="46" t="s">
        <v>71</v>
      </c>
      <c r="K66" s="47">
        <v>350</v>
      </c>
      <c r="L66" s="47">
        <v>500</v>
      </c>
      <c r="M66" s="47">
        <v>850</v>
      </c>
      <c r="N66" s="46"/>
      <c r="O66" s="71" t="s">
        <v>68</v>
      </c>
      <c r="P66" s="64"/>
      <c r="Q66" s="46" t="s">
        <v>4748</v>
      </c>
      <c r="R66" s="46" t="s">
        <v>5008</v>
      </c>
      <c r="S66" s="49">
        <v>212.5</v>
      </c>
      <c r="T66" s="49">
        <v>1062.5</v>
      </c>
      <c r="U66" s="28">
        <v>0.20117647058823529</v>
      </c>
      <c r="V66" s="28">
        <v>0.22941176470588234</v>
      </c>
      <c r="W66" s="74">
        <v>1.4285714285714286</v>
      </c>
      <c r="X66" s="52">
        <v>106.25</v>
      </c>
      <c r="Y66" s="52">
        <v>30</v>
      </c>
      <c r="Z66" s="52">
        <v>712.5</v>
      </c>
      <c r="AA66" s="52">
        <v>848.75</v>
      </c>
      <c r="AB66" s="53">
        <v>0.79882352941176471</v>
      </c>
      <c r="AC66" s="72">
        <v>213.75</v>
      </c>
      <c r="AD66" s="55">
        <v>0.20117647058823529</v>
      </c>
      <c r="AE66" s="73">
        <v>3</v>
      </c>
      <c r="AF66" s="57" t="s">
        <v>95</v>
      </c>
      <c r="AG66" s="58">
        <v>350</v>
      </c>
      <c r="AH66" s="58">
        <v>500</v>
      </c>
      <c r="AI66" s="58">
        <v>850</v>
      </c>
      <c r="AJ66" s="49">
        <v>212.5</v>
      </c>
      <c r="AK66" s="49">
        <v>1062.5</v>
      </c>
      <c r="AL66" s="52">
        <v>106.25</v>
      </c>
      <c r="AM66" s="52">
        <v>712.5</v>
      </c>
      <c r="AN66" s="52">
        <v>818.75</v>
      </c>
      <c r="AO66" s="59">
        <v>0.77058823529411768</v>
      </c>
      <c r="AP66" s="60">
        <v>243.75</v>
      </c>
      <c r="AQ66" s="61">
        <v>0.22941176470588234</v>
      </c>
      <c r="AR66" s="60" t="s">
        <v>78</v>
      </c>
      <c r="AS66" s="62">
        <v>560</v>
      </c>
      <c r="AT66" s="62">
        <v>800</v>
      </c>
      <c r="AU66" s="62">
        <v>1360</v>
      </c>
      <c r="AV66" s="62">
        <v>1700</v>
      </c>
      <c r="AW66" s="63" t="s">
        <v>74</v>
      </c>
      <c r="AX66" s="64">
        <v>45149</v>
      </c>
      <c r="AY66" s="64" t="s">
        <v>5018</v>
      </c>
      <c r="BA66" s="64"/>
      <c r="BB66" s="64"/>
      <c r="BC66" s="64"/>
      <c r="BD66" s="46"/>
      <c r="BE66" s="46" t="e">
        <v>#REF!</v>
      </c>
      <c r="BF66" s="46" t="s">
        <v>75</v>
      </c>
      <c r="BG66" s="65">
        <v>1.5</v>
      </c>
      <c r="BH66" s="66"/>
      <c r="BI66" s="63" t="s">
        <v>5019</v>
      </c>
    </row>
    <row r="67" spans="1:61" ht="25.5" x14ac:dyDescent="0.2">
      <c r="A67" s="45" t="s">
        <v>5020</v>
      </c>
      <c r="B67" s="46"/>
      <c r="C67" s="46" t="s">
        <v>5016</v>
      </c>
      <c r="D67" s="46" t="s">
        <v>5021</v>
      </c>
      <c r="E67" s="46" t="s">
        <v>68</v>
      </c>
      <c r="F67" s="46" t="s">
        <v>68</v>
      </c>
      <c r="G67" s="46" t="s">
        <v>68</v>
      </c>
      <c r="H67" s="46" t="s">
        <v>68</v>
      </c>
      <c r="I67" s="46" t="s">
        <v>68</v>
      </c>
      <c r="J67" s="46" t="s">
        <v>71</v>
      </c>
      <c r="K67" s="47">
        <v>400</v>
      </c>
      <c r="L67" s="47">
        <v>650</v>
      </c>
      <c r="M67" s="47">
        <v>1050</v>
      </c>
      <c r="N67" s="46"/>
      <c r="O67" s="71" t="s">
        <v>68</v>
      </c>
      <c r="P67" s="64"/>
      <c r="Q67" s="46" t="s">
        <v>4748</v>
      </c>
      <c r="R67" s="46" t="s">
        <v>5008</v>
      </c>
      <c r="S67" s="49">
        <v>262.5</v>
      </c>
      <c r="T67" s="49">
        <v>1312.5</v>
      </c>
      <c r="U67" s="50">
        <v>0.1819047619047619</v>
      </c>
      <c r="V67" s="28">
        <v>0.20476190476190476</v>
      </c>
      <c r="W67" s="77">
        <v>1.625</v>
      </c>
      <c r="X67" s="52">
        <v>131.25</v>
      </c>
      <c r="Y67" s="52">
        <v>30</v>
      </c>
      <c r="Z67" s="52">
        <v>912.5</v>
      </c>
      <c r="AA67" s="52">
        <v>1073.75</v>
      </c>
      <c r="AB67" s="53">
        <v>0.8180952380952381</v>
      </c>
      <c r="AC67" s="72">
        <v>238.75</v>
      </c>
      <c r="AD67" s="55">
        <v>0.1819047619047619</v>
      </c>
      <c r="AE67" s="73">
        <v>3</v>
      </c>
      <c r="AF67" s="57" t="s">
        <v>95</v>
      </c>
      <c r="AG67" s="58">
        <v>400</v>
      </c>
      <c r="AH67" s="58">
        <v>650</v>
      </c>
      <c r="AI67" s="58">
        <v>1050</v>
      </c>
      <c r="AJ67" s="49">
        <v>262.5</v>
      </c>
      <c r="AK67" s="49">
        <v>1312.5</v>
      </c>
      <c r="AL67" s="52">
        <v>131.25</v>
      </c>
      <c r="AM67" s="52">
        <v>912.5</v>
      </c>
      <c r="AN67" s="52">
        <v>1043.75</v>
      </c>
      <c r="AO67" s="59">
        <v>0.79523809523809519</v>
      </c>
      <c r="AP67" s="60">
        <v>268.75</v>
      </c>
      <c r="AQ67" s="61">
        <v>0.20476190476190476</v>
      </c>
      <c r="AR67" s="60" t="s">
        <v>78</v>
      </c>
      <c r="AS67" s="62">
        <v>640</v>
      </c>
      <c r="AT67" s="62">
        <v>1040</v>
      </c>
      <c r="AU67" s="62">
        <v>1680</v>
      </c>
      <c r="AV67" s="62">
        <v>2100</v>
      </c>
      <c r="AW67" s="63" t="s">
        <v>74</v>
      </c>
      <c r="AX67" s="64">
        <v>45149</v>
      </c>
      <c r="AY67" s="64" t="s">
        <v>5022</v>
      </c>
      <c r="BA67" s="64"/>
      <c r="BB67" s="64"/>
      <c r="BC67" s="64"/>
      <c r="BD67" s="46"/>
      <c r="BE67" s="46" t="e">
        <v>#REF!</v>
      </c>
      <c r="BF67" s="46" t="s">
        <v>75</v>
      </c>
      <c r="BG67" s="65">
        <v>1.5</v>
      </c>
      <c r="BH67" s="66"/>
      <c r="BI67" s="63" t="s">
        <v>5023</v>
      </c>
    </row>
    <row r="68" spans="1:61" ht="12.75" x14ac:dyDescent="0.2">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row>
    <row r="69" spans="1:61" ht="12.75" x14ac:dyDescent="0.2">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row>
    <row r="70" spans="1:61" ht="12.75" x14ac:dyDescent="0.2">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row>
    <row r="71" spans="1:61" ht="12.75" x14ac:dyDescent="0.2">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row>
    <row r="72" spans="1:61" ht="12.75" x14ac:dyDescent="0.2">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row>
    <row r="73" spans="1:61" ht="12.75" x14ac:dyDescent="0.2">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row>
    <row r="74" spans="1:61" ht="12.75" x14ac:dyDescent="0.2">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row>
    <row r="75" spans="1:61" ht="12.75" x14ac:dyDescent="0.2">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row>
    <row r="76" spans="1:61" ht="12.75" x14ac:dyDescent="0.2">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row>
    <row r="77" spans="1:61" ht="12.75" x14ac:dyDescent="0.2">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row>
    <row r="78" spans="1:61" ht="12.75" x14ac:dyDescent="0.2">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row>
    <row r="79" spans="1:61" ht="12.75" x14ac:dyDescent="0.2">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row>
    <row r="80" spans="1:61" ht="12.75" x14ac:dyDescent="0.2">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row>
    <row r="81" spans="1:61" ht="12.75" x14ac:dyDescent="0.2">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row>
    <row r="82" spans="1:61" ht="12.75" x14ac:dyDescent="0.2">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row>
    <row r="83" spans="1:61" ht="12.75" x14ac:dyDescent="0.2">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row>
    <row r="84" spans="1:61" ht="12.75" x14ac:dyDescent="0.2">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row>
    <row r="85" spans="1:61" ht="12.75" x14ac:dyDescent="0.2">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row>
    <row r="86" spans="1:61" ht="12.75" x14ac:dyDescent="0.2">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row>
    <row r="87" spans="1:61" ht="12.75" x14ac:dyDescent="0.2">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row>
    <row r="88" spans="1:61" ht="12.75" x14ac:dyDescent="0.2">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row>
    <row r="89" spans="1:61" ht="12.75" x14ac:dyDescent="0.2">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row>
    <row r="90" spans="1:61" ht="12.75" x14ac:dyDescent="0.2">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row>
    <row r="91" spans="1:61" ht="12.75" x14ac:dyDescent="0.2">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row>
    <row r="92" spans="1:61" ht="12.75" x14ac:dyDescent="0.2">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row>
    <row r="93" spans="1:61" ht="12.75" x14ac:dyDescent="0.2">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row>
    <row r="94" spans="1:61" ht="12.75" x14ac:dyDescent="0.2">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row>
    <row r="95" spans="1:61" ht="12.75" x14ac:dyDescent="0.2">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row>
    <row r="96" spans="1:61" ht="12.75" x14ac:dyDescent="0.2">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row>
    <row r="97" spans="1:61" ht="12.75" x14ac:dyDescent="0.2">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row>
    <row r="98" spans="1:61" ht="12.75" x14ac:dyDescent="0.2">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row>
    <row r="99" spans="1:61" ht="12.75" x14ac:dyDescent="0.2">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row>
    <row r="100" spans="1:61" ht="12.75" x14ac:dyDescent="0.2">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row>
    <row r="101" spans="1:61" ht="12.75" x14ac:dyDescent="0.2">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row>
    <row r="102" spans="1:61" ht="12.75" x14ac:dyDescent="0.2">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row>
    <row r="103" spans="1:61" ht="12.75" x14ac:dyDescent="0.2">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row>
    <row r="104" spans="1:61" ht="12.75" x14ac:dyDescent="0.2">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row>
    <row r="105" spans="1:61" ht="12.75" x14ac:dyDescent="0.2">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row>
    <row r="106" spans="1:61" ht="12.75" x14ac:dyDescent="0.2">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row>
    <row r="107" spans="1:61" ht="12.75" x14ac:dyDescent="0.2">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row>
    <row r="108" spans="1:61" ht="12.75" x14ac:dyDescent="0.2">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row>
    <row r="109" spans="1:61" ht="12.75" x14ac:dyDescent="0.2">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row>
    <row r="110" spans="1:61" ht="12.75" x14ac:dyDescent="0.2">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row>
    <row r="111" spans="1:61" ht="12.75" x14ac:dyDescent="0.2">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row>
    <row r="112" spans="1:61" ht="12.75" x14ac:dyDescent="0.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row>
    <row r="113" spans="1:61" ht="12.75" x14ac:dyDescent="0.2">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row>
    <row r="114" spans="1:61" ht="12.75" x14ac:dyDescent="0.2">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row>
    <row r="115" spans="1:61" ht="12.75" x14ac:dyDescent="0.2">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row>
    <row r="116" spans="1:61" ht="12.75" x14ac:dyDescent="0.2">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row>
    <row r="117" spans="1:61" ht="12.75" x14ac:dyDescent="0.2">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row>
    <row r="118" spans="1:61" ht="12.75" x14ac:dyDescent="0.2">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row>
    <row r="119" spans="1:61" ht="12.75" x14ac:dyDescent="0.2">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row>
    <row r="120" spans="1:61" ht="12.75" x14ac:dyDescent="0.2">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row>
    <row r="121" spans="1:61" ht="12.75" x14ac:dyDescent="0.2">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row>
    <row r="122" spans="1:61" ht="12.75" x14ac:dyDescent="0.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row>
    <row r="123" spans="1:61" ht="12.75" x14ac:dyDescent="0.2">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row>
    <row r="124" spans="1:61" ht="12.75" x14ac:dyDescent="0.2">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row>
    <row r="125" spans="1:61" ht="12.75" x14ac:dyDescent="0.2">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row>
    <row r="126" spans="1:61" ht="12.75" x14ac:dyDescent="0.2">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row>
    <row r="127" spans="1:61" ht="12.75" x14ac:dyDescent="0.2">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row>
    <row r="128" spans="1:61" ht="12.75" x14ac:dyDescent="0.2">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row>
    <row r="129" spans="1:61" ht="12.75" x14ac:dyDescent="0.2">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row>
    <row r="130" spans="1:61" ht="12.75" x14ac:dyDescent="0.2">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row>
    <row r="131" spans="1:61" ht="12.75" x14ac:dyDescent="0.2">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row>
    <row r="132" spans="1:61" ht="12.75" x14ac:dyDescent="0.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row>
    <row r="133" spans="1:61" ht="12.75" x14ac:dyDescent="0.2">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row>
    <row r="134" spans="1:61" ht="12.75" x14ac:dyDescent="0.2">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row>
    <row r="135" spans="1:61" ht="12.75" x14ac:dyDescent="0.2">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row>
    <row r="136" spans="1:61" ht="12.75" x14ac:dyDescent="0.2">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row>
    <row r="137" spans="1:61" ht="12.75" x14ac:dyDescent="0.2">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row>
    <row r="138" spans="1:61" ht="12.75" x14ac:dyDescent="0.2">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row>
    <row r="139" spans="1:61" ht="12.75" x14ac:dyDescent="0.2">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row>
    <row r="140" spans="1:61" ht="12.75" x14ac:dyDescent="0.2">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row>
    <row r="141" spans="1:61" ht="12.75" x14ac:dyDescent="0.2">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row>
    <row r="142" spans="1:61" ht="12.75" x14ac:dyDescent="0.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row>
    <row r="143" spans="1:61" ht="12.75" x14ac:dyDescent="0.2">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row>
    <row r="144" spans="1:61" ht="12.75" x14ac:dyDescent="0.2">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row>
    <row r="145" spans="1:61" ht="12.75" x14ac:dyDescent="0.2">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row>
    <row r="146" spans="1:61" ht="12.75" x14ac:dyDescent="0.2">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row>
    <row r="147" spans="1:61" ht="12.75" x14ac:dyDescent="0.2">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row>
    <row r="148" spans="1:61" ht="12.75" x14ac:dyDescent="0.2">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row>
    <row r="149" spans="1:61" ht="12.75" x14ac:dyDescent="0.2">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row>
    <row r="150" spans="1:61" ht="12.75" x14ac:dyDescent="0.2">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row>
    <row r="151" spans="1:61" ht="12.75" x14ac:dyDescent="0.2">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row>
    <row r="152" spans="1:61" ht="12.75" x14ac:dyDescent="0.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row>
    <row r="153" spans="1:61" ht="12.75" x14ac:dyDescent="0.2">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row>
    <row r="154" spans="1:61" ht="12.75" x14ac:dyDescent="0.2">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row>
    <row r="155" spans="1:61" ht="12.75" x14ac:dyDescent="0.2">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row>
    <row r="156" spans="1:61" ht="12.75" x14ac:dyDescent="0.2">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row>
    <row r="157" spans="1:61" ht="12.75" x14ac:dyDescent="0.2">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row>
    <row r="158" spans="1:61" ht="12.75" x14ac:dyDescent="0.2">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row>
    <row r="159" spans="1:61" ht="12.75" x14ac:dyDescent="0.2">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row>
    <row r="160" spans="1:61" ht="12.75" x14ac:dyDescent="0.2">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row>
    <row r="161" spans="1:61" ht="12.75" x14ac:dyDescent="0.2">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row>
    <row r="162" spans="1:61" ht="12.75" x14ac:dyDescent="0.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row>
    <row r="163" spans="1:61" ht="12.75" x14ac:dyDescent="0.2">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row>
    <row r="164" spans="1:61" ht="12.75" x14ac:dyDescent="0.2">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row>
    <row r="165" spans="1:61" ht="12.75" x14ac:dyDescent="0.2">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row>
    <row r="166" spans="1:61" ht="12.75" x14ac:dyDescent="0.2">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row>
    <row r="167" spans="1:61" ht="12.75" x14ac:dyDescent="0.2">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row>
    <row r="168" spans="1:61" ht="12.75" x14ac:dyDescent="0.2">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row>
    <row r="169" spans="1:61" ht="12.75" x14ac:dyDescent="0.2">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row>
    <row r="170" spans="1:61" ht="12.75" x14ac:dyDescent="0.2">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row>
    <row r="171" spans="1:61" ht="12.75" x14ac:dyDescent="0.2">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row>
    <row r="172" spans="1:61" ht="12.75" x14ac:dyDescent="0.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row>
    <row r="173" spans="1:61" ht="12.75" x14ac:dyDescent="0.2">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row>
    <row r="174" spans="1:61" ht="12.75" x14ac:dyDescent="0.2">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row>
    <row r="175" spans="1:61" ht="12.75" x14ac:dyDescent="0.2">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row>
    <row r="176" spans="1:61" ht="12.75" x14ac:dyDescent="0.2">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row>
    <row r="177" spans="1:61" ht="12.75" x14ac:dyDescent="0.2">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row>
    <row r="178" spans="1:61" ht="12.75" x14ac:dyDescent="0.2">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row>
    <row r="179" spans="1:61" ht="12.75" x14ac:dyDescent="0.2">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row>
    <row r="180" spans="1:61" ht="12.75" x14ac:dyDescent="0.2">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row>
    <row r="181" spans="1:61" ht="12.75" x14ac:dyDescent="0.2">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row>
    <row r="182" spans="1:61" ht="12.75" x14ac:dyDescent="0.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row>
    <row r="183" spans="1:61" ht="12.75" x14ac:dyDescent="0.2">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row>
    <row r="184" spans="1:61" ht="12.75" x14ac:dyDescent="0.2">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row>
    <row r="185" spans="1:61" ht="12.75" x14ac:dyDescent="0.2">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row>
    <row r="186" spans="1:61" ht="12.75" x14ac:dyDescent="0.2">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row>
    <row r="187" spans="1:61" ht="12.75" x14ac:dyDescent="0.2">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row>
    <row r="188" spans="1:61" ht="12.75" x14ac:dyDescent="0.2">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row>
    <row r="189" spans="1:61" ht="12.75" x14ac:dyDescent="0.2">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row>
    <row r="190" spans="1:61" ht="12.75" x14ac:dyDescent="0.2">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row>
    <row r="191" spans="1:61" ht="12.75" x14ac:dyDescent="0.2">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row>
    <row r="192" spans="1:61" ht="12.75" x14ac:dyDescent="0.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row>
    <row r="193" spans="1:61" ht="12.75" x14ac:dyDescent="0.2">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row>
    <row r="194" spans="1:61" ht="12.75" x14ac:dyDescent="0.2">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row>
    <row r="195" spans="1:61" ht="12.75" x14ac:dyDescent="0.2">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row>
    <row r="196" spans="1:61" ht="12.75" x14ac:dyDescent="0.2">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row>
    <row r="197" spans="1:61" ht="12.75" x14ac:dyDescent="0.2">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row>
    <row r="198" spans="1:61" ht="12.75" x14ac:dyDescent="0.2">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row>
    <row r="199" spans="1:61" ht="12.75" x14ac:dyDescent="0.2">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row>
    <row r="200" spans="1:61" ht="12.75" x14ac:dyDescent="0.2">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row>
    <row r="201" spans="1:61" ht="12.75" x14ac:dyDescent="0.2">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row>
    <row r="202" spans="1:61" ht="12.75" x14ac:dyDescent="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row>
    <row r="203" spans="1:61" ht="12.75" x14ac:dyDescent="0.2">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row>
    <row r="204" spans="1:61" ht="12.75" x14ac:dyDescent="0.2">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row>
    <row r="205" spans="1:61" ht="12.75" x14ac:dyDescent="0.2">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row>
    <row r="206" spans="1:61" ht="12.75" x14ac:dyDescent="0.2">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row>
    <row r="207" spans="1:61" ht="12.75" x14ac:dyDescent="0.2">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row>
    <row r="208" spans="1:61" ht="12.75" x14ac:dyDescent="0.2">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row>
    <row r="209" spans="1:61" ht="12.75" x14ac:dyDescent="0.2">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row>
    <row r="210" spans="1:61" ht="12.75" x14ac:dyDescent="0.2">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row>
    <row r="211" spans="1:61" ht="12.75" x14ac:dyDescent="0.2">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row>
    <row r="212" spans="1:61" ht="12.75" x14ac:dyDescent="0.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row>
    <row r="213" spans="1:61" ht="12.75" x14ac:dyDescent="0.2">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row>
    <row r="214" spans="1:61" ht="12.75" x14ac:dyDescent="0.2">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row>
    <row r="215" spans="1:61" ht="12.75" x14ac:dyDescent="0.2">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row>
    <row r="216" spans="1:61" ht="12.75" x14ac:dyDescent="0.2">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row>
    <row r="217" spans="1:61" ht="12.75" x14ac:dyDescent="0.2">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row>
    <row r="218" spans="1:61" ht="12.75" x14ac:dyDescent="0.2">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row>
    <row r="219" spans="1:61" ht="12.75" x14ac:dyDescent="0.2">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row>
    <row r="220" spans="1:61" ht="12.75" x14ac:dyDescent="0.2">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row>
    <row r="221" spans="1:61" ht="12.75" x14ac:dyDescent="0.2">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row>
    <row r="222" spans="1:61" ht="12.75" x14ac:dyDescent="0.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row>
    <row r="223" spans="1:61" ht="12.75" x14ac:dyDescent="0.2">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row>
    <row r="224" spans="1:61" ht="12.75" x14ac:dyDescent="0.2">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row>
    <row r="225" spans="1:61" ht="12.75" x14ac:dyDescent="0.2">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row>
    <row r="226" spans="1:61" ht="12.75" x14ac:dyDescent="0.2">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row>
    <row r="227" spans="1:61" ht="12.75" x14ac:dyDescent="0.2">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row>
    <row r="228" spans="1:61" ht="12.75" x14ac:dyDescent="0.2">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row>
    <row r="229" spans="1:61" ht="12.75" x14ac:dyDescent="0.2">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row>
    <row r="230" spans="1:61" ht="12.75" x14ac:dyDescent="0.2">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row>
    <row r="231" spans="1:61" ht="12.75" x14ac:dyDescent="0.2">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row>
    <row r="232" spans="1:61" ht="12.75" x14ac:dyDescent="0.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row>
    <row r="233" spans="1:61" ht="12.75" x14ac:dyDescent="0.2">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row>
    <row r="234" spans="1:61" ht="12.75" x14ac:dyDescent="0.2">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row>
    <row r="235" spans="1:61" ht="12.75" x14ac:dyDescent="0.2">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row>
    <row r="236" spans="1:61" ht="12.75" x14ac:dyDescent="0.2">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row>
    <row r="237" spans="1:61" ht="12.75" x14ac:dyDescent="0.2">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row>
    <row r="238" spans="1:61" ht="12.75" x14ac:dyDescent="0.2">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row>
    <row r="239" spans="1:61" ht="12.75" x14ac:dyDescent="0.2">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row>
    <row r="240" spans="1:61" ht="12.75" x14ac:dyDescent="0.2">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row>
    <row r="241" spans="1:61" ht="12.75" x14ac:dyDescent="0.2">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row>
    <row r="242" spans="1:61" ht="12.75" x14ac:dyDescent="0.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row>
    <row r="243" spans="1:61" ht="12.75" x14ac:dyDescent="0.2">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row>
    <row r="244" spans="1:61" ht="12.75" x14ac:dyDescent="0.2">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row>
    <row r="245" spans="1:61" ht="12.75" x14ac:dyDescent="0.2">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row>
    <row r="246" spans="1:61" ht="12.75" x14ac:dyDescent="0.2">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row>
    <row r="247" spans="1:61" ht="12.75" x14ac:dyDescent="0.2">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row>
    <row r="248" spans="1:61" ht="12.75" x14ac:dyDescent="0.2">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row>
    <row r="249" spans="1:61" ht="12.75" x14ac:dyDescent="0.2">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row>
    <row r="250" spans="1:61" ht="12.75" x14ac:dyDescent="0.2">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row>
    <row r="251" spans="1:61" ht="12.75" x14ac:dyDescent="0.2">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row>
    <row r="252" spans="1:61" ht="12.75" x14ac:dyDescent="0.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row>
    <row r="253" spans="1:61" ht="12.75" x14ac:dyDescent="0.2">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row>
    <row r="254" spans="1:61" ht="12.75" x14ac:dyDescent="0.2">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row>
    <row r="255" spans="1:61" ht="12.75" x14ac:dyDescent="0.2">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row>
    <row r="256" spans="1:61" ht="12.75" x14ac:dyDescent="0.2">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row>
    <row r="257" spans="1:61" ht="12.75" x14ac:dyDescent="0.2">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row>
    <row r="258" spans="1:61" ht="12.75" x14ac:dyDescent="0.2">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row>
    <row r="259" spans="1:61" ht="12.75" x14ac:dyDescent="0.2">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row>
    <row r="260" spans="1:61" ht="12.75" x14ac:dyDescent="0.2">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row>
    <row r="261" spans="1:61" ht="12.75" x14ac:dyDescent="0.2">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row>
    <row r="262" spans="1:61" ht="12.75" x14ac:dyDescent="0.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row>
    <row r="263" spans="1:61" ht="12.75" x14ac:dyDescent="0.2">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row>
    <row r="264" spans="1:61" ht="12.75" x14ac:dyDescent="0.2">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row>
    <row r="265" spans="1:61" ht="12.75" x14ac:dyDescent="0.2">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row>
    <row r="266" spans="1:61" ht="12.75" x14ac:dyDescent="0.2">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row>
    <row r="267" spans="1:61" ht="12.75" x14ac:dyDescent="0.2">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row>
    <row r="268" spans="1:61" ht="12.75" x14ac:dyDescent="0.2">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row>
    <row r="269" spans="1:61" ht="12.75" x14ac:dyDescent="0.2">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row>
    <row r="270" spans="1:61" ht="12.75" x14ac:dyDescent="0.2">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row>
    <row r="271" spans="1:61" ht="12.75" x14ac:dyDescent="0.2">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row>
    <row r="272" spans="1:61" ht="12.75" x14ac:dyDescent="0.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row>
    <row r="273" spans="1:61" ht="12.75" x14ac:dyDescent="0.2">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row>
    <row r="274" spans="1:61" ht="12.75" x14ac:dyDescent="0.2">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row>
    <row r="275" spans="1:61" ht="12.75" x14ac:dyDescent="0.2">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row>
    <row r="276" spans="1:61" ht="12.75" x14ac:dyDescent="0.2">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row>
    <row r="277" spans="1:61" ht="12.75" x14ac:dyDescent="0.2">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row>
    <row r="278" spans="1:61" ht="12.75" x14ac:dyDescent="0.2">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row>
    <row r="279" spans="1:61" ht="12.75" x14ac:dyDescent="0.2">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row>
    <row r="280" spans="1:61" ht="12.75" x14ac:dyDescent="0.2">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row>
    <row r="281" spans="1:61" ht="12.75" x14ac:dyDescent="0.2">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row>
    <row r="282" spans="1:61" ht="12.75" x14ac:dyDescent="0.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row>
    <row r="283" spans="1:61" ht="12.75" x14ac:dyDescent="0.2">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row>
    <row r="284" spans="1:61" ht="12.75" x14ac:dyDescent="0.2">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row>
    <row r="285" spans="1:61" ht="12.75" x14ac:dyDescent="0.2">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row>
    <row r="286" spans="1:61" ht="12.75" x14ac:dyDescent="0.2">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row>
    <row r="287" spans="1:61" ht="12.75" x14ac:dyDescent="0.2">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row>
    <row r="288" spans="1:61" ht="12.75" x14ac:dyDescent="0.2">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row>
    <row r="289" spans="1:61" ht="12.75" x14ac:dyDescent="0.2">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row>
    <row r="290" spans="1:61" ht="12.75" x14ac:dyDescent="0.2">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row>
    <row r="291" spans="1:61" ht="12.75"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spans="1:61" ht="12.75"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spans="1:61" ht="12.75"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spans="1:61" ht="12.75"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spans="1:61" ht="12.75"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spans="1:61" ht="12.75"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spans="1:61" ht="12.75"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spans="1:61" ht="12.75"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spans="1:61" ht="12.75"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spans="1:61" ht="12.75"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spans="1:61" ht="12.75"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spans="1:61" ht="12.75"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spans="1:61" ht="12.75"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spans="1:61" ht="12.75"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spans="1:61" ht="12.75"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spans="1:61" ht="12.75"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spans="1:61" ht="12.75"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spans="1:61" ht="12.75"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spans="1:61" ht="12.75"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spans="1:61" ht="12.75"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spans="1:61" ht="12.75"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spans="1:61" ht="12.75"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spans="1:61" ht="12.75"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spans="1:61" ht="12.75"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spans="1:61" ht="12.75"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spans="1:61" ht="12.75"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spans="1:61" ht="12.75"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spans="1:61" ht="12.75"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spans="1:61" ht="12.75"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spans="1:61" ht="12.75"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spans="1:61" ht="12.75"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spans="1:61" ht="12.75"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spans="1:61" ht="12.75"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spans="1:61" ht="12.75"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spans="1:61" ht="12.75"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spans="1:61" ht="12.75"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spans="1:61" ht="12.75"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spans="1:61" ht="12.75"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spans="1:61" ht="12.75"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spans="1:61" ht="12.75"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spans="1:61" ht="12.75"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spans="1:61" ht="12.75"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spans="1:61" ht="12.75"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spans="1:61" ht="12.75"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spans="1:61" ht="12.75"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spans="1:61" ht="12.75"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spans="1:61" ht="12.75"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spans="1:61" ht="12.75"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spans="1:61" ht="12.75"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spans="1:61" ht="12.75"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spans="1:61" ht="12.75"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spans="1:61" ht="12.75"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spans="1:61" ht="12.75"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spans="1:61" ht="12.75"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spans="1:61" ht="12.75"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spans="1:61" ht="12.75"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spans="1:61" ht="12.75"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spans="1:61" ht="12.75"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spans="1:61" ht="12.75"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spans="1:61" ht="12.75"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spans="1:61" ht="12.75"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spans="1:61" ht="12.75"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spans="1:61" ht="12.75"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spans="1:61" ht="12.75"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spans="1:61" ht="12.75"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spans="1:61" ht="12.75"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spans="1:61" ht="12.75"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spans="1:61" ht="12.75"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spans="1:61" ht="12.75"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spans="1:61" ht="12.75"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spans="1:61" ht="12.75"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spans="1:61" ht="12.75"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spans="1:61" ht="12.75"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spans="1:61" ht="12.75"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spans="1:61" ht="12.75"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spans="1:61" ht="12.75"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spans="1:61" ht="12.75"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spans="1:61" ht="12.75"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spans="1:61" ht="12.75"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spans="1:61" ht="12.75"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spans="1:61" ht="12.75"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spans="1:61" ht="12.75"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spans="1:61" ht="12.75"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spans="1:61" ht="12.75"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spans="1:61" ht="12.75"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spans="1:61" ht="12.75"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spans="1:61" ht="12.75"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spans="1:61" ht="12.75"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spans="1:61" ht="12.75"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spans="1:61" ht="12.75"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spans="1:61" ht="12.75"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spans="1:61" ht="12.75"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spans="1:61" ht="12.75"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spans="1:61" ht="12.75"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spans="1:61" ht="12.75"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spans="1:61" ht="12.75"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spans="1:61" ht="12.75"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spans="1:61" ht="12.75"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spans="1:61" ht="12.75"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spans="1:61" ht="12.75"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spans="1:61" ht="12.75"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spans="1:61" ht="12.75"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spans="1:61" ht="12.75"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spans="1:61" ht="12.75"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spans="1:61" ht="12.75"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spans="1:61" ht="12.75"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spans="1:61" ht="12.75"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spans="1:61" ht="12.75"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spans="1:61" ht="12.75"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spans="1:61" ht="12.75"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spans="1:61" ht="12.75"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spans="1:61" ht="12.75"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spans="1:61" ht="12.75"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spans="1:61" ht="12.75"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spans="1:61" ht="12.75"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spans="1:61" ht="12.75"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spans="1:61" ht="12.75"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spans="1:61" ht="12.75"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spans="1:61" ht="12.75"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spans="1:61" ht="12.75"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spans="1:61" ht="12.75"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spans="1:61" ht="12.75"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spans="1:61" ht="12.75"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spans="1:61" ht="12.75"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spans="1:61" ht="12.75"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spans="1:61" ht="12.75"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spans="1:61" ht="12.75"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spans="1:61" ht="12.75"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spans="1:61" ht="12.75"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spans="1:61" ht="12.75"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spans="1:61" ht="12.75"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spans="1:61" ht="12.75"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spans="1:61" ht="12.75"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spans="1:61" ht="12.75"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spans="1:61" ht="12.75"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spans="1:61" ht="12.75"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spans="1:61" ht="12.75"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spans="1:61" ht="12.75"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spans="1:61" ht="12.75"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spans="1:61" ht="12.75"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spans="1:61" ht="12.75"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spans="1:61" ht="12.75"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spans="1:61" ht="12.75"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spans="1:61" ht="12.75"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spans="1:61" ht="12.75"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spans="1:61" ht="12.75"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spans="1:61" ht="12.75"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spans="1:61" ht="12.75"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spans="1:61" ht="12.75"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spans="1:61" ht="12.75"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spans="1:61" ht="12.75"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spans="1:61" ht="12.75"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spans="1:61" ht="12.75"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spans="1:61" ht="12.75"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spans="1:61" ht="12.75"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spans="1:61" ht="12.75"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spans="1:61" ht="12.75"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spans="1:61" ht="12.75"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spans="1:61" ht="12.75"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spans="1:61" ht="12.75"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spans="1:61" ht="12.75"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spans="1:61" ht="12.75"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spans="1:61" ht="12.75"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spans="1:61" ht="12.75"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spans="1:61" ht="12.75"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spans="1:61" ht="12.75"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spans="1:61" ht="12.75"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spans="1:61" ht="12.75"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spans="1:61" ht="12.75"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spans="1:61" ht="12.75"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spans="1:61" ht="12.75"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spans="1:61" ht="12.75"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spans="1:61" ht="12.75"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spans="1:61" ht="12.75"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spans="1:61" ht="12.75"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spans="1:61" ht="12.75"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spans="1:61" ht="12.75"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spans="1:61" ht="12.75"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spans="1:61" ht="12.75"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spans="1:61" ht="12.75"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spans="1:61" ht="12.75"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spans="1:61" ht="12.75"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spans="1:61" ht="12.75"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spans="1:61" ht="12.75"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spans="1:61" ht="12.75"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spans="1:61" ht="12.75"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spans="1:61" ht="12.75"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spans="1:61" ht="12.75"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spans="1:61" ht="12.75"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spans="1:61" ht="12.75"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spans="1:61" ht="12.75"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spans="1:61" ht="12.75"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spans="1:61" ht="12.75"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spans="1:61" ht="12.75"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spans="1:61" ht="12.75"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spans="1:61" ht="12.75"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spans="1:61" ht="12.75"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spans="1:61" ht="12.75"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spans="1:61" ht="12.75"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spans="1:61" ht="12.75"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spans="1:61" ht="12.75"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spans="1:61" ht="12.75"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spans="1:61" ht="12.75"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spans="1:61" ht="12.75"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spans="1:61" ht="12.75"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spans="1:61" ht="12.75"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spans="1:61" ht="12.75"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spans="1:61" ht="12.75"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spans="1:61" ht="12.75"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spans="1:61" ht="12.75"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spans="1:61" ht="12.75"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spans="1:61" ht="12.75"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spans="1:61" ht="12.75"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spans="1:61" ht="12.75"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spans="1:61" ht="12.75"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spans="1:61" ht="12.75"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spans="1:61" ht="12.75"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spans="1:61" ht="12.75"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spans="1:61" ht="12.75"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spans="1:61" ht="12.75"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spans="1:61" ht="12.75"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spans="1:61" ht="12.75"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spans="1:61" ht="12.75"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spans="1:61" ht="12.75"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spans="1:61" ht="12.75"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spans="1:61" ht="12.75"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spans="1:61" ht="12.75"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spans="1:61" ht="12.75"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spans="1:61" ht="12.75"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spans="1:61" ht="12.75"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spans="1:61" ht="12.75"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spans="1:61" ht="12.75"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spans="1:61" ht="12.75"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spans="1:61" ht="12.75"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spans="1:61" ht="12.75"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spans="1:61" ht="12.75"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spans="1:61" ht="12.75"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spans="1:61" ht="12.75"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spans="1:61" ht="12.75"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spans="1:61" ht="12.75"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spans="1:61" ht="12.75"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spans="1:61" ht="12.75"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spans="1:61" ht="12.75"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spans="1:61" ht="12.75"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spans="1:61" ht="12.75"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spans="1:61" ht="12.75"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spans="1:61" ht="12.75"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spans="1:61" ht="12.75"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spans="1:61" ht="12.75"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spans="1:61" ht="12.75"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spans="1:61" ht="12.75"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spans="1:61" ht="12.75"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spans="1:61" ht="12.75"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spans="1:61" ht="12.75"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spans="1:61" ht="12.75"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spans="1:61" ht="12.75"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spans="1:61" ht="12.75"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spans="1:61" ht="12.75"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spans="1:61" ht="12.75"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spans="1:61" ht="12.75"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spans="1:61" ht="12.75"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spans="1:61" ht="12.75"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spans="1:61" ht="12.75"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spans="1:61" ht="12.75"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spans="1:61" ht="12.75"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spans="1:61" ht="12.75"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spans="1:61" ht="12.75"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spans="1:61" ht="12.75"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spans="1:61" ht="12.75"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spans="1:61" ht="12.75"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spans="1:61" ht="12.75"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spans="1:61" ht="12.75"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spans="1:61" ht="12.75"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spans="1:61" ht="12.75"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spans="1:61" ht="12.75"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spans="1:61" ht="12.75"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spans="1:61" ht="12.75"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spans="1:61" ht="12.75"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spans="1:61" ht="12.75"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spans="1:61" ht="12.75"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spans="1:61" ht="12.75"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spans="1:61" ht="12.75"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spans="1:61" ht="12.75"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spans="1:61" ht="12.75"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spans="1:61" ht="12.75"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spans="1:61" ht="12.75"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spans="1:61" ht="12.75"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spans="1:61" ht="12.75"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spans="1:61" ht="12.75"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spans="1:61" ht="12.75"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spans="1:61" ht="12.75"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spans="1:61" ht="12.75"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spans="1:61" ht="12.75"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spans="1:61" ht="12.75"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spans="1:61" ht="12.75"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spans="1:61" ht="12.75"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spans="1:61" ht="12.75"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spans="1:61" ht="12.75"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spans="1:61" ht="12.75"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spans="1:61" ht="12.75"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spans="1:61" ht="12.75"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spans="1:61" ht="12.75"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spans="1:61" ht="12.75"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spans="1:61" ht="12.75"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spans="1:61" ht="12.75"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spans="1:61" ht="12.75"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spans="1:61" ht="12.75"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spans="1:61" ht="12.75"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spans="1:61" ht="12.75"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spans="1:61" ht="12.75"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spans="1:61" ht="12.75"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spans="1:61" ht="12.75"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spans="1:61" ht="12.75"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spans="1:61" ht="12.75"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spans="1:61" ht="12.75"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spans="1:61" ht="12.75"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spans="1:61" ht="12.75"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spans="1:61" ht="12.75"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spans="1:61" ht="12.75"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spans="1:61" ht="12.75"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spans="1:61" ht="12.75"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spans="1:61" ht="12.75"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spans="1:61" ht="12.75"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spans="1:61" ht="12.75"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spans="1:61" ht="12.75"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spans="1:61" ht="12.75"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spans="1:61" ht="12.75"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spans="1:61" ht="12.75"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spans="1:61" ht="12.75"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spans="1:61" ht="12.75"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spans="1:61" ht="12.75"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spans="1:61" ht="12.75"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spans="1:61" ht="12.75"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spans="1:61" ht="12.75"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spans="1:61" ht="12.75"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spans="1:61" ht="12.75"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spans="1:61" ht="12.75"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spans="1:61" ht="12.75"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spans="1:61" ht="12.75"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spans="1:61" ht="12.75"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spans="1:61" ht="12.75"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spans="1:61" ht="12.75"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spans="1:61" ht="12.75"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spans="1:61" ht="12.75"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spans="1:61" ht="12.75"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spans="1:61" ht="12.75"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spans="1:61" ht="12.75"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spans="1:61" ht="12.75"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spans="1:61" ht="12.75"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spans="1:61" ht="12.75"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spans="1:61" ht="12.75"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spans="1:61" ht="12.75"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spans="1:61" ht="12.75"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spans="1:61" ht="12.75"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spans="1:61" ht="12.75"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spans="1:61" ht="12.75"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spans="1:61" ht="12.75"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spans="1:61" ht="12.75"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spans="1:61" ht="12.75"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spans="1:61" ht="12.75"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spans="1:61" ht="12.75"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spans="1:61" ht="12.75"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spans="1:61" ht="12.75"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spans="1:61" ht="12.75"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spans="1:61" ht="12.75"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spans="1:61" ht="12.75"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spans="1:61" ht="12.75"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spans="1:61" ht="12.75"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spans="1:61" ht="12.75"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spans="1:61" ht="12.75"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spans="1:61" ht="12.75"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spans="1:61" ht="12.75"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spans="1:61" ht="12.75"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spans="1:61" ht="12.75"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spans="1:61" ht="12.75"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spans="1:61" ht="12.75"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spans="1:61" ht="12.75"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spans="1:61" ht="12.75"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spans="1:61" ht="12.75"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spans="1:61" ht="12.75"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spans="1:61" ht="12.75"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spans="1:61" ht="12.75"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spans="1:61" ht="12.75"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spans="1:61" ht="12.75"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spans="1:61" ht="12.75"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spans="1:61" ht="12.75"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spans="1:61" ht="12.75"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spans="1:61" ht="12.75"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spans="1:61" ht="12.75"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spans="1:61" ht="12.75"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spans="1:61" ht="12.75"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spans="1:61" ht="12.75"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spans="1:61" ht="12.75"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spans="1:61" ht="12.75"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spans="1:61" ht="12.75"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spans="1:61" ht="12.75"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spans="1:61" ht="12.75"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spans="1:61" ht="12.75"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spans="1:61" ht="12.75"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spans="1:61" ht="12.75"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spans="1:61" ht="12.75"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spans="1:61" ht="12.75"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spans="1:61" ht="12.75"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spans="1:61" ht="12.75"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spans="1:61" ht="12.75"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spans="1:61" ht="12.75"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spans="1:61" ht="12.75"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spans="1:61" ht="12.75"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spans="1:61" ht="12.75"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spans="1:61" ht="12.75"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spans="1:61" ht="12.75"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spans="1:61" ht="12.75"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spans="1:61" ht="12.75"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spans="1:61" ht="12.75"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spans="1:61" ht="12.75"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spans="1:61" ht="12.75"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spans="1:61" ht="12.75"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spans="1:61" ht="12.75"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spans="1:61" ht="12.75"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spans="1:61" ht="12.75"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spans="1:61" ht="12.75"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spans="1:61" ht="12.75"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spans="1:61" ht="12.75"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spans="1:61" ht="12.75"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spans="1:61" ht="12.75"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spans="1:61" ht="12.75"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spans="1:61" ht="12.75"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spans="1:61" ht="12.75"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spans="1:61" ht="12.75"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spans="1:61" ht="12.75"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spans="1:61" ht="12.75"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spans="1:61" ht="12.75"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spans="1:61" ht="12.75"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spans="1:61" ht="12.75"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spans="1:61" ht="12.75"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spans="1:61" ht="12.75"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spans="1:61" ht="12.75"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spans="1:61" ht="12.75"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spans="1:61" ht="12.75"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spans="1:61" ht="12.75"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spans="1:61" ht="12.75"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spans="1:61" ht="12.75"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spans="1:61" ht="12.75"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spans="1:61" ht="12.75"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spans="1:61" ht="12.75"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spans="1:61" ht="12.75"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spans="1:61" ht="12.75"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spans="1:61" ht="12.75"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spans="1:61" ht="12.75"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spans="1:61" ht="12.75"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spans="1:61" ht="12.75"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spans="1:61" ht="12.75"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spans="1:61" ht="12.75"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spans="1:61" ht="12.75"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spans="1:61" ht="12.75"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spans="1:61" ht="12.75"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spans="1:61" ht="12.75"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spans="1:61" ht="12.75"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spans="1:61" ht="12.75"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spans="1:61" ht="12.75"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spans="1:61" ht="12.75"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spans="1:61" ht="12.75"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spans="1:61" ht="12.75"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spans="1:61" ht="12.75"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spans="1:61" ht="12.75"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spans="1:61" ht="12.75"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spans="1:61" ht="12.75"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spans="1:61" ht="12.75"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spans="1:61" ht="12.75"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spans="1:61" ht="12.75"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spans="1:61" ht="12.75"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spans="1:61" ht="12.75"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spans="1:61" ht="12.75"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spans="1:61" ht="12.75"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spans="1:61" ht="12.75"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spans="1:61" ht="12.75"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spans="1:61" ht="12.75"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spans="1:61" ht="12.75"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spans="1:61" ht="12.75"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spans="1:61" ht="12.75"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spans="1:61" ht="12.75"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spans="1:61" ht="12.75"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spans="1:61" ht="12.75"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spans="1:61" ht="12.75"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spans="1:61" ht="12.75"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spans="1:61" ht="12.75"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spans="1:61" ht="12.75"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spans="1:61" ht="12.75"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spans="1:61" ht="12.75"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spans="1:61" ht="12.75"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spans="1:61" ht="12.75"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spans="1:61" ht="12.75"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spans="1:61" ht="12.75"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spans="1:61" ht="12.75"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spans="1:61" ht="12.75"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spans="1:61" ht="12.75"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spans="1:61" ht="12.75"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spans="1:61" ht="12.75"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spans="1:61" ht="12.75"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spans="1:61" ht="12.75"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spans="1:61" ht="12.75"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spans="1:61" ht="12.75"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spans="1:61" ht="12.75"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spans="1:61" ht="12.75"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spans="1:61" ht="12.75"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spans="1:61" ht="12.75"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spans="1:61" ht="12.75"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spans="1:61" ht="12.75"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spans="1:61" ht="12.75"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spans="1:61" ht="12.75"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spans="1:61" ht="12.75"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spans="1:61" ht="12.75"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spans="1:61" ht="12.75"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spans="1:61" ht="12.75"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spans="1:61" ht="12.75"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spans="1:61" ht="12.75"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spans="1:61" ht="12.75"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spans="1:61" ht="12.75"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spans="1:61" ht="12.75"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spans="1:61" ht="12.75"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spans="1:61" ht="12.75"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spans="1:61" ht="12.75"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spans="1:61" ht="12.75"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spans="1:61" ht="12.75"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spans="1:61" ht="12.75"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spans="1:61" ht="12.75"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spans="1:61" ht="12.75"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spans="1:61" ht="12.75"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spans="1:61" ht="12.75"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spans="1:61" ht="12.75"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spans="1:61" ht="12.75"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spans="1:61" ht="12.75"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spans="1:61" ht="12.75"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spans="1:61" ht="12.75"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spans="1:61" ht="12.75"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spans="1:61" ht="12.75"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spans="1:61" ht="12.75"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spans="1:61" ht="12.75"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spans="1:61" ht="12.75"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spans="1:61" ht="12.75"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spans="1:61" ht="12.75"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spans="1:61" ht="12.75"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spans="1:61" ht="12.75"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spans="1:61" ht="12.75"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spans="1:61" ht="12.75"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spans="1:61" ht="12.75"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spans="1:61" ht="12.75"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spans="1:61" ht="12.75"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spans="1:61" ht="12.75"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spans="1:61" ht="12.75"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spans="1:61" ht="12.75"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spans="1:61" ht="12.75"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spans="1:61" ht="12.75"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spans="1:61" ht="12.75"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spans="1:61" ht="12.75"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spans="1:61" ht="12.75"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spans="1:61" ht="12.75"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spans="1:61" ht="12.75"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spans="1:61" ht="12.75"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spans="1:61" ht="12.75"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spans="1:61" ht="12.75"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spans="1:61" ht="12.75"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spans="1:61" ht="12.75"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spans="1:61" ht="12.75"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spans="1:61" ht="12.75"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spans="1:61" ht="12.75"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spans="1:61" ht="12.75"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spans="1:61" ht="12.75"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spans="1:61" ht="12.75"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spans="1:61" ht="12.75"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spans="1:61" ht="12.75"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spans="1:61" ht="12.75"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spans="1:61" ht="12.75"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spans="1:61" ht="12.75"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spans="1:61" ht="12.75"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spans="1:61" ht="12.75"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spans="1:61" ht="12.75"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spans="1:61" ht="12.75"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spans="1:61" ht="12.75"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spans="1:61" ht="12.75"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spans="1:61" ht="12.75"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spans="1:61" ht="12.75"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spans="1:61" ht="12.75"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spans="1:61" ht="12.75"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spans="1:61" ht="12.75"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spans="1:61" ht="12.75"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spans="1:61" ht="12.75"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spans="1:61" ht="12.75"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spans="1:61" ht="12.75"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spans="1:61" ht="12.75"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spans="1:61" ht="12.75"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spans="1:61" ht="12.75"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spans="1:61" ht="12.75"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spans="1:61" ht="12.75"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spans="1:61" ht="12.75"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spans="1:61" ht="12.75"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spans="1:61" ht="12.75"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spans="1:61" ht="12.75"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spans="1:61" ht="12.75"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spans="1:61" ht="12.75"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spans="1:61" ht="12.75"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spans="1:61" ht="12.75"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spans="1:61" ht="12.75"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spans="1:61" ht="12.75"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spans="1:61" ht="12.75"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spans="1:61" ht="12.75"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spans="1:61" ht="12.75"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spans="1:61" ht="12.75"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spans="1:61" ht="12.75"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spans="1:61" ht="12.75"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spans="1:61" ht="12.75"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spans="1:61" ht="12.75"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spans="1:61" ht="12.75"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spans="1:61" ht="12.75"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spans="1:61" ht="12.75"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spans="1:61" ht="12.75"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spans="1:61" ht="12.75"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spans="1:61" ht="12.75"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spans="1:61" ht="12.75"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spans="1:61" ht="12.75"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spans="1:61" ht="12.75"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spans="1:61" ht="12.75"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spans="1:61" ht="12.75"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spans="1:61" ht="12.75"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spans="1:61" ht="12.75"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spans="1:61" ht="12.75"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spans="1:61" ht="12.75"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spans="1:61" ht="12.75"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spans="1:61" ht="12.75"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spans="1:61" ht="12.75"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spans="1:61" ht="12.75"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spans="1:61" ht="12.75"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spans="1:61" ht="12.75"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spans="1:61" ht="12.75"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spans="1:61" ht="12.75"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spans="1:61" ht="12.75"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spans="1:61" ht="12.75"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spans="1:61" ht="12.75"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spans="1:61" ht="12.75"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spans="1:61" ht="12.75"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spans="1:61" ht="12.75"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spans="1:61" ht="12.75"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spans="1:61" ht="12.75"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spans="1:61" ht="12.75"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spans="1:61" ht="12.75"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spans="1:61" ht="12.75"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spans="1:61" ht="12.75"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spans="1:61" ht="12.75"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spans="1:61" ht="12.75"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spans="1:61" ht="12.75"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spans="1:61" ht="12.75"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spans="1:61" ht="12.75"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spans="1:61" ht="12.75"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spans="1:61" ht="12.75"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spans="1:61" ht="12.75"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spans="1:61" ht="12.75"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spans="1:61" ht="12.75"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spans="1:61" ht="12.75"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spans="1:61" ht="12.75"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spans="1:61" ht="12.75"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spans="1:61" ht="12.75"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spans="1:61" ht="12.75"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spans="1:61" ht="12.75"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spans="1:61" ht="12.75"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spans="1:61" ht="12.75"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spans="1:61" ht="12.75"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spans="1:61" ht="12.75"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spans="1:61" ht="12.75"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spans="1:61" ht="12.75"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spans="1:61" ht="12.75"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spans="1:61" ht="12.75"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spans="1:61" ht="12.75"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spans="1:61" ht="12.75"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spans="1:61" ht="12.75"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spans="1:61" ht="12.75"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spans="1:61" ht="12.75"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spans="1:61" ht="12.75"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spans="1:61" ht="12.75"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spans="1:61" ht="12.75"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spans="1:61" ht="12.75"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spans="1:61" ht="12.75"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spans="1:61" ht="12.75"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spans="1:61" ht="12.75"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spans="1:61" ht="12.75"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spans="1:61" ht="12.75"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spans="1:61" ht="12.75"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spans="1:61" ht="12.75"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spans="1:61" ht="12.75"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spans="1:61" ht="12.75"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spans="1:61" ht="13.5" customHeight="1"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spans="1:61" ht="12.75"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spans="1:61" ht="12.75"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spans="1:61" ht="12.75"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spans="1:61" ht="12.75"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spans="1:61" ht="12.75"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spans="1:61" ht="12.75"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spans="1:61" ht="12.75"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spans="1:61" ht="12.75"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spans="1:61" ht="12.75"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spans="1:61" ht="12.75"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spans="1:61" ht="12.75"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spans="1:61" ht="12.75"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spans="1:61" ht="12.75"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spans="1:61" ht="12.75"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spans="1:61" ht="12.75"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spans="1:61" ht="12.75"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spans="1:61" ht="12.75"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spans="1:61" ht="12.75"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spans="1:61" ht="12.75"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spans="1:61" ht="12.75"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row r="1001" spans="1:61" ht="12.75"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row>
    <row r="1002" spans="1:61" ht="12.75"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row>
    <row r="1003" spans="1:61" ht="12.75"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row>
    <row r="1004" spans="1:61" ht="12.75"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row>
    <row r="1005" spans="1:61" ht="12.75"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row>
    <row r="1006" spans="1:61" ht="12.75"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row>
    <row r="1007" spans="1:61" ht="12.75" x14ac:dyDescent="0.2">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row>
    <row r="1008" spans="1:61" ht="12.75" x14ac:dyDescent="0.2">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row>
    <row r="1009" spans="1:61" ht="12.75" x14ac:dyDescent="0.2">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row>
    <row r="1010" spans="1:61" ht="12.75" x14ac:dyDescent="0.2">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row>
    <row r="1011" spans="1:61" ht="12.75" x14ac:dyDescent="0.2">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row>
    <row r="1012" spans="1:61" ht="12.75" x14ac:dyDescent="0.2">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row>
    <row r="1013" spans="1:61" ht="12.75" x14ac:dyDescent="0.2">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row>
    <row r="1014" spans="1:61" ht="12.75" x14ac:dyDescent="0.2">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row>
    <row r="1015" spans="1:61" ht="12.75" x14ac:dyDescent="0.2">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row>
    <row r="1016" spans="1:61" ht="12.75" x14ac:dyDescent="0.2">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row>
    <row r="1017" spans="1:61" ht="12.75" x14ac:dyDescent="0.2">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row>
    <row r="1018" spans="1:61" ht="12.75" x14ac:dyDescent="0.2">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row>
    <row r="1019" spans="1:61" ht="12.75" x14ac:dyDescent="0.2">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row>
    <row r="1020" spans="1:61" ht="12.75" x14ac:dyDescent="0.2">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row>
    <row r="1021" spans="1:61" ht="12.75" x14ac:dyDescent="0.2">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row>
    <row r="1022" spans="1:61" ht="12.75" x14ac:dyDescent="0.2">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row>
    <row r="1023" spans="1:61" ht="12.75" x14ac:dyDescent="0.2">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row>
    <row r="1024" spans="1:61" ht="12.75" x14ac:dyDescent="0.2">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row>
    <row r="1025" spans="1:61" ht="12.75" x14ac:dyDescent="0.2">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row>
    <row r="1026" spans="1:61" ht="12.75" x14ac:dyDescent="0.2">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row>
    <row r="1027" spans="1:61" ht="12.75" x14ac:dyDescent="0.2">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row>
    <row r="1028" spans="1:61" ht="12.75" x14ac:dyDescent="0.2">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row>
    <row r="1029" spans="1:61" ht="12.75" x14ac:dyDescent="0.2">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row>
    <row r="1030" spans="1:61" ht="12.75" x14ac:dyDescent="0.2">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row>
    <row r="1031" spans="1:61" ht="12.75" x14ac:dyDescent="0.2">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row>
    <row r="1032" spans="1:61" ht="12.75" x14ac:dyDescent="0.2">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row>
    <row r="1033" spans="1:61" ht="12.75" x14ac:dyDescent="0.2">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row>
    <row r="1034" spans="1:61" ht="12.75" x14ac:dyDescent="0.2">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row>
    <row r="1035" spans="1:61" ht="12.75" x14ac:dyDescent="0.2">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row>
    <row r="1036" spans="1:61" ht="12.75" x14ac:dyDescent="0.2">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row>
    <row r="1037" spans="1:61" ht="12.75" x14ac:dyDescent="0.2">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row>
    <row r="1038" spans="1:61" ht="12.75" x14ac:dyDescent="0.2">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row>
    <row r="1039" spans="1:61" ht="12.75" x14ac:dyDescent="0.2">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row>
    <row r="1040" spans="1:61" ht="12.75" x14ac:dyDescent="0.2">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row>
    <row r="1041" spans="1:61" ht="12.75" x14ac:dyDescent="0.2">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row>
    <row r="1042" spans="1:61" ht="12.75" x14ac:dyDescent="0.2">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row>
    <row r="1043" spans="1:61" ht="12.75" x14ac:dyDescent="0.2">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row>
    <row r="1044" spans="1:61" ht="12.75" x14ac:dyDescent="0.2">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row>
    <row r="1045" spans="1:61" ht="12.75" x14ac:dyDescent="0.2">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row>
    <row r="1046" spans="1:61" ht="12.75" x14ac:dyDescent="0.2">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row>
    <row r="1047" spans="1:61" ht="12.75" x14ac:dyDescent="0.2">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row>
    <row r="1048" spans="1:61" ht="12.75" x14ac:dyDescent="0.2">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row>
    <row r="1049" spans="1:61" ht="12.75" x14ac:dyDescent="0.2">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row>
    <row r="1050" spans="1:61" ht="12.75" x14ac:dyDescent="0.2">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row>
    <row r="1051" spans="1:61" ht="12.75" x14ac:dyDescent="0.2">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row>
    <row r="1052" spans="1:61" ht="12.75" x14ac:dyDescent="0.2">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row>
    <row r="1053" spans="1:61" ht="12.75" x14ac:dyDescent="0.2">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row>
    <row r="1054" spans="1:61" ht="12.75" x14ac:dyDescent="0.2">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row>
    <row r="1055" spans="1:61" ht="12.75" x14ac:dyDescent="0.2">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row>
    <row r="1056" spans="1:61" ht="12.75" x14ac:dyDescent="0.2">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row>
    <row r="1057" spans="1:61" ht="12.75" x14ac:dyDescent="0.2">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row>
    <row r="1058" spans="1:61" ht="12.75" x14ac:dyDescent="0.2">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row>
    <row r="1059" spans="1:61" ht="12.75" x14ac:dyDescent="0.2">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row>
    <row r="1060" spans="1:61" ht="12.75" x14ac:dyDescent="0.2">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row>
    <row r="1061" spans="1:61" ht="12.75" x14ac:dyDescent="0.2">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row>
    <row r="1062" spans="1:61" ht="12.75" x14ac:dyDescent="0.2">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row>
    <row r="1063" spans="1:61" ht="12.75" x14ac:dyDescent="0.2">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row>
    <row r="1064" spans="1:61" ht="12.75" x14ac:dyDescent="0.2">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row>
    <row r="1065" spans="1:61" ht="12.75" x14ac:dyDescent="0.2">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row>
    <row r="1066" spans="1:61" ht="12.75" x14ac:dyDescent="0.2">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row>
    <row r="1067" spans="1:61" ht="12.75" x14ac:dyDescent="0.2">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row>
    <row r="1068" spans="1:61" ht="12.75" x14ac:dyDescent="0.2">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row>
    <row r="1069" spans="1:61" ht="12.75" x14ac:dyDescent="0.2">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row>
    <row r="1070" spans="1:61" ht="12.75" x14ac:dyDescent="0.2">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row>
    <row r="1071" spans="1:61" ht="12.75" x14ac:dyDescent="0.2">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row>
    <row r="1072" spans="1:61" ht="12.75" x14ac:dyDescent="0.2">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row>
    <row r="1073" spans="1:61" ht="12.75" x14ac:dyDescent="0.2">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row>
    <row r="1074" spans="1:61" ht="12.75" x14ac:dyDescent="0.2">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row>
    <row r="1075" spans="1:61" ht="12.75" x14ac:dyDescent="0.2">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row>
    <row r="1076" spans="1:61" ht="12.75" x14ac:dyDescent="0.2">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row>
    <row r="1077" spans="1:61" ht="12.75" x14ac:dyDescent="0.2">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row>
    <row r="1078" spans="1:61" ht="12.75" x14ac:dyDescent="0.2">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row>
  </sheetData>
  <hyperlinks>
    <hyperlink ref="BD9" r:id="rId1"/>
  </hyperlinks>
  <pageMargins left="0.511811024" right="0.511811024" top="0.78740157499999996" bottom="0.78740157499999996" header="0.31496062000000002" footer="0.31496062000000002"/>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32"/>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22.710937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48.85546875" customWidth="1"/>
    <col min="15" max="15" width="88.85546875" customWidth="1"/>
    <col min="16" max="16" width="26.28515625" customWidth="1"/>
    <col min="18" max="18" width="34.140625" customWidth="1"/>
    <col min="19" max="19" width="31" customWidth="1"/>
    <col min="20" max="20" width="33.140625" customWidth="1"/>
    <col min="21" max="21" width="37.85546875" customWidth="1"/>
    <col min="22" max="22" width="26.85546875" customWidth="1"/>
    <col min="23" max="23" width="25.42578125" customWidth="1"/>
    <col min="24" max="24" width="45.7109375" customWidth="1"/>
    <col min="51" max="51" width="47.5703125" customWidth="1"/>
    <col min="53" max="53" width="40" customWidth="1"/>
    <col min="54" max="54" width="55.140625" customWidth="1"/>
    <col min="56" max="56" width="69.42578125" customWidth="1"/>
    <col min="57" max="57" width="26.140625" customWidth="1"/>
    <col min="60" max="60" width="19.85546875" customWidth="1"/>
    <col min="61" max="61" width="42.42578125"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5024</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5025</v>
      </c>
      <c r="AZ1" s="21"/>
      <c r="BA1" s="9" t="s">
        <v>60</v>
      </c>
      <c r="BB1" s="9" t="s">
        <v>5026</v>
      </c>
      <c r="BC1" s="9" t="s">
        <v>5027</v>
      </c>
      <c r="BD1" s="9" t="s">
        <v>61</v>
      </c>
      <c r="BE1" s="9" t="s">
        <v>62</v>
      </c>
      <c r="BF1" s="9" t="s">
        <v>63</v>
      </c>
      <c r="BG1" s="22" t="s">
        <v>64</v>
      </c>
      <c r="BH1" s="9" t="s">
        <v>65</v>
      </c>
      <c r="BI1" s="9" t="s">
        <v>66</v>
      </c>
    </row>
    <row r="2" spans="1:61" ht="25.5" hidden="1" x14ac:dyDescent="0.2">
      <c r="A2" s="23" t="s">
        <v>5028</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5029</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5028</v>
      </c>
      <c r="BF2" s="24"/>
      <c r="BG2" s="33"/>
      <c r="BH2" s="27" t="s">
        <v>5030</v>
      </c>
      <c r="BI2" s="24" t="s">
        <v>68</v>
      </c>
    </row>
    <row r="3" spans="1:61" ht="25.5" hidden="1" x14ac:dyDescent="0.2">
      <c r="A3" s="34" t="s">
        <v>5031</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5029</v>
      </c>
      <c r="R3" s="38" t="s">
        <v>5032</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5033</v>
      </c>
      <c r="BI3" s="35" t="s">
        <v>68</v>
      </c>
    </row>
    <row r="4" spans="1:61" ht="25.5" x14ac:dyDescent="0.2">
      <c r="A4" s="45" t="s">
        <v>5034</v>
      </c>
      <c r="B4" s="46"/>
      <c r="C4" s="46" t="s">
        <v>5035</v>
      </c>
      <c r="D4" s="46" t="s">
        <v>5036</v>
      </c>
      <c r="E4" s="46" t="s">
        <v>5037</v>
      </c>
      <c r="F4" s="46" t="s">
        <v>5038</v>
      </c>
      <c r="G4" s="46" t="s">
        <v>68</v>
      </c>
      <c r="H4" s="46" t="s">
        <v>68</v>
      </c>
      <c r="I4" s="46" t="s">
        <v>68</v>
      </c>
      <c r="J4" s="46" t="s">
        <v>71</v>
      </c>
      <c r="K4" s="47">
        <v>200</v>
      </c>
      <c r="L4" s="47">
        <v>150</v>
      </c>
      <c r="M4" s="47">
        <v>350</v>
      </c>
      <c r="N4" s="46"/>
      <c r="O4" s="71" t="s">
        <v>68</v>
      </c>
      <c r="P4" s="64"/>
      <c r="Q4" s="46" t="s">
        <v>5029</v>
      </c>
      <c r="R4" s="46" t="s">
        <v>5032</v>
      </c>
      <c r="S4" s="49">
        <v>87.5</v>
      </c>
      <c r="T4" s="49">
        <v>437.5</v>
      </c>
      <c r="U4" s="28">
        <v>0.28857142857142859</v>
      </c>
      <c r="V4" s="28">
        <v>0.22</v>
      </c>
      <c r="W4" s="51">
        <v>0.75</v>
      </c>
      <c r="X4" s="52">
        <v>43.75</v>
      </c>
      <c r="Y4" s="52">
        <v>30</v>
      </c>
      <c r="Z4" s="52">
        <v>237.5</v>
      </c>
      <c r="AA4" s="52">
        <v>311.25</v>
      </c>
      <c r="AB4" s="53">
        <v>0.71142857142857141</v>
      </c>
      <c r="AC4" s="72">
        <v>126.25</v>
      </c>
      <c r="AD4" s="55">
        <v>0.28857142857142859</v>
      </c>
      <c r="AE4" s="56">
        <v>2</v>
      </c>
      <c r="AF4" s="57" t="s">
        <v>72</v>
      </c>
      <c r="AG4" s="58">
        <v>100</v>
      </c>
      <c r="AH4" s="58">
        <v>150</v>
      </c>
      <c r="AI4" s="58">
        <v>250</v>
      </c>
      <c r="AJ4" s="49">
        <v>62.5</v>
      </c>
      <c r="AK4" s="49">
        <v>312.5</v>
      </c>
      <c r="AL4" s="52">
        <v>31.25</v>
      </c>
      <c r="AM4" s="52">
        <v>212.5</v>
      </c>
      <c r="AN4" s="52">
        <v>243.75</v>
      </c>
      <c r="AO4" s="59">
        <v>0.78</v>
      </c>
      <c r="AP4" s="60">
        <v>68.75</v>
      </c>
      <c r="AQ4" s="61">
        <v>0.22</v>
      </c>
      <c r="AR4" s="60" t="s">
        <v>78</v>
      </c>
      <c r="AS4" s="62">
        <v>300</v>
      </c>
      <c r="AT4" s="62">
        <v>225</v>
      </c>
      <c r="AU4" s="62">
        <v>525</v>
      </c>
      <c r="AV4" s="62">
        <v>656.25</v>
      </c>
      <c r="AW4" s="47" t="s">
        <v>74</v>
      </c>
      <c r="AX4" s="64">
        <v>44963</v>
      </c>
      <c r="AY4" s="64" t="s">
        <v>5039</v>
      </c>
      <c r="BA4" s="64"/>
      <c r="BB4" s="64"/>
      <c r="BC4" s="64"/>
      <c r="BD4" s="46"/>
      <c r="BE4" s="46" t="e">
        <v>#REF!</v>
      </c>
      <c r="BF4" s="46" t="s">
        <v>79</v>
      </c>
      <c r="BG4" s="65">
        <v>0.5</v>
      </c>
      <c r="BH4" s="66" t="s">
        <v>5040</v>
      </c>
      <c r="BI4" s="63" t="s">
        <v>5041</v>
      </c>
    </row>
    <row r="5" spans="1:61" ht="25.5" x14ac:dyDescent="0.2">
      <c r="A5" s="45" t="s">
        <v>5042</v>
      </c>
      <c r="B5" s="46"/>
      <c r="C5" s="46" t="s">
        <v>5035</v>
      </c>
      <c r="D5" s="46" t="s">
        <v>5036</v>
      </c>
      <c r="E5" s="46" t="s">
        <v>5043</v>
      </c>
      <c r="F5" s="46" t="s">
        <v>5038</v>
      </c>
      <c r="G5" s="46" t="s">
        <v>68</v>
      </c>
      <c r="H5" s="46" t="s">
        <v>68</v>
      </c>
      <c r="I5" s="46" t="s">
        <v>68</v>
      </c>
      <c r="J5" s="46" t="s">
        <v>71</v>
      </c>
      <c r="K5" s="47">
        <f t="shared" ref="K5:L5" si="0">K4*1.5</f>
        <v>300</v>
      </c>
      <c r="L5" s="47">
        <f t="shared" si="0"/>
        <v>225</v>
      </c>
      <c r="M5" s="47">
        <v>525</v>
      </c>
      <c r="N5" s="46"/>
      <c r="O5" s="71" t="s">
        <v>68</v>
      </c>
      <c r="P5" s="64"/>
      <c r="Q5" s="46" t="s">
        <v>5029</v>
      </c>
      <c r="R5" s="46" t="s">
        <v>5032</v>
      </c>
      <c r="S5" s="49">
        <v>131.25</v>
      </c>
      <c r="T5" s="49">
        <v>656.25</v>
      </c>
      <c r="U5" s="67">
        <v>0.31142857142857144</v>
      </c>
      <c r="V5" s="28">
        <v>0.22</v>
      </c>
      <c r="W5" s="51">
        <v>0.75</v>
      </c>
      <c r="X5" s="52">
        <v>65.625</v>
      </c>
      <c r="Y5" s="52">
        <v>30</v>
      </c>
      <c r="Z5" s="52">
        <v>356.25</v>
      </c>
      <c r="AA5" s="52">
        <v>451.875</v>
      </c>
      <c r="AB5" s="53">
        <v>0.68857142857142861</v>
      </c>
      <c r="AC5" s="72">
        <v>204.375</v>
      </c>
      <c r="AD5" s="55">
        <v>0.31142857142857144</v>
      </c>
      <c r="AE5" s="56">
        <v>2</v>
      </c>
      <c r="AF5" s="57" t="s">
        <v>72</v>
      </c>
      <c r="AG5" s="58">
        <v>150</v>
      </c>
      <c r="AH5" s="58">
        <v>225</v>
      </c>
      <c r="AI5" s="58">
        <v>375</v>
      </c>
      <c r="AJ5" s="49">
        <v>93.75</v>
      </c>
      <c r="AK5" s="49">
        <v>468.75</v>
      </c>
      <c r="AL5" s="52">
        <v>46.875</v>
      </c>
      <c r="AM5" s="52">
        <v>318.75</v>
      </c>
      <c r="AN5" s="52">
        <v>365.625</v>
      </c>
      <c r="AO5" s="59">
        <v>0.78</v>
      </c>
      <c r="AP5" s="60">
        <v>103.125</v>
      </c>
      <c r="AQ5" s="61">
        <v>0.22</v>
      </c>
      <c r="AR5" s="60" t="s">
        <v>78</v>
      </c>
      <c r="AS5" s="62">
        <v>450</v>
      </c>
      <c r="AT5" s="62">
        <v>338</v>
      </c>
      <c r="AU5" s="62">
        <v>788</v>
      </c>
      <c r="AV5" s="62">
        <v>985</v>
      </c>
      <c r="AW5" s="47" t="s">
        <v>74</v>
      </c>
      <c r="AX5" s="64">
        <v>44963</v>
      </c>
      <c r="AY5" s="64" t="s">
        <v>5044</v>
      </c>
      <c r="BA5" s="64"/>
      <c r="BB5" s="64"/>
      <c r="BC5" s="64"/>
      <c r="BD5" s="46"/>
      <c r="BE5" s="46" t="e">
        <v>#REF!</v>
      </c>
      <c r="BF5" s="46" t="s">
        <v>79</v>
      </c>
      <c r="BG5" s="65">
        <v>0.75</v>
      </c>
      <c r="BH5" s="66" t="s">
        <v>5045</v>
      </c>
      <c r="BI5" s="63" t="s">
        <v>5046</v>
      </c>
    </row>
    <row r="6" spans="1:61" ht="25.5" x14ac:dyDescent="0.2">
      <c r="A6" s="45" t="s">
        <v>5047</v>
      </c>
      <c r="B6" s="46"/>
      <c r="C6" s="46" t="s">
        <v>5048</v>
      </c>
      <c r="D6" s="46" t="s">
        <v>5036</v>
      </c>
      <c r="E6" s="46" t="s">
        <v>5049</v>
      </c>
      <c r="F6" s="46" t="s">
        <v>5038</v>
      </c>
      <c r="G6" s="46" t="s">
        <v>68</v>
      </c>
      <c r="H6" s="46" t="s">
        <v>68</v>
      </c>
      <c r="I6" s="46" t="s">
        <v>68</v>
      </c>
      <c r="J6" s="46" t="s">
        <v>71</v>
      </c>
      <c r="K6" s="47">
        <f>ROUND( K5*1.5,0)</f>
        <v>450</v>
      </c>
      <c r="L6" s="47">
        <f>L5*1.5</f>
        <v>337.5</v>
      </c>
      <c r="M6" s="47">
        <v>787.5</v>
      </c>
      <c r="N6" s="46"/>
      <c r="O6" s="71" t="s">
        <v>68</v>
      </c>
      <c r="P6" s="64"/>
      <c r="Q6" s="46" t="s">
        <v>5029</v>
      </c>
      <c r="R6" s="46" t="s">
        <v>5032</v>
      </c>
      <c r="S6" s="49">
        <v>196.875</v>
      </c>
      <c r="T6" s="49">
        <v>984.375</v>
      </c>
      <c r="U6" s="67">
        <v>0.32666666666666666</v>
      </c>
      <c r="V6" s="28">
        <v>0.22</v>
      </c>
      <c r="W6" s="51">
        <v>0.75</v>
      </c>
      <c r="X6" s="52">
        <v>98.4375</v>
      </c>
      <c r="Y6" s="52">
        <v>30</v>
      </c>
      <c r="Z6" s="52">
        <v>534.375</v>
      </c>
      <c r="AA6" s="52">
        <v>662.8125</v>
      </c>
      <c r="AB6" s="53">
        <v>0.67333333333333334</v>
      </c>
      <c r="AC6" s="72">
        <v>321.5625</v>
      </c>
      <c r="AD6" s="55">
        <v>0.32666666666666666</v>
      </c>
      <c r="AE6" s="56">
        <v>2</v>
      </c>
      <c r="AF6" s="57" t="s">
        <v>72</v>
      </c>
      <c r="AG6" s="58">
        <v>225</v>
      </c>
      <c r="AH6" s="58">
        <v>337.5</v>
      </c>
      <c r="AI6" s="58">
        <v>562.5</v>
      </c>
      <c r="AJ6" s="49">
        <v>140.625</v>
      </c>
      <c r="AK6" s="49">
        <v>703.125</v>
      </c>
      <c r="AL6" s="52">
        <v>70.3125</v>
      </c>
      <c r="AM6" s="52">
        <v>478.125</v>
      </c>
      <c r="AN6" s="52">
        <v>548.4375</v>
      </c>
      <c r="AO6" s="59">
        <v>0.78</v>
      </c>
      <c r="AP6" s="60">
        <v>154.6875</v>
      </c>
      <c r="AQ6" s="61">
        <v>0.22</v>
      </c>
      <c r="AR6" s="60" t="s">
        <v>78</v>
      </c>
      <c r="AS6" s="62">
        <v>675</v>
      </c>
      <c r="AT6" s="62">
        <v>507</v>
      </c>
      <c r="AU6" s="62">
        <v>1182</v>
      </c>
      <c r="AV6" s="62">
        <v>1477.5</v>
      </c>
      <c r="AW6" s="47" t="s">
        <v>74</v>
      </c>
      <c r="AX6" s="64">
        <v>44963</v>
      </c>
      <c r="AY6" s="64" t="s">
        <v>5050</v>
      </c>
      <c r="BA6" s="64"/>
      <c r="BB6" s="64"/>
      <c r="BC6" s="64"/>
      <c r="BD6" s="46"/>
      <c r="BE6" s="46" t="e">
        <v>#REF!</v>
      </c>
      <c r="BF6" s="46" t="s">
        <v>75</v>
      </c>
      <c r="BG6" s="65">
        <v>0.75</v>
      </c>
      <c r="BH6" s="66" t="s">
        <v>5051</v>
      </c>
      <c r="BI6" s="63" t="s">
        <v>5052</v>
      </c>
    </row>
    <row r="7" spans="1:61" ht="25.5" x14ac:dyDescent="0.2">
      <c r="A7" s="45" t="s">
        <v>5053</v>
      </c>
      <c r="B7" s="46"/>
      <c r="C7" s="46" t="s">
        <v>5054</v>
      </c>
      <c r="D7" s="46" t="s">
        <v>5055</v>
      </c>
      <c r="E7" s="46" t="s">
        <v>5056</v>
      </c>
      <c r="F7" s="46" t="s">
        <v>5038</v>
      </c>
      <c r="G7" s="46" t="s">
        <v>68</v>
      </c>
      <c r="H7" s="46" t="s">
        <v>68</v>
      </c>
      <c r="I7" s="46" t="s">
        <v>68</v>
      </c>
      <c r="J7" s="46" t="s">
        <v>71</v>
      </c>
      <c r="K7" s="47">
        <f t="shared" ref="K7:L7" si="1">K5*2</f>
        <v>600</v>
      </c>
      <c r="L7" s="47">
        <f t="shared" si="1"/>
        <v>450</v>
      </c>
      <c r="M7" s="47">
        <v>1050</v>
      </c>
      <c r="N7" s="46"/>
      <c r="O7" s="71" t="s">
        <v>68</v>
      </c>
      <c r="P7" s="64"/>
      <c r="Q7" s="46" t="s">
        <v>5029</v>
      </c>
      <c r="R7" s="46" t="s">
        <v>5032</v>
      </c>
      <c r="S7" s="49">
        <v>262.5</v>
      </c>
      <c r="T7" s="49">
        <v>1312.5</v>
      </c>
      <c r="U7" s="67">
        <v>0.3342857142857143</v>
      </c>
      <c r="V7" s="67">
        <v>0.35714285714285715</v>
      </c>
      <c r="W7" s="51">
        <v>0.75</v>
      </c>
      <c r="X7" s="52">
        <v>131.25</v>
      </c>
      <c r="Y7" s="52">
        <v>30</v>
      </c>
      <c r="Z7" s="52">
        <v>712.5</v>
      </c>
      <c r="AA7" s="52">
        <v>873.75</v>
      </c>
      <c r="AB7" s="53">
        <v>0.6657142857142857</v>
      </c>
      <c r="AC7" s="72">
        <v>438.75</v>
      </c>
      <c r="AD7" s="55">
        <v>0.3342857142857143</v>
      </c>
      <c r="AE7" s="73">
        <v>4</v>
      </c>
      <c r="AF7" s="57" t="s">
        <v>95</v>
      </c>
      <c r="AG7" s="58">
        <v>600</v>
      </c>
      <c r="AH7" s="58">
        <v>450</v>
      </c>
      <c r="AI7" s="58">
        <v>1050</v>
      </c>
      <c r="AJ7" s="49">
        <v>262.5</v>
      </c>
      <c r="AK7" s="49">
        <v>1312.5</v>
      </c>
      <c r="AL7" s="52">
        <v>131.25</v>
      </c>
      <c r="AM7" s="52">
        <v>712.5</v>
      </c>
      <c r="AN7" s="52">
        <v>843.75</v>
      </c>
      <c r="AO7" s="59">
        <v>0.6428571428571429</v>
      </c>
      <c r="AP7" s="60">
        <v>468.75</v>
      </c>
      <c r="AQ7" s="61">
        <v>0.35714285714285715</v>
      </c>
      <c r="AR7" s="60" t="s">
        <v>78</v>
      </c>
      <c r="AS7" s="62">
        <v>1020</v>
      </c>
      <c r="AT7" s="62">
        <v>765</v>
      </c>
      <c r="AU7" s="62">
        <v>1785</v>
      </c>
      <c r="AV7" s="62">
        <v>2231.25</v>
      </c>
      <c r="AW7" s="47" t="s">
        <v>107</v>
      </c>
      <c r="AX7" s="64">
        <v>44967</v>
      </c>
      <c r="AY7" s="64" t="s">
        <v>5057</v>
      </c>
      <c r="BA7" s="64"/>
      <c r="BB7" s="64"/>
      <c r="BC7" s="64"/>
      <c r="BD7" s="46"/>
      <c r="BE7" s="46" t="e">
        <v>#REF!</v>
      </c>
      <c r="BF7" s="46" t="s">
        <v>75</v>
      </c>
      <c r="BG7" s="65">
        <v>1</v>
      </c>
      <c r="BH7" s="66" t="s">
        <v>5058</v>
      </c>
      <c r="BI7" s="63" t="s">
        <v>5059</v>
      </c>
    </row>
    <row r="8" spans="1:61" ht="25.5" x14ac:dyDescent="0.2">
      <c r="A8" s="45" t="s">
        <v>5060</v>
      </c>
      <c r="B8" s="46"/>
      <c r="C8" s="46" t="s">
        <v>5054</v>
      </c>
      <c r="D8" s="46" t="s">
        <v>5055</v>
      </c>
      <c r="E8" s="46" t="s">
        <v>5061</v>
      </c>
      <c r="F8" s="46" t="s">
        <v>5038</v>
      </c>
      <c r="G8" s="46" t="s">
        <v>68</v>
      </c>
      <c r="H8" s="46" t="s">
        <v>68</v>
      </c>
      <c r="I8" s="46" t="s">
        <v>68</v>
      </c>
      <c r="J8" s="46" t="s">
        <v>71</v>
      </c>
      <c r="K8" s="47">
        <f t="shared" ref="K8:L8" si="2">ROUND( K7*1.5,0)</f>
        <v>900</v>
      </c>
      <c r="L8" s="47">
        <f t="shared" si="2"/>
        <v>675</v>
      </c>
      <c r="M8" s="47">
        <v>1575</v>
      </c>
      <c r="N8" s="46"/>
      <c r="O8" s="71" t="s">
        <v>68</v>
      </c>
      <c r="P8" s="64"/>
      <c r="Q8" s="46" t="s">
        <v>5029</v>
      </c>
      <c r="R8" s="46" t="s">
        <v>5032</v>
      </c>
      <c r="S8" s="49">
        <v>393.75</v>
      </c>
      <c r="T8" s="49">
        <v>1968.75</v>
      </c>
      <c r="U8" s="67">
        <v>0.34190476190476188</v>
      </c>
      <c r="V8" s="67">
        <v>0.35714285714285715</v>
      </c>
      <c r="W8" s="51">
        <v>0.75</v>
      </c>
      <c r="X8" s="52">
        <v>196.875</v>
      </c>
      <c r="Y8" s="52">
        <v>30</v>
      </c>
      <c r="Z8" s="52">
        <v>1068.75</v>
      </c>
      <c r="AA8" s="52">
        <v>1295.625</v>
      </c>
      <c r="AB8" s="53">
        <v>0.65809523809523807</v>
      </c>
      <c r="AC8" s="72">
        <v>673.125</v>
      </c>
      <c r="AD8" s="55">
        <v>0.34190476190476188</v>
      </c>
      <c r="AE8" s="73">
        <v>4</v>
      </c>
      <c r="AF8" s="57" t="s">
        <v>95</v>
      </c>
      <c r="AG8" s="58">
        <v>900</v>
      </c>
      <c r="AH8" s="58">
        <v>675</v>
      </c>
      <c r="AI8" s="58">
        <v>1575</v>
      </c>
      <c r="AJ8" s="49">
        <v>393.75</v>
      </c>
      <c r="AK8" s="49">
        <v>1968.75</v>
      </c>
      <c r="AL8" s="52">
        <v>196.875</v>
      </c>
      <c r="AM8" s="52">
        <v>1068.75</v>
      </c>
      <c r="AN8" s="52">
        <v>1265.625</v>
      </c>
      <c r="AO8" s="59">
        <v>0.6428571428571429</v>
      </c>
      <c r="AP8" s="60">
        <v>703.125</v>
      </c>
      <c r="AQ8" s="61">
        <v>0.35714285714285715</v>
      </c>
      <c r="AR8" s="60" t="s">
        <v>78</v>
      </c>
      <c r="AS8" s="62">
        <v>1530</v>
      </c>
      <c r="AT8" s="62">
        <v>1148</v>
      </c>
      <c r="AU8" s="62">
        <v>2678</v>
      </c>
      <c r="AV8" s="62">
        <v>3347.5</v>
      </c>
      <c r="AW8" s="47" t="s">
        <v>107</v>
      </c>
      <c r="AX8" s="64">
        <v>44967</v>
      </c>
      <c r="AY8" s="64" t="s">
        <v>5062</v>
      </c>
      <c r="BA8" s="64"/>
      <c r="BB8" s="64"/>
      <c r="BC8" s="64"/>
      <c r="BD8" s="46"/>
      <c r="BE8" s="46" t="e">
        <v>#REF!</v>
      </c>
      <c r="BF8" s="46" t="s">
        <v>75</v>
      </c>
      <c r="BG8" s="65">
        <v>2</v>
      </c>
      <c r="BH8" s="66" t="s">
        <v>5063</v>
      </c>
      <c r="BI8" s="63" t="s">
        <v>5064</v>
      </c>
    </row>
    <row r="9" spans="1:61" ht="25.5" x14ac:dyDescent="0.2">
      <c r="A9" s="45" t="s">
        <v>5065</v>
      </c>
      <c r="B9" s="46"/>
      <c r="C9" s="46" t="s">
        <v>5066</v>
      </c>
      <c r="D9" s="46" t="s">
        <v>5055</v>
      </c>
      <c r="E9" s="46" t="s">
        <v>5056</v>
      </c>
      <c r="F9" s="46" t="s">
        <v>5038</v>
      </c>
      <c r="G9" s="46" t="s">
        <v>68</v>
      </c>
      <c r="H9" s="46" t="s">
        <v>68</v>
      </c>
      <c r="I9" s="46" t="s">
        <v>68</v>
      </c>
      <c r="J9" s="46" t="s">
        <v>71</v>
      </c>
      <c r="K9" s="47">
        <f t="shared" ref="K9:L9" si="3">K7</f>
        <v>600</v>
      </c>
      <c r="L9" s="47">
        <f t="shared" si="3"/>
        <v>450</v>
      </c>
      <c r="M9" s="47">
        <v>1050</v>
      </c>
      <c r="N9" s="46"/>
      <c r="O9" s="71" t="s">
        <v>68</v>
      </c>
      <c r="P9" s="64"/>
      <c r="Q9" s="46" t="s">
        <v>5029</v>
      </c>
      <c r="R9" s="46" t="s">
        <v>5032</v>
      </c>
      <c r="S9" s="49">
        <v>262.5</v>
      </c>
      <c r="T9" s="49">
        <v>1312.5</v>
      </c>
      <c r="U9" s="67">
        <v>0.3342857142857143</v>
      </c>
      <c r="V9" s="67">
        <v>0.35714285714285715</v>
      </c>
      <c r="W9" s="51">
        <v>0.75</v>
      </c>
      <c r="X9" s="52">
        <v>131.25</v>
      </c>
      <c r="Y9" s="52">
        <v>30</v>
      </c>
      <c r="Z9" s="52">
        <v>712.5</v>
      </c>
      <c r="AA9" s="52">
        <v>873.75</v>
      </c>
      <c r="AB9" s="53">
        <v>0.6657142857142857</v>
      </c>
      <c r="AC9" s="72">
        <v>438.75</v>
      </c>
      <c r="AD9" s="55">
        <v>0.3342857142857143</v>
      </c>
      <c r="AE9" s="73">
        <v>4</v>
      </c>
      <c r="AF9" s="57" t="s">
        <v>95</v>
      </c>
      <c r="AG9" s="58">
        <v>600</v>
      </c>
      <c r="AH9" s="58">
        <v>450</v>
      </c>
      <c r="AI9" s="58">
        <v>1050</v>
      </c>
      <c r="AJ9" s="49">
        <v>262.5</v>
      </c>
      <c r="AK9" s="49">
        <v>1312.5</v>
      </c>
      <c r="AL9" s="52">
        <v>131.25</v>
      </c>
      <c r="AM9" s="52">
        <v>712.5</v>
      </c>
      <c r="AN9" s="52">
        <v>843.75</v>
      </c>
      <c r="AO9" s="59">
        <v>0.6428571428571429</v>
      </c>
      <c r="AP9" s="60">
        <v>468.75</v>
      </c>
      <c r="AQ9" s="61">
        <v>0.35714285714285715</v>
      </c>
      <c r="AR9" s="60" t="s">
        <v>78</v>
      </c>
      <c r="AS9" s="62">
        <v>1020</v>
      </c>
      <c r="AT9" s="62">
        <v>765</v>
      </c>
      <c r="AU9" s="62">
        <v>1785</v>
      </c>
      <c r="AV9" s="62">
        <v>2231.25</v>
      </c>
      <c r="AW9" s="47" t="s">
        <v>107</v>
      </c>
      <c r="AX9" s="64">
        <v>44967</v>
      </c>
      <c r="AY9" s="64" t="s">
        <v>5067</v>
      </c>
      <c r="BA9" s="64"/>
      <c r="BB9" s="64"/>
      <c r="BC9" s="64"/>
      <c r="BD9" s="46"/>
      <c r="BE9" s="46" t="e">
        <v>#REF!</v>
      </c>
      <c r="BF9" s="46" t="s">
        <v>75</v>
      </c>
      <c r="BG9" s="65">
        <v>1</v>
      </c>
      <c r="BH9" s="66" t="s">
        <v>5068</v>
      </c>
      <c r="BI9" s="63" t="s">
        <v>5069</v>
      </c>
    </row>
    <row r="10" spans="1:61" ht="25.5" x14ac:dyDescent="0.2">
      <c r="A10" s="45" t="s">
        <v>5070</v>
      </c>
      <c r="B10" s="46"/>
      <c r="C10" s="46" t="s">
        <v>5066</v>
      </c>
      <c r="D10" s="46" t="s">
        <v>5055</v>
      </c>
      <c r="E10" s="46" t="s">
        <v>5061</v>
      </c>
      <c r="F10" s="46" t="s">
        <v>5038</v>
      </c>
      <c r="G10" s="46" t="s">
        <v>68</v>
      </c>
      <c r="H10" s="46" t="s">
        <v>68</v>
      </c>
      <c r="I10" s="46" t="s">
        <v>68</v>
      </c>
      <c r="J10" s="46" t="s">
        <v>71</v>
      </c>
      <c r="K10" s="47">
        <f t="shared" ref="K10:L10" si="4">K8</f>
        <v>900</v>
      </c>
      <c r="L10" s="47">
        <f t="shared" si="4"/>
        <v>675</v>
      </c>
      <c r="M10" s="47">
        <v>1575</v>
      </c>
      <c r="N10" s="46"/>
      <c r="O10" s="71" t="s">
        <v>68</v>
      </c>
      <c r="P10" s="64"/>
      <c r="Q10" s="46" t="s">
        <v>5029</v>
      </c>
      <c r="R10" s="46" t="s">
        <v>5032</v>
      </c>
      <c r="S10" s="49">
        <v>393.75</v>
      </c>
      <c r="T10" s="49">
        <v>1968.75</v>
      </c>
      <c r="U10" s="67">
        <v>0.34190476190476188</v>
      </c>
      <c r="V10" s="67">
        <v>0.35714285714285715</v>
      </c>
      <c r="W10" s="51">
        <v>0.75</v>
      </c>
      <c r="X10" s="52">
        <v>196.875</v>
      </c>
      <c r="Y10" s="52">
        <v>30</v>
      </c>
      <c r="Z10" s="52">
        <v>1068.75</v>
      </c>
      <c r="AA10" s="52">
        <v>1295.625</v>
      </c>
      <c r="AB10" s="53">
        <v>0.65809523809523807</v>
      </c>
      <c r="AC10" s="72">
        <v>673.125</v>
      </c>
      <c r="AD10" s="55">
        <v>0.34190476190476188</v>
      </c>
      <c r="AE10" s="73">
        <v>4</v>
      </c>
      <c r="AF10" s="57" t="s">
        <v>95</v>
      </c>
      <c r="AG10" s="58">
        <v>900</v>
      </c>
      <c r="AH10" s="58">
        <v>675</v>
      </c>
      <c r="AI10" s="58">
        <v>1575</v>
      </c>
      <c r="AJ10" s="49">
        <v>393.75</v>
      </c>
      <c r="AK10" s="49">
        <v>1968.75</v>
      </c>
      <c r="AL10" s="52">
        <v>196.875</v>
      </c>
      <c r="AM10" s="52">
        <v>1068.75</v>
      </c>
      <c r="AN10" s="52">
        <v>1265.625</v>
      </c>
      <c r="AO10" s="59">
        <v>0.6428571428571429</v>
      </c>
      <c r="AP10" s="60">
        <v>703.125</v>
      </c>
      <c r="AQ10" s="61">
        <v>0.35714285714285715</v>
      </c>
      <c r="AR10" s="60" t="s">
        <v>78</v>
      </c>
      <c r="AS10" s="62">
        <v>1530</v>
      </c>
      <c r="AT10" s="62">
        <v>1148</v>
      </c>
      <c r="AU10" s="62">
        <v>2678</v>
      </c>
      <c r="AV10" s="62">
        <v>3347.5</v>
      </c>
      <c r="AW10" s="47" t="s">
        <v>107</v>
      </c>
      <c r="AX10" s="64">
        <v>44967</v>
      </c>
      <c r="AY10" s="64" t="s">
        <v>5071</v>
      </c>
      <c r="BA10" s="64"/>
      <c r="BB10" s="64"/>
      <c r="BC10" s="64"/>
      <c r="BD10" s="46"/>
      <c r="BE10" s="46" t="e">
        <v>#REF!</v>
      </c>
      <c r="BF10" s="46" t="s">
        <v>75</v>
      </c>
      <c r="BG10" s="65">
        <v>2</v>
      </c>
      <c r="BH10" s="66" t="s">
        <v>5072</v>
      </c>
      <c r="BI10" s="63" t="s">
        <v>5073</v>
      </c>
    </row>
    <row r="11" spans="1:61" ht="25.5" x14ac:dyDescent="0.2">
      <c r="A11" s="45" t="s">
        <v>5074</v>
      </c>
      <c r="B11" s="46"/>
      <c r="C11" s="46" t="s">
        <v>5075</v>
      </c>
      <c r="D11" s="46" t="s">
        <v>5076</v>
      </c>
      <c r="E11" s="46" t="s">
        <v>5077</v>
      </c>
      <c r="F11" s="46" t="s">
        <v>5078</v>
      </c>
      <c r="G11" s="46" t="s">
        <v>5038</v>
      </c>
      <c r="H11" s="46" t="s">
        <v>68</v>
      </c>
      <c r="I11" s="46" t="s">
        <v>68</v>
      </c>
      <c r="J11" s="46" t="s">
        <v>71</v>
      </c>
      <c r="K11" s="47">
        <f t="shared" ref="K11:K14" si="5">ROUND( K9*1.25,0)</f>
        <v>750</v>
      </c>
      <c r="L11" s="47">
        <f t="shared" ref="L11:L14" si="6">ROUND(L9*1.25,0)</f>
        <v>563</v>
      </c>
      <c r="M11" s="47">
        <v>1313</v>
      </c>
      <c r="N11" s="46"/>
      <c r="O11" s="71" t="s">
        <v>68</v>
      </c>
      <c r="P11" s="64"/>
      <c r="Q11" s="46" t="s">
        <v>5029</v>
      </c>
      <c r="R11" s="46" t="s">
        <v>5032</v>
      </c>
      <c r="S11" s="49">
        <v>328.25</v>
      </c>
      <c r="T11" s="49">
        <v>1641.25</v>
      </c>
      <c r="U11" s="67">
        <v>0.33869002284843869</v>
      </c>
      <c r="V11" s="67">
        <v>0.356968773800457</v>
      </c>
      <c r="W11" s="51">
        <v>0.7506666666666667</v>
      </c>
      <c r="X11" s="52">
        <v>164.125</v>
      </c>
      <c r="Y11" s="52">
        <v>30</v>
      </c>
      <c r="Z11" s="52">
        <v>891.25</v>
      </c>
      <c r="AA11" s="52">
        <v>1085.375</v>
      </c>
      <c r="AB11" s="53">
        <v>0.66130997715156126</v>
      </c>
      <c r="AC11" s="72">
        <v>555.875</v>
      </c>
      <c r="AD11" s="55">
        <v>0.33869002284843869</v>
      </c>
      <c r="AE11" s="73">
        <v>4</v>
      </c>
      <c r="AF11" s="57" t="s">
        <v>95</v>
      </c>
      <c r="AG11" s="58">
        <v>750</v>
      </c>
      <c r="AH11" s="58">
        <v>563</v>
      </c>
      <c r="AI11" s="58">
        <v>1313</v>
      </c>
      <c r="AJ11" s="49">
        <v>328.25</v>
      </c>
      <c r="AK11" s="49">
        <v>1641.25</v>
      </c>
      <c r="AL11" s="52">
        <v>164.125</v>
      </c>
      <c r="AM11" s="52">
        <v>891.25</v>
      </c>
      <c r="AN11" s="52">
        <v>1055.375</v>
      </c>
      <c r="AO11" s="59">
        <v>0.643031226199543</v>
      </c>
      <c r="AP11" s="60">
        <v>585.875</v>
      </c>
      <c r="AQ11" s="61">
        <v>0.356968773800457</v>
      </c>
      <c r="AR11" s="60" t="s">
        <v>78</v>
      </c>
      <c r="AS11" s="62">
        <v>1275</v>
      </c>
      <c r="AT11" s="62">
        <v>958</v>
      </c>
      <c r="AU11" s="62">
        <v>2233</v>
      </c>
      <c r="AV11" s="62">
        <v>2791.25</v>
      </c>
      <c r="AW11" s="47" t="s">
        <v>107</v>
      </c>
      <c r="AX11" s="64">
        <v>44966</v>
      </c>
      <c r="AY11" s="64" t="s">
        <v>5079</v>
      </c>
      <c r="BA11" s="64"/>
      <c r="BB11" s="64"/>
      <c r="BC11" s="64"/>
      <c r="BD11" s="46"/>
      <c r="BE11" s="46" t="e">
        <v>#REF!</v>
      </c>
      <c r="BF11" s="46" t="s">
        <v>75</v>
      </c>
      <c r="BG11" s="65">
        <v>1.5</v>
      </c>
      <c r="BH11" s="66" t="s">
        <v>5080</v>
      </c>
      <c r="BI11" s="63" t="s">
        <v>5081</v>
      </c>
    </row>
    <row r="12" spans="1:61" ht="25.5" x14ac:dyDescent="0.2">
      <c r="A12" s="45" t="s">
        <v>5082</v>
      </c>
      <c r="B12" s="46"/>
      <c r="C12" s="46" t="s">
        <v>5075</v>
      </c>
      <c r="D12" s="46" t="s">
        <v>5076</v>
      </c>
      <c r="E12" s="46" t="s">
        <v>5061</v>
      </c>
      <c r="F12" s="46" t="s">
        <v>5078</v>
      </c>
      <c r="G12" s="46" t="s">
        <v>5038</v>
      </c>
      <c r="H12" s="46" t="s">
        <v>68</v>
      </c>
      <c r="I12" s="46" t="s">
        <v>68</v>
      </c>
      <c r="J12" s="46" t="s">
        <v>71</v>
      </c>
      <c r="K12" s="47">
        <f t="shared" si="5"/>
        <v>1125</v>
      </c>
      <c r="L12" s="47">
        <f t="shared" si="6"/>
        <v>844</v>
      </c>
      <c r="M12" s="47">
        <v>1969</v>
      </c>
      <c r="N12" s="46"/>
      <c r="O12" s="71" t="s">
        <v>68</v>
      </c>
      <c r="P12" s="64"/>
      <c r="Q12" s="46" t="s">
        <v>5029</v>
      </c>
      <c r="R12" s="46" t="s">
        <v>5032</v>
      </c>
      <c r="S12" s="49">
        <v>492.25</v>
      </c>
      <c r="T12" s="49">
        <v>2461.25</v>
      </c>
      <c r="U12" s="67">
        <v>0.34489588623666834</v>
      </c>
      <c r="V12" s="67">
        <v>0.35708481462671404</v>
      </c>
      <c r="W12" s="51">
        <v>0.75022222222222223</v>
      </c>
      <c r="X12" s="52">
        <v>246.125</v>
      </c>
      <c r="Y12" s="52">
        <v>30</v>
      </c>
      <c r="Z12" s="52">
        <v>1336.25</v>
      </c>
      <c r="AA12" s="52">
        <v>1612.375</v>
      </c>
      <c r="AB12" s="53">
        <v>0.65510411376333166</v>
      </c>
      <c r="AC12" s="72">
        <v>848.875</v>
      </c>
      <c r="AD12" s="55">
        <v>0.34489588623666834</v>
      </c>
      <c r="AE12" s="73">
        <v>4</v>
      </c>
      <c r="AF12" s="57" t="s">
        <v>95</v>
      </c>
      <c r="AG12" s="58">
        <v>1125</v>
      </c>
      <c r="AH12" s="58">
        <v>844</v>
      </c>
      <c r="AI12" s="58">
        <v>1969</v>
      </c>
      <c r="AJ12" s="49">
        <v>492.25</v>
      </c>
      <c r="AK12" s="49">
        <v>2461.25</v>
      </c>
      <c r="AL12" s="52">
        <v>246.125</v>
      </c>
      <c r="AM12" s="52">
        <v>1336.25</v>
      </c>
      <c r="AN12" s="52">
        <v>1582.375</v>
      </c>
      <c r="AO12" s="59">
        <v>0.64291518537328596</v>
      </c>
      <c r="AP12" s="60">
        <v>878.875</v>
      </c>
      <c r="AQ12" s="61">
        <v>0.35708481462671404</v>
      </c>
      <c r="AR12" s="60" t="s">
        <v>78</v>
      </c>
      <c r="AS12" s="62">
        <v>1913</v>
      </c>
      <c r="AT12" s="62">
        <v>1435</v>
      </c>
      <c r="AU12" s="62">
        <v>3348</v>
      </c>
      <c r="AV12" s="62">
        <v>4185</v>
      </c>
      <c r="AW12" s="47" t="s">
        <v>107</v>
      </c>
      <c r="AX12" s="64">
        <v>44967</v>
      </c>
      <c r="AY12" s="64" t="s">
        <v>5083</v>
      </c>
      <c r="BA12" s="64"/>
      <c r="BB12" s="64"/>
      <c r="BC12" s="64"/>
      <c r="BD12" s="46"/>
      <c r="BE12" s="46" t="e">
        <v>#REF!</v>
      </c>
      <c r="BF12" s="46" t="s">
        <v>75</v>
      </c>
      <c r="BG12" s="65">
        <v>3</v>
      </c>
      <c r="BH12" s="66" t="s">
        <v>5084</v>
      </c>
      <c r="BI12" s="63" t="s">
        <v>5085</v>
      </c>
    </row>
    <row r="13" spans="1:61" ht="25.5" x14ac:dyDescent="0.2">
      <c r="A13" s="45" t="s">
        <v>5086</v>
      </c>
      <c r="B13" s="46"/>
      <c r="C13" s="46" t="s">
        <v>5075</v>
      </c>
      <c r="D13" s="46" t="s">
        <v>5076</v>
      </c>
      <c r="E13" s="46" t="s">
        <v>5077</v>
      </c>
      <c r="F13" s="46" t="s">
        <v>5087</v>
      </c>
      <c r="G13" s="46" t="s">
        <v>5038</v>
      </c>
      <c r="H13" s="46" t="s">
        <v>68</v>
      </c>
      <c r="I13" s="46" t="s">
        <v>68</v>
      </c>
      <c r="J13" s="46" t="s">
        <v>71</v>
      </c>
      <c r="K13" s="47">
        <f t="shared" si="5"/>
        <v>938</v>
      </c>
      <c r="L13" s="47">
        <f t="shared" si="6"/>
        <v>704</v>
      </c>
      <c r="M13" s="47">
        <v>1642</v>
      </c>
      <c r="N13" s="46"/>
      <c r="O13" s="71" t="s">
        <v>68</v>
      </c>
      <c r="P13" s="64"/>
      <c r="Q13" s="46" t="s">
        <v>5029</v>
      </c>
      <c r="R13" s="46" t="s">
        <v>5032</v>
      </c>
      <c r="S13" s="49">
        <v>410.5</v>
      </c>
      <c r="T13" s="49">
        <v>2052.5</v>
      </c>
      <c r="U13" s="67">
        <v>0.34238733252131548</v>
      </c>
      <c r="V13" s="67">
        <v>0.35700365408038975</v>
      </c>
      <c r="W13" s="51">
        <v>0.75053304904051177</v>
      </c>
      <c r="X13" s="52">
        <v>205.25</v>
      </c>
      <c r="Y13" s="52">
        <v>30</v>
      </c>
      <c r="Z13" s="52">
        <v>1114.5</v>
      </c>
      <c r="AA13" s="52">
        <v>1349.75</v>
      </c>
      <c r="AB13" s="53">
        <v>0.65761266747868452</v>
      </c>
      <c r="AC13" s="72">
        <v>702.75</v>
      </c>
      <c r="AD13" s="55">
        <v>0.34238733252131548</v>
      </c>
      <c r="AE13" s="73">
        <v>4</v>
      </c>
      <c r="AF13" s="57" t="s">
        <v>95</v>
      </c>
      <c r="AG13" s="58">
        <v>938</v>
      </c>
      <c r="AH13" s="58">
        <v>704</v>
      </c>
      <c r="AI13" s="58">
        <v>1642</v>
      </c>
      <c r="AJ13" s="49">
        <v>410.5</v>
      </c>
      <c r="AK13" s="49">
        <v>2052.5</v>
      </c>
      <c r="AL13" s="52">
        <v>205.25</v>
      </c>
      <c r="AM13" s="52">
        <v>1114.5</v>
      </c>
      <c r="AN13" s="52">
        <v>1319.75</v>
      </c>
      <c r="AO13" s="59">
        <v>0.64299634591961019</v>
      </c>
      <c r="AP13" s="60">
        <v>732.75</v>
      </c>
      <c r="AQ13" s="61">
        <v>0.35700365408038975</v>
      </c>
      <c r="AR13" s="60" t="s">
        <v>78</v>
      </c>
      <c r="AS13" s="62">
        <v>1595</v>
      </c>
      <c r="AT13" s="62">
        <v>1197</v>
      </c>
      <c r="AU13" s="62">
        <v>2792</v>
      </c>
      <c r="AV13" s="62">
        <v>3490</v>
      </c>
      <c r="AW13" s="47" t="s">
        <v>107</v>
      </c>
      <c r="AX13" s="64">
        <v>44967</v>
      </c>
      <c r="AY13" s="64" t="s">
        <v>5088</v>
      </c>
      <c r="BA13" s="64"/>
      <c r="BB13" s="64"/>
      <c r="BC13" s="64"/>
      <c r="BD13" s="46"/>
      <c r="BE13" s="46" t="e">
        <v>#REF!</v>
      </c>
      <c r="BF13" s="46" t="s">
        <v>75</v>
      </c>
      <c r="BG13" s="65">
        <v>2</v>
      </c>
      <c r="BH13" s="66" t="s">
        <v>5089</v>
      </c>
      <c r="BI13" s="63" t="s">
        <v>5090</v>
      </c>
    </row>
    <row r="14" spans="1:61" ht="25.5" x14ac:dyDescent="0.2">
      <c r="A14" s="45" t="s">
        <v>5091</v>
      </c>
      <c r="B14" s="46"/>
      <c r="C14" s="46" t="s">
        <v>5075</v>
      </c>
      <c r="D14" s="46" t="s">
        <v>5076</v>
      </c>
      <c r="E14" s="46" t="s">
        <v>5061</v>
      </c>
      <c r="F14" s="46" t="s">
        <v>5087</v>
      </c>
      <c r="G14" s="46" t="s">
        <v>5038</v>
      </c>
      <c r="H14" s="46" t="s">
        <v>68</v>
      </c>
      <c r="I14" s="46" t="s">
        <v>68</v>
      </c>
      <c r="J14" s="46" t="s">
        <v>71</v>
      </c>
      <c r="K14" s="47">
        <f t="shared" si="5"/>
        <v>1406</v>
      </c>
      <c r="L14" s="47">
        <f t="shared" si="6"/>
        <v>1055</v>
      </c>
      <c r="M14" s="47">
        <v>2461</v>
      </c>
      <c r="N14" s="46"/>
      <c r="O14" s="71" t="s">
        <v>68</v>
      </c>
      <c r="P14" s="64"/>
      <c r="Q14" s="46" t="s">
        <v>5029</v>
      </c>
      <c r="R14" s="46" t="s">
        <v>5032</v>
      </c>
      <c r="S14" s="49">
        <v>615.25</v>
      </c>
      <c r="T14" s="49">
        <v>3076.25</v>
      </c>
      <c r="U14" s="67">
        <v>0.34729784640390088</v>
      </c>
      <c r="V14" s="67">
        <v>0.35704997968305568</v>
      </c>
      <c r="W14" s="51">
        <v>0.75035561877667145</v>
      </c>
      <c r="X14" s="52">
        <v>307.625</v>
      </c>
      <c r="Y14" s="52">
        <v>30</v>
      </c>
      <c r="Z14" s="52">
        <v>1670.25</v>
      </c>
      <c r="AA14" s="52">
        <v>2007.875</v>
      </c>
      <c r="AB14" s="53">
        <v>0.65270215359609918</v>
      </c>
      <c r="AC14" s="72">
        <v>1068.375</v>
      </c>
      <c r="AD14" s="55">
        <v>0.34729784640390088</v>
      </c>
      <c r="AE14" s="73">
        <v>4</v>
      </c>
      <c r="AF14" s="57" t="s">
        <v>95</v>
      </c>
      <c r="AG14" s="58">
        <v>1406</v>
      </c>
      <c r="AH14" s="58">
        <v>1055</v>
      </c>
      <c r="AI14" s="58">
        <v>2461</v>
      </c>
      <c r="AJ14" s="49">
        <v>615.25</v>
      </c>
      <c r="AK14" s="49">
        <v>3076.25</v>
      </c>
      <c r="AL14" s="52">
        <v>307.625</v>
      </c>
      <c r="AM14" s="52">
        <v>1670.25</v>
      </c>
      <c r="AN14" s="52">
        <v>1977.875</v>
      </c>
      <c r="AO14" s="59">
        <v>0.64295002031694437</v>
      </c>
      <c r="AP14" s="60">
        <v>1098.375</v>
      </c>
      <c r="AQ14" s="61">
        <v>0.35704997968305568</v>
      </c>
      <c r="AR14" s="60" t="s">
        <v>78</v>
      </c>
      <c r="AS14" s="62">
        <v>2391</v>
      </c>
      <c r="AT14" s="62">
        <v>1794</v>
      </c>
      <c r="AU14" s="62">
        <v>4185</v>
      </c>
      <c r="AV14" s="62">
        <v>5231.25</v>
      </c>
      <c r="AW14" s="47" t="s">
        <v>107</v>
      </c>
      <c r="AX14" s="64">
        <v>44967</v>
      </c>
      <c r="AY14" s="64" t="s">
        <v>5092</v>
      </c>
      <c r="BA14" s="64"/>
      <c r="BB14" s="64"/>
      <c r="BC14" s="64"/>
      <c r="BD14" s="46"/>
      <c r="BE14" s="46" t="e">
        <v>#REF!</v>
      </c>
      <c r="BF14" s="46" t="s">
        <v>75</v>
      </c>
      <c r="BG14" s="65">
        <v>4</v>
      </c>
      <c r="BH14" s="66" t="s">
        <v>5093</v>
      </c>
      <c r="BI14" s="63" t="s">
        <v>5094</v>
      </c>
    </row>
    <row r="15" spans="1:61" ht="25.5" x14ac:dyDescent="0.2">
      <c r="A15" s="34" t="s">
        <v>5095</v>
      </c>
      <c r="B15" s="35"/>
      <c r="C15" s="35" t="s">
        <v>68</v>
      </c>
      <c r="D15" s="35" t="s">
        <v>68</v>
      </c>
      <c r="E15" s="35" t="s">
        <v>68</v>
      </c>
      <c r="F15" s="35" t="s">
        <v>68</v>
      </c>
      <c r="G15" s="35" t="s">
        <v>68</v>
      </c>
      <c r="H15" s="35" t="s">
        <v>68</v>
      </c>
      <c r="I15" s="35" t="s">
        <v>68</v>
      </c>
      <c r="J15" s="35" t="s">
        <v>68</v>
      </c>
      <c r="K15" s="36" t="s">
        <v>68</v>
      </c>
      <c r="L15" s="36" t="s">
        <v>68</v>
      </c>
      <c r="M15" s="36" t="s">
        <v>68</v>
      </c>
      <c r="N15" s="35"/>
      <c r="O15" s="35" t="s">
        <v>68</v>
      </c>
      <c r="P15" s="37"/>
      <c r="Q15" s="38" t="s">
        <v>5029</v>
      </c>
      <c r="R15" s="38" t="s">
        <v>5096</v>
      </c>
      <c r="S15" s="36" t="s">
        <v>68</v>
      </c>
      <c r="T15" s="36" t="s">
        <v>68</v>
      </c>
      <c r="U15" s="39" t="s">
        <v>68</v>
      </c>
      <c r="V15" s="39" t="s">
        <v>68</v>
      </c>
      <c r="W15" s="40" t="s">
        <v>68</v>
      </c>
      <c r="X15" s="36" t="s">
        <v>68</v>
      </c>
      <c r="Y15" s="36" t="s">
        <v>68</v>
      </c>
      <c r="Z15" s="36" t="s">
        <v>68</v>
      </c>
      <c r="AA15" s="36" t="s">
        <v>68</v>
      </c>
      <c r="AB15" s="39" t="s">
        <v>68</v>
      </c>
      <c r="AC15" s="36" t="s">
        <v>68</v>
      </c>
      <c r="AD15" s="39" t="s">
        <v>68</v>
      </c>
      <c r="AE15" s="41"/>
      <c r="AF15" s="42" t="s">
        <v>68</v>
      </c>
      <c r="AG15" s="36" t="s">
        <v>68</v>
      </c>
      <c r="AH15" s="36" t="s">
        <v>68</v>
      </c>
      <c r="AI15" s="36" t="s">
        <v>68</v>
      </c>
      <c r="AJ15" s="36" t="s">
        <v>68</v>
      </c>
      <c r="AK15" s="36" t="s">
        <v>68</v>
      </c>
      <c r="AL15" s="36" t="s">
        <v>68</v>
      </c>
      <c r="AM15" s="36" t="s">
        <v>68</v>
      </c>
      <c r="AN15" s="36" t="s">
        <v>68</v>
      </c>
      <c r="AO15" s="43" t="s">
        <v>68</v>
      </c>
      <c r="AP15" s="36" t="s">
        <v>68</v>
      </c>
      <c r="AQ15" s="39" t="s">
        <v>68</v>
      </c>
      <c r="AR15" s="36" t="s">
        <v>68</v>
      </c>
      <c r="AS15" s="36" t="s">
        <v>68</v>
      </c>
      <c r="AT15" s="36" t="s">
        <v>68</v>
      </c>
      <c r="AU15" s="36" t="s">
        <v>68</v>
      </c>
      <c r="AV15" s="36" t="s">
        <v>68</v>
      </c>
      <c r="AW15" s="35"/>
      <c r="AX15" s="37"/>
      <c r="AY15" s="37" t="s">
        <v>68</v>
      </c>
      <c r="BA15" s="37"/>
      <c r="BB15" s="37"/>
      <c r="BC15" s="37"/>
      <c r="BD15" s="35"/>
      <c r="BE15" s="35" t="e">
        <v>#REF!</v>
      </c>
      <c r="BF15" s="35"/>
      <c r="BG15" s="44"/>
      <c r="BH15" s="38" t="s">
        <v>5097</v>
      </c>
      <c r="BI15" s="35" t="s">
        <v>68</v>
      </c>
    </row>
    <row r="16" spans="1:61" ht="38.25" x14ac:dyDescent="0.2">
      <c r="A16" s="45" t="s">
        <v>5098</v>
      </c>
      <c r="B16" s="46"/>
      <c r="C16" s="46" t="s">
        <v>5099</v>
      </c>
      <c r="D16" s="46" t="s">
        <v>5076</v>
      </c>
      <c r="E16" s="46" t="s">
        <v>454</v>
      </c>
      <c r="F16" s="46" t="s">
        <v>68</v>
      </c>
      <c r="G16" s="46" t="s">
        <v>68</v>
      </c>
      <c r="H16" s="46" t="s">
        <v>68</v>
      </c>
      <c r="I16" s="46" t="s">
        <v>68</v>
      </c>
      <c r="J16" s="46" t="s">
        <v>71</v>
      </c>
      <c r="K16" s="47">
        <f>ROUND(K4*1.3,0)</f>
        <v>260</v>
      </c>
      <c r="L16" s="47">
        <f>L4</f>
        <v>150</v>
      </c>
      <c r="M16" s="47">
        <v>410</v>
      </c>
      <c r="N16" s="46"/>
      <c r="O16" s="71" t="s">
        <v>68</v>
      </c>
      <c r="P16" s="64"/>
      <c r="Q16" s="46" t="s">
        <v>5029</v>
      </c>
      <c r="R16" s="46" t="s">
        <v>5096</v>
      </c>
      <c r="S16" s="49">
        <v>102.5</v>
      </c>
      <c r="T16" s="49">
        <v>512.5</v>
      </c>
      <c r="U16" s="67">
        <v>0.34878048780487803</v>
      </c>
      <c r="V16" s="28">
        <v>0.27142857142857141</v>
      </c>
      <c r="W16" s="51">
        <v>0.57692307692307687</v>
      </c>
      <c r="X16" s="52">
        <v>51.25</v>
      </c>
      <c r="Y16" s="52">
        <v>30</v>
      </c>
      <c r="Z16" s="52">
        <v>252.5</v>
      </c>
      <c r="AA16" s="52">
        <v>333.75</v>
      </c>
      <c r="AB16" s="53">
        <v>0.65121951219512197</v>
      </c>
      <c r="AC16" s="72">
        <v>178.75</v>
      </c>
      <c r="AD16" s="55">
        <v>0.34878048780487803</v>
      </c>
      <c r="AE16" s="56">
        <v>2</v>
      </c>
      <c r="AF16" s="57" t="s">
        <v>72</v>
      </c>
      <c r="AG16" s="58">
        <v>130</v>
      </c>
      <c r="AH16" s="58">
        <v>150</v>
      </c>
      <c r="AI16" s="58">
        <v>280</v>
      </c>
      <c r="AJ16" s="49">
        <v>70</v>
      </c>
      <c r="AK16" s="49">
        <v>350</v>
      </c>
      <c r="AL16" s="52">
        <v>35</v>
      </c>
      <c r="AM16" s="52">
        <v>220</v>
      </c>
      <c r="AN16" s="52">
        <v>255</v>
      </c>
      <c r="AO16" s="59">
        <v>0.72857142857142854</v>
      </c>
      <c r="AP16" s="60">
        <v>95</v>
      </c>
      <c r="AQ16" s="61">
        <v>0.27142857142857141</v>
      </c>
      <c r="AR16" s="60" t="s">
        <v>78</v>
      </c>
      <c r="AS16" s="62">
        <v>390</v>
      </c>
      <c r="AT16" s="62">
        <v>225</v>
      </c>
      <c r="AU16" s="62">
        <v>615</v>
      </c>
      <c r="AV16" s="62">
        <v>768.75</v>
      </c>
      <c r="AW16" s="47" t="s">
        <v>74</v>
      </c>
      <c r="AX16" s="64">
        <v>44967</v>
      </c>
      <c r="AY16" s="64" t="s">
        <v>5100</v>
      </c>
      <c r="BA16" s="64"/>
      <c r="BB16" s="64"/>
      <c r="BC16" s="64"/>
      <c r="BD16" s="46"/>
      <c r="BE16" s="46" t="e">
        <v>#REF!</v>
      </c>
      <c r="BF16" s="46" t="s">
        <v>75</v>
      </c>
      <c r="BG16" s="65">
        <v>1</v>
      </c>
      <c r="BH16" s="66" t="s">
        <v>5101</v>
      </c>
      <c r="BI16" s="63" t="s">
        <v>5102</v>
      </c>
    </row>
    <row r="17" spans="1:61" ht="38.25" x14ac:dyDescent="0.2">
      <c r="A17" s="45" t="s">
        <v>5103</v>
      </c>
      <c r="B17" s="46"/>
      <c r="C17" s="46" t="s">
        <v>5099</v>
      </c>
      <c r="D17" s="46" t="s">
        <v>5076</v>
      </c>
      <c r="E17" s="46" t="s">
        <v>5104</v>
      </c>
      <c r="F17" s="46" t="s">
        <v>68</v>
      </c>
      <c r="G17" s="46" t="s">
        <v>68</v>
      </c>
      <c r="H17" s="46" t="s">
        <v>68</v>
      </c>
      <c r="I17" s="46" t="s">
        <v>68</v>
      </c>
      <c r="J17" s="46" t="s">
        <v>71</v>
      </c>
      <c r="K17" s="47">
        <f t="shared" ref="K17:L17" si="7">ROUND(K16*1.25,0)</f>
        <v>325</v>
      </c>
      <c r="L17" s="47">
        <f t="shared" si="7"/>
        <v>188</v>
      </c>
      <c r="M17" s="47">
        <v>513</v>
      </c>
      <c r="N17" s="46"/>
      <c r="O17" s="71" t="s">
        <v>68</v>
      </c>
      <c r="P17" s="64"/>
      <c r="Q17" s="46" t="s">
        <v>5029</v>
      </c>
      <c r="R17" s="46" t="s">
        <v>5096</v>
      </c>
      <c r="S17" s="49">
        <v>128.25</v>
      </c>
      <c r="T17" s="49">
        <v>641.25</v>
      </c>
      <c r="U17" s="67">
        <v>0.36003898635477583</v>
      </c>
      <c r="V17" s="67">
        <v>0.40682261208576997</v>
      </c>
      <c r="W17" s="51">
        <v>0.57846153846153847</v>
      </c>
      <c r="X17" s="52">
        <v>64.125</v>
      </c>
      <c r="Y17" s="52">
        <v>30</v>
      </c>
      <c r="Z17" s="52">
        <v>316.25</v>
      </c>
      <c r="AA17" s="52">
        <v>410.375</v>
      </c>
      <c r="AB17" s="53">
        <v>0.63996101364522417</v>
      </c>
      <c r="AC17" s="72">
        <v>230.875</v>
      </c>
      <c r="AD17" s="55">
        <v>0.36003898635477583</v>
      </c>
      <c r="AE17" s="73">
        <v>4</v>
      </c>
      <c r="AF17" s="57" t="s">
        <v>95</v>
      </c>
      <c r="AG17" s="58">
        <v>325</v>
      </c>
      <c r="AH17" s="58">
        <v>188</v>
      </c>
      <c r="AI17" s="58">
        <v>513</v>
      </c>
      <c r="AJ17" s="49">
        <v>128.25</v>
      </c>
      <c r="AK17" s="49">
        <v>641.25</v>
      </c>
      <c r="AL17" s="52">
        <v>64.125</v>
      </c>
      <c r="AM17" s="52">
        <v>316.25</v>
      </c>
      <c r="AN17" s="52">
        <v>380.375</v>
      </c>
      <c r="AO17" s="59">
        <v>0.59317738791423003</v>
      </c>
      <c r="AP17" s="60">
        <v>260.875</v>
      </c>
      <c r="AQ17" s="61">
        <v>0.40682261208576997</v>
      </c>
      <c r="AR17" s="60" t="s">
        <v>78</v>
      </c>
      <c r="AS17" s="62">
        <v>553</v>
      </c>
      <c r="AT17" s="62">
        <v>320</v>
      </c>
      <c r="AU17" s="62">
        <v>873</v>
      </c>
      <c r="AV17" s="62">
        <v>1091.25</v>
      </c>
      <c r="AW17" s="47" t="s">
        <v>74</v>
      </c>
      <c r="AX17" s="64">
        <v>44967</v>
      </c>
      <c r="AY17" s="64" t="s">
        <v>5105</v>
      </c>
      <c r="BA17" s="64"/>
      <c r="BB17" s="64"/>
      <c r="BC17" s="64"/>
      <c r="BD17" s="46"/>
      <c r="BE17" s="46" t="e">
        <v>#REF!</v>
      </c>
      <c r="BF17" s="46" t="s">
        <v>75</v>
      </c>
      <c r="BG17" s="65">
        <v>2</v>
      </c>
      <c r="BH17" s="66" t="s">
        <v>5106</v>
      </c>
      <c r="BI17" s="63" t="s">
        <v>5107</v>
      </c>
    </row>
    <row r="18" spans="1:61" ht="38.25" x14ac:dyDescent="0.2">
      <c r="A18" s="45" t="s">
        <v>5108</v>
      </c>
      <c r="B18" s="46"/>
      <c r="C18" s="46" t="s">
        <v>5099</v>
      </c>
      <c r="D18" s="46" t="s">
        <v>5076</v>
      </c>
      <c r="E18" s="46" t="s">
        <v>3632</v>
      </c>
      <c r="F18" s="46" t="s">
        <v>68</v>
      </c>
      <c r="G18" s="46" t="s">
        <v>68</v>
      </c>
      <c r="H18" s="46" t="s">
        <v>68</v>
      </c>
      <c r="I18" s="46" t="s">
        <v>68</v>
      </c>
      <c r="J18" s="46" t="s">
        <v>71</v>
      </c>
      <c r="K18" s="47">
        <f t="shared" ref="K18:L18" si="8">ROUND(K17*1.25,0)</f>
        <v>406</v>
      </c>
      <c r="L18" s="47">
        <f t="shared" si="8"/>
        <v>235</v>
      </c>
      <c r="M18" s="47">
        <v>641</v>
      </c>
      <c r="N18" s="46"/>
      <c r="O18" s="71" t="s">
        <v>68</v>
      </c>
      <c r="P18" s="64"/>
      <c r="Q18" s="46" t="s">
        <v>5029</v>
      </c>
      <c r="R18" s="46" t="s">
        <v>5096</v>
      </c>
      <c r="S18" s="49">
        <v>160.25</v>
      </c>
      <c r="T18" s="49">
        <v>801.25</v>
      </c>
      <c r="U18" s="67">
        <v>0.36926677067082686</v>
      </c>
      <c r="V18" s="67">
        <v>0.4067082683307332</v>
      </c>
      <c r="W18" s="51">
        <v>0.5788177339901478</v>
      </c>
      <c r="X18" s="52">
        <v>80.125</v>
      </c>
      <c r="Y18" s="52">
        <v>30</v>
      </c>
      <c r="Z18" s="52">
        <v>395.25</v>
      </c>
      <c r="AA18" s="52">
        <v>505.375</v>
      </c>
      <c r="AB18" s="53">
        <v>0.6307332293291732</v>
      </c>
      <c r="AC18" s="72">
        <v>295.875</v>
      </c>
      <c r="AD18" s="55">
        <v>0.36926677067082686</v>
      </c>
      <c r="AE18" s="73">
        <v>4</v>
      </c>
      <c r="AF18" s="57" t="s">
        <v>95</v>
      </c>
      <c r="AG18" s="58">
        <v>406</v>
      </c>
      <c r="AH18" s="58">
        <v>235</v>
      </c>
      <c r="AI18" s="58">
        <v>641</v>
      </c>
      <c r="AJ18" s="49">
        <v>160.25</v>
      </c>
      <c r="AK18" s="49">
        <v>801.25</v>
      </c>
      <c r="AL18" s="52">
        <v>80.125</v>
      </c>
      <c r="AM18" s="52">
        <v>395.25</v>
      </c>
      <c r="AN18" s="52">
        <v>475.375</v>
      </c>
      <c r="AO18" s="59">
        <v>0.59329173166926674</v>
      </c>
      <c r="AP18" s="60">
        <v>325.875</v>
      </c>
      <c r="AQ18" s="61">
        <v>0.4067082683307332</v>
      </c>
      <c r="AR18" s="60" t="s">
        <v>78</v>
      </c>
      <c r="AS18" s="62">
        <v>691</v>
      </c>
      <c r="AT18" s="62">
        <v>400</v>
      </c>
      <c r="AU18" s="62">
        <v>1091</v>
      </c>
      <c r="AV18" s="62">
        <v>1363.75</v>
      </c>
      <c r="AW18" s="47" t="s">
        <v>74</v>
      </c>
      <c r="AX18" s="64">
        <v>44967</v>
      </c>
      <c r="AY18" s="64" t="s">
        <v>5109</v>
      </c>
      <c r="BA18" s="64"/>
      <c r="BB18" s="64"/>
      <c r="BC18" s="64"/>
      <c r="BD18" s="46"/>
      <c r="BE18" s="46" t="e">
        <v>#REF!</v>
      </c>
      <c r="BF18" s="46" t="s">
        <v>75</v>
      </c>
      <c r="BG18" s="65">
        <v>3</v>
      </c>
      <c r="BH18" s="66" t="s">
        <v>5110</v>
      </c>
      <c r="BI18" s="63" t="s">
        <v>5111</v>
      </c>
    </row>
    <row r="19" spans="1:61" ht="25.5" x14ac:dyDescent="0.2">
      <c r="A19" s="34" t="s">
        <v>5112</v>
      </c>
      <c r="B19" s="35"/>
      <c r="C19" s="35" t="s">
        <v>68</v>
      </c>
      <c r="D19" s="35" t="s">
        <v>68</v>
      </c>
      <c r="E19" s="35" t="s">
        <v>68</v>
      </c>
      <c r="F19" s="35" t="s">
        <v>68</v>
      </c>
      <c r="G19" s="35" t="s">
        <v>68</v>
      </c>
      <c r="H19" s="35" t="s">
        <v>68</v>
      </c>
      <c r="I19" s="35" t="s">
        <v>68</v>
      </c>
      <c r="J19" s="35" t="s">
        <v>68</v>
      </c>
      <c r="K19" s="36" t="s">
        <v>68</v>
      </c>
      <c r="L19" s="36" t="s">
        <v>68</v>
      </c>
      <c r="M19" s="36" t="s">
        <v>68</v>
      </c>
      <c r="N19" s="35"/>
      <c r="O19" s="35" t="s">
        <v>68</v>
      </c>
      <c r="P19" s="37"/>
      <c r="Q19" s="38" t="s">
        <v>5029</v>
      </c>
      <c r="R19" s="38" t="s">
        <v>5113</v>
      </c>
      <c r="S19" s="36" t="s">
        <v>68</v>
      </c>
      <c r="T19" s="36" t="s">
        <v>68</v>
      </c>
      <c r="U19" s="39" t="s">
        <v>68</v>
      </c>
      <c r="V19" s="39" t="s">
        <v>68</v>
      </c>
      <c r="W19" s="40" t="s">
        <v>68</v>
      </c>
      <c r="X19" s="36" t="s">
        <v>68</v>
      </c>
      <c r="Y19" s="36" t="s">
        <v>68</v>
      </c>
      <c r="Z19" s="36" t="s">
        <v>68</v>
      </c>
      <c r="AA19" s="36" t="s">
        <v>68</v>
      </c>
      <c r="AB19" s="39" t="s">
        <v>68</v>
      </c>
      <c r="AC19" s="36" t="s">
        <v>68</v>
      </c>
      <c r="AD19" s="39" t="s">
        <v>68</v>
      </c>
      <c r="AE19" s="41"/>
      <c r="AF19" s="42" t="s">
        <v>68</v>
      </c>
      <c r="AG19" s="36" t="s">
        <v>68</v>
      </c>
      <c r="AH19" s="36" t="s">
        <v>68</v>
      </c>
      <c r="AI19" s="36" t="s">
        <v>68</v>
      </c>
      <c r="AJ19" s="36" t="s">
        <v>68</v>
      </c>
      <c r="AK19" s="36" t="s">
        <v>68</v>
      </c>
      <c r="AL19" s="36" t="s">
        <v>68</v>
      </c>
      <c r="AM19" s="36" t="s">
        <v>68</v>
      </c>
      <c r="AN19" s="36" t="s">
        <v>68</v>
      </c>
      <c r="AO19" s="43" t="s">
        <v>68</v>
      </c>
      <c r="AP19" s="36" t="s">
        <v>68</v>
      </c>
      <c r="AQ19" s="39" t="s">
        <v>68</v>
      </c>
      <c r="AR19" s="36" t="s">
        <v>68</v>
      </c>
      <c r="AS19" s="36" t="s">
        <v>68</v>
      </c>
      <c r="AT19" s="36" t="s">
        <v>68</v>
      </c>
      <c r="AU19" s="36" t="s">
        <v>68</v>
      </c>
      <c r="AV19" s="36" t="s">
        <v>68</v>
      </c>
      <c r="AW19" s="35"/>
      <c r="AX19" s="37"/>
      <c r="AY19" s="37" t="s">
        <v>68</v>
      </c>
      <c r="BA19" s="37"/>
      <c r="BB19" s="37"/>
      <c r="BC19" s="37"/>
      <c r="BD19" s="35"/>
      <c r="BE19" s="35" t="e">
        <v>#REF!</v>
      </c>
      <c r="BF19" s="35"/>
      <c r="BG19" s="44"/>
      <c r="BH19" s="38" t="s">
        <v>5114</v>
      </c>
      <c r="BI19" s="35" t="s">
        <v>68</v>
      </c>
    </row>
    <row r="20" spans="1:61" ht="25.5" x14ac:dyDescent="0.2">
      <c r="A20" s="45" t="s">
        <v>5115</v>
      </c>
      <c r="B20" s="46"/>
      <c r="C20" s="46" t="s">
        <v>5116</v>
      </c>
      <c r="D20" s="46" t="s">
        <v>5076</v>
      </c>
      <c r="E20" s="46" t="s">
        <v>5117</v>
      </c>
      <c r="F20" s="46" t="s">
        <v>5118</v>
      </c>
      <c r="G20" s="46" t="s">
        <v>68</v>
      </c>
      <c r="H20" s="46" t="s">
        <v>68</v>
      </c>
      <c r="I20" s="46" t="s">
        <v>68</v>
      </c>
      <c r="J20" s="46" t="s">
        <v>71</v>
      </c>
      <c r="K20" s="47">
        <v>280</v>
      </c>
      <c r="L20" s="47">
        <v>700</v>
      </c>
      <c r="M20" s="47">
        <v>980</v>
      </c>
      <c r="N20" s="46"/>
      <c r="O20" s="71" t="s">
        <v>68</v>
      </c>
      <c r="P20" s="64"/>
      <c r="Q20" s="46" t="s">
        <v>5029</v>
      </c>
      <c r="R20" s="46" t="s">
        <v>5113</v>
      </c>
      <c r="S20" s="49">
        <v>245</v>
      </c>
      <c r="T20" s="49">
        <v>1225</v>
      </c>
      <c r="U20" s="50">
        <v>0.10408163265306122</v>
      </c>
      <c r="V20" s="50">
        <v>0.12857142857142856</v>
      </c>
      <c r="W20" s="77">
        <v>2.5</v>
      </c>
      <c r="X20" s="52">
        <v>122.5</v>
      </c>
      <c r="Y20" s="52">
        <v>30</v>
      </c>
      <c r="Z20" s="52">
        <v>945</v>
      </c>
      <c r="AA20" s="52">
        <v>1097.5</v>
      </c>
      <c r="AB20" s="53">
        <v>0.89591836734693875</v>
      </c>
      <c r="AC20" s="72">
        <v>127.5</v>
      </c>
      <c r="AD20" s="55">
        <v>0.10408163265306122</v>
      </c>
      <c r="AE20" s="73">
        <v>4</v>
      </c>
      <c r="AF20" s="57" t="s">
        <v>95</v>
      </c>
      <c r="AG20" s="58">
        <v>280</v>
      </c>
      <c r="AH20" s="58">
        <v>700</v>
      </c>
      <c r="AI20" s="58">
        <v>980</v>
      </c>
      <c r="AJ20" s="49">
        <v>245</v>
      </c>
      <c r="AK20" s="49">
        <v>1225</v>
      </c>
      <c r="AL20" s="52">
        <v>122.5</v>
      </c>
      <c r="AM20" s="52">
        <v>945</v>
      </c>
      <c r="AN20" s="52">
        <v>1067.5</v>
      </c>
      <c r="AO20" s="59">
        <v>0.87142857142857144</v>
      </c>
      <c r="AP20" s="60">
        <v>157.5</v>
      </c>
      <c r="AQ20" s="61">
        <v>0.12857142857142856</v>
      </c>
      <c r="AR20" s="60" t="s">
        <v>73</v>
      </c>
      <c r="AS20" s="62">
        <v>476</v>
      </c>
      <c r="AT20" s="62">
        <v>1190</v>
      </c>
      <c r="AU20" s="62">
        <v>1666</v>
      </c>
      <c r="AV20" s="62">
        <v>2082.5</v>
      </c>
      <c r="AW20" s="47" t="s">
        <v>107</v>
      </c>
      <c r="AX20" s="64">
        <v>44967</v>
      </c>
      <c r="AY20" s="64" t="s">
        <v>5119</v>
      </c>
      <c r="BA20" s="64"/>
      <c r="BB20" s="64"/>
      <c r="BC20" s="64"/>
      <c r="BD20" s="46"/>
      <c r="BE20" s="46" t="e">
        <v>#REF!</v>
      </c>
      <c r="BF20" s="46" t="s">
        <v>75</v>
      </c>
      <c r="BG20" s="65">
        <v>2</v>
      </c>
      <c r="BH20" s="66" t="s">
        <v>5120</v>
      </c>
      <c r="BI20" s="63" t="s">
        <v>5121</v>
      </c>
    </row>
    <row r="21" spans="1:61" ht="25.5" x14ac:dyDescent="0.2">
      <c r="A21" s="45" t="s">
        <v>5122</v>
      </c>
      <c r="B21" s="46"/>
      <c r="C21" s="46" t="s">
        <v>5116</v>
      </c>
      <c r="D21" s="46" t="s">
        <v>5076</v>
      </c>
      <c r="E21" s="46" t="s">
        <v>5123</v>
      </c>
      <c r="F21" s="46" t="s">
        <v>5118</v>
      </c>
      <c r="G21" s="46" t="s">
        <v>68</v>
      </c>
      <c r="H21" s="46" t="s">
        <v>68</v>
      </c>
      <c r="I21" s="46" t="s">
        <v>68</v>
      </c>
      <c r="J21" s="46" t="s">
        <v>71</v>
      </c>
      <c r="K21" s="47">
        <v>300</v>
      </c>
      <c r="L21" s="47">
        <v>700</v>
      </c>
      <c r="M21" s="47">
        <v>1000</v>
      </c>
      <c r="N21" s="46"/>
      <c r="O21" s="71" t="s">
        <v>68</v>
      </c>
      <c r="P21" s="64"/>
      <c r="Q21" s="46" t="s">
        <v>5029</v>
      </c>
      <c r="R21" s="46" t="s">
        <v>5113</v>
      </c>
      <c r="S21" s="49">
        <v>250</v>
      </c>
      <c r="T21" s="49">
        <v>1250</v>
      </c>
      <c r="U21" s="50">
        <v>0.11600000000000001</v>
      </c>
      <c r="V21" s="50">
        <v>0.14000000000000001</v>
      </c>
      <c r="W21" s="77">
        <v>2.3333333333333335</v>
      </c>
      <c r="X21" s="52">
        <v>125</v>
      </c>
      <c r="Y21" s="52">
        <v>30</v>
      </c>
      <c r="Z21" s="52">
        <v>950</v>
      </c>
      <c r="AA21" s="52">
        <v>1105</v>
      </c>
      <c r="AB21" s="53">
        <v>0.88400000000000001</v>
      </c>
      <c r="AC21" s="72">
        <v>145</v>
      </c>
      <c r="AD21" s="55">
        <v>0.11600000000000001</v>
      </c>
      <c r="AE21" s="73">
        <v>4</v>
      </c>
      <c r="AF21" s="57" t="s">
        <v>95</v>
      </c>
      <c r="AG21" s="58">
        <v>300</v>
      </c>
      <c r="AH21" s="58">
        <v>700</v>
      </c>
      <c r="AI21" s="58">
        <v>1000</v>
      </c>
      <c r="AJ21" s="49">
        <v>250</v>
      </c>
      <c r="AK21" s="49">
        <v>1250</v>
      </c>
      <c r="AL21" s="52">
        <v>125</v>
      </c>
      <c r="AM21" s="52">
        <v>950</v>
      </c>
      <c r="AN21" s="52">
        <v>1075</v>
      </c>
      <c r="AO21" s="59">
        <v>0.86</v>
      </c>
      <c r="AP21" s="60">
        <v>175</v>
      </c>
      <c r="AQ21" s="61">
        <v>0.14000000000000001</v>
      </c>
      <c r="AR21" s="60" t="s">
        <v>73</v>
      </c>
      <c r="AS21" s="62">
        <v>510</v>
      </c>
      <c r="AT21" s="62">
        <v>1190</v>
      </c>
      <c r="AU21" s="62">
        <v>1700</v>
      </c>
      <c r="AV21" s="62">
        <v>2125</v>
      </c>
      <c r="AW21" s="47" t="s">
        <v>107</v>
      </c>
      <c r="AX21" s="64">
        <v>44967</v>
      </c>
      <c r="AY21" s="64" t="s">
        <v>5124</v>
      </c>
      <c r="BA21" s="64"/>
      <c r="BB21" s="64"/>
      <c r="BC21" s="64"/>
      <c r="BD21" s="46"/>
      <c r="BE21" s="46" t="e">
        <v>#REF!</v>
      </c>
      <c r="BF21" s="46" t="s">
        <v>75</v>
      </c>
      <c r="BG21" s="65">
        <v>2</v>
      </c>
      <c r="BH21" s="66" t="s">
        <v>5125</v>
      </c>
      <c r="BI21" s="63" t="s">
        <v>5126</v>
      </c>
    </row>
    <row r="22" spans="1:61" ht="38.25" x14ac:dyDescent="0.2">
      <c r="A22" s="45" t="s">
        <v>5127</v>
      </c>
      <c r="B22" s="46"/>
      <c r="C22" s="46" t="s">
        <v>5128</v>
      </c>
      <c r="D22" s="46" t="s">
        <v>5076</v>
      </c>
      <c r="E22" s="46" t="s">
        <v>5078</v>
      </c>
      <c r="F22" s="46" t="s">
        <v>5118</v>
      </c>
      <c r="G22" s="46" t="s">
        <v>68</v>
      </c>
      <c r="H22" s="46" t="s">
        <v>68</v>
      </c>
      <c r="I22" s="46" t="s">
        <v>68</v>
      </c>
      <c r="J22" s="46" t="s">
        <v>71</v>
      </c>
      <c r="K22" s="47">
        <v>220</v>
      </c>
      <c r="L22" s="47">
        <v>300</v>
      </c>
      <c r="M22" s="47">
        <v>520</v>
      </c>
      <c r="N22" s="46"/>
      <c r="O22" s="71" t="s">
        <v>68</v>
      </c>
      <c r="P22" s="64"/>
      <c r="Q22" s="46" t="s">
        <v>5029</v>
      </c>
      <c r="R22" s="46" t="s">
        <v>5113</v>
      </c>
      <c r="S22" s="49">
        <v>130</v>
      </c>
      <c r="T22" s="49">
        <v>650</v>
      </c>
      <c r="U22" s="50">
        <v>0.19230769230769232</v>
      </c>
      <c r="V22" s="50">
        <v>0.11463414634146342</v>
      </c>
      <c r="W22" s="74">
        <v>1.3636363636363635</v>
      </c>
      <c r="X22" s="52">
        <v>65</v>
      </c>
      <c r="Y22" s="52">
        <v>30</v>
      </c>
      <c r="Z22" s="52">
        <v>430</v>
      </c>
      <c r="AA22" s="52">
        <v>525</v>
      </c>
      <c r="AB22" s="53">
        <v>0.80769230769230771</v>
      </c>
      <c r="AC22" s="72">
        <v>125</v>
      </c>
      <c r="AD22" s="55">
        <v>0.19230769230769232</v>
      </c>
      <c r="AE22" s="56">
        <v>2</v>
      </c>
      <c r="AF22" s="57" t="s">
        <v>72</v>
      </c>
      <c r="AG22" s="58">
        <v>110</v>
      </c>
      <c r="AH22" s="58">
        <v>300</v>
      </c>
      <c r="AI22" s="58">
        <v>410</v>
      </c>
      <c r="AJ22" s="49">
        <v>102.5</v>
      </c>
      <c r="AK22" s="49">
        <v>512.5</v>
      </c>
      <c r="AL22" s="52">
        <v>51.25</v>
      </c>
      <c r="AM22" s="52">
        <v>402.5</v>
      </c>
      <c r="AN22" s="52">
        <v>453.75</v>
      </c>
      <c r="AO22" s="59">
        <v>0.88536585365853659</v>
      </c>
      <c r="AP22" s="60">
        <v>58.75</v>
      </c>
      <c r="AQ22" s="61">
        <v>0.11463414634146342</v>
      </c>
      <c r="AR22" s="60" t="s">
        <v>73</v>
      </c>
      <c r="AS22" s="62">
        <v>330</v>
      </c>
      <c r="AT22" s="62">
        <v>450</v>
      </c>
      <c r="AU22" s="62">
        <v>780</v>
      </c>
      <c r="AV22" s="62">
        <v>975</v>
      </c>
      <c r="AW22" s="47" t="s">
        <v>74</v>
      </c>
      <c r="AX22" s="64">
        <v>44967</v>
      </c>
      <c r="AY22" s="64" t="s">
        <v>5129</v>
      </c>
      <c r="BA22" s="64"/>
      <c r="BB22" s="64"/>
      <c r="BC22" s="64"/>
      <c r="BD22" s="46"/>
      <c r="BE22" s="46" t="e">
        <v>#REF!</v>
      </c>
      <c r="BF22" s="46" t="s">
        <v>75</v>
      </c>
      <c r="BG22" s="65">
        <v>2</v>
      </c>
      <c r="BH22" s="66" t="s">
        <v>5130</v>
      </c>
      <c r="BI22" s="63" t="s">
        <v>5131</v>
      </c>
    </row>
    <row r="23" spans="1:61" ht="38.25" x14ac:dyDescent="0.2">
      <c r="A23" s="45" t="s">
        <v>5132</v>
      </c>
      <c r="B23" s="46"/>
      <c r="C23" s="46" t="s">
        <v>5128</v>
      </c>
      <c r="D23" s="46" t="s">
        <v>5076</v>
      </c>
      <c r="E23" s="46" t="s">
        <v>5087</v>
      </c>
      <c r="F23" s="46" t="s">
        <v>5118</v>
      </c>
      <c r="G23" s="46" t="s">
        <v>68</v>
      </c>
      <c r="H23" s="46" t="s">
        <v>68</v>
      </c>
      <c r="I23" s="46" t="s">
        <v>68</v>
      </c>
      <c r="J23" s="46" t="s">
        <v>71</v>
      </c>
      <c r="K23" s="47">
        <v>300</v>
      </c>
      <c r="L23" s="47">
        <v>400</v>
      </c>
      <c r="M23" s="47">
        <v>700</v>
      </c>
      <c r="N23" s="46"/>
      <c r="O23" s="71" t="s">
        <v>68</v>
      </c>
      <c r="P23" s="64"/>
      <c r="Q23" s="46" t="s">
        <v>5029</v>
      </c>
      <c r="R23" s="46" t="s">
        <v>5113</v>
      </c>
      <c r="S23" s="49">
        <v>175</v>
      </c>
      <c r="T23" s="49">
        <v>875</v>
      </c>
      <c r="U23" s="28">
        <v>0.20857142857142857</v>
      </c>
      <c r="V23" s="28">
        <v>0.24285714285714285</v>
      </c>
      <c r="W23" s="74">
        <v>1.3333333333333333</v>
      </c>
      <c r="X23" s="52">
        <v>87.5</v>
      </c>
      <c r="Y23" s="52">
        <v>30</v>
      </c>
      <c r="Z23" s="52">
        <v>575</v>
      </c>
      <c r="AA23" s="52">
        <v>692.5</v>
      </c>
      <c r="AB23" s="53">
        <v>0.79142857142857148</v>
      </c>
      <c r="AC23" s="72">
        <v>182.5</v>
      </c>
      <c r="AD23" s="55">
        <v>0.20857142857142857</v>
      </c>
      <c r="AE23" s="73">
        <v>4</v>
      </c>
      <c r="AF23" s="57" t="s">
        <v>95</v>
      </c>
      <c r="AG23" s="58">
        <v>300</v>
      </c>
      <c r="AH23" s="58">
        <v>400</v>
      </c>
      <c r="AI23" s="58">
        <v>700</v>
      </c>
      <c r="AJ23" s="49">
        <v>175</v>
      </c>
      <c r="AK23" s="49">
        <v>875</v>
      </c>
      <c r="AL23" s="52">
        <v>87.5</v>
      </c>
      <c r="AM23" s="52">
        <v>575</v>
      </c>
      <c r="AN23" s="52">
        <v>662.5</v>
      </c>
      <c r="AO23" s="59">
        <v>0.75714285714285712</v>
      </c>
      <c r="AP23" s="60">
        <v>212.5</v>
      </c>
      <c r="AQ23" s="61">
        <v>0.24285714285714285</v>
      </c>
      <c r="AR23" s="60" t="s">
        <v>78</v>
      </c>
      <c r="AS23" s="62">
        <v>510</v>
      </c>
      <c r="AT23" s="62">
        <v>680</v>
      </c>
      <c r="AU23" s="62">
        <v>1190</v>
      </c>
      <c r="AV23" s="62">
        <v>1487.5</v>
      </c>
      <c r="AW23" s="47" t="s">
        <v>74</v>
      </c>
      <c r="AX23" s="64">
        <v>44967</v>
      </c>
      <c r="AY23" s="64" t="s">
        <v>5133</v>
      </c>
      <c r="BA23" s="64"/>
      <c r="BB23" s="64"/>
      <c r="BC23" s="64"/>
      <c r="BD23" s="46"/>
      <c r="BE23" s="46" t="e">
        <v>#REF!</v>
      </c>
      <c r="BF23" s="46" t="s">
        <v>75</v>
      </c>
      <c r="BG23" s="65">
        <v>3</v>
      </c>
      <c r="BH23" s="66" t="s">
        <v>5134</v>
      </c>
      <c r="BI23" s="63" t="s">
        <v>5135</v>
      </c>
    </row>
    <row r="24" spans="1:61" ht="25.5" x14ac:dyDescent="0.2">
      <c r="A24" s="45" t="s">
        <v>5136</v>
      </c>
      <c r="B24" s="46"/>
      <c r="C24" s="46" t="s">
        <v>5137</v>
      </c>
      <c r="D24" s="46" t="s">
        <v>5138</v>
      </c>
      <c r="E24" s="46" t="s">
        <v>5118</v>
      </c>
      <c r="F24" s="46" t="s">
        <v>5139</v>
      </c>
      <c r="G24" s="46" t="s">
        <v>68</v>
      </c>
      <c r="H24" s="46" t="s">
        <v>68</v>
      </c>
      <c r="I24" s="46" t="s">
        <v>68</v>
      </c>
      <c r="J24" s="46" t="s">
        <v>3855</v>
      </c>
      <c r="K24" s="47">
        <v>235</v>
      </c>
      <c r="L24" s="47">
        <f>80*5</f>
        <v>400</v>
      </c>
      <c r="M24" s="47">
        <v>635</v>
      </c>
      <c r="N24" s="46"/>
      <c r="O24" s="71" t="s">
        <v>68</v>
      </c>
      <c r="P24" s="64"/>
      <c r="Q24" s="46" t="s">
        <v>5029</v>
      </c>
      <c r="R24" s="46" t="s">
        <v>5113</v>
      </c>
      <c r="S24" s="49">
        <v>158.75</v>
      </c>
      <c r="T24" s="49">
        <v>793.75</v>
      </c>
      <c r="U24" s="50">
        <v>0.15826771653543306</v>
      </c>
      <c r="V24" s="50">
        <v>0.19606299212598424</v>
      </c>
      <c r="W24" s="77">
        <v>1.7021276595744681</v>
      </c>
      <c r="X24" s="52">
        <v>79.375</v>
      </c>
      <c r="Y24" s="52">
        <v>30</v>
      </c>
      <c r="Z24" s="52">
        <v>558.75</v>
      </c>
      <c r="AA24" s="52">
        <v>668.125</v>
      </c>
      <c r="AB24" s="53">
        <v>0.84173228346456697</v>
      </c>
      <c r="AC24" s="72">
        <v>125.625</v>
      </c>
      <c r="AD24" s="55">
        <v>0.15826771653543306</v>
      </c>
      <c r="AE24" s="73">
        <v>4</v>
      </c>
      <c r="AF24" s="57" t="s">
        <v>95</v>
      </c>
      <c r="AG24" s="58">
        <v>235</v>
      </c>
      <c r="AH24" s="58">
        <v>400</v>
      </c>
      <c r="AI24" s="58">
        <v>635</v>
      </c>
      <c r="AJ24" s="49">
        <v>158.75</v>
      </c>
      <c r="AK24" s="49">
        <v>793.75</v>
      </c>
      <c r="AL24" s="52">
        <v>79.375</v>
      </c>
      <c r="AM24" s="52">
        <v>558.75</v>
      </c>
      <c r="AN24" s="52">
        <v>638.125</v>
      </c>
      <c r="AO24" s="59">
        <v>0.80393700787401579</v>
      </c>
      <c r="AP24" s="60">
        <v>155.625</v>
      </c>
      <c r="AQ24" s="61">
        <v>0.19606299212598424</v>
      </c>
      <c r="AR24" s="60" t="s">
        <v>73</v>
      </c>
      <c r="AS24" s="62">
        <v>400</v>
      </c>
      <c r="AT24" s="62">
        <v>680</v>
      </c>
      <c r="AU24" s="62">
        <v>1080</v>
      </c>
      <c r="AV24" s="62">
        <v>1350</v>
      </c>
      <c r="AW24" s="47" t="s">
        <v>107</v>
      </c>
      <c r="AX24" s="76">
        <v>44980</v>
      </c>
      <c r="AY24" s="64" t="s">
        <v>5140</v>
      </c>
      <c r="BA24" s="64"/>
      <c r="BB24" s="64"/>
      <c r="BC24" s="64"/>
      <c r="BD24" s="70" t="s">
        <v>5141</v>
      </c>
      <c r="BE24" s="46" t="e">
        <v>#REF!</v>
      </c>
      <c r="BF24" s="46" t="s">
        <v>75</v>
      </c>
      <c r="BG24" s="65">
        <v>1</v>
      </c>
      <c r="BH24" s="66" t="s">
        <v>5142</v>
      </c>
      <c r="BI24" s="63" t="s">
        <v>5143</v>
      </c>
    </row>
    <row r="25" spans="1:61" ht="25.5" x14ac:dyDescent="0.2">
      <c r="A25" s="45" t="s">
        <v>5144</v>
      </c>
      <c r="B25" s="46"/>
      <c r="C25" s="46" t="s">
        <v>5145</v>
      </c>
      <c r="D25" s="46" t="s">
        <v>5138</v>
      </c>
      <c r="E25" s="46" t="s">
        <v>5118</v>
      </c>
      <c r="F25" s="46" t="s">
        <v>5146</v>
      </c>
      <c r="G25" s="46" t="s">
        <v>68</v>
      </c>
      <c r="H25" s="46" t="s">
        <v>68</v>
      </c>
      <c r="I25" s="46" t="s">
        <v>68</v>
      </c>
      <c r="J25" s="46" t="s">
        <v>2996</v>
      </c>
      <c r="K25" s="47">
        <v>230</v>
      </c>
      <c r="L25" s="47">
        <f>70*5</f>
        <v>350</v>
      </c>
      <c r="M25" s="47">
        <v>580</v>
      </c>
      <c r="N25" s="46"/>
      <c r="O25" s="71" t="s">
        <v>68</v>
      </c>
      <c r="P25" s="64"/>
      <c r="Q25" s="46" t="s">
        <v>5029</v>
      </c>
      <c r="R25" s="46" t="s">
        <v>5113</v>
      </c>
      <c r="S25" s="49">
        <v>145</v>
      </c>
      <c r="T25" s="49">
        <v>725</v>
      </c>
      <c r="U25" s="50">
        <v>0.17586206896551723</v>
      </c>
      <c r="V25" s="28">
        <v>0.21724137931034482</v>
      </c>
      <c r="W25" s="77">
        <v>1.5217391304347827</v>
      </c>
      <c r="X25" s="52">
        <v>72.5</v>
      </c>
      <c r="Y25" s="52">
        <v>30</v>
      </c>
      <c r="Z25" s="52">
        <v>495</v>
      </c>
      <c r="AA25" s="52">
        <v>597.5</v>
      </c>
      <c r="AB25" s="53">
        <v>0.82413793103448274</v>
      </c>
      <c r="AC25" s="72">
        <v>127.5</v>
      </c>
      <c r="AD25" s="55">
        <v>0.17586206896551723</v>
      </c>
      <c r="AE25" s="73">
        <v>4</v>
      </c>
      <c r="AF25" s="57" t="s">
        <v>95</v>
      </c>
      <c r="AG25" s="58">
        <v>230</v>
      </c>
      <c r="AH25" s="58">
        <v>350</v>
      </c>
      <c r="AI25" s="58">
        <v>580</v>
      </c>
      <c r="AJ25" s="49">
        <v>145</v>
      </c>
      <c r="AK25" s="49">
        <v>725</v>
      </c>
      <c r="AL25" s="52">
        <v>72.5</v>
      </c>
      <c r="AM25" s="52">
        <v>495</v>
      </c>
      <c r="AN25" s="52">
        <v>567.5</v>
      </c>
      <c r="AO25" s="59">
        <v>0.78275862068965518</v>
      </c>
      <c r="AP25" s="60">
        <v>157.5</v>
      </c>
      <c r="AQ25" s="61">
        <v>0.21724137931034482</v>
      </c>
      <c r="AR25" s="60" t="s">
        <v>78</v>
      </c>
      <c r="AS25" s="62">
        <v>391</v>
      </c>
      <c r="AT25" s="62">
        <v>595</v>
      </c>
      <c r="AU25" s="62">
        <v>986</v>
      </c>
      <c r="AV25" s="62">
        <v>1232.5</v>
      </c>
      <c r="AW25" s="47" t="s">
        <v>107</v>
      </c>
      <c r="AX25" s="64"/>
      <c r="AY25" s="64" t="s">
        <v>5147</v>
      </c>
      <c r="BA25" s="64"/>
      <c r="BB25" s="64"/>
      <c r="BC25" s="64"/>
      <c r="BD25" s="46"/>
      <c r="BE25" s="46" t="e">
        <v>#REF!</v>
      </c>
      <c r="BF25" s="46" t="s">
        <v>75</v>
      </c>
      <c r="BG25" s="65">
        <v>1</v>
      </c>
      <c r="BH25" s="66" t="s">
        <v>5148</v>
      </c>
      <c r="BI25" s="63" t="s">
        <v>5149</v>
      </c>
    </row>
    <row r="26" spans="1:61" ht="25.5" x14ac:dyDescent="0.2">
      <c r="A26" s="34" t="s">
        <v>5150</v>
      </c>
      <c r="B26" s="35"/>
      <c r="C26" s="35" t="s">
        <v>68</v>
      </c>
      <c r="D26" s="35" t="s">
        <v>68</v>
      </c>
      <c r="E26" s="35" t="s">
        <v>68</v>
      </c>
      <c r="F26" s="35" t="s">
        <v>68</v>
      </c>
      <c r="G26" s="35" t="s">
        <v>68</v>
      </c>
      <c r="H26" s="35" t="s">
        <v>68</v>
      </c>
      <c r="I26" s="35" t="s">
        <v>68</v>
      </c>
      <c r="J26" s="35" t="s">
        <v>68</v>
      </c>
      <c r="K26" s="36" t="s">
        <v>68</v>
      </c>
      <c r="L26" s="36" t="s">
        <v>68</v>
      </c>
      <c r="M26" s="36" t="s">
        <v>68</v>
      </c>
      <c r="N26" s="35"/>
      <c r="O26" s="35" t="s">
        <v>68</v>
      </c>
      <c r="P26" s="37"/>
      <c r="Q26" s="38" t="s">
        <v>5029</v>
      </c>
      <c r="R26" s="38" t="s">
        <v>5151</v>
      </c>
      <c r="S26" s="36" t="s">
        <v>68</v>
      </c>
      <c r="T26" s="36" t="s">
        <v>68</v>
      </c>
      <c r="U26" s="39" t="s">
        <v>68</v>
      </c>
      <c r="V26" s="39" t="s">
        <v>68</v>
      </c>
      <c r="W26" s="40" t="s">
        <v>68</v>
      </c>
      <c r="X26" s="36" t="s">
        <v>68</v>
      </c>
      <c r="Y26" s="36" t="s">
        <v>68</v>
      </c>
      <c r="Z26" s="36" t="s">
        <v>68</v>
      </c>
      <c r="AA26" s="36" t="s">
        <v>68</v>
      </c>
      <c r="AB26" s="39" t="s">
        <v>68</v>
      </c>
      <c r="AC26" s="36" t="s">
        <v>68</v>
      </c>
      <c r="AD26" s="39" t="s">
        <v>68</v>
      </c>
      <c r="AE26" s="41"/>
      <c r="AF26" s="42" t="s">
        <v>68</v>
      </c>
      <c r="AG26" s="36" t="s">
        <v>68</v>
      </c>
      <c r="AH26" s="36" t="s">
        <v>68</v>
      </c>
      <c r="AI26" s="36" t="s">
        <v>68</v>
      </c>
      <c r="AJ26" s="36" t="s">
        <v>68</v>
      </c>
      <c r="AK26" s="36" t="s">
        <v>68</v>
      </c>
      <c r="AL26" s="36" t="s">
        <v>68</v>
      </c>
      <c r="AM26" s="36" t="s">
        <v>68</v>
      </c>
      <c r="AN26" s="36" t="s">
        <v>68</v>
      </c>
      <c r="AO26" s="43" t="s">
        <v>68</v>
      </c>
      <c r="AP26" s="36" t="s">
        <v>68</v>
      </c>
      <c r="AQ26" s="39" t="s">
        <v>68</v>
      </c>
      <c r="AR26" s="36" t="s">
        <v>68</v>
      </c>
      <c r="AS26" s="36" t="s">
        <v>68</v>
      </c>
      <c r="AT26" s="36" t="s">
        <v>68</v>
      </c>
      <c r="AU26" s="36" t="s">
        <v>68</v>
      </c>
      <c r="AV26" s="36" t="s">
        <v>68</v>
      </c>
      <c r="AW26" s="35"/>
      <c r="AX26" s="37"/>
      <c r="AY26" s="37" t="s">
        <v>68</v>
      </c>
      <c r="BA26" s="37"/>
      <c r="BB26" s="37"/>
      <c r="BC26" s="37"/>
      <c r="BD26" s="35"/>
      <c r="BE26" s="35" t="e">
        <v>#REF!</v>
      </c>
      <c r="BF26" s="35"/>
      <c r="BG26" s="44"/>
      <c r="BH26" s="38" t="s">
        <v>5152</v>
      </c>
      <c r="BI26" s="35" t="s">
        <v>68</v>
      </c>
    </row>
    <row r="27" spans="1:61" ht="38.25" x14ac:dyDescent="0.2">
      <c r="A27" s="45" t="s">
        <v>5153</v>
      </c>
      <c r="B27" s="46"/>
      <c r="C27" s="46" t="s">
        <v>5154</v>
      </c>
      <c r="D27" s="46" t="s">
        <v>5036</v>
      </c>
      <c r="E27" s="46" t="s">
        <v>5155</v>
      </c>
      <c r="F27" s="46" t="s">
        <v>5156</v>
      </c>
      <c r="G27" s="46" t="s">
        <v>5157</v>
      </c>
      <c r="H27" s="46" t="s">
        <v>68</v>
      </c>
      <c r="I27" s="46" t="s">
        <v>68</v>
      </c>
      <c r="J27" s="46" t="s">
        <v>71</v>
      </c>
      <c r="K27" s="47">
        <v>150</v>
      </c>
      <c r="L27" s="47">
        <v>100</v>
      </c>
      <c r="M27" s="47">
        <v>250</v>
      </c>
      <c r="N27" s="46"/>
      <c r="O27" s="71" t="s">
        <v>68</v>
      </c>
      <c r="P27" s="64"/>
      <c r="Q27" s="46" t="s">
        <v>5029</v>
      </c>
      <c r="R27" s="46" t="s">
        <v>5151</v>
      </c>
      <c r="S27" s="49">
        <v>62.5</v>
      </c>
      <c r="T27" s="49">
        <v>312.5</v>
      </c>
      <c r="U27" s="28">
        <v>0.28399999999999997</v>
      </c>
      <c r="V27" s="28">
        <v>0.24285714285714285</v>
      </c>
      <c r="W27" s="51">
        <v>0.66666666666666663</v>
      </c>
      <c r="X27" s="52">
        <v>31.25</v>
      </c>
      <c r="Y27" s="52">
        <v>30</v>
      </c>
      <c r="Z27" s="52">
        <v>162.5</v>
      </c>
      <c r="AA27" s="52">
        <v>223.75</v>
      </c>
      <c r="AB27" s="53">
        <v>0.71599999999999997</v>
      </c>
      <c r="AC27" s="68">
        <v>88.75</v>
      </c>
      <c r="AD27" s="55">
        <v>0.28399999999999997</v>
      </c>
      <c r="AE27" s="56">
        <v>2</v>
      </c>
      <c r="AF27" s="57" t="s">
        <v>72</v>
      </c>
      <c r="AG27" s="58">
        <v>75</v>
      </c>
      <c r="AH27" s="58">
        <v>100</v>
      </c>
      <c r="AI27" s="58">
        <v>175</v>
      </c>
      <c r="AJ27" s="49">
        <v>43.75</v>
      </c>
      <c r="AK27" s="49">
        <v>218.75</v>
      </c>
      <c r="AL27" s="52">
        <v>21.875</v>
      </c>
      <c r="AM27" s="52">
        <v>143.75</v>
      </c>
      <c r="AN27" s="52">
        <v>165.625</v>
      </c>
      <c r="AO27" s="59">
        <v>0.75714285714285712</v>
      </c>
      <c r="AP27" s="60">
        <v>53.125</v>
      </c>
      <c r="AQ27" s="61">
        <v>0.24285714285714285</v>
      </c>
      <c r="AR27" s="60" t="s">
        <v>78</v>
      </c>
      <c r="AS27" s="62">
        <v>225</v>
      </c>
      <c r="AT27" s="62">
        <v>150</v>
      </c>
      <c r="AU27" s="62">
        <v>375</v>
      </c>
      <c r="AV27" s="62">
        <v>468.75</v>
      </c>
      <c r="AW27" s="47" t="s">
        <v>74</v>
      </c>
      <c r="AX27" s="64">
        <v>44967</v>
      </c>
      <c r="AY27" s="64" t="s">
        <v>5158</v>
      </c>
      <c r="BA27" s="64"/>
      <c r="BB27" s="64"/>
      <c r="BC27" s="64"/>
      <c r="BD27" s="46"/>
      <c r="BE27" s="46" t="e">
        <v>#REF!</v>
      </c>
      <c r="BF27" s="46" t="s">
        <v>75</v>
      </c>
      <c r="BG27" s="65">
        <v>0.75</v>
      </c>
      <c r="BH27" s="66" t="s">
        <v>5159</v>
      </c>
      <c r="BI27" s="63" t="s">
        <v>5160</v>
      </c>
    </row>
    <row r="28" spans="1:61" ht="38.25" x14ac:dyDescent="0.2">
      <c r="A28" s="45" t="s">
        <v>5161</v>
      </c>
      <c r="B28" s="46"/>
      <c r="C28" s="46" t="s">
        <v>5154</v>
      </c>
      <c r="D28" s="46" t="s">
        <v>5036</v>
      </c>
      <c r="E28" s="46" t="s">
        <v>5162</v>
      </c>
      <c r="F28" s="46" t="s">
        <v>5163</v>
      </c>
      <c r="G28" s="46" t="s">
        <v>5157</v>
      </c>
      <c r="H28" s="46" t="s">
        <v>68</v>
      </c>
      <c r="I28" s="46" t="s">
        <v>68</v>
      </c>
      <c r="J28" s="46" t="s">
        <v>71</v>
      </c>
      <c r="K28" s="47">
        <v>250</v>
      </c>
      <c r="L28" s="47">
        <v>250</v>
      </c>
      <c r="M28" s="47">
        <v>500</v>
      </c>
      <c r="N28" s="46"/>
      <c r="O28" s="71" t="s">
        <v>68</v>
      </c>
      <c r="P28" s="64"/>
      <c r="Q28" s="46" t="s">
        <v>5029</v>
      </c>
      <c r="R28" s="46" t="s">
        <v>5151</v>
      </c>
      <c r="S28" s="49">
        <v>125</v>
      </c>
      <c r="T28" s="49">
        <v>625</v>
      </c>
      <c r="U28" s="28">
        <v>0.252</v>
      </c>
      <c r="V28" s="50">
        <v>0.16666666666666666</v>
      </c>
      <c r="W28" s="51">
        <v>1</v>
      </c>
      <c r="X28" s="52">
        <v>62.5</v>
      </c>
      <c r="Y28" s="52">
        <v>30</v>
      </c>
      <c r="Z28" s="52">
        <v>375</v>
      </c>
      <c r="AA28" s="52">
        <v>467.5</v>
      </c>
      <c r="AB28" s="53">
        <v>0.748</v>
      </c>
      <c r="AC28" s="72">
        <v>157.5</v>
      </c>
      <c r="AD28" s="55">
        <v>0.252</v>
      </c>
      <c r="AE28" s="56">
        <v>2</v>
      </c>
      <c r="AF28" s="57" t="s">
        <v>72</v>
      </c>
      <c r="AG28" s="58">
        <v>125</v>
      </c>
      <c r="AH28" s="58">
        <v>250</v>
      </c>
      <c r="AI28" s="58">
        <v>375</v>
      </c>
      <c r="AJ28" s="49">
        <v>93.75</v>
      </c>
      <c r="AK28" s="49">
        <v>468.75</v>
      </c>
      <c r="AL28" s="52">
        <v>46.875</v>
      </c>
      <c r="AM28" s="52">
        <v>343.75</v>
      </c>
      <c r="AN28" s="52">
        <v>390.625</v>
      </c>
      <c r="AO28" s="59">
        <v>0.83333333333333337</v>
      </c>
      <c r="AP28" s="60">
        <v>78.125</v>
      </c>
      <c r="AQ28" s="61">
        <v>0.16666666666666666</v>
      </c>
      <c r="AR28" s="60" t="s">
        <v>73</v>
      </c>
      <c r="AS28" s="62">
        <v>375</v>
      </c>
      <c r="AT28" s="62">
        <v>375</v>
      </c>
      <c r="AU28" s="62">
        <v>750</v>
      </c>
      <c r="AV28" s="62">
        <v>937.5</v>
      </c>
      <c r="AW28" s="47" t="s">
        <v>74</v>
      </c>
      <c r="AX28" s="64">
        <v>44967</v>
      </c>
      <c r="AY28" s="64" t="s">
        <v>5164</v>
      </c>
      <c r="BA28" s="64"/>
      <c r="BB28" s="64"/>
      <c r="BC28" s="64"/>
      <c r="BD28" s="46"/>
      <c r="BE28" s="46" t="e">
        <v>#REF!</v>
      </c>
      <c r="BF28" s="46" t="s">
        <v>75</v>
      </c>
      <c r="BG28" s="65">
        <v>1.5</v>
      </c>
      <c r="BH28" s="66" t="s">
        <v>5165</v>
      </c>
      <c r="BI28" s="63" t="s">
        <v>5166</v>
      </c>
    </row>
    <row r="29" spans="1:61" ht="25.5" x14ac:dyDescent="0.2">
      <c r="A29" s="34" t="s">
        <v>5167</v>
      </c>
      <c r="B29" s="35"/>
      <c r="C29" s="35" t="s">
        <v>68</v>
      </c>
      <c r="D29" s="35" t="s">
        <v>68</v>
      </c>
      <c r="E29" s="35" t="s">
        <v>68</v>
      </c>
      <c r="F29" s="35" t="s">
        <v>68</v>
      </c>
      <c r="G29" s="35" t="s">
        <v>68</v>
      </c>
      <c r="H29" s="35" t="s">
        <v>68</v>
      </c>
      <c r="I29" s="35" t="s">
        <v>68</v>
      </c>
      <c r="J29" s="35" t="s">
        <v>68</v>
      </c>
      <c r="K29" s="36" t="s">
        <v>68</v>
      </c>
      <c r="L29" s="36" t="s">
        <v>68</v>
      </c>
      <c r="M29" s="36" t="s">
        <v>68</v>
      </c>
      <c r="N29" s="35"/>
      <c r="O29" s="35" t="s">
        <v>68</v>
      </c>
      <c r="P29" s="37"/>
      <c r="Q29" s="38" t="s">
        <v>5029</v>
      </c>
      <c r="R29" s="38" t="s">
        <v>5168</v>
      </c>
      <c r="S29" s="36" t="s">
        <v>68</v>
      </c>
      <c r="T29" s="36" t="s">
        <v>68</v>
      </c>
      <c r="U29" s="39" t="s">
        <v>68</v>
      </c>
      <c r="V29" s="39" t="s">
        <v>68</v>
      </c>
      <c r="W29" s="40" t="s">
        <v>68</v>
      </c>
      <c r="X29" s="36" t="s">
        <v>68</v>
      </c>
      <c r="Y29" s="36" t="s">
        <v>68</v>
      </c>
      <c r="Z29" s="36" t="s">
        <v>68</v>
      </c>
      <c r="AA29" s="36" t="s">
        <v>68</v>
      </c>
      <c r="AB29" s="39" t="s">
        <v>68</v>
      </c>
      <c r="AC29" s="36" t="s">
        <v>68</v>
      </c>
      <c r="AD29" s="39" t="s">
        <v>68</v>
      </c>
      <c r="AE29" s="41"/>
      <c r="AF29" s="42" t="s">
        <v>68</v>
      </c>
      <c r="AG29" s="36" t="s">
        <v>68</v>
      </c>
      <c r="AH29" s="36" t="s">
        <v>68</v>
      </c>
      <c r="AI29" s="36" t="s">
        <v>68</v>
      </c>
      <c r="AJ29" s="36" t="s">
        <v>68</v>
      </c>
      <c r="AK29" s="36" t="s">
        <v>68</v>
      </c>
      <c r="AL29" s="36" t="s">
        <v>68</v>
      </c>
      <c r="AM29" s="36" t="s">
        <v>68</v>
      </c>
      <c r="AN29" s="36" t="s">
        <v>68</v>
      </c>
      <c r="AO29" s="43" t="s">
        <v>68</v>
      </c>
      <c r="AP29" s="36" t="s">
        <v>68</v>
      </c>
      <c r="AQ29" s="39" t="s">
        <v>68</v>
      </c>
      <c r="AR29" s="36" t="s">
        <v>68</v>
      </c>
      <c r="AS29" s="36" t="s">
        <v>68</v>
      </c>
      <c r="AT29" s="36" t="s">
        <v>68</v>
      </c>
      <c r="AU29" s="36" t="s">
        <v>68</v>
      </c>
      <c r="AV29" s="36" t="s">
        <v>68</v>
      </c>
      <c r="AW29" s="35"/>
      <c r="AX29" s="37"/>
      <c r="AY29" s="37" t="s">
        <v>68</v>
      </c>
      <c r="BA29" s="37"/>
      <c r="BB29" s="37"/>
      <c r="BC29" s="37"/>
      <c r="BD29" s="35"/>
      <c r="BE29" s="35" t="e">
        <v>#REF!</v>
      </c>
      <c r="BF29" s="35"/>
      <c r="BG29" s="44"/>
      <c r="BH29" s="38" t="s">
        <v>5169</v>
      </c>
      <c r="BI29" s="35" t="s">
        <v>68</v>
      </c>
    </row>
    <row r="30" spans="1:61" ht="38.25" x14ac:dyDescent="0.2">
      <c r="A30" s="45" t="s">
        <v>5170</v>
      </c>
      <c r="B30" s="46"/>
      <c r="C30" s="46" t="s">
        <v>5171</v>
      </c>
      <c r="D30" s="46" t="s">
        <v>5036</v>
      </c>
      <c r="E30" s="46" t="s">
        <v>5056</v>
      </c>
      <c r="F30" s="46" t="s">
        <v>5172</v>
      </c>
      <c r="G30" s="46" t="s">
        <v>5173</v>
      </c>
      <c r="H30" s="46" t="s">
        <v>68</v>
      </c>
      <c r="I30" s="46" t="s">
        <v>68</v>
      </c>
      <c r="J30" s="46" t="s">
        <v>2996</v>
      </c>
      <c r="K30" s="47">
        <v>150</v>
      </c>
      <c r="L30" s="47">
        <v>100</v>
      </c>
      <c r="M30" s="47">
        <v>250</v>
      </c>
      <c r="N30" s="46"/>
      <c r="O30" s="71" t="s">
        <v>68</v>
      </c>
      <c r="P30" s="64"/>
      <c r="Q30" s="46" t="s">
        <v>5029</v>
      </c>
      <c r="R30" s="46" t="s">
        <v>5168</v>
      </c>
      <c r="S30" s="49">
        <v>62.5</v>
      </c>
      <c r="T30" s="49">
        <v>312.5</v>
      </c>
      <c r="U30" s="28">
        <v>0.28399999999999997</v>
      </c>
      <c r="V30" s="28">
        <v>0.24285714285714285</v>
      </c>
      <c r="W30" s="51">
        <v>0.66666666666666663</v>
      </c>
      <c r="X30" s="52">
        <v>31.25</v>
      </c>
      <c r="Y30" s="52">
        <v>30</v>
      </c>
      <c r="Z30" s="52">
        <v>162.5</v>
      </c>
      <c r="AA30" s="52">
        <v>223.75</v>
      </c>
      <c r="AB30" s="53">
        <v>0.71599999999999997</v>
      </c>
      <c r="AC30" s="68">
        <v>88.75</v>
      </c>
      <c r="AD30" s="55">
        <v>0.28399999999999997</v>
      </c>
      <c r="AE30" s="56">
        <v>2</v>
      </c>
      <c r="AF30" s="57" t="s">
        <v>72</v>
      </c>
      <c r="AG30" s="58">
        <v>75</v>
      </c>
      <c r="AH30" s="58">
        <v>100</v>
      </c>
      <c r="AI30" s="58">
        <v>175</v>
      </c>
      <c r="AJ30" s="49">
        <v>43.75</v>
      </c>
      <c r="AK30" s="49">
        <v>218.75</v>
      </c>
      <c r="AL30" s="52">
        <v>21.875</v>
      </c>
      <c r="AM30" s="52">
        <v>143.75</v>
      </c>
      <c r="AN30" s="52">
        <v>165.625</v>
      </c>
      <c r="AO30" s="59">
        <v>0.75714285714285712</v>
      </c>
      <c r="AP30" s="60">
        <v>53.125</v>
      </c>
      <c r="AQ30" s="61">
        <v>0.24285714285714285</v>
      </c>
      <c r="AR30" s="60" t="s">
        <v>78</v>
      </c>
      <c r="AS30" s="62">
        <v>225</v>
      </c>
      <c r="AT30" s="62">
        <v>150</v>
      </c>
      <c r="AU30" s="62">
        <v>375</v>
      </c>
      <c r="AV30" s="62">
        <v>468.75</v>
      </c>
      <c r="AW30" s="47" t="s">
        <v>74</v>
      </c>
      <c r="AX30" s="64">
        <v>44967</v>
      </c>
      <c r="AY30" s="64" t="s">
        <v>5174</v>
      </c>
      <c r="BA30" s="64"/>
      <c r="BB30" s="64"/>
      <c r="BC30" s="64"/>
      <c r="BD30" s="46"/>
      <c r="BE30" s="46" t="e">
        <v>#REF!</v>
      </c>
      <c r="BF30" s="46" t="s">
        <v>75</v>
      </c>
      <c r="BG30" s="65">
        <v>1</v>
      </c>
      <c r="BH30" s="66" t="s">
        <v>5175</v>
      </c>
      <c r="BI30" s="63" t="s">
        <v>5176</v>
      </c>
    </row>
    <row r="31" spans="1:61" ht="38.25" x14ac:dyDescent="0.2">
      <c r="A31" s="45" t="s">
        <v>5177</v>
      </c>
      <c r="B31" s="46"/>
      <c r="C31" s="46" t="s">
        <v>5171</v>
      </c>
      <c r="D31" s="46" t="s">
        <v>5036</v>
      </c>
      <c r="E31" s="46" t="s">
        <v>5178</v>
      </c>
      <c r="F31" s="46" t="s">
        <v>5172</v>
      </c>
      <c r="G31" s="46" t="s">
        <v>5173</v>
      </c>
      <c r="H31" s="46" t="s">
        <v>68</v>
      </c>
      <c r="I31" s="46" t="s">
        <v>68</v>
      </c>
      <c r="J31" s="46" t="s">
        <v>2996</v>
      </c>
      <c r="K31" s="47">
        <v>150</v>
      </c>
      <c r="L31" s="47">
        <v>200</v>
      </c>
      <c r="M31" s="47">
        <v>350</v>
      </c>
      <c r="N31" s="46"/>
      <c r="O31" s="71" t="s">
        <v>68</v>
      </c>
      <c r="P31" s="64"/>
      <c r="Q31" s="46" t="s">
        <v>5029</v>
      </c>
      <c r="R31" s="46" t="s">
        <v>5168</v>
      </c>
      <c r="S31" s="49">
        <v>87.5</v>
      </c>
      <c r="T31" s="49">
        <v>437.5</v>
      </c>
      <c r="U31" s="50">
        <v>0.17428571428571429</v>
      </c>
      <c r="V31" s="50">
        <v>0.11818181818181818</v>
      </c>
      <c r="W31" s="74">
        <v>1.3333333333333333</v>
      </c>
      <c r="X31" s="52">
        <v>43.75</v>
      </c>
      <c r="Y31" s="52">
        <v>30</v>
      </c>
      <c r="Z31" s="52">
        <v>287.5</v>
      </c>
      <c r="AA31" s="52">
        <v>361.25</v>
      </c>
      <c r="AB31" s="53">
        <v>0.82571428571428573</v>
      </c>
      <c r="AC31" s="75">
        <v>76.25</v>
      </c>
      <c r="AD31" s="55">
        <v>0.17428571428571429</v>
      </c>
      <c r="AE31" s="56">
        <v>2</v>
      </c>
      <c r="AF31" s="57" t="s">
        <v>72</v>
      </c>
      <c r="AG31" s="58">
        <v>75</v>
      </c>
      <c r="AH31" s="58">
        <v>200</v>
      </c>
      <c r="AI31" s="58">
        <v>275</v>
      </c>
      <c r="AJ31" s="49">
        <v>68.75</v>
      </c>
      <c r="AK31" s="49">
        <v>343.75</v>
      </c>
      <c r="AL31" s="52">
        <v>34.375</v>
      </c>
      <c r="AM31" s="52">
        <v>268.75</v>
      </c>
      <c r="AN31" s="52">
        <v>303.125</v>
      </c>
      <c r="AO31" s="59">
        <v>0.88181818181818183</v>
      </c>
      <c r="AP31" s="60">
        <v>40.625</v>
      </c>
      <c r="AQ31" s="61">
        <v>0.11818181818181818</v>
      </c>
      <c r="AR31" s="60" t="s">
        <v>73</v>
      </c>
      <c r="AS31" s="62">
        <v>225</v>
      </c>
      <c r="AT31" s="62">
        <v>300</v>
      </c>
      <c r="AU31" s="62">
        <v>525</v>
      </c>
      <c r="AV31" s="62">
        <v>656.25</v>
      </c>
      <c r="AW31" s="47" t="s">
        <v>74</v>
      </c>
      <c r="AX31" s="64">
        <v>44967</v>
      </c>
      <c r="AY31" s="64" t="s">
        <v>5179</v>
      </c>
      <c r="BA31" s="64"/>
      <c r="BB31" s="64"/>
      <c r="BC31" s="64"/>
      <c r="BD31" s="46"/>
      <c r="BE31" s="46" t="e">
        <v>#REF!</v>
      </c>
      <c r="BF31" s="46" t="s">
        <v>75</v>
      </c>
      <c r="BG31" s="65">
        <v>2</v>
      </c>
      <c r="BH31" s="66" t="s">
        <v>5180</v>
      </c>
      <c r="BI31" s="63" t="s">
        <v>5181</v>
      </c>
    </row>
    <row r="32" spans="1:61" ht="38.25" x14ac:dyDescent="0.2">
      <c r="A32" s="45" t="s">
        <v>5182</v>
      </c>
      <c r="B32" s="46"/>
      <c r="C32" s="46" t="s">
        <v>5183</v>
      </c>
      <c r="D32" s="46" t="s">
        <v>5036</v>
      </c>
      <c r="E32" s="46" t="s">
        <v>5184</v>
      </c>
      <c r="F32" s="46" t="s">
        <v>5173</v>
      </c>
      <c r="G32" s="46" t="s">
        <v>68</v>
      </c>
      <c r="H32" s="46" t="s">
        <v>68</v>
      </c>
      <c r="I32" s="46" t="s">
        <v>68</v>
      </c>
      <c r="J32" s="46" t="s">
        <v>71</v>
      </c>
      <c r="K32" s="47">
        <v>300</v>
      </c>
      <c r="L32" s="47">
        <v>100</v>
      </c>
      <c r="M32" s="47">
        <v>400</v>
      </c>
      <c r="N32" s="46"/>
      <c r="O32" s="71" t="s">
        <v>68</v>
      </c>
      <c r="P32" s="64"/>
      <c r="Q32" s="46" t="s">
        <v>5029</v>
      </c>
      <c r="R32" s="46" t="s">
        <v>5168</v>
      </c>
      <c r="S32" s="49">
        <v>100</v>
      </c>
      <c r="T32" s="49">
        <v>500</v>
      </c>
      <c r="U32" s="67">
        <v>0.44</v>
      </c>
      <c r="V32" s="67">
        <v>0.38</v>
      </c>
      <c r="W32" s="51">
        <v>0.33333333333333331</v>
      </c>
      <c r="X32" s="52">
        <v>50</v>
      </c>
      <c r="Y32" s="52">
        <v>30</v>
      </c>
      <c r="Z32" s="52">
        <v>200</v>
      </c>
      <c r="AA32" s="52">
        <v>280</v>
      </c>
      <c r="AB32" s="53">
        <v>0.56000000000000005</v>
      </c>
      <c r="AC32" s="72">
        <v>220</v>
      </c>
      <c r="AD32" s="55">
        <v>0.44</v>
      </c>
      <c r="AE32" s="56">
        <v>2</v>
      </c>
      <c r="AF32" s="57" t="s">
        <v>72</v>
      </c>
      <c r="AG32" s="58">
        <v>150</v>
      </c>
      <c r="AH32" s="58">
        <v>100</v>
      </c>
      <c r="AI32" s="58">
        <v>250</v>
      </c>
      <c r="AJ32" s="49">
        <v>62.5</v>
      </c>
      <c r="AK32" s="49">
        <v>312.5</v>
      </c>
      <c r="AL32" s="52">
        <v>31.25</v>
      </c>
      <c r="AM32" s="52">
        <v>162.5</v>
      </c>
      <c r="AN32" s="52">
        <v>193.75</v>
      </c>
      <c r="AO32" s="59">
        <v>0.62</v>
      </c>
      <c r="AP32" s="60">
        <v>118.75</v>
      </c>
      <c r="AQ32" s="61">
        <v>0.38</v>
      </c>
      <c r="AR32" s="60" t="s">
        <v>78</v>
      </c>
      <c r="AS32" s="62">
        <v>450</v>
      </c>
      <c r="AT32" s="62">
        <v>150</v>
      </c>
      <c r="AU32" s="62">
        <v>600</v>
      </c>
      <c r="AV32" s="62">
        <v>750</v>
      </c>
      <c r="AW32" s="47" t="s">
        <v>74</v>
      </c>
      <c r="AX32" s="64">
        <v>44967</v>
      </c>
      <c r="AY32" s="64" t="s">
        <v>5185</v>
      </c>
      <c r="BA32" s="64"/>
      <c r="BB32" s="64"/>
      <c r="BC32" s="64"/>
      <c r="BD32" s="46"/>
      <c r="BE32" s="46" t="e">
        <v>#REF!</v>
      </c>
      <c r="BF32" s="46" t="s">
        <v>75</v>
      </c>
      <c r="BG32" s="65">
        <v>0.75</v>
      </c>
      <c r="BH32" s="66" t="s">
        <v>5186</v>
      </c>
      <c r="BI32" s="63" t="s">
        <v>5187</v>
      </c>
    </row>
  </sheetData>
  <hyperlinks>
    <hyperlink ref="AX24" r:id="rId1" display="https://www.leroymerlin.com.br/passarinheira-plastica--50cm-x-9,5cm-cinza-25-unidades_1569720362"/>
    <hyperlink ref="BD24" r:id="rId2"/>
  </hyperlinks>
  <pageMargins left="0.511811024" right="0.511811024" top="0.78740157499999996" bottom="0.78740157499999996" header="0.31496062000000002" footer="0.3149606200000000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1121"/>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26.7109375" customWidth="1"/>
    <col min="11" max="11" width="18.42578125" customWidth="1"/>
    <col min="12" max="12" width="25.85546875" customWidth="1"/>
    <col min="13" max="13" width="19.42578125" customWidth="1"/>
    <col min="14" max="14" width="38.42578125" customWidth="1"/>
    <col min="15" max="15" width="39.4257812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2" width="12.5703125" hidden="1"/>
    <col min="53" max="53" width="40" hidden="1" customWidth="1"/>
    <col min="54" max="54" width="55.140625" hidden="1" customWidth="1"/>
    <col min="55" max="55" width="12.5703125" hidden="1"/>
    <col min="56" max="56" width="47.42578125" hidden="1" customWidth="1"/>
    <col min="57" max="57" width="26.140625" hidden="1" customWidth="1"/>
    <col min="58" max="59" width="12.5703125" hidden="1"/>
    <col min="60" max="60" width="23.28515625" hidden="1" customWidth="1"/>
    <col min="61" max="61" width="28.285156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5188</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5189</v>
      </c>
      <c r="AZ1" s="21"/>
      <c r="BA1" s="9" t="s">
        <v>60</v>
      </c>
      <c r="BB1" s="9" t="s">
        <v>5190</v>
      </c>
      <c r="BC1" s="9" t="s">
        <v>5191</v>
      </c>
      <c r="BD1" s="9" t="s">
        <v>61</v>
      </c>
      <c r="BE1" s="9" t="s">
        <v>62</v>
      </c>
      <c r="BF1" s="9" t="s">
        <v>63</v>
      </c>
      <c r="BG1" s="22" t="s">
        <v>64</v>
      </c>
      <c r="BH1" s="9" t="s">
        <v>65</v>
      </c>
      <c r="BI1" s="9" t="s">
        <v>66</v>
      </c>
    </row>
    <row r="2" spans="1:61" ht="25.5" hidden="1" x14ac:dyDescent="0.2">
      <c r="A2" s="23" t="s">
        <v>5192</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5193</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5192</v>
      </c>
      <c r="BF2" s="24"/>
      <c r="BG2" s="33"/>
      <c r="BH2" s="27" t="s">
        <v>5194</v>
      </c>
      <c r="BI2" s="24" t="s">
        <v>68</v>
      </c>
    </row>
    <row r="3" spans="1:61" ht="25.5" hidden="1" x14ac:dyDescent="0.2">
      <c r="A3" s="34" t="s">
        <v>5195</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5193</v>
      </c>
      <c r="R3" s="38" t="s">
        <v>5196</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5197</v>
      </c>
      <c r="BI3" s="35" t="s">
        <v>68</v>
      </c>
    </row>
    <row r="4" spans="1:61" ht="114.75" x14ac:dyDescent="0.2">
      <c r="A4" s="45" t="s">
        <v>5198</v>
      </c>
      <c r="B4" s="46"/>
      <c r="C4" s="46" t="s">
        <v>5199</v>
      </c>
      <c r="D4" s="46" t="s">
        <v>3432</v>
      </c>
      <c r="E4" s="46" t="s">
        <v>5200</v>
      </c>
      <c r="F4" s="46" t="s">
        <v>68</v>
      </c>
      <c r="G4" s="46" t="s">
        <v>68</v>
      </c>
      <c r="H4" s="46" t="s">
        <v>68</v>
      </c>
      <c r="I4" s="46" t="s">
        <v>68</v>
      </c>
      <c r="J4" s="46" t="s">
        <v>71</v>
      </c>
      <c r="K4" s="47">
        <v>1200</v>
      </c>
      <c r="L4" s="47">
        <v>1500</v>
      </c>
      <c r="M4" s="47">
        <v>2700</v>
      </c>
      <c r="N4" s="46"/>
      <c r="O4" s="71" t="s">
        <v>68</v>
      </c>
      <c r="P4" s="64"/>
      <c r="Q4" s="46" t="s">
        <v>5193</v>
      </c>
      <c r="R4" s="46" t="s">
        <v>5196</v>
      </c>
      <c r="S4" s="49">
        <v>675</v>
      </c>
      <c r="T4" s="49">
        <v>3375</v>
      </c>
      <c r="U4" s="28">
        <v>0.24666666666666667</v>
      </c>
      <c r="V4" s="28">
        <v>0.25555555555555554</v>
      </c>
      <c r="W4" s="74">
        <v>1.25</v>
      </c>
      <c r="X4" s="52">
        <v>337.5</v>
      </c>
      <c r="Y4" s="52">
        <v>30</v>
      </c>
      <c r="Z4" s="52">
        <v>2175</v>
      </c>
      <c r="AA4" s="52">
        <v>2542.5</v>
      </c>
      <c r="AB4" s="53">
        <v>0.7533333333333333</v>
      </c>
      <c r="AC4" s="72">
        <v>832.5</v>
      </c>
      <c r="AD4" s="55">
        <v>0.24666666666666667</v>
      </c>
      <c r="AE4" s="73">
        <v>3</v>
      </c>
      <c r="AF4" s="57" t="s">
        <v>95</v>
      </c>
      <c r="AG4" s="58">
        <v>1200</v>
      </c>
      <c r="AH4" s="58">
        <v>1500</v>
      </c>
      <c r="AI4" s="58">
        <v>2700</v>
      </c>
      <c r="AJ4" s="49">
        <v>675</v>
      </c>
      <c r="AK4" s="49">
        <v>3375</v>
      </c>
      <c r="AL4" s="52">
        <v>337.5</v>
      </c>
      <c r="AM4" s="52">
        <v>2175</v>
      </c>
      <c r="AN4" s="52">
        <v>2512.5</v>
      </c>
      <c r="AO4" s="59">
        <v>0.74444444444444446</v>
      </c>
      <c r="AP4" s="60">
        <v>862.5</v>
      </c>
      <c r="AQ4" s="61">
        <v>0.25555555555555554</v>
      </c>
      <c r="AR4" s="60" t="s">
        <v>78</v>
      </c>
      <c r="AS4" s="62">
        <v>1920</v>
      </c>
      <c r="AT4" s="62">
        <v>2400</v>
      </c>
      <c r="AU4" s="62">
        <v>4320</v>
      </c>
      <c r="AV4" s="62">
        <v>5400</v>
      </c>
      <c r="AW4" s="47" t="s">
        <v>107</v>
      </c>
      <c r="AX4" s="64"/>
      <c r="AY4" s="64" t="s">
        <v>5201</v>
      </c>
      <c r="BA4" s="64"/>
      <c r="BB4" s="64"/>
      <c r="BC4" s="64"/>
      <c r="BD4" s="46"/>
      <c r="BE4" s="46" t="e">
        <v>#REF!</v>
      </c>
      <c r="BF4" s="46" t="s">
        <v>75</v>
      </c>
      <c r="BG4" s="65"/>
      <c r="BH4" s="66" t="s">
        <v>5202</v>
      </c>
      <c r="BI4" s="63" t="s">
        <v>5203</v>
      </c>
    </row>
    <row r="5" spans="1:61" ht="114.75" x14ac:dyDescent="0.2">
      <c r="A5" s="45" t="s">
        <v>5204</v>
      </c>
      <c r="B5" s="46"/>
      <c r="C5" s="46" t="s">
        <v>5199</v>
      </c>
      <c r="D5" s="46" t="s">
        <v>3432</v>
      </c>
      <c r="E5" s="46" t="s">
        <v>5205</v>
      </c>
      <c r="F5" s="46" t="s">
        <v>68</v>
      </c>
      <c r="G5" s="46" t="s">
        <v>68</v>
      </c>
      <c r="H5" s="46" t="s">
        <v>68</v>
      </c>
      <c r="I5" s="46" t="s">
        <v>68</v>
      </c>
      <c r="J5" s="46" t="s">
        <v>71</v>
      </c>
      <c r="K5" s="47">
        <v>1500</v>
      </c>
      <c r="L5" s="47">
        <v>1500</v>
      </c>
      <c r="M5" s="47">
        <v>3000</v>
      </c>
      <c r="N5" s="46"/>
      <c r="O5" s="71" t="s">
        <v>68</v>
      </c>
      <c r="P5" s="64"/>
      <c r="Q5" s="46" t="s">
        <v>5193</v>
      </c>
      <c r="R5" s="46" t="s">
        <v>5196</v>
      </c>
      <c r="S5" s="49">
        <v>750</v>
      </c>
      <c r="T5" s="49">
        <v>3750</v>
      </c>
      <c r="U5" s="28">
        <v>0.29199999999999998</v>
      </c>
      <c r="V5" s="67">
        <v>0.3</v>
      </c>
      <c r="W5" s="51">
        <v>1</v>
      </c>
      <c r="X5" s="52">
        <v>375</v>
      </c>
      <c r="Y5" s="52">
        <v>30</v>
      </c>
      <c r="Z5" s="52">
        <v>2250</v>
      </c>
      <c r="AA5" s="52">
        <v>2655</v>
      </c>
      <c r="AB5" s="53">
        <v>0.70799999999999996</v>
      </c>
      <c r="AC5" s="72">
        <v>1095</v>
      </c>
      <c r="AD5" s="55">
        <v>0.29199999999999998</v>
      </c>
      <c r="AE5" s="73">
        <v>3</v>
      </c>
      <c r="AF5" s="57" t="s">
        <v>95</v>
      </c>
      <c r="AG5" s="58">
        <v>1500</v>
      </c>
      <c r="AH5" s="58">
        <v>1500</v>
      </c>
      <c r="AI5" s="58">
        <v>3000</v>
      </c>
      <c r="AJ5" s="49">
        <v>750</v>
      </c>
      <c r="AK5" s="49">
        <v>3750</v>
      </c>
      <c r="AL5" s="52">
        <v>375</v>
      </c>
      <c r="AM5" s="52">
        <v>2250</v>
      </c>
      <c r="AN5" s="52">
        <v>2625</v>
      </c>
      <c r="AO5" s="59">
        <v>0.7</v>
      </c>
      <c r="AP5" s="60">
        <v>1125</v>
      </c>
      <c r="AQ5" s="61">
        <v>0.3</v>
      </c>
      <c r="AR5" s="60" t="s">
        <v>78</v>
      </c>
      <c r="AS5" s="62">
        <v>2400</v>
      </c>
      <c r="AT5" s="62">
        <v>2400</v>
      </c>
      <c r="AU5" s="62">
        <v>4800</v>
      </c>
      <c r="AV5" s="62">
        <v>6000</v>
      </c>
      <c r="AW5" s="47" t="s">
        <v>107</v>
      </c>
      <c r="AX5" s="64"/>
      <c r="AY5" s="64" t="s">
        <v>5206</v>
      </c>
      <c r="BA5" s="64"/>
      <c r="BB5" s="64"/>
      <c r="BC5" s="64"/>
      <c r="BD5" s="46"/>
      <c r="BE5" s="46" t="e">
        <v>#REF!</v>
      </c>
      <c r="BF5" s="46" t="s">
        <v>75</v>
      </c>
      <c r="BG5" s="65"/>
      <c r="BH5" s="66" t="s">
        <v>5207</v>
      </c>
      <c r="BI5" s="63" t="s">
        <v>5208</v>
      </c>
    </row>
    <row r="6" spans="1:61" ht="140.25" x14ac:dyDescent="0.2">
      <c r="A6" s="45" t="s">
        <v>5209</v>
      </c>
      <c r="B6" s="46"/>
      <c r="C6" s="46" t="s">
        <v>5210</v>
      </c>
      <c r="D6" s="46" t="s">
        <v>5211</v>
      </c>
      <c r="E6" s="46" t="s">
        <v>5200</v>
      </c>
      <c r="F6" s="46" t="s">
        <v>68</v>
      </c>
      <c r="G6" s="46" t="s">
        <v>68</v>
      </c>
      <c r="H6" s="46" t="s">
        <v>5212</v>
      </c>
      <c r="I6" s="46" t="s">
        <v>68</v>
      </c>
      <c r="J6" s="46" t="s">
        <v>71</v>
      </c>
      <c r="K6" s="47">
        <v>800</v>
      </c>
      <c r="L6" s="47">
        <v>900</v>
      </c>
      <c r="M6" s="47">
        <v>1700</v>
      </c>
      <c r="N6" s="46"/>
      <c r="O6" s="71" t="s">
        <v>68</v>
      </c>
      <c r="P6" s="64"/>
      <c r="Q6" s="46" t="s">
        <v>5193</v>
      </c>
      <c r="R6" s="46" t="s">
        <v>5196</v>
      </c>
      <c r="S6" s="49">
        <v>425</v>
      </c>
      <c r="T6" s="49">
        <v>2125</v>
      </c>
      <c r="U6" s="28">
        <v>0.26235294117647057</v>
      </c>
      <c r="V6" s="28">
        <v>0.27647058823529413</v>
      </c>
      <c r="W6" s="74">
        <v>1.125</v>
      </c>
      <c r="X6" s="52">
        <v>212.5</v>
      </c>
      <c r="Y6" s="52">
        <v>30</v>
      </c>
      <c r="Z6" s="52">
        <v>1325</v>
      </c>
      <c r="AA6" s="52">
        <v>1567.5</v>
      </c>
      <c r="AB6" s="53">
        <v>0.73764705882352943</v>
      </c>
      <c r="AC6" s="72">
        <v>557.5</v>
      </c>
      <c r="AD6" s="55">
        <v>0.26235294117647057</v>
      </c>
      <c r="AE6" s="73">
        <v>3</v>
      </c>
      <c r="AF6" s="57" t="s">
        <v>95</v>
      </c>
      <c r="AG6" s="58">
        <v>800</v>
      </c>
      <c r="AH6" s="58">
        <v>900</v>
      </c>
      <c r="AI6" s="58">
        <v>1700</v>
      </c>
      <c r="AJ6" s="49">
        <v>425</v>
      </c>
      <c r="AK6" s="49">
        <v>2125</v>
      </c>
      <c r="AL6" s="52">
        <v>212.5</v>
      </c>
      <c r="AM6" s="52">
        <v>1325</v>
      </c>
      <c r="AN6" s="52">
        <v>1537.5</v>
      </c>
      <c r="AO6" s="59">
        <v>0.72352941176470587</v>
      </c>
      <c r="AP6" s="60">
        <v>587.5</v>
      </c>
      <c r="AQ6" s="61">
        <v>0.27647058823529413</v>
      </c>
      <c r="AR6" s="60" t="s">
        <v>78</v>
      </c>
      <c r="AS6" s="62">
        <v>1280</v>
      </c>
      <c r="AT6" s="62">
        <v>1440</v>
      </c>
      <c r="AU6" s="62">
        <v>2720</v>
      </c>
      <c r="AV6" s="62">
        <v>3400</v>
      </c>
      <c r="AW6" s="47" t="s">
        <v>107</v>
      </c>
      <c r="AX6" s="64"/>
      <c r="AY6" s="64" t="s">
        <v>5213</v>
      </c>
      <c r="BA6" s="64"/>
      <c r="BB6" s="64"/>
      <c r="BC6" s="64"/>
      <c r="BD6" s="46"/>
      <c r="BE6" s="46" t="e">
        <v>#REF!</v>
      </c>
      <c r="BF6" s="46" t="s">
        <v>75</v>
      </c>
      <c r="BG6" s="65"/>
      <c r="BH6" s="66" t="s">
        <v>5214</v>
      </c>
      <c r="BI6" s="63" t="s">
        <v>5215</v>
      </c>
    </row>
    <row r="7" spans="1:61" ht="153" x14ac:dyDescent="0.2">
      <c r="A7" s="45" t="s">
        <v>5216</v>
      </c>
      <c r="B7" s="46"/>
      <c r="C7" s="46" t="s">
        <v>5210</v>
      </c>
      <c r="D7" s="46" t="s">
        <v>5211</v>
      </c>
      <c r="E7" s="46" t="s">
        <v>5200</v>
      </c>
      <c r="F7" s="46" t="s">
        <v>68</v>
      </c>
      <c r="G7" s="46" t="s">
        <v>68</v>
      </c>
      <c r="H7" s="46" t="s">
        <v>5217</v>
      </c>
      <c r="I7" s="46" t="s">
        <v>68</v>
      </c>
      <c r="J7" s="46" t="s">
        <v>71</v>
      </c>
      <c r="K7" s="47">
        <v>1000</v>
      </c>
      <c r="L7" s="47">
        <v>1200</v>
      </c>
      <c r="M7" s="47">
        <v>2200</v>
      </c>
      <c r="N7" s="46"/>
      <c r="O7" s="71" t="s">
        <v>68</v>
      </c>
      <c r="P7" s="64"/>
      <c r="Q7" s="46" t="s">
        <v>5193</v>
      </c>
      <c r="R7" s="46" t="s">
        <v>5196</v>
      </c>
      <c r="S7" s="49">
        <v>550</v>
      </c>
      <c r="T7" s="49">
        <v>2750</v>
      </c>
      <c r="U7" s="28">
        <v>0.25272727272727274</v>
      </c>
      <c r="V7" s="28">
        <v>0.26363636363636361</v>
      </c>
      <c r="W7" s="74">
        <v>1.2</v>
      </c>
      <c r="X7" s="52">
        <v>275</v>
      </c>
      <c r="Y7" s="52">
        <v>30</v>
      </c>
      <c r="Z7" s="52">
        <v>1750</v>
      </c>
      <c r="AA7" s="52">
        <v>2055</v>
      </c>
      <c r="AB7" s="53">
        <v>0.74727272727272731</v>
      </c>
      <c r="AC7" s="72">
        <v>695</v>
      </c>
      <c r="AD7" s="55">
        <v>0.25272727272727274</v>
      </c>
      <c r="AE7" s="73">
        <v>3</v>
      </c>
      <c r="AF7" s="57" t="s">
        <v>95</v>
      </c>
      <c r="AG7" s="58">
        <v>1000</v>
      </c>
      <c r="AH7" s="58">
        <v>1200</v>
      </c>
      <c r="AI7" s="58">
        <v>2200</v>
      </c>
      <c r="AJ7" s="49">
        <v>550</v>
      </c>
      <c r="AK7" s="49">
        <v>2750</v>
      </c>
      <c r="AL7" s="52">
        <v>275</v>
      </c>
      <c r="AM7" s="52">
        <v>1750</v>
      </c>
      <c r="AN7" s="52">
        <v>2025</v>
      </c>
      <c r="AO7" s="59">
        <v>0.73636363636363633</v>
      </c>
      <c r="AP7" s="60">
        <v>725</v>
      </c>
      <c r="AQ7" s="61">
        <v>0.26363636363636361</v>
      </c>
      <c r="AR7" s="60" t="s">
        <v>78</v>
      </c>
      <c r="AS7" s="62">
        <v>1600</v>
      </c>
      <c r="AT7" s="62">
        <v>1920</v>
      </c>
      <c r="AU7" s="62">
        <v>3520</v>
      </c>
      <c r="AV7" s="62">
        <v>4400</v>
      </c>
      <c r="AW7" s="47" t="s">
        <v>107</v>
      </c>
      <c r="AX7" s="64"/>
      <c r="AY7" s="64" t="s">
        <v>5218</v>
      </c>
      <c r="BA7" s="64"/>
      <c r="BB7" s="64"/>
      <c r="BC7" s="64"/>
      <c r="BD7" s="46"/>
      <c r="BE7" s="46" t="e">
        <v>#REF!</v>
      </c>
      <c r="BF7" s="46" t="s">
        <v>75</v>
      </c>
      <c r="BG7" s="65"/>
      <c r="BH7" s="66" t="s">
        <v>5219</v>
      </c>
      <c r="BI7" s="63" t="s">
        <v>5220</v>
      </c>
    </row>
    <row r="8" spans="1:61" ht="140.25" x14ac:dyDescent="0.2">
      <c r="A8" s="45" t="s">
        <v>5221</v>
      </c>
      <c r="B8" s="46"/>
      <c r="C8" s="46" t="s">
        <v>5210</v>
      </c>
      <c r="D8" s="46" t="s">
        <v>5211</v>
      </c>
      <c r="E8" s="46" t="s">
        <v>5205</v>
      </c>
      <c r="F8" s="46" t="s">
        <v>68</v>
      </c>
      <c r="G8" s="46" t="s">
        <v>68</v>
      </c>
      <c r="H8" s="46" t="s">
        <v>5212</v>
      </c>
      <c r="I8" s="46" t="s">
        <v>68</v>
      </c>
      <c r="J8" s="46" t="s">
        <v>71</v>
      </c>
      <c r="K8" s="47">
        <v>1000</v>
      </c>
      <c r="L8" s="47">
        <v>1200</v>
      </c>
      <c r="M8" s="47">
        <v>2200</v>
      </c>
      <c r="N8" s="46"/>
      <c r="O8" s="71" t="s">
        <v>68</v>
      </c>
      <c r="P8" s="64"/>
      <c r="Q8" s="46" t="s">
        <v>5193</v>
      </c>
      <c r="R8" s="46" t="s">
        <v>5196</v>
      </c>
      <c r="S8" s="49">
        <v>550</v>
      </c>
      <c r="T8" s="49">
        <v>2750</v>
      </c>
      <c r="U8" s="28">
        <v>0.25272727272727274</v>
      </c>
      <c r="V8" s="28">
        <v>0.26363636363636361</v>
      </c>
      <c r="W8" s="74">
        <v>1.2</v>
      </c>
      <c r="X8" s="52">
        <v>275</v>
      </c>
      <c r="Y8" s="52">
        <v>30</v>
      </c>
      <c r="Z8" s="52">
        <v>1750</v>
      </c>
      <c r="AA8" s="52">
        <v>2055</v>
      </c>
      <c r="AB8" s="53">
        <v>0.74727272727272731</v>
      </c>
      <c r="AC8" s="72">
        <v>695</v>
      </c>
      <c r="AD8" s="55">
        <v>0.25272727272727274</v>
      </c>
      <c r="AE8" s="73">
        <v>3</v>
      </c>
      <c r="AF8" s="57" t="s">
        <v>95</v>
      </c>
      <c r="AG8" s="58">
        <v>1000</v>
      </c>
      <c r="AH8" s="58">
        <v>1200</v>
      </c>
      <c r="AI8" s="58">
        <v>2200</v>
      </c>
      <c r="AJ8" s="49">
        <v>550</v>
      </c>
      <c r="AK8" s="49">
        <v>2750</v>
      </c>
      <c r="AL8" s="52">
        <v>275</v>
      </c>
      <c r="AM8" s="52">
        <v>1750</v>
      </c>
      <c r="AN8" s="52">
        <v>2025</v>
      </c>
      <c r="AO8" s="59">
        <v>0.73636363636363633</v>
      </c>
      <c r="AP8" s="60">
        <v>725</v>
      </c>
      <c r="AQ8" s="61">
        <v>0.26363636363636361</v>
      </c>
      <c r="AR8" s="60" t="s">
        <v>78</v>
      </c>
      <c r="AS8" s="62">
        <v>1600</v>
      </c>
      <c r="AT8" s="62">
        <v>1920</v>
      </c>
      <c r="AU8" s="62">
        <v>3520</v>
      </c>
      <c r="AV8" s="62">
        <v>4400</v>
      </c>
      <c r="AW8" s="47" t="s">
        <v>107</v>
      </c>
      <c r="AX8" s="64"/>
      <c r="AY8" s="64" t="s">
        <v>5222</v>
      </c>
      <c r="BA8" s="64"/>
      <c r="BB8" s="64"/>
      <c r="BC8" s="64"/>
      <c r="BD8" s="46"/>
      <c r="BE8" s="46" t="e">
        <v>#REF!</v>
      </c>
      <c r="BF8" s="46" t="s">
        <v>75</v>
      </c>
      <c r="BG8" s="65"/>
      <c r="BH8" s="66" t="s">
        <v>5223</v>
      </c>
      <c r="BI8" s="63" t="s">
        <v>5224</v>
      </c>
    </row>
    <row r="9" spans="1:61" ht="153" x14ac:dyDescent="0.2">
      <c r="A9" s="45" t="s">
        <v>5225</v>
      </c>
      <c r="B9" s="46"/>
      <c r="C9" s="46" t="s">
        <v>5210</v>
      </c>
      <c r="D9" s="46" t="s">
        <v>5211</v>
      </c>
      <c r="E9" s="46" t="s">
        <v>5205</v>
      </c>
      <c r="F9" s="46" t="s">
        <v>68</v>
      </c>
      <c r="G9" s="46" t="s">
        <v>68</v>
      </c>
      <c r="H9" s="46" t="s">
        <v>5217</v>
      </c>
      <c r="I9" s="46" t="s">
        <v>68</v>
      </c>
      <c r="J9" s="46" t="s">
        <v>71</v>
      </c>
      <c r="K9" s="47">
        <v>1300</v>
      </c>
      <c r="L9" s="47">
        <v>1400</v>
      </c>
      <c r="M9" s="47">
        <v>2700</v>
      </c>
      <c r="N9" s="46"/>
      <c r="O9" s="71" t="s">
        <v>68</v>
      </c>
      <c r="P9" s="64"/>
      <c r="Q9" s="46" t="s">
        <v>5193</v>
      </c>
      <c r="R9" s="46" t="s">
        <v>5196</v>
      </c>
      <c r="S9" s="49">
        <v>675</v>
      </c>
      <c r="T9" s="49">
        <v>3375</v>
      </c>
      <c r="U9" s="28">
        <v>0.27629629629629632</v>
      </c>
      <c r="V9" s="28">
        <v>0.28518518518518521</v>
      </c>
      <c r="W9" s="74">
        <v>1.0769230769230769</v>
      </c>
      <c r="X9" s="52">
        <v>337.5</v>
      </c>
      <c r="Y9" s="52">
        <v>30</v>
      </c>
      <c r="Z9" s="52">
        <v>2075</v>
      </c>
      <c r="AA9" s="52">
        <v>2442.5</v>
      </c>
      <c r="AB9" s="53">
        <v>0.72370370370370374</v>
      </c>
      <c r="AC9" s="72">
        <v>932.5</v>
      </c>
      <c r="AD9" s="55">
        <v>0.27629629629629632</v>
      </c>
      <c r="AE9" s="73">
        <v>3</v>
      </c>
      <c r="AF9" s="57" t="s">
        <v>95</v>
      </c>
      <c r="AG9" s="58">
        <v>1300</v>
      </c>
      <c r="AH9" s="58">
        <v>1400</v>
      </c>
      <c r="AI9" s="58">
        <v>2700</v>
      </c>
      <c r="AJ9" s="49">
        <v>675</v>
      </c>
      <c r="AK9" s="49">
        <v>3375</v>
      </c>
      <c r="AL9" s="52">
        <v>337.5</v>
      </c>
      <c r="AM9" s="52">
        <v>2075</v>
      </c>
      <c r="AN9" s="52">
        <v>2412.5</v>
      </c>
      <c r="AO9" s="59">
        <v>0.71481481481481479</v>
      </c>
      <c r="AP9" s="60">
        <v>962.5</v>
      </c>
      <c r="AQ9" s="61">
        <v>0.28518518518518521</v>
      </c>
      <c r="AR9" s="60" t="s">
        <v>78</v>
      </c>
      <c r="AS9" s="62">
        <v>2080</v>
      </c>
      <c r="AT9" s="62">
        <v>2240</v>
      </c>
      <c r="AU9" s="62">
        <v>4320</v>
      </c>
      <c r="AV9" s="62">
        <v>5400</v>
      </c>
      <c r="AW9" s="47" t="s">
        <v>107</v>
      </c>
      <c r="AX9" s="64"/>
      <c r="AY9" s="64" t="s">
        <v>5226</v>
      </c>
      <c r="BA9" s="64"/>
      <c r="BB9" s="64"/>
      <c r="BC9" s="64"/>
      <c r="BD9" s="46"/>
      <c r="BE9" s="46" t="e">
        <v>#REF!</v>
      </c>
      <c r="BF9" s="46" t="s">
        <v>75</v>
      </c>
      <c r="BG9" s="65"/>
      <c r="BH9" s="66" t="s">
        <v>5227</v>
      </c>
      <c r="BI9" s="63" t="s">
        <v>5228</v>
      </c>
    </row>
    <row r="10" spans="1:61" ht="76.5" x14ac:dyDescent="0.2">
      <c r="A10" s="45" t="s">
        <v>5229</v>
      </c>
      <c r="B10" s="46"/>
      <c r="C10" s="46" t="s">
        <v>5230</v>
      </c>
      <c r="D10" s="46" t="s">
        <v>3432</v>
      </c>
      <c r="E10" s="46" t="s">
        <v>5200</v>
      </c>
      <c r="F10" s="46" t="s">
        <v>68</v>
      </c>
      <c r="G10" s="46" t="s">
        <v>68</v>
      </c>
      <c r="H10" s="46" t="s">
        <v>68</v>
      </c>
      <c r="I10" s="46" t="s">
        <v>68</v>
      </c>
      <c r="J10" s="46" t="s">
        <v>71</v>
      </c>
      <c r="K10" s="47">
        <v>600</v>
      </c>
      <c r="L10" s="47">
        <v>900</v>
      </c>
      <c r="M10" s="47">
        <v>1500</v>
      </c>
      <c r="N10" s="46"/>
      <c r="O10" s="71" t="s">
        <v>68</v>
      </c>
      <c r="P10" s="64"/>
      <c r="Q10" s="46" t="s">
        <v>5193</v>
      </c>
      <c r="R10" s="46" t="s">
        <v>5196</v>
      </c>
      <c r="S10" s="49">
        <v>375</v>
      </c>
      <c r="T10" s="49">
        <v>1875</v>
      </c>
      <c r="U10" s="28">
        <v>0.20399999999999999</v>
      </c>
      <c r="V10" s="28">
        <v>0.22</v>
      </c>
      <c r="W10" s="74">
        <v>1.5</v>
      </c>
      <c r="X10" s="52">
        <v>187.5</v>
      </c>
      <c r="Y10" s="52">
        <v>30</v>
      </c>
      <c r="Z10" s="52">
        <v>1275</v>
      </c>
      <c r="AA10" s="52">
        <v>1492.5</v>
      </c>
      <c r="AB10" s="53">
        <v>0.79600000000000004</v>
      </c>
      <c r="AC10" s="72">
        <v>382.5</v>
      </c>
      <c r="AD10" s="55">
        <v>0.20399999999999999</v>
      </c>
      <c r="AE10" s="73">
        <v>3</v>
      </c>
      <c r="AF10" s="57" t="s">
        <v>95</v>
      </c>
      <c r="AG10" s="58">
        <v>600</v>
      </c>
      <c r="AH10" s="58">
        <v>900</v>
      </c>
      <c r="AI10" s="58">
        <v>1500</v>
      </c>
      <c r="AJ10" s="49">
        <v>375</v>
      </c>
      <c r="AK10" s="49">
        <v>1875</v>
      </c>
      <c r="AL10" s="52">
        <v>187.5</v>
      </c>
      <c r="AM10" s="52">
        <v>1275</v>
      </c>
      <c r="AN10" s="52">
        <v>1462.5</v>
      </c>
      <c r="AO10" s="59">
        <v>0.78</v>
      </c>
      <c r="AP10" s="60">
        <v>412.5</v>
      </c>
      <c r="AQ10" s="61">
        <v>0.22</v>
      </c>
      <c r="AR10" s="60" t="s">
        <v>78</v>
      </c>
      <c r="AS10" s="62">
        <v>960</v>
      </c>
      <c r="AT10" s="62">
        <v>1440</v>
      </c>
      <c r="AU10" s="62">
        <v>2400</v>
      </c>
      <c r="AV10" s="62">
        <v>3000</v>
      </c>
      <c r="AW10" s="47" t="s">
        <v>107</v>
      </c>
      <c r="AX10" s="64"/>
      <c r="AY10" s="64" t="s">
        <v>5231</v>
      </c>
      <c r="BA10" s="64"/>
      <c r="BB10" s="64"/>
      <c r="BC10" s="64"/>
      <c r="BD10" s="46"/>
      <c r="BE10" s="46" t="e">
        <v>#REF!</v>
      </c>
      <c r="BF10" s="46" t="s">
        <v>75</v>
      </c>
      <c r="BG10" s="65"/>
      <c r="BH10" s="66" t="s">
        <v>5232</v>
      </c>
      <c r="BI10" s="63" t="s">
        <v>5233</v>
      </c>
    </row>
    <row r="11" spans="1:61" ht="76.5" x14ac:dyDescent="0.2">
      <c r="A11" s="45" t="s">
        <v>5234</v>
      </c>
      <c r="B11" s="46"/>
      <c r="C11" s="46" t="s">
        <v>5230</v>
      </c>
      <c r="D11" s="46" t="s">
        <v>3432</v>
      </c>
      <c r="E11" s="46" t="s">
        <v>5205</v>
      </c>
      <c r="F11" s="46" t="s">
        <v>68</v>
      </c>
      <c r="G11" s="46" t="s">
        <v>68</v>
      </c>
      <c r="H11" s="46" t="s">
        <v>68</v>
      </c>
      <c r="I11" s="46" t="s">
        <v>68</v>
      </c>
      <c r="J11" s="46" t="s">
        <v>71</v>
      </c>
      <c r="K11" s="47">
        <v>800</v>
      </c>
      <c r="L11" s="47">
        <v>1100</v>
      </c>
      <c r="M11" s="47">
        <v>1900</v>
      </c>
      <c r="N11" s="46"/>
      <c r="O11" s="71" t="s">
        <v>68</v>
      </c>
      <c r="P11" s="64"/>
      <c r="Q11" s="46" t="s">
        <v>5193</v>
      </c>
      <c r="R11" s="46" t="s">
        <v>5196</v>
      </c>
      <c r="S11" s="49">
        <v>475</v>
      </c>
      <c r="T11" s="49">
        <v>2375</v>
      </c>
      <c r="U11" s="28">
        <v>0.22421052631578947</v>
      </c>
      <c r="V11" s="28">
        <v>0.23684210526315788</v>
      </c>
      <c r="W11" s="74">
        <v>1.375</v>
      </c>
      <c r="X11" s="52">
        <v>237.5</v>
      </c>
      <c r="Y11" s="52">
        <v>30</v>
      </c>
      <c r="Z11" s="52">
        <v>1575</v>
      </c>
      <c r="AA11" s="52">
        <v>1842.5</v>
      </c>
      <c r="AB11" s="53">
        <v>0.77578947368421047</v>
      </c>
      <c r="AC11" s="72">
        <v>532.5</v>
      </c>
      <c r="AD11" s="55">
        <v>0.22421052631578947</v>
      </c>
      <c r="AE11" s="73">
        <v>3</v>
      </c>
      <c r="AF11" s="57" t="s">
        <v>95</v>
      </c>
      <c r="AG11" s="58">
        <v>800</v>
      </c>
      <c r="AH11" s="58">
        <v>1100</v>
      </c>
      <c r="AI11" s="58">
        <v>1900</v>
      </c>
      <c r="AJ11" s="49">
        <v>475</v>
      </c>
      <c r="AK11" s="49">
        <v>2375</v>
      </c>
      <c r="AL11" s="52">
        <v>237.5</v>
      </c>
      <c r="AM11" s="52">
        <v>1575</v>
      </c>
      <c r="AN11" s="52">
        <v>1812.5</v>
      </c>
      <c r="AO11" s="59">
        <v>0.76315789473684215</v>
      </c>
      <c r="AP11" s="60">
        <v>562.5</v>
      </c>
      <c r="AQ11" s="61">
        <v>0.23684210526315788</v>
      </c>
      <c r="AR11" s="60" t="s">
        <v>78</v>
      </c>
      <c r="AS11" s="62">
        <v>1280</v>
      </c>
      <c r="AT11" s="62">
        <v>1760</v>
      </c>
      <c r="AU11" s="62">
        <v>3040</v>
      </c>
      <c r="AV11" s="62">
        <v>3800</v>
      </c>
      <c r="AW11" s="47" t="s">
        <v>107</v>
      </c>
      <c r="AX11" s="64"/>
      <c r="AY11" s="64" t="s">
        <v>5235</v>
      </c>
      <c r="BA11" s="64"/>
      <c r="BB11" s="64"/>
      <c r="BC11" s="64"/>
      <c r="BD11" s="46"/>
      <c r="BE11" s="46" t="e">
        <v>#REF!</v>
      </c>
      <c r="BF11" s="46" t="s">
        <v>75</v>
      </c>
      <c r="BG11" s="65"/>
      <c r="BH11" s="66" t="s">
        <v>5236</v>
      </c>
      <c r="BI11" s="63" t="s">
        <v>5237</v>
      </c>
    </row>
    <row r="12" spans="1:61" ht="89.25" x14ac:dyDescent="0.2">
      <c r="A12" s="45" t="s">
        <v>5238</v>
      </c>
      <c r="B12" s="46"/>
      <c r="C12" s="46" t="s">
        <v>5239</v>
      </c>
      <c r="D12" s="46" t="s">
        <v>5211</v>
      </c>
      <c r="E12" s="46" t="s">
        <v>5200</v>
      </c>
      <c r="F12" s="46" t="s">
        <v>68</v>
      </c>
      <c r="G12" s="46" t="s">
        <v>68</v>
      </c>
      <c r="H12" s="46" t="s">
        <v>5212</v>
      </c>
      <c r="I12" s="46" t="s">
        <v>68</v>
      </c>
      <c r="J12" s="46" t="s">
        <v>71</v>
      </c>
      <c r="K12" s="47">
        <v>400</v>
      </c>
      <c r="L12" s="47">
        <v>600</v>
      </c>
      <c r="M12" s="47">
        <v>1000</v>
      </c>
      <c r="N12" s="46"/>
      <c r="O12" s="71" t="s">
        <v>68</v>
      </c>
      <c r="P12" s="64"/>
      <c r="Q12" s="46" t="s">
        <v>5193</v>
      </c>
      <c r="R12" s="46" t="s">
        <v>5196</v>
      </c>
      <c r="S12" s="49">
        <v>250</v>
      </c>
      <c r="T12" s="49">
        <v>1250</v>
      </c>
      <c r="U12" s="50">
        <v>0.19600000000000001</v>
      </c>
      <c r="V12" s="28">
        <v>0.22</v>
      </c>
      <c r="W12" s="74">
        <v>1.5</v>
      </c>
      <c r="X12" s="52">
        <v>125</v>
      </c>
      <c r="Y12" s="52">
        <v>30</v>
      </c>
      <c r="Z12" s="52">
        <v>850</v>
      </c>
      <c r="AA12" s="52">
        <v>1005</v>
      </c>
      <c r="AB12" s="53">
        <v>0.80400000000000005</v>
      </c>
      <c r="AC12" s="72">
        <v>245</v>
      </c>
      <c r="AD12" s="55">
        <v>0.19600000000000001</v>
      </c>
      <c r="AE12" s="73">
        <v>3</v>
      </c>
      <c r="AF12" s="57" t="s">
        <v>95</v>
      </c>
      <c r="AG12" s="58">
        <v>400</v>
      </c>
      <c r="AH12" s="58">
        <v>600</v>
      </c>
      <c r="AI12" s="58">
        <v>1000</v>
      </c>
      <c r="AJ12" s="49">
        <v>250</v>
      </c>
      <c r="AK12" s="49">
        <v>1250</v>
      </c>
      <c r="AL12" s="52">
        <v>125</v>
      </c>
      <c r="AM12" s="52">
        <v>850</v>
      </c>
      <c r="AN12" s="52">
        <v>975</v>
      </c>
      <c r="AO12" s="59">
        <v>0.78</v>
      </c>
      <c r="AP12" s="60">
        <v>275</v>
      </c>
      <c r="AQ12" s="61">
        <v>0.22</v>
      </c>
      <c r="AR12" s="60" t="s">
        <v>78</v>
      </c>
      <c r="AS12" s="62">
        <v>640</v>
      </c>
      <c r="AT12" s="62">
        <v>960</v>
      </c>
      <c r="AU12" s="62">
        <v>1600</v>
      </c>
      <c r="AV12" s="62">
        <v>2000</v>
      </c>
      <c r="AW12" s="47" t="s">
        <v>107</v>
      </c>
      <c r="AX12" s="64"/>
      <c r="AY12" s="64" t="s">
        <v>5240</v>
      </c>
      <c r="BA12" s="64"/>
      <c r="BB12" s="64"/>
      <c r="BC12" s="64"/>
      <c r="BD12" s="46"/>
      <c r="BE12" s="46" t="e">
        <v>#REF!</v>
      </c>
      <c r="BF12" s="46" t="s">
        <v>75</v>
      </c>
      <c r="BG12" s="65"/>
      <c r="BH12" s="66" t="s">
        <v>5241</v>
      </c>
      <c r="BI12" s="63" t="s">
        <v>5242</v>
      </c>
    </row>
    <row r="13" spans="1:61" ht="102" x14ac:dyDescent="0.2">
      <c r="A13" s="45" t="s">
        <v>5243</v>
      </c>
      <c r="B13" s="46"/>
      <c r="C13" s="46" t="s">
        <v>5239</v>
      </c>
      <c r="D13" s="46" t="s">
        <v>5211</v>
      </c>
      <c r="E13" s="46" t="s">
        <v>5200</v>
      </c>
      <c r="F13" s="46" t="s">
        <v>68</v>
      </c>
      <c r="G13" s="46" t="s">
        <v>68</v>
      </c>
      <c r="H13" s="46" t="s">
        <v>5217</v>
      </c>
      <c r="I13" s="46" t="s">
        <v>68</v>
      </c>
      <c r="J13" s="46" t="s">
        <v>71</v>
      </c>
      <c r="K13" s="47">
        <v>600</v>
      </c>
      <c r="L13" s="47">
        <v>800</v>
      </c>
      <c r="M13" s="47">
        <v>1400</v>
      </c>
      <c r="N13" s="46"/>
      <c r="O13" s="71" t="s">
        <v>68</v>
      </c>
      <c r="P13" s="64"/>
      <c r="Q13" s="46" t="s">
        <v>5193</v>
      </c>
      <c r="R13" s="46" t="s">
        <v>5196</v>
      </c>
      <c r="S13" s="49">
        <v>350</v>
      </c>
      <c r="T13" s="49">
        <v>1750</v>
      </c>
      <c r="U13" s="28">
        <v>0.2257142857142857</v>
      </c>
      <c r="V13" s="28">
        <v>0.24285714285714285</v>
      </c>
      <c r="W13" s="74">
        <v>1.3333333333333333</v>
      </c>
      <c r="X13" s="52">
        <v>175</v>
      </c>
      <c r="Y13" s="52">
        <v>30</v>
      </c>
      <c r="Z13" s="52">
        <v>1150</v>
      </c>
      <c r="AA13" s="52">
        <v>1355</v>
      </c>
      <c r="AB13" s="53">
        <v>0.77428571428571424</v>
      </c>
      <c r="AC13" s="72">
        <v>395</v>
      </c>
      <c r="AD13" s="55">
        <v>0.2257142857142857</v>
      </c>
      <c r="AE13" s="73">
        <v>3</v>
      </c>
      <c r="AF13" s="57" t="s">
        <v>95</v>
      </c>
      <c r="AG13" s="58">
        <v>600</v>
      </c>
      <c r="AH13" s="58">
        <v>800</v>
      </c>
      <c r="AI13" s="58">
        <v>1400</v>
      </c>
      <c r="AJ13" s="49">
        <v>350</v>
      </c>
      <c r="AK13" s="49">
        <v>1750</v>
      </c>
      <c r="AL13" s="52">
        <v>175</v>
      </c>
      <c r="AM13" s="52">
        <v>1150</v>
      </c>
      <c r="AN13" s="52">
        <v>1325</v>
      </c>
      <c r="AO13" s="59">
        <v>0.75714285714285712</v>
      </c>
      <c r="AP13" s="60">
        <v>425</v>
      </c>
      <c r="AQ13" s="61">
        <v>0.24285714285714285</v>
      </c>
      <c r="AR13" s="60" t="s">
        <v>78</v>
      </c>
      <c r="AS13" s="62">
        <v>960</v>
      </c>
      <c r="AT13" s="62">
        <v>1280</v>
      </c>
      <c r="AU13" s="62">
        <v>2240</v>
      </c>
      <c r="AV13" s="62">
        <v>2800</v>
      </c>
      <c r="AW13" s="47" t="s">
        <v>107</v>
      </c>
      <c r="AX13" s="64"/>
      <c r="AY13" s="64" t="s">
        <v>5244</v>
      </c>
      <c r="BA13" s="64"/>
      <c r="BB13" s="64"/>
      <c r="BC13" s="64"/>
      <c r="BD13" s="46"/>
      <c r="BE13" s="46" t="e">
        <v>#REF!</v>
      </c>
      <c r="BF13" s="46" t="s">
        <v>75</v>
      </c>
      <c r="BG13" s="65"/>
      <c r="BH13" s="66" t="s">
        <v>5245</v>
      </c>
      <c r="BI13" s="63" t="s">
        <v>5246</v>
      </c>
    </row>
    <row r="14" spans="1:61" ht="89.25" x14ac:dyDescent="0.2">
      <c r="A14" s="45" t="s">
        <v>5247</v>
      </c>
      <c r="B14" s="46"/>
      <c r="C14" s="46" t="s">
        <v>5239</v>
      </c>
      <c r="D14" s="46" t="s">
        <v>5211</v>
      </c>
      <c r="E14" s="46" t="s">
        <v>5205</v>
      </c>
      <c r="F14" s="46" t="s">
        <v>68</v>
      </c>
      <c r="G14" s="46" t="s">
        <v>68</v>
      </c>
      <c r="H14" s="46" t="s">
        <v>5212</v>
      </c>
      <c r="I14" s="46" t="s">
        <v>68</v>
      </c>
      <c r="J14" s="46" t="s">
        <v>71</v>
      </c>
      <c r="K14" s="47">
        <v>600</v>
      </c>
      <c r="L14" s="47">
        <v>700</v>
      </c>
      <c r="M14" s="47">
        <v>1300</v>
      </c>
      <c r="N14" s="46"/>
      <c r="O14" s="71" t="s">
        <v>68</v>
      </c>
      <c r="P14" s="64"/>
      <c r="Q14" s="46" t="s">
        <v>5193</v>
      </c>
      <c r="R14" s="46" t="s">
        <v>5196</v>
      </c>
      <c r="S14" s="49">
        <v>325</v>
      </c>
      <c r="T14" s="49">
        <v>1625</v>
      </c>
      <c r="U14" s="28">
        <v>0.25076923076923074</v>
      </c>
      <c r="V14" s="28">
        <v>0.26923076923076922</v>
      </c>
      <c r="W14" s="74">
        <v>1.1666666666666667</v>
      </c>
      <c r="X14" s="52">
        <v>162.5</v>
      </c>
      <c r="Y14" s="52">
        <v>30</v>
      </c>
      <c r="Z14" s="52">
        <v>1025</v>
      </c>
      <c r="AA14" s="52">
        <v>1217.5</v>
      </c>
      <c r="AB14" s="53">
        <v>0.74923076923076926</v>
      </c>
      <c r="AC14" s="72">
        <v>407.5</v>
      </c>
      <c r="AD14" s="55">
        <v>0.25076923076923074</v>
      </c>
      <c r="AE14" s="73">
        <v>3</v>
      </c>
      <c r="AF14" s="57" t="s">
        <v>95</v>
      </c>
      <c r="AG14" s="58">
        <v>600</v>
      </c>
      <c r="AH14" s="58">
        <v>700</v>
      </c>
      <c r="AI14" s="58">
        <v>1300</v>
      </c>
      <c r="AJ14" s="49">
        <v>325</v>
      </c>
      <c r="AK14" s="49">
        <v>1625</v>
      </c>
      <c r="AL14" s="52">
        <v>162.5</v>
      </c>
      <c r="AM14" s="52">
        <v>1025</v>
      </c>
      <c r="AN14" s="52">
        <v>1187.5</v>
      </c>
      <c r="AO14" s="59">
        <v>0.73076923076923073</v>
      </c>
      <c r="AP14" s="60">
        <v>437.5</v>
      </c>
      <c r="AQ14" s="61">
        <v>0.26923076923076922</v>
      </c>
      <c r="AR14" s="60" t="s">
        <v>78</v>
      </c>
      <c r="AS14" s="62">
        <v>960</v>
      </c>
      <c r="AT14" s="62">
        <v>1120</v>
      </c>
      <c r="AU14" s="62">
        <v>2080</v>
      </c>
      <c r="AV14" s="62">
        <v>2600</v>
      </c>
      <c r="AW14" s="47" t="s">
        <v>107</v>
      </c>
      <c r="AX14" s="64"/>
      <c r="AY14" s="64" t="s">
        <v>5248</v>
      </c>
      <c r="BA14" s="64"/>
      <c r="BB14" s="64"/>
      <c r="BC14" s="64"/>
      <c r="BD14" s="46"/>
      <c r="BE14" s="46" t="e">
        <v>#REF!</v>
      </c>
      <c r="BF14" s="46" t="s">
        <v>75</v>
      </c>
      <c r="BG14" s="65"/>
      <c r="BH14" s="66" t="s">
        <v>5249</v>
      </c>
      <c r="BI14" s="63" t="s">
        <v>5250</v>
      </c>
    </row>
    <row r="15" spans="1:61" ht="102" x14ac:dyDescent="0.2">
      <c r="A15" s="45" t="s">
        <v>5251</v>
      </c>
      <c r="B15" s="46"/>
      <c r="C15" s="46" t="s">
        <v>5239</v>
      </c>
      <c r="D15" s="46" t="s">
        <v>5211</v>
      </c>
      <c r="E15" s="46" t="s">
        <v>5205</v>
      </c>
      <c r="F15" s="46" t="s">
        <v>68</v>
      </c>
      <c r="G15" s="46" t="s">
        <v>68</v>
      </c>
      <c r="H15" s="46" t="s">
        <v>5217</v>
      </c>
      <c r="I15" s="46" t="s">
        <v>68</v>
      </c>
      <c r="J15" s="46" t="s">
        <v>71</v>
      </c>
      <c r="K15" s="47">
        <v>800</v>
      </c>
      <c r="L15" s="47">
        <v>1000</v>
      </c>
      <c r="M15" s="47">
        <v>1800</v>
      </c>
      <c r="N15" s="46"/>
      <c r="O15" s="71" t="s">
        <v>68</v>
      </c>
      <c r="P15" s="64"/>
      <c r="Q15" s="46" t="s">
        <v>5193</v>
      </c>
      <c r="R15" s="46" t="s">
        <v>5196</v>
      </c>
      <c r="S15" s="49">
        <v>450</v>
      </c>
      <c r="T15" s="49">
        <v>2250</v>
      </c>
      <c r="U15" s="28">
        <v>0.24222222222222223</v>
      </c>
      <c r="V15" s="28">
        <v>0.25555555555555554</v>
      </c>
      <c r="W15" s="74">
        <v>1.25</v>
      </c>
      <c r="X15" s="52">
        <v>225</v>
      </c>
      <c r="Y15" s="52">
        <v>30</v>
      </c>
      <c r="Z15" s="52">
        <v>1450</v>
      </c>
      <c r="AA15" s="52">
        <v>1705</v>
      </c>
      <c r="AB15" s="53">
        <v>0.75777777777777777</v>
      </c>
      <c r="AC15" s="72">
        <v>545</v>
      </c>
      <c r="AD15" s="55">
        <v>0.24222222222222223</v>
      </c>
      <c r="AE15" s="73">
        <v>3</v>
      </c>
      <c r="AF15" s="57" t="s">
        <v>95</v>
      </c>
      <c r="AG15" s="58">
        <v>800</v>
      </c>
      <c r="AH15" s="58">
        <v>1000</v>
      </c>
      <c r="AI15" s="58">
        <v>1800</v>
      </c>
      <c r="AJ15" s="49">
        <v>450</v>
      </c>
      <c r="AK15" s="49">
        <v>2250</v>
      </c>
      <c r="AL15" s="52">
        <v>225</v>
      </c>
      <c r="AM15" s="52">
        <v>1450</v>
      </c>
      <c r="AN15" s="52">
        <v>1675</v>
      </c>
      <c r="AO15" s="59">
        <v>0.74444444444444446</v>
      </c>
      <c r="AP15" s="60">
        <v>575</v>
      </c>
      <c r="AQ15" s="61">
        <v>0.25555555555555554</v>
      </c>
      <c r="AR15" s="60" t="s">
        <v>78</v>
      </c>
      <c r="AS15" s="62">
        <v>1280</v>
      </c>
      <c r="AT15" s="62">
        <v>1600</v>
      </c>
      <c r="AU15" s="62">
        <v>2880</v>
      </c>
      <c r="AV15" s="62">
        <v>3600</v>
      </c>
      <c r="AW15" s="47" t="s">
        <v>107</v>
      </c>
      <c r="AX15" s="64"/>
      <c r="AY15" s="64" t="s">
        <v>5252</v>
      </c>
      <c r="BA15" s="64"/>
      <c r="BB15" s="64"/>
      <c r="BC15" s="64"/>
      <c r="BD15" s="46"/>
      <c r="BE15" s="46" t="e">
        <v>#REF!</v>
      </c>
      <c r="BF15" s="46" t="s">
        <v>75</v>
      </c>
      <c r="BG15" s="65"/>
      <c r="BH15" s="66" t="s">
        <v>5253</v>
      </c>
      <c r="BI15" s="63" t="s">
        <v>5254</v>
      </c>
    </row>
    <row r="16" spans="1:61" ht="89.25" x14ac:dyDescent="0.2">
      <c r="A16" s="45" t="s">
        <v>5255</v>
      </c>
      <c r="B16" s="46"/>
      <c r="C16" s="46" t="s">
        <v>5256</v>
      </c>
      <c r="D16" s="46" t="s">
        <v>3432</v>
      </c>
      <c r="E16" s="46" t="s">
        <v>5200</v>
      </c>
      <c r="F16" s="46" t="s">
        <v>68</v>
      </c>
      <c r="G16" s="46" t="s">
        <v>68</v>
      </c>
      <c r="H16" s="46" t="s">
        <v>68</v>
      </c>
      <c r="I16" s="46" t="s">
        <v>68</v>
      </c>
      <c r="J16" s="46" t="s">
        <v>71</v>
      </c>
      <c r="K16" s="47">
        <v>1000</v>
      </c>
      <c r="L16" s="47">
        <v>1200</v>
      </c>
      <c r="M16" s="47">
        <v>2200</v>
      </c>
      <c r="N16" s="46"/>
      <c r="O16" s="71" t="s">
        <v>68</v>
      </c>
      <c r="P16" s="64"/>
      <c r="Q16" s="46" t="s">
        <v>5193</v>
      </c>
      <c r="R16" s="46" t="s">
        <v>5196</v>
      </c>
      <c r="S16" s="49">
        <v>550</v>
      </c>
      <c r="T16" s="49">
        <v>2750</v>
      </c>
      <c r="U16" s="28">
        <v>0.25272727272727274</v>
      </c>
      <c r="V16" s="28">
        <v>0.26363636363636361</v>
      </c>
      <c r="W16" s="74">
        <v>1.2</v>
      </c>
      <c r="X16" s="52">
        <v>275</v>
      </c>
      <c r="Y16" s="52">
        <v>30</v>
      </c>
      <c r="Z16" s="52">
        <v>1750</v>
      </c>
      <c r="AA16" s="52">
        <v>2055</v>
      </c>
      <c r="AB16" s="53">
        <v>0.74727272727272731</v>
      </c>
      <c r="AC16" s="72">
        <v>695</v>
      </c>
      <c r="AD16" s="55">
        <v>0.25272727272727274</v>
      </c>
      <c r="AE16" s="73">
        <v>3</v>
      </c>
      <c r="AF16" s="57" t="s">
        <v>95</v>
      </c>
      <c r="AG16" s="58">
        <v>1000</v>
      </c>
      <c r="AH16" s="58">
        <v>1200</v>
      </c>
      <c r="AI16" s="58">
        <v>2200</v>
      </c>
      <c r="AJ16" s="49">
        <v>550</v>
      </c>
      <c r="AK16" s="49">
        <v>2750</v>
      </c>
      <c r="AL16" s="52">
        <v>275</v>
      </c>
      <c r="AM16" s="52">
        <v>1750</v>
      </c>
      <c r="AN16" s="52">
        <v>2025</v>
      </c>
      <c r="AO16" s="59">
        <v>0.73636363636363633</v>
      </c>
      <c r="AP16" s="60">
        <v>725</v>
      </c>
      <c r="AQ16" s="61">
        <v>0.26363636363636361</v>
      </c>
      <c r="AR16" s="60" t="s">
        <v>78</v>
      </c>
      <c r="AS16" s="62">
        <v>1600</v>
      </c>
      <c r="AT16" s="62">
        <v>1920</v>
      </c>
      <c r="AU16" s="62">
        <v>3520</v>
      </c>
      <c r="AV16" s="62">
        <v>4400</v>
      </c>
      <c r="AW16" s="47" t="s">
        <v>107</v>
      </c>
      <c r="AX16" s="64"/>
      <c r="AY16" s="64" t="s">
        <v>5257</v>
      </c>
      <c r="BA16" s="64"/>
      <c r="BB16" s="64"/>
      <c r="BC16" s="64"/>
      <c r="BD16" s="46"/>
      <c r="BE16" s="46" t="e">
        <v>#REF!</v>
      </c>
      <c r="BF16" s="46" t="s">
        <v>75</v>
      </c>
      <c r="BG16" s="65"/>
      <c r="BH16" s="66" t="s">
        <v>5258</v>
      </c>
      <c r="BI16" s="63" t="s">
        <v>5259</v>
      </c>
    </row>
    <row r="17" spans="1:61" ht="89.25" x14ac:dyDescent="0.2">
      <c r="A17" s="45" t="s">
        <v>5260</v>
      </c>
      <c r="B17" s="46"/>
      <c r="C17" s="46" t="s">
        <v>5256</v>
      </c>
      <c r="D17" s="46" t="s">
        <v>3432</v>
      </c>
      <c r="E17" s="46" t="s">
        <v>5205</v>
      </c>
      <c r="F17" s="46" t="s">
        <v>68</v>
      </c>
      <c r="G17" s="46" t="s">
        <v>68</v>
      </c>
      <c r="H17" s="46" t="s">
        <v>68</v>
      </c>
      <c r="I17" s="46" t="s">
        <v>68</v>
      </c>
      <c r="J17" s="46" t="s">
        <v>71</v>
      </c>
      <c r="K17" s="47">
        <v>1200</v>
      </c>
      <c r="L17" s="47">
        <v>1400</v>
      </c>
      <c r="M17" s="47">
        <v>2600</v>
      </c>
      <c r="N17" s="46"/>
      <c r="O17" s="71" t="s">
        <v>68</v>
      </c>
      <c r="P17" s="64"/>
      <c r="Q17" s="46" t="s">
        <v>5193</v>
      </c>
      <c r="R17" s="46" t="s">
        <v>5196</v>
      </c>
      <c r="S17" s="49">
        <v>650</v>
      </c>
      <c r="T17" s="49">
        <v>3250</v>
      </c>
      <c r="U17" s="28">
        <v>0.26</v>
      </c>
      <c r="V17" s="28">
        <v>0.26923076923076922</v>
      </c>
      <c r="W17" s="74">
        <v>1.1666666666666667</v>
      </c>
      <c r="X17" s="52">
        <v>325</v>
      </c>
      <c r="Y17" s="52">
        <v>30</v>
      </c>
      <c r="Z17" s="52">
        <v>2050</v>
      </c>
      <c r="AA17" s="52">
        <v>2405</v>
      </c>
      <c r="AB17" s="53">
        <v>0.74</v>
      </c>
      <c r="AC17" s="72">
        <v>845</v>
      </c>
      <c r="AD17" s="55">
        <v>0.26</v>
      </c>
      <c r="AE17" s="73">
        <v>3</v>
      </c>
      <c r="AF17" s="57" t="s">
        <v>95</v>
      </c>
      <c r="AG17" s="58">
        <v>1200</v>
      </c>
      <c r="AH17" s="58">
        <v>1400</v>
      </c>
      <c r="AI17" s="58">
        <v>2600</v>
      </c>
      <c r="AJ17" s="49">
        <v>650</v>
      </c>
      <c r="AK17" s="49">
        <v>3250</v>
      </c>
      <c r="AL17" s="52">
        <v>325</v>
      </c>
      <c r="AM17" s="52">
        <v>2050</v>
      </c>
      <c r="AN17" s="52">
        <v>2375</v>
      </c>
      <c r="AO17" s="59">
        <v>0.73076923076923073</v>
      </c>
      <c r="AP17" s="60">
        <v>875</v>
      </c>
      <c r="AQ17" s="61">
        <v>0.26923076923076922</v>
      </c>
      <c r="AR17" s="60" t="s">
        <v>78</v>
      </c>
      <c r="AS17" s="62">
        <v>1920</v>
      </c>
      <c r="AT17" s="62">
        <v>2240</v>
      </c>
      <c r="AU17" s="62">
        <v>4160</v>
      </c>
      <c r="AV17" s="62">
        <v>5200</v>
      </c>
      <c r="AW17" s="47" t="s">
        <v>107</v>
      </c>
      <c r="AX17" s="64"/>
      <c r="AY17" s="64" t="s">
        <v>5261</v>
      </c>
      <c r="BA17" s="64"/>
      <c r="BB17" s="64"/>
      <c r="BC17" s="64"/>
      <c r="BD17" s="46"/>
      <c r="BE17" s="46" t="e">
        <v>#REF!</v>
      </c>
      <c r="BF17" s="46" t="s">
        <v>75</v>
      </c>
      <c r="BG17" s="65"/>
      <c r="BH17" s="66" t="s">
        <v>5262</v>
      </c>
      <c r="BI17" s="63" t="s">
        <v>5263</v>
      </c>
    </row>
    <row r="18" spans="1:61" ht="114.75" x14ac:dyDescent="0.2">
      <c r="A18" s="45" t="s">
        <v>5264</v>
      </c>
      <c r="B18" s="46"/>
      <c r="C18" s="46" t="s">
        <v>5256</v>
      </c>
      <c r="D18" s="46" t="s">
        <v>5211</v>
      </c>
      <c r="E18" s="46" t="s">
        <v>5200</v>
      </c>
      <c r="F18" s="46" t="s">
        <v>68</v>
      </c>
      <c r="G18" s="46" t="s">
        <v>68</v>
      </c>
      <c r="H18" s="46" t="s">
        <v>5212</v>
      </c>
      <c r="I18" s="46" t="s">
        <v>68</v>
      </c>
      <c r="J18" s="46" t="s">
        <v>71</v>
      </c>
      <c r="K18" s="47">
        <v>800</v>
      </c>
      <c r="L18" s="47">
        <v>600</v>
      </c>
      <c r="M18" s="47">
        <v>1400</v>
      </c>
      <c r="N18" s="46"/>
      <c r="O18" s="71" t="s">
        <v>68</v>
      </c>
      <c r="P18" s="64"/>
      <c r="Q18" s="46" t="s">
        <v>5193</v>
      </c>
      <c r="R18" s="46" t="s">
        <v>5196</v>
      </c>
      <c r="S18" s="49">
        <v>350</v>
      </c>
      <c r="T18" s="49">
        <v>1750</v>
      </c>
      <c r="U18" s="67">
        <v>0.34</v>
      </c>
      <c r="V18" s="67">
        <v>0.35714285714285715</v>
      </c>
      <c r="W18" s="51">
        <v>0.75</v>
      </c>
      <c r="X18" s="52">
        <v>175</v>
      </c>
      <c r="Y18" s="52">
        <v>30</v>
      </c>
      <c r="Z18" s="52">
        <v>950</v>
      </c>
      <c r="AA18" s="52">
        <v>1155</v>
      </c>
      <c r="AB18" s="53">
        <v>0.66</v>
      </c>
      <c r="AC18" s="72">
        <v>595</v>
      </c>
      <c r="AD18" s="55">
        <v>0.34</v>
      </c>
      <c r="AE18" s="73">
        <v>3</v>
      </c>
      <c r="AF18" s="57" t="s">
        <v>95</v>
      </c>
      <c r="AG18" s="58">
        <v>800</v>
      </c>
      <c r="AH18" s="58">
        <v>600</v>
      </c>
      <c r="AI18" s="58">
        <v>1400</v>
      </c>
      <c r="AJ18" s="49">
        <v>350</v>
      </c>
      <c r="AK18" s="49">
        <v>1750</v>
      </c>
      <c r="AL18" s="52">
        <v>175</v>
      </c>
      <c r="AM18" s="52">
        <v>950</v>
      </c>
      <c r="AN18" s="52">
        <v>1125</v>
      </c>
      <c r="AO18" s="59">
        <v>0.6428571428571429</v>
      </c>
      <c r="AP18" s="60">
        <v>625</v>
      </c>
      <c r="AQ18" s="61">
        <v>0.35714285714285715</v>
      </c>
      <c r="AR18" s="60" t="s">
        <v>78</v>
      </c>
      <c r="AS18" s="62">
        <v>1280</v>
      </c>
      <c r="AT18" s="62">
        <v>960</v>
      </c>
      <c r="AU18" s="62">
        <v>2240</v>
      </c>
      <c r="AV18" s="62">
        <v>2800</v>
      </c>
      <c r="AW18" s="47" t="s">
        <v>107</v>
      </c>
      <c r="AX18" s="64"/>
      <c r="AY18" s="64" t="s">
        <v>5265</v>
      </c>
      <c r="BA18" s="64"/>
      <c r="BB18" s="64"/>
      <c r="BC18" s="64"/>
      <c r="BD18" s="46"/>
      <c r="BE18" s="46" t="e">
        <v>#REF!</v>
      </c>
      <c r="BF18" s="46" t="s">
        <v>75</v>
      </c>
      <c r="BG18" s="65"/>
      <c r="BH18" s="66" t="s">
        <v>5266</v>
      </c>
      <c r="BI18" s="63" t="s">
        <v>5267</v>
      </c>
    </row>
    <row r="19" spans="1:61" ht="127.5" x14ac:dyDescent="0.2">
      <c r="A19" s="45" t="s">
        <v>5268</v>
      </c>
      <c r="B19" s="46"/>
      <c r="C19" s="46" t="s">
        <v>5256</v>
      </c>
      <c r="D19" s="46" t="s">
        <v>5211</v>
      </c>
      <c r="E19" s="46" t="s">
        <v>5200</v>
      </c>
      <c r="F19" s="46" t="s">
        <v>68</v>
      </c>
      <c r="G19" s="46" t="s">
        <v>68</v>
      </c>
      <c r="H19" s="46" t="s">
        <v>5217</v>
      </c>
      <c r="I19" s="46" t="s">
        <v>68</v>
      </c>
      <c r="J19" s="46" t="s">
        <v>71</v>
      </c>
      <c r="K19" s="47">
        <v>1000</v>
      </c>
      <c r="L19" s="47">
        <v>850</v>
      </c>
      <c r="M19" s="47">
        <v>1850</v>
      </c>
      <c r="N19" s="46"/>
      <c r="O19" s="71" t="s">
        <v>68</v>
      </c>
      <c r="P19" s="64"/>
      <c r="Q19" s="46" t="s">
        <v>5193</v>
      </c>
      <c r="R19" s="46" t="s">
        <v>5196</v>
      </c>
      <c r="S19" s="49">
        <v>462.5</v>
      </c>
      <c r="T19" s="49">
        <v>2312.5</v>
      </c>
      <c r="U19" s="67">
        <v>0.31945945945945947</v>
      </c>
      <c r="V19" s="67">
        <v>0.33243243243243242</v>
      </c>
      <c r="W19" s="51">
        <v>0.85</v>
      </c>
      <c r="X19" s="52">
        <v>231.25</v>
      </c>
      <c r="Y19" s="52">
        <v>30</v>
      </c>
      <c r="Z19" s="52">
        <v>1312.5</v>
      </c>
      <c r="AA19" s="52">
        <v>1573.75</v>
      </c>
      <c r="AB19" s="53">
        <v>0.68054054054054058</v>
      </c>
      <c r="AC19" s="72">
        <v>738.75</v>
      </c>
      <c r="AD19" s="55">
        <v>0.31945945945945947</v>
      </c>
      <c r="AE19" s="73">
        <v>3</v>
      </c>
      <c r="AF19" s="57" t="s">
        <v>95</v>
      </c>
      <c r="AG19" s="58">
        <v>1000</v>
      </c>
      <c r="AH19" s="58">
        <v>850</v>
      </c>
      <c r="AI19" s="58">
        <v>1850</v>
      </c>
      <c r="AJ19" s="49">
        <v>462.5</v>
      </c>
      <c r="AK19" s="49">
        <v>2312.5</v>
      </c>
      <c r="AL19" s="52">
        <v>231.25</v>
      </c>
      <c r="AM19" s="52">
        <v>1312.5</v>
      </c>
      <c r="AN19" s="52">
        <v>1543.75</v>
      </c>
      <c r="AO19" s="59">
        <v>0.66756756756756752</v>
      </c>
      <c r="AP19" s="60">
        <v>768.75</v>
      </c>
      <c r="AQ19" s="61">
        <v>0.33243243243243242</v>
      </c>
      <c r="AR19" s="60" t="s">
        <v>78</v>
      </c>
      <c r="AS19" s="62">
        <v>1600</v>
      </c>
      <c r="AT19" s="62">
        <v>1360</v>
      </c>
      <c r="AU19" s="62">
        <v>2960</v>
      </c>
      <c r="AV19" s="62">
        <v>3700</v>
      </c>
      <c r="AW19" s="47" t="s">
        <v>107</v>
      </c>
      <c r="AX19" s="64"/>
      <c r="AY19" s="64" t="s">
        <v>5269</v>
      </c>
      <c r="BA19" s="64"/>
      <c r="BB19" s="64"/>
      <c r="BC19" s="64"/>
      <c r="BD19" s="46"/>
      <c r="BE19" s="46" t="e">
        <v>#REF!</v>
      </c>
      <c r="BF19" s="46" t="s">
        <v>75</v>
      </c>
      <c r="BG19" s="65"/>
      <c r="BH19" s="66" t="s">
        <v>5270</v>
      </c>
      <c r="BI19" s="63" t="s">
        <v>5271</v>
      </c>
    </row>
    <row r="20" spans="1:61" ht="114.75" x14ac:dyDescent="0.2">
      <c r="A20" s="45" t="s">
        <v>5272</v>
      </c>
      <c r="B20" s="46"/>
      <c r="C20" s="46" t="s">
        <v>5256</v>
      </c>
      <c r="D20" s="46" t="s">
        <v>5211</v>
      </c>
      <c r="E20" s="46" t="s">
        <v>5205</v>
      </c>
      <c r="F20" s="46" t="s">
        <v>68</v>
      </c>
      <c r="G20" s="46" t="s">
        <v>68</v>
      </c>
      <c r="H20" s="46" t="s">
        <v>5212</v>
      </c>
      <c r="I20" s="46" t="s">
        <v>68</v>
      </c>
      <c r="J20" s="46" t="s">
        <v>71</v>
      </c>
      <c r="K20" s="47">
        <v>1000</v>
      </c>
      <c r="L20" s="47">
        <v>800</v>
      </c>
      <c r="M20" s="47">
        <v>1800</v>
      </c>
      <c r="N20" s="46"/>
      <c r="O20" s="71" t="s">
        <v>68</v>
      </c>
      <c r="P20" s="64"/>
      <c r="Q20" s="46" t="s">
        <v>5193</v>
      </c>
      <c r="R20" s="46" t="s">
        <v>5196</v>
      </c>
      <c r="S20" s="49">
        <v>450</v>
      </c>
      <c r="T20" s="49">
        <v>2250</v>
      </c>
      <c r="U20" s="67">
        <v>0.33111111111111113</v>
      </c>
      <c r="V20" s="67">
        <v>0.34444444444444444</v>
      </c>
      <c r="W20" s="51">
        <v>0.8</v>
      </c>
      <c r="X20" s="52">
        <v>225</v>
      </c>
      <c r="Y20" s="52">
        <v>30</v>
      </c>
      <c r="Z20" s="52">
        <v>1250</v>
      </c>
      <c r="AA20" s="52">
        <v>1505</v>
      </c>
      <c r="AB20" s="53">
        <v>0.66888888888888887</v>
      </c>
      <c r="AC20" s="72">
        <v>745</v>
      </c>
      <c r="AD20" s="55">
        <v>0.33111111111111113</v>
      </c>
      <c r="AE20" s="73">
        <v>3</v>
      </c>
      <c r="AF20" s="57" t="s">
        <v>95</v>
      </c>
      <c r="AG20" s="58">
        <v>1000</v>
      </c>
      <c r="AH20" s="58">
        <v>800</v>
      </c>
      <c r="AI20" s="58">
        <v>1800</v>
      </c>
      <c r="AJ20" s="49">
        <v>450</v>
      </c>
      <c r="AK20" s="49">
        <v>2250</v>
      </c>
      <c r="AL20" s="52">
        <v>225</v>
      </c>
      <c r="AM20" s="52">
        <v>1250</v>
      </c>
      <c r="AN20" s="52">
        <v>1475</v>
      </c>
      <c r="AO20" s="59">
        <v>0.65555555555555556</v>
      </c>
      <c r="AP20" s="60">
        <v>775</v>
      </c>
      <c r="AQ20" s="61">
        <v>0.34444444444444444</v>
      </c>
      <c r="AR20" s="60" t="s">
        <v>78</v>
      </c>
      <c r="AS20" s="62">
        <v>1600</v>
      </c>
      <c r="AT20" s="62">
        <v>1280</v>
      </c>
      <c r="AU20" s="62">
        <v>2880</v>
      </c>
      <c r="AV20" s="62">
        <v>3600</v>
      </c>
      <c r="AW20" s="47" t="s">
        <v>107</v>
      </c>
      <c r="AX20" s="64"/>
      <c r="AY20" s="64" t="s">
        <v>5273</v>
      </c>
      <c r="BA20" s="64"/>
      <c r="BB20" s="64"/>
      <c r="BC20" s="64"/>
      <c r="BD20" s="46"/>
      <c r="BE20" s="46" t="e">
        <v>#REF!</v>
      </c>
      <c r="BF20" s="46" t="s">
        <v>75</v>
      </c>
      <c r="BG20" s="65"/>
      <c r="BH20" s="66" t="s">
        <v>5274</v>
      </c>
      <c r="BI20" s="63" t="s">
        <v>5275</v>
      </c>
    </row>
    <row r="21" spans="1:61" ht="127.5" x14ac:dyDescent="0.2">
      <c r="A21" s="45" t="s">
        <v>5276</v>
      </c>
      <c r="B21" s="46"/>
      <c r="C21" s="46" t="s">
        <v>5256</v>
      </c>
      <c r="D21" s="46" t="s">
        <v>5211</v>
      </c>
      <c r="E21" s="46" t="s">
        <v>5205</v>
      </c>
      <c r="F21" s="46" t="s">
        <v>68</v>
      </c>
      <c r="G21" s="46" t="s">
        <v>68</v>
      </c>
      <c r="H21" s="46" t="s">
        <v>5217</v>
      </c>
      <c r="I21" s="46" t="s">
        <v>68</v>
      </c>
      <c r="J21" s="46" t="s">
        <v>71</v>
      </c>
      <c r="K21" s="47">
        <v>1200</v>
      </c>
      <c r="L21" s="47">
        <v>1100</v>
      </c>
      <c r="M21" s="47">
        <v>2300</v>
      </c>
      <c r="N21" s="46"/>
      <c r="O21" s="71" t="s">
        <v>68</v>
      </c>
      <c r="P21" s="64"/>
      <c r="Q21" s="46" t="s">
        <v>5193</v>
      </c>
      <c r="R21" s="46" t="s">
        <v>5196</v>
      </c>
      <c r="S21" s="49">
        <v>575</v>
      </c>
      <c r="T21" s="49">
        <v>2875</v>
      </c>
      <c r="U21" s="67">
        <v>0.30695652173913046</v>
      </c>
      <c r="V21" s="67">
        <v>0.31739130434782609</v>
      </c>
      <c r="W21" s="51">
        <v>0.91666666666666663</v>
      </c>
      <c r="X21" s="52">
        <v>287.5</v>
      </c>
      <c r="Y21" s="52">
        <v>30</v>
      </c>
      <c r="Z21" s="52">
        <v>1675</v>
      </c>
      <c r="AA21" s="52">
        <v>1992.5</v>
      </c>
      <c r="AB21" s="53">
        <v>0.69304347826086954</v>
      </c>
      <c r="AC21" s="72">
        <v>882.5</v>
      </c>
      <c r="AD21" s="55">
        <v>0.30695652173913046</v>
      </c>
      <c r="AE21" s="73">
        <v>3</v>
      </c>
      <c r="AF21" s="57" t="s">
        <v>95</v>
      </c>
      <c r="AG21" s="58">
        <v>1200</v>
      </c>
      <c r="AH21" s="58">
        <v>1100</v>
      </c>
      <c r="AI21" s="58">
        <v>2300</v>
      </c>
      <c r="AJ21" s="49">
        <v>575</v>
      </c>
      <c r="AK21" s="49">
        <v>2875</v>
      </c>
      <c r="AL21" s="52">
        <v>287.5</v>
      </c>
      <c r="AM21" s="52">
        <v>1675</v>
      </c>
      <c r="AN21" s="52">
        <v>1962.5</v>
      </c>
      <c r="AO21" s="59">
        <v>0.68260869565217386</v>
      </c>
      <c r="AP21" s="60">
        <v>912.5</v>
      </c>
      <c r="AQ21" s="61">
        <v>0.31739130434782609</v>
      </c>
      <c r="AR21" s="60" t="s">
        <v>78</v>
      </c>
      <c r="AS21" s="62">
        <v>1920</v>
      </c>
      <c r="AT21" s="62">
        <v>1760</v>
      </c>
      <c r="AU21" s="62">
        <v>3680</v>
      </c>
      <c r="AV21" s="62">
        <v>4600</v>
      </c>
      <c r="AW21" s="47" t="s">
        <v>107</v>
      </c>
      <c r="AX21" s="64"/>
      <c r="AY21" s="64" t="s">
        <v>5277</v>
      </c>
      <c r="BA21" s="64"/>
      <c r="BB21" s="64"/>
      <c r="BC21" s="64"/>
      <c r="BD21" s="46"/>
      <c r="BE21" s="46" t="e">
        <v>#REF!</v>
      </c>
      <c r="BF21" s="46" t="s">
        <v>75</v>
      </c>
      <c r="BG21" s="65"/>
      <c r="BH21" s="66" t="s">
        <v>5278</v>
      </c>
      <c r="BI21" s="63" t="s">
        <v>5279</v>
      </c>
    </row>
    <row r="22" spans="1:61" ht="25.5" x14ac:dyDescent="0.2">
      <c r="A22" s="45" t="s">
        <v>5280</v>
      </c>
      <c r="B22" s="46"/>
      <c r="C22" s="46" t="s">
        <v>5281</v>
      </c>
      <c r="D22" s="46" t="s">
        <v>68</v>
      </c>
      <c r="E22" s="46" t="s">
        <v>68</v>
      </c>
      <c r="F22" s="46" t="s">
        <v>68</v>
      </c>
      <c r="G22" s="46" t="s">
        <v>68</v>
      </c>
      <c r="H22" s="46" t="s">
        <v>68</v>
      </c>
      <c r="I22" s="46" t="s">
        <v>68</v>
      </c>
      <c r="J22" s="46" t="s">
        <v>71</v>
      </c>
      <c r="K22" s="47">
        <v>200</v>
      </c>
      <c r="L22" s="47">
        <v>150</v>
      </c>
      <c r="M22" s="47">
        <v>350</v>
      </c>
      <c r="N22" s="46"/>
      <c r="O22" s="71" t="s">
        <v>68</v>
      </c>
      <c r="P22" s="64"/>
      <c r="Q22" s="46" t="s">
        <v>5193</v>
      </c>
      <c r="R22" s="46" t="s">
        <v>5196</v>
      </c>
      <c r="S22" s="49">
        <v>87.5</v>
      </c>
      <c r="T22" s="49">
        <v>437.5</v>
      </c>
      <c r="U22" s="28">
        <v>0.28857142857142859</v>
      </c>
      <c r="V22" s="67">
        <v>0.35714285714285715</v>
      </c>
      <c r="W22" s="51">
        <v>0.75</v>
      </c>
      <c r="X22" s="52">
        <v>43.75</v>
      </c>
      <c r="Y22" s="52">
        <v>30</v>
      </c>
      <c r="Z22" s="52">
        <v>237.5</v>
      </c>
      <c r="AA22" s="52">
        <v>311.25</v>
      </c>
      <c r="AB22" s="53">
        <v>0.71142857142857141</v>
      </c>
      <c r="AC22" s="72">
        <v>126.25</v>
      </c>
      <c r="AD22" s="55">
        <v>0.28857142857142859</v>
      </c>
      <c r="AE22" s="73">
        <v>3</v>
      </c>
      <c r="AF22" s="57" t="s">
        <v>95</v>
      </c>
      <c r="AG22" s="58">
        <v>200</v>
      </c>
      <c r="AH22" s="58">
        <v>150</v>
      </c>
      <c r="AI22" s="58">
        <v>350</v>
      </c>
      <c r="AJ22" s="49">
        <v>87.5</v>
      </c>
      <c r="AK22" s="49">
        <v>437.5</v>
      </c>
      <c r="AL22" s="52">
        <v>43.75</v>
      </c>
      <c r="AM22" s="52">
        <v>237.5</v>
      </c>
      <c r="AN22" s="52">
        <v>281.25</v>
      </c>
      <c r="AO22" s="59">
        <v>0.6428571428571429</v>
      </c>
      <c r="AP22" s="60">
        <v>156.25</v>
      </c>
      <c r="AQ22" s="61">
        <v>0.35714285714285715</v>
      </c>
      <c r="AR22" s="60" t="s">
        <v>78</v>
      </c>
      <c r="AS22" s="62">
        <v>320</v>
      </c>
      <c r="AT22" s="62">
        <v>240</v>
      </c>
      <c r="AU22" s="62">
        <v>560</v>
      </c>
      <c r="AV22" s="62">
        <v>700</v>
      </c>
      <c r="AW22" s="47" t="s">
        <v>107</v>
      </c>
      <c r="AX22" s="64"/>
      <c r="AY22" s="64" t="s">
        <v>5282</v>
      </c>
      <c r="BA22" s="64"/>
      <c r="BB22" s="64"/>
      <c r="BC22" s="64"/>
      <c r="BD22" s="46"/>
      <c r="BE22" s="46" t="e">
        <v>#REF!</v>
      </c>
      <c r="BF22" s="46" t="s">
        <v>75</v>
      </c>
      <c r="BG22" s="65"/>
      <c r="BH22" s="66" t="s">
        <v>5283</v>
      </c>
      <c r="BI22" s="63" t="s">
        <v>5281</v>
      </c>
    </row>
    <row r="23" spans="1:61" ht="25.5" x14ac:dyDescent="0.2">
      <c r="A23" s="45" t="s">
        <v>5284</v>
      </c>
      <c r="B23" s="46"/>
      <c r="C23" s="46" t="s">
        <v>5285</v>
      </c>
      <c r="D23" s="46" t="s">
        <v>68</v>
      </c>
      <c r="E23" s="46" t="s">
        <v>68</v>
      </c>
      <c r="F23" s="46" t="s">
        <v>68</v>
      </c>
      <c r="G23" s="46" t="s">
        <v>68</v>
      </c>
      <c r="H23" s="46" t="s">
        <v>68</v>
      </c>
      <c r="I23" s="46" t="s">
        <v>68</v>
      </c>
      <c r="J23" s="46" t="s">
        <v>71</v>
      </c>
      <c r="K23" s="47">
        <v>130</v>
      </c>
      <c r="L23" s="47">
        <v>0</v>
      </c>
      <c r="M23" s="47">
        <v>130</v>
      </c>
      <c r="N23" s="46"/>
      <c r="O23" s="71" t="s">
        <v>68</v>
      </c>
      <c r="P23" s="64"/>
      <c r="Q23" s="46" t="s">
        <v>5193</v>
      </c>
      <c r="R23" s="46" t="s">
        <v>5196</v>
      </c>
      <c r="S23" s="49">
        <v>32.5</v>
      </c>
      <c r="T23" s="49">
        <v>162.5</v>
      </c>
      <c r="U23" s="67">
        <v>0.51538461538461533</v>
      </c>
      <c r="V23" s="67">
        <v>0.7</v>
      </c>
      <c r="W23" s="51">
        <v>0</v>
      </c>
      <c r="X23" s="52">
        <v>16.25</v>
      </c>
      <c r="Y23" s="52">
        <v>30</v>
      </c>
      <c r="Z23" s="52">
        <v>32.5</v>
      </c>
      <c r="AA23" s="52">
        <v>78.75</v>
      </c>
      <c r="AB23" s="53">
        <v>0.48461538461538461</v>
      </c>
      <c r="AC23" s="68">
        <v>83.75</v>
      </c>
      <c r="AD23" s="55">
        <v>0.51538461538461533</v>
      </c>
      <c r="AE23" s="73">
        <v>3</v>
      </c>
      <c r="AF23" s="57" t="s">
        <v>95</v>
      </c>
      <c r="AG23" s="58">
        <v>130</v>
      </c>
      <c r="AH23" s="58">
        <v>0</v>
      </c>
      <c r="AI23" s="58">
        <v>130</v>
      </c>
      <c r="AJ23" s="49">
        <v>32.5</v>
      </c>
      <c r="AK23" s="49">
        <v>162.5</v>
      </c>
      <c r="AL23" s="52">
        <v>16.25</v>
      </c>
      <c r="AM23" s="52">
        <v>32.5</v>
      </c>
      <c r="AN23" s="52">
        <v>48.75</v>
      </c>
      <c r="AO23" s="59">
        <v>0.3</v>
      </c>
      <c r="AP23" s="60">
        <v>113.75</v>
      </c>
      <c r="AQ23" s="61">
        <v>0.7</v>
      </c>
      <c r="AR23" s="60" t="s">
        <v>78</v>
      </c>
      <c r="AS23" s="62">
        <v>208</v>
      </c>
      <c r="AT23" s="62">
        <v>0</v>
      </c>
      <c r="AU23" s="62">
        <v>208</v>
      </c>
      <c r="AV23" s="62">
        <v>260</v>
      </c>
      <c r="AW23" s="47" t="s">
        <v>107</v>
      </c>
      <c r="AX23" s="64"/>
      <c r="AY23" s="64" t="s">
        <v>5286</v>
      </c>
      <c r="BA23" s="64"/>
      <c r="BB23" s="64"/>
      <c r="BC23" s="64"/>
      <c r="BD23" s="46"/>
      <c r="BE23" s="46" t="e">
        <v>#REF!</v>
      </c>
      <c r="BF23" s="46" t="s">
        <v>79</v>
      </c>
      <c r="BG23" s="65">
        <v>0.75</v>
      </c>
      <c r="BH23" s="66" t="s">
        <v>5287</v>
      </c>
      <c r="BI23" s="63" t="s">
        <v>5285</v>
      </c>
    </row>
    <row r="24" spans="1:61" ht="127.5" x14ac:dyDescent="0.2">
      <c r="A24" s="45" t="s">
        <v>5288</v>
      </c>
      <c r="B24" s="46"/>
      <c r="C24" s="46" t="s">
        <v>5289</v>
      </c>
      <c r="D24" s="46" t="s">
        <v>5290</v>
      </c>
      <c r="E24" s="46" t="s">
        <v>68</v>
      </c>
      <c r="F24" s="46" t="s">
        <v>68</v>
      </c>
      <c r="G24" s="46" t="s">
        <v>3530</v>
      </c>
      <c r="H24" s="46" t="s">
        <v>68</v>
      </c>
      <c r="I24" s="46" t="s">
        <v>68</v>
      </c>
      <c r="J24" s="46" t="s">
        <v>71</v>
      </c>
      <c r="K24" s="47">
        <v>400</v>
      </c>
      <c r="L24" s="47">
        <v>500</v>
      </c>
      <c r="M24" s="47">
        <v>900</v>
      </c>
      <c r="N24" s="46"/>
      <c r="O24" s="71" t="s">
        <v>68</v>
      </c>
      <c r="P24" s="64"/>
      <c r="Q24" s="46" t="s">
        <v>5193</v>
      </c>
      <c r="R24" s="46" t="s">
        <v>5196</v>
      </c>
      <c r="S24" s="49">
        <v>225</v>
      </c>
      <c r="T24" s="49">
        <v>1125</v>
      </c>
      <c r="U24" s="28">
        <v>0.22888888888888889</v>
      </c>
      <c r="V24" s="28">
        <v>0.25555555555555554</v>
      </c>
      <c r="W24" s="74">
        <v>1.25</v>
      </c>
      <c r="X24" s="52">
        <v>112.5</v>
      </c>
      <c r="Y24" s="52">
        <v>30</v>
      </c>
      <c r="Z24" s="52">
        <v>725</v>
      </c>
      <c r="AA24" s="52">
        <v>867.5</v>
      </c>
      <c r="AB24" s="53">
        <v>0.77111111111111108</v>
      </c>
      <c r="AC24" s="72">
        <v>257.5</v>
      </c>
      <c r="AD24" s="55">
        <v>0.22888888888888889</v>
      </c>
      <c r="AE24" s="73">
        <v>3</v>
      </c>
      <c r="AF24" s="57" t="s">
        <v>95</v>
      </c>
      <c r="AG24" s="58">
        <v>400</v>
      </c>
      <c r="AH24" s="58">
        <v>500</v>
      </c>
      <c r="AI24" s="58">
        <v>900</v>
      </c>
      <c r="AJ24" s="49">
        <v>225</v>
      </c>
      <c r="AK24" s="49">
        <v>1125</v>
      </c>
      <c r="AL24" s="52">
        <v>112.5</v>
      </c>
      <c r="AM24" s="52">
        <v>725</v>
      </c>
      <c r="AN24" s="52">
        <v>837.5</v>
      </c>
      <c r="AO24" s="59">
        <v>0.74444444444444446</v>
      </c>
      <c r="AP24" s="60">
        <v>287.5</v>
      </c>
      <c r="AQ24" s="61">
        <v>0.25555555555555554</v>
      </c>
      <c r="AR24" s="60" t="s">
        <v>78</v>
      </c>
      <c r="AS24" s="62">
        <v>640</v>
      </c>
      <c r="AT24" s="62">
        <v>800</v>
      </c>
      <c r="AU24" s="62">
        <v>1440</v>
      </c>
      <c r="AV24" s="62">
        <v>1800</v>
      </c>
      <c r="AW24" s="47" t="s">
        <v>107</v>
      </c>
      <c r="AX24" s="64"/>
      <c r="AY24" s="64" t="s">
        <v>5291</v>
      </c>
      <c r="BA24" s="64"/>
      <c r="BB24" s="64"/>
      <c r="BC24" s="64"/>
      <c r="BD24" s="46"/>
      <c r="BE24" s="46" t="e">
        <v>#REF!</v>
      </c>
      <c r="BF24" s="46" t="s">
        <v>75</v>
      </c>
      <c r="BG24" s="65"/>
      <c r="BH24" s="66" t="s">
        <v>5292</v>
      </c>
      <c r="BI24" s="63" t="s">
        <v>5293</v>
      </c>
    </row>
    <row r="25" spans="1:61" ht="127.5" x14ac:dyDescent="0.2">
      <c r="A25" s="45" t="s">
        <v>5294</v>
      </c>
      <c r="B25" s="46"/>
      <c r="C25" s="46" t="s">
        <v>5289</v>
      </c>
      <c r="D25" s="46" t="s">
        <v>5290</v>
      </c>
      <c r="E25" s="46" t="s">
        <v>68</v>
      </c>
      <c r="F25" s="46" t="s">
        <v>68</v>
      </c>
      <c r="G25" s="46" t="s">
        <v>4009</v>
      </c>
      <c r="H25" s="46" t="s">
        <v>68</v>
      </c>
      <c r="I25" s="46" t="s">
        <v>68</v>
      </c>
      <c r="J25" s="46" t="s">
        <v>71</v>
      </c>
      <c r="K25" s="47">
        <v>600</v>
      </c>
      <c r="L25" s="47">
        <v>500</v>
      </c>
      <c r="M25" s="47">
        <v>1100</v>
      </c>
      <c r="N25" s="46"/>
      <c r="O25" s="71" t="s">
        <v>68</v>
      </c>
      <c r="P25" s="64"/>
      <c r="Q25" s="46" t="s">
        <v>5193</v>
      </c>
      <c r="R25" s="46" t="s">
        <v>5196</v>
      </c>
      <c r="S25" s="49">
        <v>275</v>
      </c>
      <c r="T25" s="49">
        <v>1375</v>
      </c>
      <c r="U25" s="67">
        <v>0.31454545454545457</v>
      </c>
      <c r="V25" s="67">
        <v>0.33636363636363636</v>
      </c>
      <c r="W25" s="51">
        <v>0.83333333333333337</v>
      </c>
      <c r="X25" s="52">
        <v>137.5</v>
      </c>
      <c r="Y25" s="52">
        <v>30</v>
      </c>
      <c r="Z25" s="52">
        <v>775</v>
      </c>
      <c r="AA25" s="52">
        <v>942.5</v>
      </c>
      <c r="AB25" s="53">
        <v>0.68545454545454543</v>
      </c>
      <c r="AC25" s="72">
        <v>432.5</v>
      </c>
      <c r="AD25" s="55">
        <v>0.31454545454545457</v>
      </c>
      <c r="AE25" s="73">
        <v>3</v>
      </c>
      <c r="AF25" s="57" t="s">
        <v>95</v>
      </c>
      <c r="AG25" s="58">
        <v>600</v>
      </c>
      <c r="AH25" s="58">
        <v>500</v>
      </c>
      <c r="AI25" s="58">
        <v>1100</v>
      </c>
      <c r="AJ25" s="49">
        <v>275</v>
      </c>
      <c r="AK25" s="49">
        <v>1375</v>
      </c>
      <c r="AL25" s="52">
        <v>137.5</v>
      </c>
      <c r="AM25" s="52">
        <v>775</v>
      </c>
      <c r="AN25" s="52">
        <v>912.5</v>
      </c>
      <c r="AO25" s="59">
        <v>0.66363636363636369</v>
      </c>
      <c r="AP25" s="60">
        <v>462.5</v>
      </c>
      <c r="AQ25" s="61">
        <v>0.33636363636363636</v>
      </c>
      <c r="AR25" s="60" t="s">
        <v>78</v>
      </c>
      <c r="AS25" s="62">
        <v>960</v>
      </c>
      <c r="AT25" s="62">
        <v>800</v>
      </c>
      <c r="AU25" s="62">
        <v>1760</v>
      </c>
      <c r="AV25" s="62">
        <v>2200</v>
      </c>
      <c r="AW25" s="47" t="s">
        <v>107</v>
      </c>
      <c r="AX25" s="64"/>
      <c r="AY25" s="64" t="s">
        <v>5295</v>
      </c>
      <c r="BA25" s="64"/>
      <c r="BB25" s="64"/>
      <c r="BC25" s="64"/>
      <c r="BD25" s="46"/>
      <c r="BE25" s="46" t="e">
        <v>#REF!</v>
      </c>
      <c r="BF25" s="46" t="s">
        <v>75</v>
      </c>
      <c r="BG25" s="65"/>
      <c r="BH25" s="66" t="s">
        <v>5296</v>
      </c>
      <c r="BI25" s="63" t="s">
        <v>5297</v>
      </c>
    </row>
    <row r="26" spans="1:61" ht="127.5" x14ac:dyDescent="0.2">
      <c r="A26" s="45" t="s">
        <v>5298</v>
      </c>
      <c r="B26" s="46"/>
      <c r="C26" s="46" t="s">
        <v>5289</v>
      </c>
      <c r="D26" s="46" t="s">
        <v>3231</v>
      </c>
      <c r="E26" s="46" t="s">
        <v>5299</v>
      </c>
      <c r="F26" s="46" t="s">
        <v>68</v>
      </c>
      <c r="G26" s="46" t="s">
        <v>68</v>
      </c>
      <c r="H26" s="46" t="s">
        <v>68</v>
      </c>
      <c r="I26" s="46" t="s">
        <v>68</v>
      </c>
      <c r="J26" s="46" t="s">
        <v>71</v>
      </c>
      <c r="K26" s="47">
        <v>300</v>
      </c>
      <c r="L26" s="47">
        <v>450</v>
      </c>
      <c r="M26" s="47">
        <v>750</v>
      </c>
      <c r="N26" s="46"/>
      <c r="O26" s="71" t="s">
        <v>68</v>
      </c>
      <c r="P26" s="64"/>
      <c r="Q26" s="46" t="s">
        <v>5193</v>
      </c>
      <c r="R26" s="46" t="s">
        <v>5196</v>
      </c>
      <c r="S26" s="49">
        <v>187.5</v>
      </c>
      <c r="T26" s="49">
        <v>937.5</v>
      </c>
      <c r="U26" s="50">
        <v>0.188</v>
      </c>
      <c r="V26" s="28">
        <v>0.22</v>
      </c>
      <c r="W26" s="74">
        <v>1.5</v>
      </c>
      <c r="X26" s="52">
        <v>93.75</v>
      </c>
      <c r="Y26" s="52">
        <v>30</v>
      </c>
      <c r="Z26" s="52">
        <v>637.5</v>
      </c>
      <c r="AA26" s="52">
        <v>761.25</v>
      </c>
      <c r="AB26" s="53">
        <v>0.81200000000000006</v>
      </c>
      <c r="AC26" s="72">
        <v>176.25</v>
      </c>
      <c r="AD26" s="55">
        <v>0.188</v>
      </c>
      <c r="AE26" s="73">
        <v>3</v>
      </c>
      <c r="AF26" s="57" t="s">
        <v>95</v>
      </c>
      <c r="AG26" s="58">
        <v>300</v>
      </c>
      <c r="AH26" s="58">
        <v>450</v>
      </c>
      <c r="AI26" s="58">
        <v>750</v>
      </c>
      <c r="AJ26" s="49">
        <v>187.5</v>
      </c>
      <c r="AK26" s="49">
        <v>937.5</v>
      </c>
      <c r="AL26" s="52">
        <v>93.75</v>
      </c>
      <c r="AM26" s="52">
        <v>637.5</v>
      </c>
      <c r="AN26" s="52">
        <v>731.25</v>
      </c>
      <c r="AO26" s="59">
        <v>0.78</v>
      </c>
      <c r="AP26" s="60">
        <v>206.25</v>
      </c>
      <c r="AQ26" s="61">
        <v>0.22</v>
      </c>
      <c r="AR26" s="60" t="s">
        <v>78</v>
      </c>
      <c r="AS26" s="62">
        <v>480</v>
      </c>
      <c r="AT26" s="62">
        <v>720</v>
      </c>
      <c r="AU26" s="62">
        <v>1200</v>
      </c>
      <c r="AV26" s="62">
        <v>1500</v>
      </c>
      <c r="AW26" s="47" t="s">
        <v>107</v>
      </c>
      <c r="AX26" s="64"/>
      <c r="AY26" s="64" t="s">
        <v>5300</v>
      </c>
      <c r="BA26" s="64"/>
      <c r="BB26" s="64"/>
      <c r="BC26" s="64"/>
      <c r="BD26" s="46"/>
      <c r="BE26" s="46" t="e">
        <v>#REF!</v>
      </c>
      <c r="BF26" s="46" t="s">
        <v>75</v>
      </c>
      <c r="BG26" s="65"/>
      <c r="BH26" s="66" t="s">
        <v>5301</v>
      </c>
      <c r="BI26" s="63" t="s">
        <v>5302</v>
      </c>
    </row>
    <row r="27" spans="1:61" ht="127.5" x14ac:dyDescent="0.2">
      <c r="A27" s="45" t="s">
        <v>5303</v>
      </c>
      <c r="B27" s="46"/>
      <c r="C27" s="46" t="s">
        <v>5289</v>
      </c>
      <c r="D27" s="46" t="s">
        <v>3231</v>
      </c>
      <c r="E27" s="46" t="s">
        <v>5304</v>
      </c>
      <c r="F27" s="46" t="s">
        <v>68</v>
      </c>
      <c r="G27" s="46" t="s">
        <v>68</v>
      </c>
      <c r="H27" s="46" t="s">
        <v>68</v>
      </c>
      <c r="I27" s="46" t="s">
        <v>68</v>
      </c>
      <c r="J27" s="46" t="s">
        <v>71</v>
      </c>
      <c r="K27" s="47">
        <v>300</v>
      </c>
      <c r="L27" s="47">
        <v>350</v>
      </c>
      <c r="M27" s="47">
        <v>650</v>
      </c>
      <c r="N27" s="46"/>
      <c r="O27" s="71" t="s">
        <v>68</v>
      </c>
      <c r="P27" s="64"/>
      <c r="Q27" s="46" t="s">
        <v>5193</v>
      </c>
      <c r="R27" s="46" t="s">
        <v>5196</v>
      </c>
      <c r="S27" s="49">
        <v>162.5</v>
      </c>
      <c r="T27" s="49">
        <v>812.5</v>
      </c>
      <c r="U27" s="28">
        <v>0.2323076923076923</v>
      </c>
      <c r="V27" s="28">
        <v>0.26923076923076922</v>
      </c>
      <c r="W27" s="74">
        <v>1.1666666666666667</v>
      </c>
      <c r="X27" s="52">
        <v>81.25</v>
      </c>
      <c r="Y27" s="52">
        <v>30</v>
      </c>
      <c r="Z27" s="52">
        <v>512.5</v>
      </c>
      <c r="AA27" s="52">
        <v>623.75</v>
      </c>
      <c r="AB27" s="53">
        <v>0.76769230769230767</v>
      </c>
      <c r="AC27" s="72">
        <v>188.75</v>
      </c>
      <c r="AD27" s="55">
        <v>0.2323076923076923</v>
      </c>
      <c r="AE27" s="73">
        <v>3</v>
      </c>
      <c r="AF27" s="57" t="s">
        <v>95</v>
      </c>
      <c r="AG27" s="58">
        <v>300</v>
      </c>
      <c r="AH27" s="58">
        <v>350</v>
      </c>
      <c r="AI27" s="58">
        <v>650</v>
      </c>
      <c r="AJ27" s="49">
        <v>162.5</v>
      </c>
      <c r="AK27" s="49">
        <v>812.5</v>
      </c>
      <c r="AL27" s="52">
        <v>81.25</v>
      </c>
      <c r="AM27" s="52">
        <v>512.5</v>
      </c>
      <c r="AN27" s="52">
        <v>593.75</v>
      </c>
      <c r="AO27" s="59">
        <v>0.73076923076923073</v>
      </c>
      <c r="AP27" s="60">
        <v>218.75</v>
      </c>
      <c r="AQ27" s="61">
        <v>0.26923076923076922</v>
      </c>
      <c r="AR27" s="60" t="s">
        <v>78</v>
      </c>
      <c r="AS27" s="62">
        <v>480</v>
      </c>
      <c r="AT27" s="62">
        <v>560</v>
      </c>
      <c r="AU27" s="62">
        <v>1040</v>
      </c>
      <c r="AV27" s="62">
        <v>1300</v>
      </c>
      <c r="AW27" s="47" t="s">
        <v>107</v>
      </c>
      <c r="AX27" s="64"/>
      <c r="AY27" s="64" t="s">
        <v>5305</v>
      </c>
      <c r="BA27" s="64"/>
      <c r="BB27" s="64"/>
      <c r="BC27" s="64"/>
      <c r="BD27" s="46"/>
      <c r="BE27" s="46" t="e">
        <v>#REF!</v>
      </c>
      <c r="BF27" s="46" t="s">
        <v>75</v>
      </c>
      <c r="BG27" s="65"/>
      <c r="BH27" s="66" t="s">
        <v>5306</v>
      </c>
      <c r="BI27" s="63" t="s">
        <v>5307</v>
      </c>
    </row>
    <row r="28" spans="1:61" ht="114.75" x14ac:dyDescent="0.2">
      <c r="A28" s="45" t="s">
        <v>5308</v>
      </c>
      <c r="B28" s="46"/>
      <c r="C28" s="46" t="s">
        <v>5309</v>
      </c>
      <c r="D28" s="46" t="s">
        <v>720</v>
      </c>
      <c r="E28" s="46" t="s">
        <v>5299</v>
      </c>
      <c r="F28" s="46" t="s">
        <v>68</v>
      </c>
      <c r="G28" s="46" t="s">
        <v>68</v>
      </c>
      <c r="H28" s="46" t="s">
        <v>68</v>
      </c>
      <c r="I28" s="46" t="s">
        <v>68</v>
      </c>
      <c r="J28" s="46" t="s">
        <v>71</v>
      </c>
      <c r="K28" s="47">
        <v>300</v>
      </c>
      <c r="L28" s="47">
        <v>450</v>
      </c>
      <c r="M28" s="47">
        <v>750</v>
      </c>
      <c r="N28" s="46"/>
      <c r="O28" s="71" t="s">
        <v>68</v>
      </c>
      <c r="P28" s="64"/>
      <c r="Q28" s="46" t="s">
        <v>5193</v>
      </c>
      <c r="R28" s="46" t="s">
        <v>5196</v>
      </c>
      <c r="S28" s="49">
        <v>187.5</v>
      </c>
      <c r="T28" s="49">
        <v>937.5</v>
      </c>
      <c r="U28" s="50">
        <v>0.188</v>
      </c>
      <c r="V28" s="28">
        <v>0.22</v>
      </c>
      <c r="W28" s="74">
        <v>1.5</v>
      </c>
      <c r="X28" s="52">
        <v>93.75</v>
      </c>
      <c r="Y28" s="52">
        <v>30</v>
      </c>
      <c r="Z28" s="52">
        <v>637.5</v>
      </c>
      <c r="AA28" s="52">
        <v>761.25</v>
      </c>
      <c r="AB28" s="53">
        <v>0.81200000000000006</v>
      </c>
      <c r="AC28" s="72">
        <v>176.25</v>
      </c>
      <c r="AD28" s="55">
        <v>0.188</v>
      </c>
      <c r="AE28" s="73">
        <v>3</v>
      </c>
      <c r="AF28" s="57" t="s">
        <v>95</v>
      </c>
      <c r="AG28" s="58">
        <v>300</v>
      </c>
      <c r="AH28" s="58">
        <v>450</v>
      </c>
      <c r="AI28" s="58">
        <v>750</v>
      </c>
      <c r="AJ28" s="49">
        <v>187.5</v>
      </c>
      <c r="AK28" s="49">
        <v>937.5</v>
      </c>
      <c r="AL28" s="52">
        <v>93.75</v>
      </c>
      <c r="AM28" s="52">
        <v>637.5</v>
      </c>
      <c r="AN28" s="52">
        <v>731.25</v>
      </c>
      <c r="AO28" s="59">
        <v>0.78</v>
      </c>
      <c r="AP28" s="60">
        <v>206.25</v>
      </c>
      <c r="AQ28" s="61">
        <v>0.22</v>
      </c>
      <c r="AR28" s="60" t="s">
        <v>78</v>
      </c>
      <c r="AS28" s="62">
        <v>480</v>
      </c>
      <c r="AT28" s="62">
        <v>720</v>
      </c>
      <c r="AU28" s="62">
        <v>1200</v>
      </c>
      <c r="AV28" s="62">
        <v>1500</v>
      </c>
      <c r="AW28" s="47" t="s">
        <v>107</v>
      </c>
      <c r="AX28" s="64"/>
      <c r="AY28" s="64" t="s">
        <v>5310</v>
      </c>
      <c r="BA28" s="64"/>
      <c r="BB28" s="64"/>
      <c r="BC28" s="64"/>
      <c r="BD28" s="46"/>
      <c r="BE28" s="46" t="e">
        <v>#REF!</v>
      </c>
      <c r="BF28" s="46" t="s">
        <v>75</v>
      </c>
      <c r="BG28" s="65"/>
      <c r="BH28" s="66" t="s">
        <v>5311</v>
      </c>
      <c r="BI28" s="63" t="s">
        <v>5312</v>
      </c>
    </row>
    <row r="29" spans="1:61" ht="114.75" x14ac:dyDescent="0.2">
      <c r="A29" s="45" t="s">
        <v>5313</v>
      </c>
      <c r="B29" s="46"/>
      <c r="C29" s="46" t="s">
        <v>5309</v>
      </c>
      <c r="D29" s="46" t="s">
        <v>720</v>
      </c>
      <c r="E29" s="46" t="s">
        <v>5304</v>
      </c>
      <c r="F29" s="46" t="s">
        <v>68</v>
      </c>
      <c r="G29" s="46" t="s">
        <v>68</v>
      </c>
      <c r="H29" s="46" t="s">
        <v>68</v>
      </c>
      <c r="I29" s="46" t="s">
        <v>68</v>
      </c>
      <c r="J29" s="46" t="s">
        <v>71</v>
      </c>
      <c r="K29" s="47">
        <v>300</v>
      </c>
      <c r="L29" s="47">
        <v>350</v>
      </c>
      <c r="M29" s="47">
        <v>650</v>
      </c>
      <c r="N29" s="46"/>
      <c r="O29" s="71" t="s">
        <v>68</v>
      </c>
      <c r="P29" s="64"/>
      <c r="Q29" s="46" t="s">
        <v>5193</v>
      </c>
      <c r="R29" s="46" t="s">
        <v>5196</v>
      </c>
      <c r="S29" s="49">
        <v>162.5</v>
      </c>
      <c r="T29" s="49">
        <v>812.5</v>
      </c>
      <c r="U29" s="28">
        <v>0.2323076923076923</v>
      </c>
      <c r="V29" s="28">
        <v>0.26923076923076922</v>
      </c>
      <c r="W29" s="74">
        <v>1.1666666666666667</v>
      </c>
      <c r="X29" s="52">
        <v>81.25</v>
      </c>
      <c r="Y29" s="52">
        <v>30</v>
      </c>
      <c r="Z29" s="52">
        <v>512.5</v>
      </c>
      <c r="AA29" s="52">
        <v>623.75</v>
      </c>
      <c r="AB29" s="53">
        <v>0.76769230769230767</v>
      </c>
      <c r="AC29" s="72">
        <v>188.75</v>
      </c>
      <c r="AD29" s="55">
        <v>0.2323076923076923</v>
      </c>
      <c r="AE29" s="73">
        <v>3</v>
      </c>
      <c r="AF29" s="57" t="s">
        <v>95</v>
      </c>
      <c r="AG29" s="58">
        <v>300</v>
      </c>
      <c r="AH29" s="58">
        <v>350</v>
      </c>
      <c r="AI29" s="58">
        <v>650</v>
      </c>
      <c r="AJ29" s="49">
        <v>162.5</v>
      </c>
      <c r="AK29" s="49">
        <v>812.5</v>
      </c>
      <c r="AL29" s="52">
        <v>81.25</v>
      </c>
      <c r="AM29" s="52">
        <v>512.5</v>
      </c>
      <c r="AN29" s="52">
        <v>593.75</v>
      </c>
      <c r="AO29" s="59">
        <v>0.73076923076923073</v>
      </c>
      <c r="AP29" s="60">
        <v>218.75</v>
      </c>
      <c r="AQ29" s="61">
        <v>0.26923076923076922</v>
      </c>
      <c r="AR29" s="60" t="s">
        <v>78</v>
      </c>
      <c r="AS29" s="62">
        <v>480</v>
      </c>
      <c r="AT29" s="62">
        <v>560</v>
      </c>
      <c r="AU29" s="62">
        <v>1040</v>
      </c>
      <c r="AV29" s="62">
        <v>1300</v>
      </c>
      <c r="AW29" s="47" t="s">
        <v>107</v>
      </c>
      <c r="AX29" s="64"/>
      <c r="AY29" s="64" t="s">
        <v>5314</v>
      </c>
      <c r="BA29" s="64"/>
      <c r="BB29" s="64"/>
      <c r="BC29" s="64"/>
      <c r="BD29" s="46"/>
      <c r="BE29" s="46" t="e">
        <v>#REF!</v>
      </c>
      <c r="BF29" s="46" t="s">
        <v>75</v>
      </c>
      <c r="BG29" s="65"/>
      <c r="BH29" s="66" t="s">
        <v>5315</v>
      </c>
      <c r="BI29" s="63" t="s">
        <v>5316</v>
      </c>
    </row>
    <row r="30" spans="1:61" ht="63.75" x14ac:dyDescent="0.2">
      <c r="A30" s="45" t="s">
        <v>5317</v>
      </c>
      <c r="B30" s="46"/>
      <c r="C30" s="46" t="s">
        <v>5318</v>
      </c>
      <c r="D30" s="46" t="s">
        <v>68</v>
      </c>
      <c r="E30" s="46" t="s">
        <v>68</v>
      </c>
      <c r="F30" s="46" t="s">
        <v>68</v>
      </c>
      <c r="G30" s="46" t="s">
        <v>68</v>
      </c>
      <c r="H30" s="46" t="s">
        <v>68</v>
      </c>
      <c r="I30" s="46" t="s">
        <v>68</v>
      </c>
      <c r="J30" s="46" t="s">
        <v>71</v>
      </c>
      <c r="K30" s="47">
        <v>250</v>
      </c>
      <c r="L30" s="47">
        <v>250</v>
      </c>
      <c r="M30" s="47">
        <v>500</v>
      </c>
      <c r="N30" s="46"/>
      <c r="O30" s="71" t="s">
        <v>68</v>
      </c>
      <c r="P30" s="64"/>
      <c r="Q30" s="46" t="s">
        <v>5193</v>
      </c>
      <c r="R30" s="46" t="s">
        <v>5196</v>
      </c>
      <c r="S30" s="49">
        <v>125</v>
      </c>
      <c r="T30" s="49">
        <v>625</v>
      </c>
      <c r="U30" s="28">
        <v>0.252</v>
      </c>
      <c r="V30" s="67">
        <v>0.3</v>
      </c>
      <c r="W30" s="51">
        <v>1</v>
      </c>
      <c r="X30" s="52">
        <v>62.5</v>
      </c>
      <c r="Y30" s="52">
        <v>30</v>
      </c>
      <c r="Z30" s="52">
        <v>375</v>
      </c>
      <c r="AA30" s="52">
        <v>467.5</v>
      </c>
      <c r="AB30" s="53">
        <v>0.748</v>
      </c>
      <c r="AC30" s="72">
        <v>157.5</v>
      </c>
      <c r="AD30" s="55">
        <v>0.252</v>
      </c>
      <c r="AE30" s="73">
        <v>3</v>
      </c>
      <c r="AF30" s="57" t="s">
        <v>95</v>
      </c>
      <c r="AG30" s="58">
        <v>250</v>
      </c>
      <c r="AH30" s="58">
        <v>250</v>
      </c>
      <c r="AI30" s="58">
        <v>500</v>
      </c>
      <c r="AJ30" s="49">
        <v>125</v>
      </c>
      <c r="AK30" s="49">
        <v>625</v>
      </c>
      <c r="AL30" s="52">
        <v>62.5</v>
      </c>
      <c r="AM30" s="52">
        <v>375</v>
      </c>
      <c r="AN30" s="52">
        <v>437.5</v>
      </c>
      <c r="AO30" s="59">
        <v>0.7</v>
      </c>
      <c r="AP30" s="60">
        <v>187.5</v>
      </c>
      <c r="AQ30" s="61">
        <v>0.3</v>
      </c>
      <c r="AR30" s="60" t="s">
        <v>78</v>
      </c>
      <c r="AS30" s="62">
        <v>400</v>
      </c>
      <c r="AT30" s="62">
        <v>400</v>
      </c>
      <c r="AU30" s="62">
        <v>800</v>
      </c>
      <c r="AV30" s="62">
        <v>1000</v>
      </c>
      <c r="AW30" s="47" t="s">
        <v>107</v>
      </c>
      <c r="AX30" s="64"/>
      <c r="AY30" s="64" t="s">
        <v>5319</v>
      </c>
      <c r="BA30" s="64"/>
      <c r="BB30" s="64"/>
      <c r="BC30" s="64"/>
      <c r="BD30" s="46"/>
      <c r="BE30" s="46" t="e">
        <v>#REF!</v>
      </c>
      <c r="BF30" s="46" t="s">
        <v>75</v>
      </c>
      <c r="BG30" s="65"/>
      <c r="BH30" s="66" t="s">
        <v>5320</v>
      </c>
      <c r="BI30" s="63" t="s">
        <v>5318</v>
      </c>
    </row>
    <row r="31" spans="1:61" ht="63.75" x14ac:dyDescent="0.2">
      <c r="A31" s="45" t="s">
        <v>5321</v>
      </c>
      <c r="B31" s="46"/>
      <c r="C31" s="46" t="s">
        <v>5322</v>
      </c>
      <c r="D31" s="46"/>
      <c r="E31" s="46" t="s">
        <v>5323</v>
      </c>
      <c r="F31" s="46" t="s">
        <v>68</v>
      </c>
      <c r="G31" s="46" t="s">
        <v>68</v>
      </c>
      <c r="H31" s="46" t="s">
        <v>68</v>
      </c>
      <c r="I31" s="46" t="s">
        <v>68</v>
      </c>
      <c r="J31" s="46" t="s">
        <v>2996</v>
      </c>
      <c r="K31" s="47">
        <v>70</v>
      </c>
      <c r="L31" s="47">
        <v>10</v>
      </c>
      <c r="M31" s="47">
        <v>80</v>
      </c>
      <c r="N31" s="46"/>
      <c r="O31" s="71" t="s">
        <v>68</v>
      </c>
      <c r="P31" s="64"/>
      <c r="Q31" s="46" t="s">
        <v>5193</v>
      </c>
      <c r="R31" s="46" t="s">
        <v>5196</v>
      </c>
      <c r="S31" s="49">
        <v>20</v>
      </c>
      <c r="T31" s="49">
        <v>100</v>
      </c>
      <c r="U31" s="67">
        <v>0.3</v>
      </c>
      <c r="V31" s="67">
        <v>0.6</v>
      </c>
      <c r="W31" s="51">
        <v>0.14285714285714285</v>
      </c>
      <c r="X31" s="52">
        <v>10</v>
      </c>
      <c r="Y31" s="52">
        <v>30</v>
      </c>
      <c r="Z31" s="52">
        <v>30</v>
      </c>
      <c r="AA31" s="52">
        <v>70</v>
      </c>
      <c r="AB31" s="53">
        <v>0.7</v>
      </c>
      <c r="AC31" s="75">
        <v>30</v>
      </c>
      <c r="AD31" s="55">
        <v>0.3</v>
      </c>
      <c r="AE31" s="73">
        <v>3</v>
      </c>
      <c r="AF31" s="57" t="s">
        <v>95</v>
      </c>
      <c r="AG31" s="58">
        <v>70</v>
      </c>
      <c r="AH31" s="58">
        <v>10</v>
      </c>
      <c r="AI31" s="58">
        <v>80</v>
      </c>
      <c r="AJ31" s="49">
        <v>20</v>
      </c>
      <c r="AK31" s="49">
        <v>100</v>
      </c>
      <c r="AL31" s="52">
        <v>10</v>
      </c>
      <c r="AM31" s="52">
        <v>30</v>
      </c>
      <c r="AN31" s="52">
        <v>40</v>
      </c>
      <c r="AO31" s="59">
        <v>0.4</v>
      </c>
      <c r="AP31" s="60">
        <v>60</v>
      </c>
      <c r="AQ31" s="61">
        <v>0.6</v>
      </c>
      <c r="AR31" s="60" t="s">
        <v>78</v>
      </c>
      <c r="AS31" s="62">
        <v>112</v>
      </c>
      <c r="AT31" s="62">
        <v>16</v>
      </c>
      <c r="AU31" s="62">
        <v>128</v>
      </c>
      <c r="AV31" s="62">
        <v>160</v>
      </c>
      <c r="AW31" s="47" t="s">
        <v>107</v>
      </c>
      <c r="AX31" s="64"/>
      <c r="AY31" s="64" t="s">
        <v>5324</v>
      </c>
      <c r="BA31" s="64"/>
      <c r="BB31" s="64"/>
      <c r="BC31" s="64"/>
      <c r="BD31" s="46"/>
      <c r="BE31" s="46" t="e">
        <v>#REF!</v>
      </c>
      <c r="BF31" s="46" t="s">
        <v>5325</v>
      </c>
      <c r="BG31" s="65"/>
      <c r="BH31" s="66" t="s">
        <v>5326</v>
      </c>
      <c r="BI31" s="63" t="s">
        <v>5327</v>
      </c>
    </row>
    <row r="32" spans="1:61" ht="63.75" x14ac:dyDescent="0.2">
      <c r="A32" s="45" t="s">
        <v>5328</v>
      </c>
      <c r="B32" s="46"/>
      <c r="C32" s="46" t="s">
        <v>5322</v>
      </c>
      <c r="D32" s="46"/>
      <c r="E32" s="46" t="s">
        <v>5329</v>
      </c>
      <c r="F32" s="46" t="s">
        <v>68</v>
      </c>
      <c r="G32" s="46" t="s">
        <v>68</v>
      </c>
      <c r="H32" s="46" t="s">
        <v>68</v>
      </c>
      <c r="I32" s="46" t="s">
        <v>68</v>
      </c>
      <c r="J32" s="46" t="s">
        <v>2996</v>
      </c>
      <c r="K32" s="47">
        <v>80</v>
      </c>
      <c r="L32" s="47">
        <v>20</v>
      </c>
      <c r="M32" s="47">
        <v>100</v>
      </c>
      <c r="N32" s="46"/>
      <c r="O32" s="71" t="s">
        <v>68</v>
      </c>
      <c r="P32" s="64"/>
      <c r="Q32" s="46" t="s">
        <v>5193</v>
      </c>
      <c r="R32" s="46" t="s">
        <v>5196</v>
      </c>
      <c r="S32" s="49">
        <v>25</v>
      </c>
      <c r="T32" s="49">
        <v>125</v>
      </c>
      <c r="U32" s="67">
        <v>0.3</v>
      </c>
      <c r="V32" s="67">
        <v>0.54</v>
      </c>
      <c r="W32" s="51">
        <v>0.25</v>
      </c>
      <c r="X32" s="52">
        <v>12.5</v>
      </c>
      <c r="Y32" s="52">
        <v>30</v>
      </c>
      <c r="Z32" s="52">
        <v>45</v>
      </c>
      <c r="AA32" s="52">
        <v>87.5</v>
      </c>
      <c r="AB32" s="53">
        <v>0.7</v>
      </c>
      <c r="AC32" s="75">
        <v>37.5</v>
      </c>
      <c r="AD32" s="55">
        <v>0.3</v>
      </c>
      <c r="AE32" s="73">
        <v>3</v>
      </c>
      <c r="AF32" s="57" t="s">
        <v>95</v>
      </c>
      <c r="AG32" s="58">
        <v>80</v>
      </c>
      <c r="AH32" s="58">
        <v>20</v>
      </c>
      <c r="AI32" s="58">
        <v>100</v>
      </c>
      <c r="AJ32" s="49">
        <v>25</v>
      </c>
      <c r="AK32" s="49">
        <v>125</v>
      </c>
      <c r="AL32" s="52">
        <v>12.5</v>
      </c>
      <c r="AM32" s="52">
        <v>45</v>
      </c>
      <c r="AN32" s="52">
        <v>57.5</v>
      </c>
      <c r="AO32" s="59">
        <v>0.46</v>
      </c>
      <c r="AP32" s="60">
        <v>67.5</v>
      </c>
      <c r="AQ32" s="61">
        <v>0.54</v>
      </c>
      <c r="AR32" s="60" t="s">
        <v>78</v>
      </c>
      <c r="AS32" s="62">
        <v>128</v>
      </c>
      <c r="AT32" s="62">
        <v>32</v>
      </c>
      <c r="AU32" s="62">
        <v>160</v>
      </c>
      <c r="AV32" s="62">
        <v>200</v>
      </c>
      <c r="AW32" s="47" t="s">
        <v>107</v>
      </c>
      <c r="AX32" s="64"/>
      <c r="AY32" s="64" t="s">
        <v>5330</v>
      </c>
      <c r="BA32" s="64"/>
      <c r="BB32" s="64"/>
      <c r="BC32" s="64"/>
      <c r="BD32" s="46"/>
      <c r="BE32" s="46" t="e">
        <v>#REF!</v>
      </c>
      <c r="BF32" s="46" t="s">
        <v>5325</v>
      </c>
      <c r="BG32" s="65"/>
      <c r="BH32" s="66" t="s">
        <v>5331</v>
      </c>
      <c r="BI32" s="63" t="s">
        <v>5332</v>
      </c>
    </row>
    <row r="33" spans="1:61" ht="89.25" x14ac:dyDescent="0.2">
      <c r="A33" s="45" t="s">
        <v>5333</v>
      </c>
      <c r="B33" s="46"/>
      <c r="C33" s="46" t="s">
        <v>5334</v>
      </c>
      <c r="D33" s="46"/>
      <c r="E33" s="46" t="s">
        <v>5323</v>
      </c>
      <c r="F33" s="46" t="s">
        <v>68</v>
      </c>
      <c r="G33" s="46" t="s">
        <v>68</v>
      </c>
      <c r="H33" s="46" t="s">
        <v>68</v>
      </c>
      <c r="I33" s="46" t="s">
        <v>68</v>
      </c>
      <c r="J33" s="46" t="s">
        <v>2996</v>
      </c>
      <c r="K33" s="47">
        <v>30</v>
      </c>
      <c r="L33" s="47">
        <v>70</v>
      </c>
      <c r="M33" s="47">
        <v>100</v>
      </c>
      <c r="N33" s="46"/>
      <c r="O33" s="71" t="s">
        <v>68</v>
      </c>
      <c r="P33" s="64"/>
      <c r="Q33" s="46" t="s">
        <v>5193</v>
      </c>
      <c r="R33" s="46" t="s">
        <v>5196</v>
      </c>
      <c r="S33" s="49">
        <v>25</v>
      </c>
      <c r="T33" s="49">
        <v>125</v>
      </c>
      <c r="U33" s="50">
        <v>0.15</v>
      </c>
      <c r="V33" s="50">
        <v>0.14000000000000001</v>
      </c>
      <c r="W33" s="77">
        <v>2.3333333333333335</v>
      </c>
      <c r="X33" s="52">
        <v>12.5</v>
      </c>
      <c r="Y33" s="52">
        <v>30</v>
      </c>
      <c r="Z33" s="52">
        <v>95</v>
      </c>
      <c r="AA33" s="52">
        <v>137.5</v>
      </c>
      <c r="AB33" s="53">
        <v>1.1000000000000001</v>
      </c>
      <c r="AC33" s="75">
        <v>18.75</v>
      </c>
      <c r="AD33" s="55">
        <v>0.15</v>
      </c>
      <c r="AE33" s="73">
        <v>3</v>
      </c>
      <c r="AF33" s="57" t="s">
        <v>95</v>
      </c>
      <c r="AG33" s="58">
        <v>30</v>
      </c>
      <c r="AH33" s="58">
        <v>70</v>
      </c>
      <c r="AI33" s="58">
        <v>100</v>
      </c>
      <c r="AJ33" s="49">
        <v>25</v>
      </c>
      <c r="AK33" s="49">
        <v>125</v>
      </c>
      <c r="AL33" s="52">
        <v>12.5</v>
      </c>
      <c r="AM33" s="52">
        <v>95</v>
      </c>
      <c r="AN33" s="52">
        <v>107.5</v>
      </c>
      <c r="AO33" s="59">
        <v>0.86</v>
      </c>
      <c r="AP33" s="60">
        <v>17.5</v>
      </c>
      <c r="AQ33" s="61">
        <v>0.14000000000000001</v>
      </c>
      <c r="AR33" s="60" t="s">
        <v>73</v>
      </c>
      <c r="AS33" s="62">
        <v>48</v>
      </c>
      <c r="AT33" s="62">
        <v>112</v>
      </c>
      <c r="AU33" s="62">
        <v>160</v>
      </c>
      <c r="AV33" s="62">
        <v>200</v>
      </c>
      <c r="AW33" s="47" t="s">
        <v>107</v>
      </c>
      <c r="AX33" s="64"/>
      <c r="AY33" s="64" t="s">
        <v>5335</v>
      </c>
      <c r="BA33" s="64"/>
      <c r="BB33" s="64"/>
      <c r="BC33" s="64"/>
      <c r="BD33" s="46"/>
      <c r="BE33" s="46" t="e">
        <v>#REF!</v>
      </c>
      <c r="BF33" s="46" t="s">
        <v>5325</v>
      </c>
      <c r="BG33" s="65"/>
      <c r="BH33" s="66" t="s">
        <v>5336</v>
      </c>
      <c r="BI33" s="63" t="s">
        <v>5337</v>
      </c>
    </row>
    <row r="34" spans="1:61" ht="89.25" x14ac:dyDescent="0.2">
      <c r="A34" s="45" t="s">
        <v>5338</v>
      </c>
      <c r="B34" s="46"/>
      <c r="C34" s="46" t="s">
        <v>5334</v>
      </c>
      <c r="D34" s="46"/>
      <c r="E34" s="46" t="s">
        <v>5329</v>
      </c>
      <c r="F34" s="46" t="s">
        <v>68</v>
      </c>
      <c r="G34" s="46" t="s">
        <v>68</v>
      </c>
      <c r="H34" s="46" t="s">
        <v>68</v>
      </c>
      <c r="I34" s="46" t="s">
        <v>68</v>
      </c>
      <c r="J34" s="46" t="s">
        <v>2996</v>
      </c>
      <c r="K34" s="47">
        <v>40</v>
      </c>
      <c r="L34" s="47">
        <v>80</v>
      </c>
      <c r="M34" s="47">
        <v>120</v>
      </c>
      <c r="N34" s="46"/>
      <c r="O34" s="71" t="s">
        <v>68</v>
      </c>
      <c r="P34" s="64"/>
      <c r="Q34" s="46" t="s">
        <v>5193</v>
      </c>
      <c r="R34" s="46" t="s">
        <v>5196</v>
      </c>
      <c r="S34" s="49">
        <v>30</v>
      </c>
      <c r="T34" s="49">
        <v>150</v>
      </c>
      <c r="U34" s="50">
        <v>0.16666666666666666</v>
      </c>
      <c r="V34" s="50">
        <v>0.16666666666666666</v>
      </c>
      <c r="W34" s="77">
        <v>2</v>
      </c>
      <c r="X34" s="52">
        <v>15</v>
      </c>
      <c r="Y34" s="52">
        <v>30</v>
      </c>
      <c r="Z34" s="52">
        <v>110</v>
      </c>
      <c r="AA34" s="52">
        <v>155</v>
      </c>
      <c r="AB34" s="53">
        <v>1.0333333333333334</v>
      </c>
      <c r="AC34" s="75">
        <v>25</v>
      </c>
      <c r="AD34" s="55">
        <v>0.16666666666666666</v>
      </c>
      <c r="AE34" s="73">
        <v>3</v>
      </c>
      <c r="AF34" s="57" t="s">
        <v>95</v>
      </c>
      <c r="AG34" s="58">
        <v>40</v>
      </c>
      <c r="AH34" s="58">
        <v>80</v>
      </c>
      <c r="AI34" s="58">
        <v>120</v>
      </c>
      <c r="AJ34" s="49">
        <v>30</v>
      </c>
      <c r="AK34" s="49">
        <v>150</v>
      </c>
      <c r="AL34" s="52">
        <v>15</v>
      </c>
      <c r="AM34" s="52">
        <v>110</v>
      </c>
      <c r="AN34" s="52">
        <v>125</v>
      </c>
      <c r="AO34" s="59">
        <v>0.83333333333333337</v>
      </c>
      <c r="AP34" s="60">
        <v>25</v>
      </c>
      <c r="AQ34" s="61">
        <v>0.16666666666666666</v>
      </c>
      <c r="AR34" s="60" t="s">
        <v>73</v>
      </c>
      <c r="AS34" s="62">
        <v>64</v>
      </c>
      <c r="AT34" s="62">
        <v>128</v>
      </c>
      <c r="AU34" s="62">
        <v>192</v>
      </c>
      <c r="AV34" s="62">
        <v>240</v>
      </c>
      <c r="AW34" s="47" t="s">
        <v>107</v>
      </c>
      <c r="AX34" s="64"/>
      <c r="AY34" s="64" t="s">
        <v>5339</v>
      </c>
      <c r="BA34" s="64"/>
      <c r="BB34" s="64"/>
      <c r="BC34" s="64"/>
      <c r="BD34" s="46"/>
      <c r="BE34" s="46" t="e">
        <v>#REF!</v>
      </c>
      <c r="BF34" s="46" t="s">
        <v>5325</v>
      </c>
      <c r="BG34" s="65"/>
      <c r="BH34" s="66" t="s">
        <v>5340</v>
      </c>
      <c r="BI34" s="63" t="s">
        <v>5341</v>
      </c>
    </row>
    <row r="35" spans="1:61" ht="38.25" x14ac:dyDescent="0.2">
      <c r="A35" s="45" t="s">
        <v>5342</v>
      </c>
      <c r="B35" s="46"/>
      <c r="C35" s="46" t="s">
        <v>5343</v>
      </c>
      <c r="D35" s="46" t="s">
        <v>3916</v>
      </c>
      <c r="E35" s="46" t="s">
        <v>5344</v>
      </c>
      <c r="F35" s="46" t="s">
        <v>68</v>
      </c>
      <c r="G35" s="46" t="s">
        <v>68</v>
      </c>
      <c r="H35" s="46" t="s">
        <v>68</v>
      </c>
      <c r="I35" s="46" t="s">
        <v>68</v>
      </c>
      <c r="J35" s="46" t="s">
        <v>2996</v>
      </c>
      <c r="K35" s="47">
        <v>20</v>
      </c>
      <c r="L35" s="47">
        <v>20</v>
      </c>
      <c r="M35" s="47">
        <v>40</v>
      </c>
      <c r="N35" s="46"/>
      <c r="O35" s="71" t="s">
        <v>68</v>
      </c>
      <c r="P35" s="64"/>
      <c r="Q35" s="46" t="s">
        <v>5193</v>
      </c>
      <c r="R35" s="46" t="s">
        <v>5196</v>
      </c>
      <c r="S35" s="49">
        <v>10</v>
      </c>
      <c r="T35" s="49">
        <v>50</v>
      </c>
      <c r="U35" s="28">
        <v>0.25</v>
      </c>
      <c r="V35" s="67">
        <v>0.3</v>
      </c>
      <c r="W35" s="51">
        <v>1</v>
      </c>
      <c r="X35" s="52">
        <v>5</v>
      </c>
      <c r="Y35" s="52">
        <v>30</v>
      </c>
      <c r="Z35" s="52">
        <v>30</v>
      </c>
      <c r="AA35" s="52">
        <v>65</v>
      </c>
      <c r="AB35" s="53">
        <v>1.3</v>
      </c>
      <c r="AC35" s="75">
        <v>12.5</v>
      </c>
      <c r="AD35" s="55">
        <v>0.25</v>
      </c>
      <c r="AE35" s="73">
        <v>3</v>
      </c>
      <c r="AF35" s="57" t="s">
        <v>95</v>
      </c>
      <c r="AG35" s="58">
        <v>20</v>
      </c>
      <c r="AH35" s="58">
        <v>20</v>
      </c>
      <c r="AI35" s="58">
        <v>40</v>
      </c>
      <c r="AJ35" s="49">
        <v>10</v>
      </c>
      <c r="AK35" s="49">
        <v>50</v>
      </c>
      <c r="AL35" s="52">
        <v>5</v>
      </c>
      <c r="AM35" s="52">
        <v>30</v>
      </c>
      <c r="AN35" s="52">
        <v>35</v>
      </c>
      <c r="AO35" s="59">
        <v>0.7</v>
      </c>
      <c r="AP35" s="60">
        <v>15</v>
      </c>
      <c r="AQ35" s="61">
        <v>0.3</v>
      </c>
      <c r="AR35" s="60" t="s">
        <v>78</v>
      </c>
      <c r="AS35" s="62">
        <v>32</v>
      </c>
      <c r="AT35" s="62">
        <v>32</v>
      </c>
      <c r="AU35" s="62">
        <v>64</v>
      </c>
      <c r="AV35" s="62">
        <v>80</v>
      </c>
      <c r="AW35" s="47" t="s">
        <v>107</v>
      </c>
      <c r="AX35" s="64"/>
      <c r="AY35" s="64" t="s">
        <v>5345</v>
      </c>
      <c r="BA35" s="64"/>
      <c r="BB35" s="64"/>
      <c r="BC35" s="64"/>
      <c r="BD35" s="46"/>
      <c r="BE35" s="46" t="e">
        <v>#REF!</v>
      </c>
      <c r="BF35" s="46" t="s">
        <v>5346</v>
      </c>
      <c r="BG35" s="65">
        <v>4</v>
      </c>
      <c r="BH35" s="66" t="s">
        <v>5347</v>
      </c>
      <c r="BI35" s="63" t="s">
        <v>5348</v>
      </c>
    </row>
    <row r="36" spans="1:61" ht="51" x14ac:dyDescent="0.2">
      <c r="A36" s="45" t="s">
        <v>5349</v>
      </c>
      <c r="B36" s="46"/>
      <c r="C36" s="46" t="s">
        <v>5343</v>
      </c>
      <c r="D36" s="46" t="s">
        <v>5350</v>
      </c>
      <c r="E36" s="46" t="s">
        <v>5351</v>
      </c>
      <c r="F36" s="46" t="s">
        <v>68</v>
      </c>
      <c r="G36" s="46" t="s">
        <v>68</v>
      </c>
      <c r="H36" s="46" t="s">
        <v>68</v>
      </c>
      <c r="I36" s="46" t="s">
        <v>68</v>
      </c>
      <c r="J36" s="46" t="s">
        <v>2996</v>
      </c>
      <c r="K36" s="47">
        <v>20</v>
      </c>
      <c r="L36" s="47">
        <v>30</v>
      </c>
      <c r="M36" s="47">
        <v>50</v>
      </c>
      <c r="N36" s="46"/>
      <c r="O36" s="71" t="s">
        <v>68</v>
      </c>
      <c r="P36" s="64"/>
      <c r="Q36" s="46" t="s">
        <v>5193</v>
      </c>
      <c r="R36" s="46" t="s">
        <v>5196</v>
      </c>
      <c r="S36" s="49">
        <v>12.5</v>
      </c>
      <c r="T36" s="49">
        <v>62.5</v>
      </c>
      <c r="U36" s="28">
        <v>0.2</v>
      </c>
      <c r="V36" s="28">
        <v>0.22</v>
      </c>
      <c r="W36" s="74">
        <v>1.5</v>
      </c>
      <c r="X36" s="52">
        <v>6.25</v>
      </c>
      <c r="Y36" s="52">
        <v>30</v>
      </c>
      <c r="Z36" s="52">
        <v>42.5</v>
      </c>
      <c r="AA36" s="52">
        <v>78.75</v>
      </c>
      <c r="AB36" s="53">
        <v>1.26</v>
      </c>
      <c r="AC36" s="75">
        <v>12.5</v>
      </c>
      <c r="AD36" s="55">
        <v>0.2</v>
      </c>
      <c r="AE36" s="73">
        <v>3</v>
      </c>
      <c r="AF36" s="57" t="s">
        <v>95</v>
      </c>
      <c r="AG36" s="58">
        <v>20</v>
      </c>
      <c r="AH36" s="58">
        <v>30</v>
      </c>
      <c r="AI36" s="58">
        <v>50</v>
      </c>
      <c r="AJ36" s="49">
        <v>12.5</v>
      </c>
      <c r="AK36" s="49">
        <v>62.5</v>
      </c>
      <c r="AL36" s="52">
        <v>6.25</v>
      </c>
      <c r="AM36" s="52">
        <v>42.5</v>
      </c>
      <c r="AN36" s="52">
        <v>48.75</v>
      </c>
      <c r="AO36" s="59">
        <v>0.78</v>
      </c>
      <c r="AP36" s="60">
        <v>13.75</v>
      </c>
      <c r="AQ36" s="61">
        <v>0.22</v>
      </c>
      <c r="AR36" s="60" t="s">
        <v>78</v>
      </c>
      <c r="AS36" s="62">
        <v>32</v>
      </c>
      <c r="AT36" s="62">
        <v>48</v>
      </c>
      <c r="AU36" s="62">
        <v>80</v>
      </c>
      <c r="AV36" s="62">
        <v>100</v>
      </c>
      <c r="AW36" s="47" t="s">
        <v>107</v>
      </c>
      <c r="AX36" s="64"/>
      <c r="AY36" s="64" t="s">
        <v>5352</v>
      </c>
      <c r="BA36" s="64"/>
      <c r="BB36" s="64"/>
      <c r="BC36" s="64"/>
      <c r="BD36" s="46"/>
      <c r="BE36" s="46" t="e">
        <v>#REF!</v>
      </c>
      <c r="BF36" s="46" t="s">
        <v>5346</v>
      </c>
      <c r="BG36" s="65">
        <v>4</v>
      </c>
      <c r="BH36" s="66" t="s">
        <v>5353</v>
      </c>
      <c r="BI36" s="63" t="s">
        <v>5354</v>
      </c>
    </row>
    <row r="37" spans="1:61" ht="114.75" x14ac:dyDescent="0.2">
      <c r="A37" s="45" t="s">
        <v>5355</v>
      </c>
      <c r="B37" s="46"/>
      <c r="C37" s="46" t="s">
        <v>5356</v>
      </c>
      <c r="D37" s="46" t="s">
        <v>3916</v>
      </c>
      <c r="E37" s="46" t="s">
        <v>5344</v>
      </c>
      <c r="F37" s="46" t="s">
        <v>5357</v>
      </c>
      <c r="G37" s="46" t="s">
        <v>5358</v>
      </c>
      <c r="H37" s="46" t="s">
        <v>5359</v>
      </c>
      <c r="I37" s="46" t="s">
        <v>68</v>
      </c>
      <c r="J37" s="46" t="s">
        <v>71</v>
      </c>
      <c r="K37" s="47">
        <v>1000</v>
      </c>
      <c r="L37" s="47">
        <f>12*20+200+(4*100)</f>
        <v>840</v>
      </c>
      <c r="M37" s="47">
        <v>1840</v>
      </c>
      <c r="N37" s="46"/>
      <c r="O37" s="71" t="s">
        <v>68</v>
      </c>
      <c r="P37" s="64"/>
      <c r="Q37" s="46" t="s">
        <v>5193</v>
      </c>
      <c r="R37" s="46" t="s">
        <v>5196</v>
      </c>
      <c r="S37" s="49">
        <v>460</v>
      </c>
      <c r="T37" s="49">
        <v>2300</v>
      </c>
      <c r="U37" s="67">
        <v>0.32173913043478258</v>
      </c>
      <c r="V37" s="67">
        <v>0.33478260869565218</v>
      </c>
      <c r="W37" s="51">
        <v>0.84</v>
      </c>
      <c r="X37" s="52">
        <v>230</v>
      </c>
      <c r="Y37" s="52">
        <v>30</v>
      </c>
      <c r="Z37" s="52">
        <v>1300</v>
      </c>
      <c r="AA37" s="52">
        <v>1560</v>
      </c>
      <c r="AB37" s="53">
        <v>0.67826086956521736</v>
      </c>
      <c r="AC37" s="72">
        <v>740</v>
      </c>
      <c r="AD37" s="55">
        <v>0.32173913043478258</v>
      </c>
      <c r="AE37" s="73">
        <v>3</v>
      </c>
      <c r="AF37" s="57" t="s">
        <v>95</v>
      </c>
      <c r="AG37" s="58">
        <v>1000</v>
      </c>
      <c r="AH37" s="58">
        <v>840</v>
      </c>
      <c r="AI37" s="58">
        <v>1840</v>
      </c>
      <c r="AJ37" s="49">
        <v>460</v>
      </c>
      <c r="AK37" s="49">
        <v>2300</v>
      </c>
      <c r="AL37" s="52">
        <v>230</v>
      </c>
      <c r="AM37" s="52">
        <v>1300</v>
      </c>
      <c r="AN37" s="52">
        <v>1530</v>
      </c>
      <c r="AO37" s="59">
        <v>0.66521739130434787</v>
      </c>
      <c r="AP37" s="60">
        <v>770</v>
      </c>
      <c r="AQ37" s="61">
        <v>0.33478260869565218</v>
      </c>
      <c r="AR37" s="60" t="s">
        <v>78</v>
      </c>
      <c r="AS37" s="62">
        <v>1600</v>
      </c>
      <c r="AT37" s="62">
        <v>1344</v>
      </c>
      <c r="AU37" s="62">
        <v>2944</v>
      </c>
      <c r="AV37" s="62">
        <v>3680</v>
      </c>
      <c r="AW37" s="47" t="s">
        <v>107</v>
      </c>
      <c r="AX37" s="64"/>
      <c r="AY37" s="64" t="s">
        <v>5360</v>
      </c>
      <c r="BA37" s="64"/>
      <c r="BB37" s="64"/>
      <c r="BC37" s="64"/>
      <c r="BD37" s="46"/>
      <c r="BE37" s="46" t="e">
        <v>#REF!</v>
      </c>
      <c r="BF37" s="46" t="s">
        <v>5346</v>
      </c>
      <c r="BG37" s="65">
        <v>6</v>
      </c>
      <c r="BH37" s="66" t="s">
        <v>5361</v>
      </c>
      <c r="BI37" s="63" t="s">
        <v>5362</v>
      </c>
    </row>
    <row r="38" spans="1:61" ht="114.75" x14ac:dyDescent="0.2">
      <c r="A38" s="45" t="s">
        <v>5363</v>
      </c>
      <c r="B38" s="46"/>
      <c r="C38" s="46" t="s">
        <v>5356</v>
      </c>
      <c r="D38" s="46" t="s">
        <v>3916</v>
      </c>
      <c r="E38" s="46" t="s">
        <v>5344</v>
      </c>
      <c r="F38" s="46" t="s">
        <v>5357</v>
      </c>
      <c r="G38" s="46" t="s">
        <v>5364</v>
      </c>
      <c r="H38" s="46" t="s">
        <v>5359</v>
      </c>
      <c r="I38" s="46" t="s">
        <v>68</v>
      </c>
      <c r="J38" s="46" t="s">
        <v>71</v>
      </c>
      <c r="K38" s="47">
        <v>1300</v>
      </c>
      <c r="L38" s="47">
        <f>25*20+200+(8*100)</f>
        <v>1500</v>
      </c>
      <c r="M38" s="47">
        <v>2800</v>
      </c>
      <c r="N38" s="46"/>
      <c r="O38" s="71" t="s">
        <v>68</v>
      </c>
      <c r="P38" s="64"/>
      <c r="Q38" s="46" t="s">
        <v>5193</v>
      </c>
      <c r="R38" s="46" t="s">
        <v>5196</v>
      </c>
      <c r="S38" s="49">
        <v>700</v>
      </c>
      <c r="T38" s="49">
        <v>3500</v>
      </c>
      <c r="U38" s="28">
        <v>0.26285714285714284</v>
      </c>
      <c r="V38" s="28">
        <v>0.27142857142857141</v>
      </c>
      <c r="W38" s="74">
        <v>1.1538461538461537</v>
      </c>
      <c r="X38" s="52">
        <v>350</v>
      </c>
      <c r="Y38" s="52">
        <v>30</v>
      </c>
      <c r="Z38" s="52">
        <v>2200</v>
      </c>
      <c r="AA38" s="52">
        <v>2580</v>
      </c>
      <c r="AB38" s="53">
        <v>0.7371428571428571</v>
      </c>
      <c r="AC38" s="72">
        <v>920</v>
      </c>
      <c r="AD38" s="55">
        <v>0.26285714285714284</v>
      </c>
      <c r="AE38" s="73">
        <v>3</v>
      </c>
      <c r="AF38" s="57" t="s">
        <v>95</v>
      </c>
      <c r="AG38" s="58">
        <v>1300</v>
      </c>
      <c r="AH38" s="58">
        <v>1500</v>
      </c>
      <c r="AI38" s="58">
        <v>2800</v>
      </c>
      <c r="AJ38" s="49">
        <v>700</v>
      </c>
      <c r="AK38" s="49">
        <v>3500</v>
      </c>
      <c r="AL38" s="52">
        <v>350</v>
      </c>
      <c r="AM38" s="52">
        <v>2200</v>
      </c>
      <c r="AN38" s="52">
        <v>2550</v>
      </c>
      <c r="AO38" s="59">
        <v>0.72857142857142854</v>
      </c>
      <c r="AP38" s="60">
        <v>950</v>
      </c>
      <c r="AQ38" s="61">
        <v>0.27142857142857141</v>
      </c>
      <c r="AR38" s="60" t="s">
        <v>78</v>
      </c>
      <c r="AS38" s="62">
        <v>2080</v>
      </c>
      <c r="AT38" s="62">
        <v>2400</v>
      </c>
      <c r="AU38" s="62">
        <v>4480</v>
      </c>
      <c r="AV38" s="62">
        <v>5600</v>
      </c>
      <c r="AW38" s="47" t="s">
        <v>107</v>
      </c>
      <c r="AX38" s="64">
        <v>45148</v>
      </c>
      <c r="AY38" s="64" t="s">
        <v>5365</v>
      </c>
      <c r="BA38" s="64"/>
      <c r="BB38" s="64"/>
      <c r="BC38" s="64"/>
      <c r="BD38" s="46"/>
      <c r="BE38" s="46" t="e">
        <v>#REF!</v>
      </c>
      <c r="BF38" s="46" t="s">
        <v>5346</v>
      </c>
      <c r="BG38" s="65">
        <v>6</v>
      </c>
      <c r="BH38" s="66"/>
      <c r="BI38" s="63" t="s">
        <v>5366</v>
      </c>
    </row>
    <row r="39" spans="1:61" ht="76.5" x14ac:dyDescent="0.2">
      <c r="A39" s="45" t="s">
        <v>5367</v>
      </c>
      <c r="B39" s="46"/>
      <c r="C39" s="46" t="s">
        <v>5356</v>
      </c>
      <c r="D39" s="46" t="s">
        <v>5368</v>
      </c>
      <c r="E39" s="46" t="s">
        <v>5351</v>
      </c>
      <c r="F39" s="46" t="s">
        <v>68</v>
      </c>
      <c r="G39" s="46" t="s">
        <v>68</v>
      </c>
      <c r="H39" s="46" t="s">
        <v>68</v>
      </c>
      <c r="I39" s="46" t="s">
        <v>68</v>
      </c>
      <c r="J39" s="46" t="s">
        <v>2996</v>
      </c>
      <c r="K39" s="47">
        <v>35</v>
      </c>
      <c r="L39" s="47">
        <v>100</v>
      </c>
      <c r="M39" s="47">
        <v>135</v>
      </c>
      <c r="N39" s="46"/>
      <c r="O39" s="71" t="s">
        <v>68</v>
      </c>
      <c r="P39" s="64"/>
      <c r="Q39" s="46" t="s">
        <v>5193</v>
      </c>
      <c r="R39" s="46" t="s">
        <v>5196</v>
      </c>
      <c r="S39" s="49">
        <v>33.75</v>
      </c>
      <c r="T39" s="49">
        <v>168.75</v>
      </c>
      <c r="U39" s="50">
        <v>0.12962962962962962</v>
      </c>
      <c r="V39" s="50">
        <v>0.10740740740740741</v>
      </c>
      <c r="W39" s="77">
        <v>2.8571428571428572</v>
      </c>
      <c r="X39" s="52">
        <v>16.875</v>
      </c>
      <c r="Y39" s="52">
        <v>30</v>
      </c>
      <c r="Z39" s="52">
        <v>133.75</v>
      </c>
      <c r="AA39" s="52">
        <v>180.625</v>
      </c>
      <c r="AB39" s="53">
        <v>1.0703703703703704</v>
      </c>
      <c r="AC39" s="75">
        <v>21.875</v>
      </c>
      <c r="AD39" s="55">
        <v>0.12962962962962962</v>
      </c>
      <c r="AE39" s="73">
        <v>3</v>
      </c>
      <c r="AF39" s="57" t="s">
        <v>95</v>
      </c>
      <c r="AG39" s="58">
        <v>35</v>
      </c>
      <c r="AH39" s="58">
        <v>100</v>
      </c>
      <c r="AI39" s="58">
        <v>135</v>
      </c>
      <c r="AJ39" s="49">
        <v>33.75</v>
      </c>
      <c r="AK39" s="49">
        <v>168.75</v>
      </c>
      <c r="AL39" s="52">
        <v>16.875</v>
      </c>
      <c r="AM39" s="52">
        <v>133.75</v>
      </c>
      <c r="AN39" s="52">
        <v>150.625</v>
      </c>
      <c r="AO39" s="59">
        <v>0.8925925925925926</v>
      </c>
      <c r="AP39" s="60">
        <v>18.125</v>
      </c>
      <c r="AQ39" s="61">
        <v>0.10740740740740741</v>
      </c>
      <c r="AR39" s="60" t="s">
        <v>73</v>
      </c>
      <c r="AS39" s="62">
        <v>56</v>
      </c>
      <c r="AT39" s="62">
        <v>160</v>
      </c>
      <c r="AU39" s="62">
        <v>216</v>
      </c>
      <c r="AV39" s="62">
        <v>270</v>
      </c>
      <c r="AW39" s="47" t="s">
        <v>107</v>
      </c>
      <c r="AX39" s="64"/>
      <c r="AY39" s="64" t="s">
        <v>5369</v>
      </c>
      <c r="BA39" s="64"/>
      <c r="BB39" s="64"/>
      <c r="BC39" s="64"/>
      <c r="BD39" s="46"/>
      <c r="BE39" s="46" t="e">
        <v>#REF!</v>
      </c>
      <c r="BF39" s="46" t="s">
        <v>5346</v>
      </c>
      <c r="BG39" s="65">
        <v>8</v>
      </c>
      <c r="BH39" s="66" t="s">
        <v>5370</v>
      </c>
      <c r="BI39" s="63" t="s">
        <v>5371</v>
      </c>
    </row>
    <row r="40" spans="1:61" ht="102" x14ac:dyDescent="0.2">
      <c r="A40" s="45" t="s">
        <v>5372</v>
      </c>
      <c r="B40" s="46"/>
      <c r="C40" s="46" t="s">
        <v>5373</v>
      </c>
      <c r="D40" s="46" t="s">
        <v>3916</v>
      </c>
      <c r="E40" s="46" t="s">
        <v>5344</v>
      </c>
      <c r="F40" s="46" t="s">
        <v>5374</v>
      </c>
      <c r="G40" s="46" t="s">
        <v>5375</v>
      </c>
      <c r="H40" s="46" t="s">
        <v>68</v>
      </c>
      <c r="I40" s="46" t="s">
        <v>68</v>
      </c>
      <c r="J40" s="46" t="s">
        <v>71</v>
      </c>
      <c r="K40" s="47">
        <v>300</v>
      </c>
      <c r="L40" s="47">
        <f>(100*2)+50</f>
        <v>250</v>
      </c>
      <c r="M40" s="47">
        <v>550</v>
      </c>
      <c r="N40" s="46"/>
      <c r="O40" s="71" t="s">
        <v>68</v>
      </c>
      <c r="P40" s="64"/>
      <c r="Q40" s="46" t="s">
        <v>5193</v>
      </c>
      <c r="R40" s="46" t="s">
        <v>5196</v>
      </c>
      <c r="S40" s="49">
        <v>137.5</v>
      </c>
      <c r="T40" s="49">
        <v>687.5</v>
      </c>
      <c r="U40" s="28">
        <v>0.29272727272727272</v>
      </c>
      <c r="V40" s="67">
        <v>0.33636363636363636</v>
      </c>
      <c r="W40" s="51">
        <v>0.83333333333333337</v>
      </c>
      <c r="X40" s="52">
        <v>68.75</v>
      </c>
      <c r="Y40" s="52">
        <v>30</v>
      </c>
      <c r="Z40" s="52">
        <v>387.5</v>
      </c>
      <c r="AA40" s="52">
        <v>486.25</v>
      </c>
      <c r="AB40" s="53">
        <v>0.70727272727272728</v>
      </c>
      <c r="AC40" s="72">
        <v>201.25</v>
      </c>
      <c r="AD40" s="55">
        <v>0.29272727272727272</v>
      </c>
      <c r="AE40" s="73">
        <v>3</v>
      </c>
      <c r="AF40" s="57" t="s">
        <v>95</v>
      </c>
      <c r="AG40" s="58">
        <v>300</v>
      </c>
      <c r="AH40" s="58">
        <v>250</v>
      </c>
      <c r="AI40" s="58">
        <v>550</v>
      </c>
      <c r="AJ40" s="49">
        <v>137.5</v>
      </c>
      <c r="AK40" s="49">
        <v>687.5</v>
      </c>
      <c r="AL40" s="52">
        <v>68.75</v>
      </c>
      <c r="AM40" s="52">
        <v>387.5</v>
      </c>
      <c r="AN40" s="52">
        <v>456.25</v>
      </c>
      <c r="AO40" s="59">
        <v>0.66363636363636369</v>
      </c>
      <c r="AP40" s="60">
        <v>231.25</v>
      </c>
      <c r="AQ40" s="61">
        <v>0.33636363636363636</v>
      </c>
      <c r="AR40" s="60" t="s">
        <v>78</v>
      </c>
      <c r="AS40" s="62">
        <v>480</v>
      </c>
      <c r="AT40" s="62">
        <v>400</v>
      </c>
      <c r="AU40" s="62">
        <v>880</v>
      </c>
      <c r="AV40" s="62">
        <v>1100</v>
      </c>
      <c r="AW40" s="47" t="s">
        <v>107</v>
      </c>
      <c r="AX40" s="64"/>
      <c r="AY40" s="64" t="s">
        <v>5376</v>
      </c>
      <c r="BA40" s="64"/>
      <c r="BB40" s="64"/>
      <c r="BC40" s="64"/>
      <c r="BD40" s="46"/>
      <c r="BE40" s="46" t="e">
        <v>#REF!</v>
      </c>
      <c r="BF40" s="46" t="s">
        <v>5346</v>
      </c>
      <c r="BG40" s="65">
        <v>8</v>
      </c>
      <c r="BH40" s="66" t="s">
        <v>5377</v>
      </c>
      <c r="BI40" s="63" t="s">
        <v>5378</v>
      </c>
    </row>
    <row r="41" spans="1:61" ht="102" x14ac:dyDescent="0.2">
      <c r="A41" s="45" t="s">
        <v>5379</v>
      </c>
      <c r="B41" s="46"/>
      <c r="C41" s="46" t="s">
        <v>5373</v>
      </c>
      <c r="D41" s="46" t="s">
        <v>3916</v>
      </c>
      <c r="E41" s="46" t="s">
        <v>5344</v>
      </c>
      <c r="F41" s="46" t="s">
        <v>5374</v>
      </c>
      <c r="G41" s="46" t="s">
        <v>5380</v>
      </c>
      <c r="H41" s="46" t="s">
        <v>68</v>
      </c>
      <c r="I41" s="46" t="s">
        <v>68</v>
      </c>
      <c r="J41" s="46" t="s">
        <v>71</v>
      </c>
      <c r="K41" s="47">
        <v>300</v>
      </c>
      <c r="L41" s="47">
        <f>(100*4)+50</f>
        <v>450</v>
      </c>
      <c r="M41" s="47">
        <v>750</v>
      </c>
      <c r="N41" s="46"/>
      <c r="O41" s="71" t="s">
        <v>68</v>
      </c>
      <c r="P41" s="64"/>
      <c r="Q41" s="46" t="s">
        <v>5193</v>
      </c>
      <c r="R41" s="46" t="s">
        <v>5196</v>
      </c>
      <c r="S41" s="49">
        <v>187.5</v>
      </c>
      <c r="T41" s="49">
        <v>937.5</v>
      </c>
      <c r="U41" s="50">
        <v>0.188</v>
      </c>
      <c r="V41" s="28">
        <v>0.22</v>
      </c>
      <c r="W41" s="74">
        <v>1.5</v>
      </c>
      <c r="X41" s="52">
        <v>93.75</v>
      </c>
      <c r="Y41" s="52">
        <v>30</v>
      </c>
      <c r="Z41" s="52">
        <v>637.5</v>
      </c>
      <c r="AA41" s="52">
        <v>761.25</v>
      </c>
      <c r="AB41" s="53">
        <v>0.81200000000000006</v>
      </c>
      <c r="AC41" s="72">
        <v>176.25</v>
      </c>
      <c r="AD41" s="55">
        <v>0.188</v>
      </c>
      <c r="AE41" s="73">
        <v>3</v>
      </c>
      <c r="AF41" s="57" t="s">
        <v>95</v>
      </c>
      <c r="AG41" s="58">
        <v>300</v>
      </c>
      <c r="AH41" s="58">
        <v>450</v>
      </c>
      <c r="AI41" s="58">
        <v>750</v>
      </c>
      <c r="AJ41" s="49">
        <v>187.5</v>
      </c>
      <c r="AK41" s="49">
        <v>937.5</v>
      </c>
      <c r="AL41" s="52">
        <v>93.75</v>
      </c>
      <c r="AM41" s="52">
        <v>637.5</v>
      </c>
      <c r="AN41" s="52">
        <v>731.25</v>
      </c>
      <c r="AO41" s="59">
        <v>0.78</v>
      </c>
      <c r="AP41" s="60">
        <v>206.25</v>
      </c>
      <c r="AQ41" s="61">
        <v>0.22</v>
      </c>
      <c r="AR41" s="60" t="s">
        <v>78</v>
      </c>
      <c r="AS41" s="62">
        <v>480</v>
      </c>
      <c r="AT41" s="62">
        <v>720</v>
      </c>
      <c r="AU41" s="62">
        <v>1200</v>
      </c>
      <c r="AV41" s="62">
        <v>1500</v>
      </c>
      <c r="AW41" s="47" t="s">
        <v>107</v>
      </c>
      <c r="AX41" s="64"/>
      <c r="AY41" s="64" t="s">
        <v>5381</v>
      </c>
      <c r="BA41" s="64"/>
      <c r="BB41" s="64"/>
      <c r="BC41" s="64"/>
      <c r="BD41" s="46"/>
      <c r="BE41" s="46" t="e">
        <v>#REF!</v>
      </c>
      <c r="BF41" s="46" t="s">
        <v>5346</v>
      </c>
      <c r="BG41" s="65">
        <v>8</v>
      </c>
      <c r="BH41" s="66"/>
      <c r="BI41" s="63" t="s">
        <v>5382</v>
      </c>
    </row>
    <row r="42" spans="1:61" ht="51" x14ac:dyDescent="0.2">
      <c r="A42" s="45" t="s">
        <v>5383</v>
      </c>
      <c r="B42" s="46"/>
      <c r="C42" s="46" t="s">
        <v>5384</v>
      </c>
      <c r="D42" s="46" t="s">
        <v>3916</v>
      </c>
      <c r="E42" s="46" t="s">
        <v>5323</v>
      </c>
      <c r="F42" s="46" t="s">
        <v>68</v>
      </c>
      <c r="G42" s="46" t="s">
        <v>68</v>
      </c>
      <c r="H42" s="46" t="s">
        <v>5358</v>
      </c>
      <c r="I42" s="46" t="s">
        <v>68</v>
      </c>
      <c r="J42" s="46" t="s">
        <v>2996</v>
      </c>
      <c r="K42" s="47">
        <v>40</v>
      </c>
      <c r="L42" s="47">
        <v>70</v>
      </c>
      <c r="M42" s="47">
        <v>110</v>
      </c>
      <c r="N42" s="46"/>
      <c r="O42" s="71" t="s">
        <v>68</v>
      </c>
      <c r="P42" s="64"/>
      <c r="Q42" s="46" t="s">
        <v>5193</v>
      </c>
      <c r="R42" s="46" t="s">
        <v>5196</v>
      </c>
      <c r="S42" s="49">
        <v>27.5</v>
      </c>
      <c r="T42" s="49">
        <v>137.5</v>
      </c>
      <c r="U42" s="50">
        <v>0.18181818181818182</v>
      </c>
      <c r="V42" s="50">
        <v>0.19090909090909092</v>
      </c>
      <c r="W42" s="77">
        <v>1.75</v>
      </c>
      <c r="X42" s="52">
        <v>13.75</v>
      </c>
      <c r="Y42" s="52">
        <v>30</v>
      </c>
      <c r="Z42" s="52">
        <v>97.5</v>
      </c>
      <c r="AA42" s="52">
        <v>141.25</v>
      </c>
      <c r="AB42" s="53">
        <v>1.0272727272727273</v>
      </c>
      <c r="AC42" s="75">
        <v>25</v>
      </c>
      <c r="AD42" s="55">
        <v>0.18181818181818182</v>
      </c>
      <c r="AE42" s="73">
        <v>3</v>
      </c>
      <c r="AF42" s="57" t="s">
        <v>95</v>
      </c>
      <c r="AG42" s="58">
        <v>40</v>
      </c>
      <c r="AH42" s="58">
        <v>70</v>
      </c>
      <c r="AI42" s="58">
        <v>110</v>
      </c>
      <c r="AJ42" s="49">
        <v>27.5</v>
      </c>
      <c r="AK42" s="49">
        <v>137.5</v>
      </c>
      <c r="AL42" s="52">
        <v>13.75</v>
      </c>
      <c r="AM42" s="52">
        <v>97.5</v>
      </c>
      <c r="AN42" s="52">
        <v>111.25</v>
      </c>
      <c r="AO42" s="59">
        <v>0.80909090909090908</v>
      </c>
      <c r="AP42" s="60">
        <v>26.25</v>
      </c>
      <c r="AQ42" s="61">
        <v>0.19090909090909092</v>
      </c>
      <c r="AR42" s="60" t="s">
        <v>73</v>
      </c>
      <c r="AS42" s="62">
        <v>64</v>
      </c>
      <c r="AT42" s="62">
        <v>112</v>
      </c>
      <c r="AU42" s="62">
        <v>176</v>
      </c>
      <c r="AV42" s="62">
        <v>220</v>
      </c>
      <c r="AW42" s="47" t="s">
        <v>107</v>
      </c>
      <c r="AX42" s="64"/>
      <c r="AY42" s="64" t="s">
        <v>5385</v>
      </c>
      <c r="BA42" s="64"/>
      <c r="BB42" s="64"/>
      <c r="BC42" s="64"/>
      <c r="BD42" s="46"/>
      <c r="BE42" s="46" t="e">
        <v>#REF!</v>
      </c>
      <c r="BF42" s="46" t="s">
        <v>79</v>
      </c>
      <c r="BG42" s="65">
        <v>2</v>
      </c>
      <c r="BH42" s="66" t="s">
        <v>5386</v>
      </c>
      <c r="BI42" s="63" t="s">
        <v>5387</v>
      </c>
    </row>
    <row r="43" spans="1:61" ht="63.75" x14ac:dyDescent="0.2">
      <c r="A43" s="45" t="s">
        <v>5388</v>
      </c>
      <c r="B43" s="46"/>
      <c r="C43" s="46" t="s">
        <v>5384</v>
      </c>
      <c r="D43" s="46" t="s">
        <v>3916</v>
      </c>
      <c r="E43" s="46" t="s">
        <v>5323</v>
      </c>
      <c r="F43" s="46" t="s">
        <v>68</v>
      </c>
      <c r="G43" s="46" t="s">
        <v>68</v>
      </c>
      <c r="H43" s="46" t="s">
        <v>5389</v>
      </c>
      <c r="I43" s="46" t="s">
        <v>68</v>
      </c>
      <c r="J43" s="46" t="s">
        <v>2996</v>
      </c>
      <c r="K43" s="47">
        <v>40</v>
      </c>
      <c r="L43" s="47">
        <v>60</v>
      </c>
      <c r="M43" s="47">
        <v>100</v>
      </c>
      <c r="N43" s="46"/>
      <c r="O43" s="71" t="s">
        <v>68</v>
      </c>
      <c r="P43" s="64"/>
      <c r="Q43" s="46" t="s">
        <v>5193</v>
      </c>
      <c r="R43" s="46" t="s">
        <v>5196</v>
      </c>
      <c r="S43" s="49">
        <v>25</v>
      </c>
      <c r="T43" s="49">
        <v>125</v>
      </c>
      <c r="U43" s="28">
        <v>0.2</v>
      </c>
      <c r="V43" s="28">
        <v>0.22</v>
      </c>
      <c r="W43" s="74">
        <v>1.5</v>
      </c>
      <c r="X43" s="52">
        <v>12.5</v>
      </c>
      <c r="Y43" s="52">
        <v>30</v>
      </c>
      <c r="Z43" s="52">
        <v>85</v>
      </c>
      <c r="AA43" s="52">
        <v>127.5</v>
      </c>
      <c r="AB43" s="53">
        <v>1.02</v>
      </c>
      <c r="AC43" s="75">
        <v>25</v>
      </c>
      <c r="AD43" s="55">
        <v>0.2</v>
      </c>
      <c r="AE43" s="73">
        <v>3</v>
      </c>
      <c r="AF43" s="57" t="s">
        <v>95</v>
      </c>
      <c r="AG43" s="58">
        <v>40</v>
      </c>
      <c r="AH43" s="58">
        <v>60</v>
      </c>
      <c r="AI43" s="58">
        <v>100</v>
      </c>
      <c r="AJ43" s="49">
        <v>25</v>
      </c>
      <c r="AK43" s="49">
        <v>125</v>
      </c>
      <c r="AL43" s="52">
        <v>12.5</v>
      </c>
      <c r="AM43" s="52">
        <v>85</v>
      </c>
      <c r="AN43" s="52">
        <v>97.5</v>
      </c>
      <c r="AO43" s="59">
        <v>0.78</v>
      </c>
      <c r="AP43" s="60">
        <v>27.5</v>
      </c>
      <c r="AQ43" s="61">
        <v>0.22</v>
      </c>
      <c r="AR43" s="60" t="s">
        <v>78</v>
      </c>
      <c r="AS43" s="62">
        <v>64</v>
      </c>
      <c r="AT43" s="62">
        <v>96</v>
      </c>
      <c r="AU43" s="62">
        <v>160</v>
      </c>
      <c r="AV43" s="62">
        <v>200</v>
      </c>
      <c r="AW43" s="47" t="s">
        <v>107</v>
      </c>
      <c r="AX43" s="64"/>
      <c r="AY43" s="64" t="s">
        <v>5390</v>
      </c>
      <c r="BA43" s="64"/>
      <c r="BB43" s="64"/>
      <c r="BC43" s="64"/>
      <c r="BD43" s="46"/>
      <c r="BE43" s="46" t="e">
        <v>#REF!</v>
      </c>
      <c r="BF43" s="46" t="s">
        <v>79</v>
      </c>
      <c r="BG43" s="65">
        <v>4</v>
      </c>
      <c r="BH43" s="66" t="s">
        <v>5391</v>
      </c>
      <c r="BI43" s="63" t="s">
        <v>5392</v>
      </c>
    </row>
    <row r="44" spans="1:61" ht="63.75" x14ac:dyDescent="0.2">
      <c r="A44" s="45" t="s">
        <v>5393</v>
      </c>
      <c r="B44" s="46"/>
      <c r="C44" s="46" t="s">
        <v>5384</v>
      </c>
      <c r="D44" s="46" t="s">
        <v>3916</v>
      </c>
      <c r="E44" s="46" t="s">
        <v>5323</v>
      </c>
      <c r="F44" s="46" t="s">
        <v>68</v>
      </c>
      <c r="G44" s="46" t="s">
        <v>68</v>
      </c>
      <c r="H44" s="46" t="s">
        <v>5394</v>
      </c>
      <c r="I44" s="46" t="s">
        <v>68</v>
      </c>
      <c r="J44" s="46" t="s">
        <v>2996</v>
      </c>
      <c r="K44" s="47">
        <v>40</v>
      </c>
      <c r="L44" s="47">
        <v>50</v>
      </c>
      <c r="M44" s="47">
        <v>90</v>
      </c>
      <c r="N44" s="46"/>
      <c r="O44" s="71" t="s">
        <v>68</v>
      </c>
      <c r="P44" s="64"/>
      <c r="Q44" s="46" t="s">
        <v>5193</v>
      </c>
      <c r="R44" s="46" t="s">
        <v>5196</v>
      </c>
      <c r="S44" s="49">
        <v>22.5</v>
      </c>
      <c r="T44" s="49">
        <v>112.5</v>
      </c>
      <c r="U44" s="28">
        <v>0.22222222222222221</v>
      </c>
      <c r="V44" s="28">
        <v>0.25555555555555554</v>
      </c>
      <c r="W44" s="74">
        <v>1.25</v>
      </c>
      <c r="X44" s="52">
        <v>11.25</v>
      </c>
      <c r="Y44" s="52">
        <v>30</v>
      </c>
      <c r="Z44" s="52">
        <v>72.5</v>
      </c>
      <c r="AA44" s="52">
        <v>113.75</v>
      </c>
      <c r="AB44" s="53">
        <v>1.0111111111111111</v>
      </c>
      <c r="AC44" s="75">
        <v>25</v>
      </c>
      <c r="AD44" s="55">
        <v>0.22222222222222221</v>
      </c>
      <c r="AE44" s="73">
        <v>3</v>
      </c>
      <c r="AF44" s="57" t="s">
        <v>95</v>
      </c>
      <c r="AG44" s="58">
        <v>40</v>
      </c>
      <c r="AH44" s="58">
        <v>50</v>
      </c>
      <c r="AI44" s="58">
        <v>90</v>
      </c>
      <c r="AJ44" s="49">
        <v>22.5</v>
      </c>
      <c r="AK44" s="49">
        <v>112.5</v>
      </c>
      <c r="AL44" s="52">
        <v>11.25</v>
      </c>
      <c r="AM44" s="52">
        <v>72.5</v>
      </c>
      <c r="AN44" s="52">
        <v>83.75</v>
      </c>
      <c r="AO44" s="59">
        <v>0.74444444444444446</v>
      </c>
      <c r="AP44" s="60">
        <v>28.75</v>
      </c>
      <c r="AQ44" s="61">
        <v>0.25555555555555554</v>
      </c>
      <c r="AR44" s="60" t="s">
        <v>78</v>
      </c>
      <c r="AS44" s="62">
        <v>64</v>
      </c>
      <c r="AT44" s="62">
        <v>80</v>
      </c>
      <c r="AU44" s="62">
        <v>144</v>
      </c>
      <c r="AV44" s="62">
        <v>180</v>
      </c>
      <c r="AW44" s="47" t="s">
        <v>107</v>
      </c>
      <c r="AX44" s="64"/>
      <c r="AY44" s="64" t="s">
        <v>5395</v>
      </c>
      <c r="BA44" s="64"/>
      <c r="BB44" s="64"/>
      <c r="BC44" s="64"/>
      <c r="BD44" s="46"/>
      <c r="BE44" s="46" t="e">
        <v>#REF!</v>
      </c>
      <c r="BF44" s="46" t="s">
        <v>79</v>
      </c>
      <c r="BG44" s="65">
        <v>8</v>
      </c>
      <c r="BH44" s="66" t="s">
        <v>5396</v>
      </c>
      <c r="BI44" s="63" t="s">
        <v>5397</v>
      </c>
    </row>
    <row r="45" spans="1:61" ht="51" x14ac:dyDescent="0.2">
      <c r="A45" s="45" t="s">
        <v>5398</v>
      </c>
      <c r="B45" s="46"/>
      <c r="C45" s="46" t="s">
        <v>5384</v>
      </c>
      <c r="D45" s="46" t="s">
        <v>3916</v>
      </c>
      <c r="E45" s="46" t="s">
        <v>5399</v>
      </c>
      <c r="F45" s="46" t="s">
        <v>68</v>
      </c>
      <c r="G45" s="46" t="s">
        <v>68</v>
      </c>
      <c r="H45" s="46" t="s">
        <v>5358</v>
      </c>
      <c r="I45" s="46" t="s">
        <v>68</v>
      </c>
      <c r="J45" s="46" t="s">
        <v>2996</v>
      </c>
      <c r="K45" s="47">
        <v>40</v>
      </c>
      <c r="L45" s="47">
        <v>30</v>
      </c>
      <c r="M45" s="47">
        <v>70</v>
      </c>
      <c r="N45" s="46"/>
      <c r="O45" s="71" t="s">
        <v>68</v>
      </c>
      <c r="P45" s="64"/>
      <c r="Q45" s="46" t="s">
        <v>5193</v>
      </c>
      <c r="R45" s="46" t="s">
        <v>5196</v>
      </c>
      <c r="S45" s="49">
        <v>17.5</v>
      </c>
      <c r="T45" s="49">
        <v>87.5</v>
      </c>
      <c r="U45" s="50">
        <v>1.4285714285714285E-2</v>
      </c>
      <c r="V45" s="67">
        <v>0.35714285714285715</v>
      </c>
      <c r="W45" s="51">
        <v>0.75</v>
      </c>
      <c r="X45" s="52">
        <v>8.75</v>
      </c>
      <c r="Y45" s="52">
        <v>30</v>
      </c>
      <c r="Z45" s="52">
        <v>47.5</v>
      </c>
      <c r="AA45" s="52">
        <v>86.25</v>
      </c>
      <c r="AB45" s="53">
        <v>0.98571428571428577</v>
      </c>
      <c r="AC45" s="75">
        <v>1.25</v>
      </c>
      <c r="AD45" s="55">
        <v>1.4285714285714285E-2</v>
      </c>
      <c r="AE45" s="73">
        <v>3</v>
      </c>
      <c r="AF45" s="57" t="s">
        <v>95</v>
      </c>
      <c r="AG45" s="58">
        <v>40</v>
      </c>
      <c r="AH45" s="58">
        <v>30</v>
      </c>
      <c r="AI45" s="58">
        <v>70</v>
      </c>
      <c r="AJ45" s="49">
        <v>17.5</v>
      </c>
      <c r="AK45" s="49">
        <v>87.5</v>
      </c>
      <c r="AL45" s="52">
        <v>8.75</v>
      </c>
      <c r="AM45" s="52">
        <v>47.5</v>
      </c>
      <c r="AN45" s="52">
        <v>56.25</v>
      </c>
      <c r="AO45" s="59">
        <v>0.6428571428571429</v>
      </c>
      <c r="AP45" s="60">
        <v>31.25</v>
      </c>
      <c r="AQ45" s="61">
        <v>0.35714285714285715</v>
      </c>
      <c r="AR45" s="60" t="s">
        <v>78</v>
      </c>
      <c r="AS45" s="62">
        <v>64</v>
      </c>
      <c r="AT45" s="62">
        <v>48</v>
      </c>
      <c r="AU45" s="62">
        <v>112</v>
      </c>
      <c r="AV45" s="62">
        <v>140</v>
      </c>
      <c r="AW45" s="47" t="s">
        <v>107</v>
      </c>
      <c r="AX45" s="64"/>
      <c r="AY45" s="64" t="s">
        <v>5400</v>
      </c>
      <c r="BA45" s="64"/>
      <c r="BB45" s="64"/>
      <c r="BC45" s="64"/>
      <c r="BD45" s="46"/>
      <c r="BE45" s="46" t="e">
        <v>#REF!</v>
      </c>
      <c r="BF45" s="46" t="s">
        <v>79</v>
      </c>
      <c r="BG45" s="65">
        <v>2</v>
      </c>
      <c r="BH45" s="66" t="s">
        <v>5401</v>
      </c>
      <c r="BI45" s="63" t="s">
        <v>5402</v>
      </c>
    </row>
    <row r="46" spans="1:61" ht="63.75" x14ac:dyDescent="0.2">
      <c r="A46" s="45" t="s">
        <v>5403</v>
      </c>
      <c r="B46" s="46"/>
      <c r="C46" s="46" t="s">
        <v>5384</v>
      </c>
      <c r="D46" s="46" t="s">
        <v>3916</v>
      </c>
      <c r="E46" s="46" t="s">
        <v>5399</v>
      </c>
      <c r="F46" s="46" t="s">
        <v>68</v>
      </c>
      <c r="G46" s="46" t="s">
        <v>68</v>
      </c>
      <c r="H46" s="46" t="s">
        <v>5389</v>
      </c>
      <c r="I46" s="46" t="s">
        <v>68</v>
      </c>
      <c r="J46" s="46" t="s">
        <v>2996</v>
      </c>
      <c r="K46" s="47">
        <v>40</v>
      </c>
      <c r="L46" s="47">
        <v>20</v>
      </c>
      <c r="M46" s="47">
        <v>60</v>
      </c>
      <c r="N46" s="46"/>
      <c r="O46" s="71" t="s">
        <v>68</v>
      </c>
      <c r="P46" s="64"/>
      <c r="Q46" s="46" t="s">
        <v>5193</v>
      </c>
      <c r="R46" s="46" t="s">
        <v>5196</v>
      </c>
      <c r="S46" s="49">
        <v>15</v>
      </c>
      <c r="T46" s="49">
        <v>75</v>
      </c>
      <c r="U46" s="50">
        <v>3.3333333333333333E-2</v>
      </c>
      <c r="V46" s="67">
        <v>0.43333333333333335</v>
      </c>
      <c r="W46" s="51">
        <v>0.5</v>
      </c>
      <c r="X46" s="52">
        <v>7.5</v>
      </c>
      <c r="Y46" s="52">
        <v>30</v>
      </c>
      <c r="Z46" s="52">
        <v>35</v>
      </c>
      <c r="AA46" s="52">
        <v>72.5</v>
      </c>
      <c r="AB46" s="53">
        <v>0.96666666666666667</v>
      </c>
      <c r="AC46" s="75">
        <v>2.5</v>
      </c>
      <c r="AD46" s="55">
        <v>3.3333333333333333E-2</v>
      </c>
      <c r="AE46" s="73">
        <v>3</v>
      </c>
      <c r="AF46" s="57" t="s">
        <v>95</v>
      </c>
      <c r="AG46" s="58">
        <v>40</v>
      </c>
      <c r="AH46" s="58">
        <v>20</v>
      </c>
      <c r="AI46" s="58">
        <v>60</v>
      </c>
      <c r="AJ46" s="49">
        <v>15</v>
      </c>
      <c r="AK46" s="49">
        <v>75</v>
      </c>
      <c r="AL46" s="52">
        <v>7.5</v>
      </c>
      <c r="AM46" s="52">
        <v>35</v>
      </c>
      <c r="AN46" s="52">
        <v>42.5</v>
      </c>
      <c r="AO46" s="59">
        <v>0.56666666666666665</v>
      </c>
      <c r="AP46" s="60">
        <v>32.5</v>
      </c>
      <c r="AQ46" s="61">
        <v>0.43333333333333335</v>
      </c>
      <c r="AR46" s="60" t="s">
        <v>78</v>
      </c>
      <c r="AS46" s="62">
        <v>64</v>
      </c>
      <c r="AT46" s="62">
        <v>32</v>
      </c>
      <c r="AU46" s="62">
        <v>96</v>
      </c>
      <c r="AV46" s="62">
        <v>120</v>
      </c>
      <c r="AW46" s="47" t="s">
        <v>107</v>
      </c>
      <c r="AX46" s="64"/>
      <c r="AY46" s="64" t="s">
        <v>5404</v>
      </c>
      <c r="BA46" s="64"/>
      <c r="BB46" s="64"/>
      <c r="BC46" s="64"/>
      <c r="BD46" s="46"/>
      <c r="BE46" s="46" t="e">
        <v>#REF!</v>
      </c>
      <c r="BF46" s="46" t="s">
        <v>79</v>
      </c>
      <c r="BG46" s="65">
        <v>4</v>
      </c>
      <c r="BH46" s="66" t="s">
        <v>5405</v>
      </c>
      <c r="BI46" s="63" t="s">
        <v>5406</v>
      </c>
    </row>
    <row r="47" spans="1:61" ht="63.75" x14ac:dyDescent="0.2">
      <c r="A47" s="45" t="s">
        <v>5407</v>
      </c>
      <c r="B47" s="46"/>
      <c r="C47" s="46" t="s">
        <v>5384</v>
      </c>
      <c r="D47" s="46" t="s">
        <v>3916</v>
      </c>
      <c r="E47" s="46" t="s">
        <v>5399</v>
      </c>
      <c r="F47" s="46" t="s">
        <v>68</v>
      </c>
      <c r="G47" s="46" t="s">
        <v>68</v>
      </c>
      <c r="H47" s="46" t="s">
        <v>5394</v>
      </c>
      <c r="I47" s="46" t="s">
        <v>68</v>
      </c>
      <c r="J47" s="46" t="s">
        <v>2996</v>
      </c>
      <c r="K47" s="47">
        <v>40</v>
      </c>
      <c r="L47" s="47">
        <v>10</v>
      </c>
      <c r="M47" s="47">
        <v>50</v>
      </c>
      <c r="N47" s="46"/>
      <c r="O47" s="71" t="s">
        <v>68</v>
      </c>
      <c r="P47" s="64"/>
      <c r="Q47" s="46" t="s">
        <v>5193</v>
      </c>
      <c r="R47" s="46" t="s">
        <v>5196</v>
      </c>
      <c r="S47" s="49">
        <v>12.5</v>
      </c>
      <c r="T47" s="49">
        <v>62.5</v>
      </c>
      <c r="U47" s="50">
        <v>0.06</v>
      </c>
      <c r="V47" s="67">
        <v>0.54</v>
      </c>
      <c r="W47" s="51">
        <v>0.25</v>
      </c>
      <c r="X47" s="52">
        <v>6.25</v>
      </c>
      <c r="Y47" s="52">
        <v>30</v>
      </c>
      <c r="Z47" s="52">
        <v>22.5</v>
      </c>
      <c r="AA47" s="52">
        <v>58.75</v>
      </c>
      <c r="AB47" s="53">
        <v>0.94</v>
      </c>
      <c r="AC47" s="75">
        <v>3.75</v>
      </c>
      <c r="AD47" s="55">
        <v>0.06</v>
      </c>
      <c r="AE47" s="73">
        <v>3</v>
      </c>
      <c r="AF47" s="57" t="s">
        <v>95</v>
      </c>
      <c r="AG47" s="58">
        <v>40</v>
      </c>
      <c r="AH47" s="58">
        <v>10</v>
      </c>
      <c r="AI47" s="58">
        <v>50</v>
      </c>
      <c r="AJ47" s="49">
        <v>12.5</v>
      </c>
      <c r="AK47" s="49">
        <v>62.5</v>
      </c>
      <c r="AL47" s="52">
        <v>6.25</v>
      </c>
      <c r="AM47" s="52">
        <v>22.5</v>
      </c>
      <c r="AN47" s="52">
        <v>28.75</v>
      </c>
      <c r="AO47" s="59">
        <v>0.46</v>
      </c>
      <c r="AP47" s="60">
        <v>33.75</v>
      </c>
      <c r="AQ47" s="61">
        <v>0.54</v>
      </c>
      <c r="AR47" s="60" t="s">
        <v>78</v>
      </c>
      <c r="AS47" s="62">
        <v>64</v>
      </c>
      <c r="AT47" s="62">
        <v>16</v>
      </c>
      <c r="AU47" s="62">
        <v>80</v>
      </c>
      <c r="AV47" s="62">
        <v>100</v>
      </c>
      <c r="AW47" s="47" t="s">
        <v>107</v>
      </c>
      <c r="AX47" s="64"/>
      <c r="AY47" s="64" t="s">
        <v>5408</v>
      </c>
      <c r="BA47" s="64"/>
      <c r="BB47" s="64"/>
      <c r="BC47" s="64"/>
      <c r="BD47" s="46"/>
      <c r="BE47" s="46" t="e">
        <v>#REF!</v>
      </c>
      <c r="BF47" s="46" t="s">
        <v>79</v>
      </c>
      <c r="BG47" s="65">
        <v>8</v>
      </c>
      <c r="BH47" s="66" t="s">
        <v>5409</v>
      </c>
      <c r="BI47" s="63" t="s">
        <v>5410</v>
      </c>
    </row>
    <row r="48" spans="1:61" ht="127.5" x14ac:dyDescent="0.2">
      <c r="A48" s="45" t="s">
        <v>5411</v>
      </c>
      <c r="B48" s="46"/>
      <c r="C48" s="46" t="s">
        <v>5412</v>
      </c>
      <c r="D48" s="46" t="s">
        <v>5413</v>
      </c>
      <c r="E48" s="46" t="s">
        <v>68</v>
      </c>
      <c r="F48" s="46" t="s">
        <v>68</v>
      </c>
      <c r="G48" s="46" t="s">
        <v>5414</v>
      </c>
      <c r="H48" s="46" t="s">
        <v>5415</v>
      </c>
      <c r="I48" s="46" t="s">
        <v>68</v>
      </c>
      <c r="J48" s="46" t="s">
        <v>71</v>
      </c>
      <c r="K48" s="47">
        <v>300</v>
      </c>
      <c r="L48" s="47">
        <v>300</v>
      </c>
      <c r="M48" s="47">
        <v>600</v>
      </c>
      <c r="N48" s="46"/>
      <c r="O48" s="71" t="s">
        <v>68</v>
      </c>
      <c r="P48" s="64"/>
      <c r="Q48" s="46" t="s">
        <v>5193</v>
      </c>
      <c r="R48" s="46" t="s">
        <v>5196</v>
      </c>
      <c r="S48" s="49">
        <v>150</v>
      </c>
      <c r="T48" s="49">
        <v>750</v>
      </c>
      <c r="U48" s="28">
        <v>0.26</v>
      </c>
      <c r="V48" s="67">
        <v>0.3</v>
      </c>
      <c r="W48" s="51">
        <v>1</v>
      </c>
      <c r="X48" s="52">
        <v>75</v>
      </c>
      <c r="Y48" s="52">
        <v>30</v>
      </c>
      <c r="Z48" s="52">
        <v>450</v>
      </c>
      <c r="AA48" s="52">
        <v>555</v>
      </c>
      <c r="AB48" s="53">
        <v>0.74</v>
      </c>
      <c r="AC48" s="72">
        <v>195</v>
      </c>
      <c r="AD48" s="55">
        <v>0.26</v>
      </c>
      <c r="AE48" s="73">
        <v>3</v>
      </c>
      <c r="AF48" s="57" t="s">
        <v>95</v>
      </c>
      <c r="AG48" s="58">
        <v>300</v>
      </c>
      <c r="AH48" s="58">
        <v>300</v>
      </c>
      <c r="AI48" s="58">
        <v>600</v>
      </c>
      <c r="AJ48" s="49">
        <v>150</v>
      </c>
      <c r="AK48" s="49">
        <v>750</v>
      </c>
      <c r="AL48" s="52">
        <v>75</v>
      </c>
      <c r="AM48" s="52">
        <v>450</v>
      </c>
      <c r="AN48" s="52">
        <v>525</v>
      </c>
      <c r="AO48" s="59">
        <v>0.7</v>
      </c>
      <c r="AP48" s="60">
        <v>225</v>
      </c>
      <c r="AQ48" s="61">
        <v>0.3</v>
      </c>
      <c r="AR48" s="60" t="s">
        <v>78</v>
      </c>
      <c r="AS48" s="62">
        <v>480</v>
      </c>
      <c r="AT48" s="62">
        <v>480</v>
      </c>
      <c r="AU48" s="62">
        <v>960</v>
      </c>
      <c r="AV48" s="62">
        <v>1200</v>
      </c>
      <c r="AW48" s="47" t="s">
        <v>107</v>
      </c>
      <c r="AX48" s="64"/>
      <c r="AY48" s="64" t="s">
        <v>5416</v>
      </c>
      <c r="BA48" s="64"/>
      <c r="BB48" s="64"/>
      <c r="BC48" s="64"/>
      <c r="BD48" s="46"/>
      <c r="BE48" s="46" t="e">
        <v>#REF!</v>
      </c>
      <c r="BF48" s="46" t="s">
        <v>75</v>
      </c>
      <c r="BG48" s="65"/>
      <c r="BH48" s="66" t="s">
        <v>5417</v>
      </c>
      <c r="BI48" s="63" t="s">
        <v>5418</v>
      </c>
    </row>
    <row r="49" spans="1:61" ht="127.5" x14ac:dyDescent="0.2">
      <c r="A49" s="45" t="s">
        <v>5419</v>
      </c>
      <c r="B49" s="46"/>
      <c r="C49" s="46" t="s">
        <v>5420</v>
      </c>
      <c r="D49" s="46" t="s">
        <v>5413</v>
      </c>
      <c r="E49" s="46" t="s">
        <v>68</v>
      </c>
      <c r="F49" s="46" t="s">
        <v>68</v>
      </c>
      <c r="G49" s="46" t="s">
        <v>5421</v>
      </c>
      <c r="H49" s="46" t="s">
        <v>5415</v>
      </c>
      <c r="I49" s="46" t="s">
        <v>68</v>
      </c>
      <c r="J49" s="46" t="s">
        <v>71</v>
      </c>
      <c r="K49" s="47">
        <v>300</v>
      </c>
      <c r="L49" s="47">
        <v>100</v>
      </c>
      <c r="M49" s="47">
        <v>400</v>
      </c>
      <c r="N49" s="46"/>
      <c r="O49" s="71" t="s">
        <v>68</v>
      </c>
      <c r="P49" s="64"/>
      <c r="Q49" s="46" t="s">
        <v>5193</v>
      </c>
      <c r="R49" s="46" t="s">
        <v>5196</v>
      </c>
      <c r="S49" s="49">
        <v>100</v>
      </c>
      <c r="T49" s="49">
        <v>500</v>
      </c>
      <c r="U49" s="67">
        <v>0.44</v>
      </c>
      <c r="V49" s="67">
        <v>0.5</v>
      </c>
      <c r="W49" s="51">
        <v>0.33333333333333331</v>
      </c>
      <c r="X49" s="52">
        <v>50</v>
      </c>
      <c r="Y49" s="52">
        <v>30</v>
      </c>
      <c r="Z49" s="52">
        <v>200</v>
      </c>
      <c r="AA49" s="52">
        <v>280</v>
      </c>
      <c r="AB49" s="53">
        <v>0.56000000000000005</v>
      </c>
      <c r="AC49" s="72">
        <v>220</v>
      </c>
      <c r="AD49" s="55">
        <v>0.44</v>
      </c>
      <c r="AE49" s="73">
        <v>3</v>
      </c>
      <c r="AF49" s="57" t="s">
        <v>95</v>
      </c>
      <c r="AG49" s="58">
        <v>300</v>
      </c>
      <c r="AH49" s="58">
        <v>100</v>
      </c>
      <c r="AI49" s="58">
        <v>400</v>
      </c>
      <c r="AJ49" s="49">
        <v>100</v>
      </c>
      <c r="AK49" s="49">
        <v>500</v>
      </c>
      <c r="AL49" s="52">
        <v>50</v>
      </c>
      <c r="AM49" s="52">
        <v>200</v>
      </c>
      <c r="AN49" s="52">
        <v>250</v>
      </c>
      <c r="AO49" s="59">
        <v>0.5</v>
      </c>
      <c r="AP49" s="60">
        <v>250</v>
      </c>
      <c r="AQ49" s="61">
        <v>0.5</v>
      </c>
      <c r="AR49" s="60" t="s">
        <v>78</v>
      </c>
      <c r="AS49" s="62">
        <v>480</v>
      </c>
      <c r="AT49" s="62">
        <v>160</v>
      </c>
      <c r="AU49" s="62">
        <v>640</v>
      </c>
      <c r="AV49" s="62">
        <v>800</v>
      </c>
      <c r="AW49" s="47" t="s">
        <v>107</v>
      </c>
      <c r="AX49" s="64"/>
      <c r="AY49" s="64" t="s">
        <v>5422</v>
      </c>
      <c r="BA49" s="64"/>
      <c r="BB49" s="64"/>
      <c r="BC49" s="64"/>
      <c r="BD49" s="46"/>
      <c r="BE49" s="46" t="e">
        <v>#REF!</v>
      </c>
      <c r="BF49" s="46" t="s">
        <v>75</v>
      </c>
      <c r="BG49" s="65"/>
      <c r="BH49" s="66" t="s">
        <v>5423</v>
      </c>
      <c r="BI49" s="63" t="s">
        <v>5424</v>
      </c>
    </row>
    <row r="50" spans="1:61" ht="76.5" x14ac:dyDescent="0.2">
      <c r="A50" s="45" t="s">
        <v>5425</v>
      </c>
      <c r="B50" s="46"/>
      <c r="C50" s="46" t="s">
        <v>5426</v>
      </c>
      <c r="D50" s="46" t="s">
        <v>5427</v>
      </c>
      <c r="E50" s="46" t="s">
        <v>68</v>
      </c>
      <c r="F50" s="46" t="s">
        <v>68</v>
      </c>
      <c r="G50" s="46" t="s">
        <v>68</v>
      </c>
      <c r="H50" s="46" t="s">
        <v>68</v>
      </c>
      <c r="I50" s="46" t="s">
        <v>68</v>
      </c>
      <c r="J50" s="46" t="s">
        <v>71</v>
      </c>
      <c r="K50" s="47">
        <v>300</v>
      </c>
      <c r="L50" s="47">
        <v>250</v>
      </c>
      <c r="M50" s="47">
        <v>550</v>
      </c>
      <c r="N50" s="46"/>
      <c r="O50" s="71" t="s">
        <v>68</v>
      </c>
      <c r="P50" s="64"/>
      <c r="Q50" s="46" t="s">
        <v>5193</v>
      </c>
      <c r="R50" s="46" t="s">
        <v>5196</v>
      </c>
      <c r="S50" s="49">
        <v>137.5</v>
      </c>
      <c r="T50" s="49">
        <v>687.5</v>
      </c>
      <c r="U50" s="28">
        <v>0.29272727272727272</v>
      </c>
      <c r="V50" s="67">
        <v>0.33636363636363636</v>
      </c>
      <c r="W50" s="51">
        <v>0.83333333333333337</v>
      </c>
      <c r="X50" s="52">
        <v>68.75</v>
      </c>
      <c r="Y50" s="52">
        <v>30</v>
      </c>
      <c r="Z50" s="52">
        <v>387.5</v>
      </c>
      <c r="AA50" s="52">
        <v>486.25</v>
      </c>
      <c r="AB50" s="53">
        <v>0.70727272727272728</v>
      </c>
      <c r="AC50" s="72">
        <v>201.25</v>
      </c>
      <c r="AD50" s="55">
        <v>0.29272727272727272</v>
      </c>
      <c r="AE50" s="73">
        <v>3</v>
      </c>
      <c r="AF50" s="57" t="s">
        <v>95</v>
      </c>
      <c r="AG50" s="58">
        <v>300</v>
      </c>
      <c r="AH50" s="58">
        <v>250</v>
      </c>
      <c r="AI50" s="58">
        <v>550</v>
      </c>
      <c r="AJ50" s="49">
        <v>137.5</v>
      </c>
      <c r="AK50" s="49">
        <v>687.5</v>
      </c>
      <c r="AL50" s="52">
        <v>68.75</v>
      </c>
      <c r="AM50" s="52">
        <v>387.5</v>
      </c>
      <c r="AN50" s="52">
        <v>456.25</v>
      </c>
      <c r="AO50" s="59">
        <v>0.66363636363636369</v>
      </c>
      <c r="AP50" s="60">
        <v>231.25</v>
      </c>
      <c r="AQ50" s="61">
        <v>0.33636363636363636</v>
      </c>
      <c r="AR50" s="60" t="s">
        <v>78</v>
      </c>
      <c r="AS50" s="62">
        <v>480</v>
      </c>
      <c r="AT50" s="62">
        <v>400</v>
      </c>
      <c r="AU50" s="62">
        <v>880</v>
      </c>
      <c r="AV50" s="62">
        <v>1100</v>
      </c>
      <c r="AW50" s="47" t="s">
        <v>107</v>
      </c>
      <c r="AX50" s="64"/>
      <c r="AY50" s="64" t="s">
        <v>5428</v>
      </c>
      <c r="BA50" s="64"/>
      <c r="BB50" s="64"/>
      <c r="BC50" s="64"/>
      <c r="BD50" s="46"/>
      <c r="BE50" s="46" t="e">
        <v>#REF!</v>
      </c>
      <c r="BF50" s="46" t="s">
        <v>75</v>
      </c>
      <c r="BG50" s="65"/>
      <c r="BH50" s="66" t="s">
        <v>5429</v>
      </c>
      <c r="BI50" s="63" t="s">
        <v>5430</v>
      </c>
    </row>
    <row r="51" spans="1:61" ht="114.75" x14ac:dyDescent="0.2">
      <c r="A51" s="45" t="s">
        <v>5431</v>
      </c>
      <c r="B51" s="46"/>
      <c r="C51" s="46" t="s">
        <v>5432</v>
      </c>
      <c r="D51" s="46" t="s">
        <v>5413</v>
      </c>
      <c r="E51" s="46" t="s">
        <v>68</v>
      </c>
      <c r="F51" s="46" t="s">
        <v>68</v>
      </c>
      <c r="G51" s="46" t="s">
        <v>5414</v>
      </c>
      <c r="H51" s="46" t="s">
        <v>5433</v>
      </c>
      <c r="I51" s="46" t="s">
        <v>68</v>
      </c>
      <c r="J51" s="46" t="s">
        <v>71</v>
      </c>
      <c r="K51" s="47">
        <v>200</v>
      </c>
      <c r="L51" s="47">
        <v>80</v>
      </c>
      <c r="M51" s="47">
        <v>280</v>
      </c>
      <c r="N51" s="46"/>
      <c r="O51" s="71" t="s">
        <v>68</v>
      </c>
      <c r="P51" s="64"/>
      <c r="Q51" s="46" t="s">
        <v>5193</v>
      </c>
      <c r="R51" s="46" t="s">
        <v>5196</v>
      </c>
      <c r="S51" s="49">
        <v>70</v>
      </c>
      <c r="T51" s="49">
        <v>350</v>
      </c>
      <c r="U51" s="67">
        <v>0.38571428571428573</v>
      </c>
      <c r="V51" s="67">
        <v>0.47142857142857142</v>
      </c>
      <c r="W51" s="51">
        <v>0.4</v>
      </c>
      <c r="X51" s="52">
        <v>35</v>
      </c>
      <c r="Y51" s="52">
        <v>30</v>
      </c>
      <c r="Z51" s="52">
        <v>150</v>
      </c>
      <c r="AA51" s="52">
        <v>215</v>
      </c>
      <c r="AB51" s="53">
        <v>0.61428571428571432</v>
      </c>
      <c r="AC51" s="72">
        <v>135</v>
      </c>
      <c r="AD51" s="55">
        <v>0.38571428571428573</v>
      </c>
      <c r="AE51" s="73">
        <v>3</v>
      </c>
      <c r="AF51" s="57" t="s">
        <v>95</v>
      </c>
      <c r="AG51" s="58">
        <v>200</v>
      </c>
      <c r="AH51" s="58">
        <v>80</v>
      </c>
      <c r="AI51" s="58">
        <v>280</v>
      </c>
      <c r="AJ51" s="49">
        <v>70</v>
      </c>
      <c r="AK51" s="49">
        <v>350</v>
      </c>
      <c r="AL51" s="52">
        <v>35</v>
      </c>
      <c r="AM51" s="52">
        <v>150</v>
      </c>
      <c r="AN51" s="52">
        <v>185</v>
      </c>
      <c r="AO51" s="59">
        <v>0.52857142857142858</v>
      </c>
      <c r="AP51" s="60">
        <v>165</v>
      </c>
      <c r="AQ51" s="61">
        <v>0.47142857142857142</v>
      </c>
      <c r="AR51" s="60" t="s">
        <v>78</v>
      </c>
      <c r="AS51" s="62">
        <v>320</v>
      </c>
      <c r="AT51" s="62">
        <v>128</v>
      </c>
      <c r="AU51" s="62">
        <v>448</v>
      </c>
      <c r="AV51" s="62">
        <v>560</v>
      </c>
      <c r="AW51" s="47" t="s">
        <v>107</v>
      </c>
      <c r="AX51" s="64"/>
      <c r="AY51" s="64" t="s">
        <v>5434</v>
      </c>
      <c r="BA51" s="64"/>
      <c r="BB51" s="64"/>
      <c r="BC51" s="64"/>
      <c r="BD51" s="46"/>
      <c r="BE51" s="46" t="e">
        <v>#REF!</v>
      </c>
      <c r="BF51" s="46" t="s">
        <v>75</v>
      </c>
      <c r="BG51" s="65"/>
      <c r="BH51" s="66" t="s">
        <v>5435</v>
      </c>
      <c r="BI51" s="63" t="s">
        <v>5436</v>
      </c>
    </row>
    <row r="52" spans="1:61" ht="114.75" x14ac:dyDescent="0.2">
      <c r="A52" s="45" t="s">
        <v>5437</v>
      </c>
      <c r="B52" s="46"/>
      <c r="C52" s="46" t="s">
        <v>5432</v>
      </c>
      <c r="D52" s="46" t="s">
        <v>5413</v>
      </c>
      <c r="E52" s="46" t="s">
        <v>68</v>
      </c>
      <c r="F52" s="46" t="s">
        <v>68</v>
      </c>
      <c r="G52" s="46" t="s">
        <v>5421</v>
      </c>
      <c r="H52" s="46" t="s">
        <v>5433</v>
      </c>
      <c r="I52" s="46" t="s">
        <v>68</v>
      </c>
      <c r="J52" s="46" t="s">
        <v>71</v>
      </c>
      <c r="K52" s="47">
        <v>150</v>
      </c>
      <c r="L52" s="47">
        <v>30</v>
      </c>
      <c r="M52" s="47">
        <v>180</v>
      </c>
      <c r="N52" s="46"/>
      <c r="O52" s="71" t="s">
        <v>68</v>
      </c>
      <c r="P52" s="64"/>
      <c r="Q52" s="46" t="s">
        <v>5193</v>
      </c>
      <c r="R52" s="46" t="s">
        <v>5196</v>
      </c>
      <c r="S52" s="49">
        <v>45</v>
      </c>
      <c r="T52" s="49">
        <v>225</v>
      </c>
      <c r="U52" s="67">
        <v>0.43333333333333335</v>
      </c>
      <c r="V52" s="67">
        <v>0.56666666666666665</v>
      </c>
      <c r="W52" s="51">
        <v>0.2</v>
      </c>
      <c r="X52" s="52">
        <v>22.5</v>
      </c>
      <c r="Y52" s="52">
        <v>30</v>
      </c>
      <c r="Z52" s="52">
        <v>75</v>
      </c>
      <c r="AA52" s="52">
        <v>127.5</v>
      </c>
      <c r="AB52" s="53">
        <v>0.56666666666666665</v>
      </c>
      <c r="AC52" s="54">
        <v>97.5</v>
      </c>
      <c r="AD52" s="55">
        <v>0.43333333333333335</v>
      </c>
      <c r="AE52" s="73">
        <v>3</v>
      </c>
      <c r="AF52" s="57" t="s">
        <v>95</v>
      </c>
      <c r="AG52" s="58">
        <v>150</v>
      </c>
      <c r="AH52" s="58">
        <v>30</v>
      </c>
      <c r="AI52" s="58">
        <v>180</v>
      </c>
      <c r="AJ52" s="49">
        <v>45</v>
      </c>
      <c r="AK52" s="49">
        <v>225</v>
      </c>
      <c r="AL52" s="52">
        <v>22.5</v>
      </c>
      <c r="AM52" s="52">
        <v>75</v>
      </c>
      <c r="AN52" s="52">
        <v>97.5</v>
      </c>
      <c r="AO52" s="59">
        <v>0.43333333333333335</v>
      </c>
      <c r="AP52" s="60">
        <v>127.5</v>
      </c>
      <c r="AQ52" s="61">
        <v>0.56666666666666665</v>
      </c>
      <c r="AR52" s="60" t="s">
        <v>78</v>
      </c>
      <c r="AS52" s="62">
        <v>240</v>
      </c>
      <c r="AT52" s="62">
        <v>48</v>
      </c>
      <c r="AU52" s="62">
        <v>288</v>
      </c>
      <c r="AV52" s="62">
        <v>360</v>
      </c>
      <c r="AW52" s="47" t="s">
        <v>107</v>
      </c>
      <c r="AX52" s="64"/>
      <c r="AY52" s="64" t="s">
        <v>5438</v>
      </c>
      <c r="BA52" s="64"/>
      <c r="BB52" s="64"/>
      <c r="BC52" s="64"/>
      <c r="BD52" s="46"/>
      <c r="BE52" s="46" t="e">
        <v>#REF!</v>
      </c>
      <c r="BF52" s="46" t="s">
        <v>75</v>
      </c>
      <c r="BG52" s="65"/>
      <c r="BH52" s="66" t="s">
        <v>5439</v>
      </c>
      <c r="BI52" s="63" t="s">
        <v>5440</v>
      </c>
    </row>
    <row r="53" spans="1:61" ht="76.5" x14ac:dyDescent="0.2">
      <c r="A53" s="45" t="s">
        <v>5441</v>
      </c>
      <c r="B53" s="46"/>
      <c r="C53" s="46" t="s">
        <v>5442</v>
      </c>
      <c r="D53" s="46" t="s">
        <v>5427</v>
      </c>
      <c r="E53" s="46" t="s">
        <v>68</v>
      </c>
      <c r="F53" s="46" t="s">
        <v>68</v>
      </c>
      <c r="G53" s="46" t="s">
        <v>68</v>
      </c>
      <c r="H53" s="46" t="s">
        <v>68</v>
      </c>
      <c r="I53" s="46" t="s">
        <v>68</v>
      </c>
      <c r="J53" s="46" t="s">
        <v>71</v>
      </c>
      <c r="K53" s="47">
        <v>150</v>
      </c>
      <c r="L53" s="47">
        <v>50</v>
      </c>
      <c r="M53" s="47">
        <v>200</v>
      </c>
      <c r="N53" s="46"/>
      <c r="O53" s="71" t="s">
        <v>68</v>
      </c>
      <c r="P53" s="64"/>
      <c r="Q53" s="46" t="s">
        <v>5193</v>
      </c>
      <c r="R53" s="46" t="s">
        <v>5196</v>
      </c>
      <c r="S53" s="49">
        <v>50</v>
      </c>
      <c r="T53" s="49">
        <v>250</v>
      </c>
      <c r="U53" s="67">
        <v>0.38</v>
      </c>
      <c r="V53" s="67">
        <v>0.5</v>
      </c>
      <c r="W53" s="51">
        <v>0.33333333333333331</v>
      </c>
      <c r="X53" s="52">
        <v>25</v>
      </c>
      <c r="Y53" s="52">
        <v>30</v>
      </c>
      <c r="Z53" s="52">
        <v>100</v>
      </c>
      <c r="AA53" s="52">
        <v>155</v>
      </c>
      <c r="AB53" s="53">
        <v>0.62</v>
      </c>
      <c r="AC53" s="54">
        <v>95</v>
      </c>
      <c r="AD53" s="55">
        <v>0.38</v>
      </c>
      <c r="AE53" s="73">
        <v>3</v>
      </c>
      <c r="AF53" s="57" t="s">
        <v>95</v>
      </c>
      <c r="AG53" s="58">
        <v>150</v>
      </c>
      <c r="AH53" s="58">
        <v>50</v>
      </c>
      <c r="AI53" s="58">
        <v>200</v>
      </c>
      <c r="AJ53" s="49">
        <v>50</v>
      </c>
      <c r="AK53" s="49">
        <v>250</v>
      </c>
      <c r="AL53" s="52">
        <v>25</v>
      </c>
      <c r="AM53" s="52">
        <v>100</v>
      </c>
      <c r="AN53" s="52">
        <v>125</v>
      </c>
      <c r="AO53" s="59">
        <v>0.5</v>
      </c>
      <c r="AP53" s="60">
        <v>125</v>
      </c>
      <c r="AQ53" s="61">
        <v>0.5</v>
      </c>
      <c r="AR53" s="60" t="s">
        <v>78</v>
      </c>
      <c r="AS53" s="62">
        <v>240</v>
      </c>
      <c r="AT53" s="62">
        <v>80</v>
      </c>
      <c r="AU53" s="62">
        <v>320</v>
      </c>
      <c r="AV53" s="62">
        <v>400</v>
      </c>
      <c r="AW53" s="47" t="s">
        <v>107</v>
      </c>
      <c r="AX53" s="64"/>
      <c r="AY53" s="64" t="s">
        <v>5443</v>
      </c>
      <c r="BA53" s="64"/>
      <c r="BB53" s="64"/>
      <c r="BC53" s="64"/>
      <c r="BD53" s="46"/>
      <c r="BE53" s="46" t="e">
        <v>#REF!</v>
      </c>
      <c r="BF53" s="46" t="s">
        <v>75</v>
      </c>
      <c r="BG53" s="65"/>
      <c r="BH53" s="66" t="s">
        <v>5444</v>
      </c>
      <c r="BI53" s="63" t="s">
        <v>5445</v>
      </c>
    </row>
    <row r="54" spans="1:61" ht="140.25" x14ac:dyDescent="0.2">
      <c r="A54" s="45" t="s">
        <v>5446</v>
      </c>
      <c r="B54" s="46"/>
      <c r="C54" s="46" t="s">
        <v>5447</v>
      </c>
      <c r="D54" s="46" t="s">
        <v>5413</v>
      </c>
      <c r="E54" s="46" t="s">
        <v>68</v>
      </c>
      <c r="F54" s="46" t="s">
        <v>68</v>
      </c>
      <c r="G54" s="46" t="s">
        <v>5414</v>
      </c>
      <c r="H54" s="46" t="s">
        <v>5415</v>
      </c>
      <c r="I54" s="46" t="s">
        <v>68</v>
      </c>
      <c r="J54" s="46" t="s">
        <v>71</v>
      </c>
      <c r="K54" s="47">
        <v>300</v>
      </c>
      <c r="L54" s="47">
        <v>500</v>
      </c>
      <c r="M54" s="47">
        <v>800</v>
      </c>
      <c r="N54" s="46"/>
      <c r="O54" s="71" t="s">
        <v>68</v>
      </c>
      <c r="P54" s="64"/>
      <c r="Q54" s="46" t="s">
        <v>5193</v>
      </c>
      <c r="R54" s="46" t="s">
        <v>5196</v>
      </c>
      <c r="S54" s="49">
        <v>200</v>
      </c>
      <c r="T54" s="49">
        <v>1000</v>
      </c>
      <c r="U54" s="50">
        <v>0.17</v>
      </c>
      <c r="V54" s="28">
        <v>0.2</v>
      </c>
      <c r="W54" s="77">
        <v>1.6666666666666667</v>
      </c>
      <c r="X54" s="52">
        <v>100</v>
      </c>
      <c r="Y54" s="52">
        <v>30</v>
      </c>
      <c r="Z54" s="52">
        <v>700</v>
      </c>
      <c r="AA54" s="52">
        <v>830</v>
      </c>
      <c r="AB54" s="53">
        <v>0.83</v>
      </c>
      <c r="AC54" s="72">
        <v>170</v>
      </c>
      <c r="AD54" s="55">
        <v>0.17</v>
      </c>
      <c r="AE54" s="73">
        <v>3</v>
      </c>
      <c r="AF54" s="57" t="s">
        <v>95</v>
      </c>
      <c r="AG54" s="58">
        <v>300</v>
      </c>
      <c r="AH54" s="58">
        <v>500</v>
      </c>
      <c r="AI54" s="58">
        <v>800</v>
      </c>
      <c r="AJ54" s="49">
        <v>200</v>
      </c>
      <c r="AK54" s="49">
        <v>1000</v>
      </c>
      <c r="AL54" s="52">
        <v>100</v>
      </c>
      <c r="AM54" s="52">
        <v>700</v>
      </c>
      <c r="AN54" s="52">
        <v>800</v>
      </c>
      <c r="AO54" s="59">
        <v>0.8</v>
      </c>
      <c r="AP54" s="60">
        <v>200</v>
      </c>
      <c r="AQ54" s="61">
        <v>0.2</v>
      </c>
      <c r="AR54" s="60" t="s">
        <v>78</v>
      </c>
      <c r="AS54" s="62">
        <v>480</v>
      </c>
      <c r="AT54" s="62">
        <v>800</v>
      </c>
      <c r="AU54" s="62">
        <v>1280</v>
      </c>
      <c r="AV54" s="62">
        <v>1600</v>
      </c>
      <c r="AW54" s="47" t="s">
        <v>107</v>
      </c>
      <c r="AX54" s="64"/>
      <c r="AY54" s="64" t="s">
        <v>5448</v>
      </c>
      <c r="BA54" s="64"/>
      <c r="BB54" s="64"/>
      <c r="BC54" s="64"/>
      <c r="BD54" s="46"/>
      <c r="BE54" s="46" t="e">
        <v>#REF!</v>
      </c>
      <c r="BF54" s="46" t="s">
        <v>75</v>
      </c>
      <c r="BG54" s="65"/>
      <c r="BH54" s="66" t="s">
        <v>5449</v>
      </c>
      <c r="BI54" s="63" t="s">
        <v>5450</v>
      </c>
    </row>
    <row r="55" spans="1:61" ht="140.25" x14ac:dyDescent="0.2">
      <c r="A55" s="45" t="s">
        <v>5451</v>
      </c>
      <c r="B55" s="46"/>
      <c r="C55" s="46" t="s">
        <v>5447</v>
      </c>
      <c r="D55" s="46" t="s">
        <v>5413</v>
      </c>
      <c r="E55" s="46" t="s">
        <v>68</v>
      </c>
      <c r="F55" s="46" t="s">
        <v>68</v>
      </c>
      <c r="G55" s="46" t="s">
        <v>5421</v>
      </c>
      <c r="H55" s="46" t="s">
        <v>5415</v>
      </c>
      <c r="I55" s="46" t="s">
        <v>68</v>
      </c>
      <c r="J55" s="46" t="s">
        <v>71</v>
      </c>
      <c r="K55" s="47">
        <v>300</v>
      </c>
      <c r="L55" s="47">
        <v>300</v>
      </c>
      <c r="M55" s="47">
        <v>600</v>
      </c>
      <c r="N55" s="46"/>
      <c r="O55" s="71" t="s">
        <v>68</v>
      </c>
      <c r="P55" s="64"/>
      <c r="Q55" s="46" t="s">
        <v>5193</v>
      </c>
      <c r="R55" s="46" t="s">
        <v>5196</v>
      </c>
      <c r="S55" s="49">
        <v>150</v>
      </c>
      <c r="T55" s="49">
        <v>750</v>
      </c>
      <c r="U55" s="28">
        <v>0.26</v>
      </c>
      <c r="V55" s="67">
        <v>0.3</v>
      </c>
      <c r="W55" s="51">
        <v>1</v>
      </c>
      <c r="X55" s="52">
        <v>75</v>
      </c>
      <c r="Y55" s="52">
        <v>30</v>
      </c>
      <c r="Z55" s="52">
        <v>450</v>
      </c>
      <c r="AA55" s="52">
        <v>555</v>
      </c>
      <c r="AB55" s="53">
        <v>0.74</v>
      </c>
      <c r="AC55" s="72">
        <v>195</v>
      </c>
      <c r="AD55" s="55">
        <v>0.26</v>
      </c>
      <c r="AE55" s="73">
        <v>3</v>
      </c>
      <c r="AF55" s="57" t="s">
        <v>95</v>
      </c>
      <c r="AG55" s="58">
        <v>300</v>
      </c>
      <c r="AH55" s="58">
        <v>300</v>
      </c>
      <c r="AI55" s="58">
        <v>600</v>
      </c>
      <c r="AJ55" s="49">
        <v>150</v>
      </c>
      <c r="AK55" s="49">
        <v>750</v>
      </c>
      <c r="AL55" s="52">
        <v>75</v>
      </c>
      <c r="AM55" s="52">
        <v>450</v>
      </c>
      <c r="AN55" s="52">
        <v>525</v>
      </c>
      <c r="AO55" s="59">
        <v>0.7</v>
      </c>
      <c r="AP55" s="60">
        <v>225</v>
      </c>
      <c r="AQ55" s="61">
        <v>0.3</v>
      </c>
      <c r="AR55" s="60" t="s">
        <v>78</v>
      </c>
      <c r="AS55" s="62">
        <v>480</v>
      </c>
      <c r="AT55" s="62">
        <v>480</v>
      </c>
      <c r="AU55" s="62">
        <v>960</v>
      </c>
      <c r="AV55" s="62">
        <v>1200</v>
      </c>
      <c r="AW55" s="47" t="s">
        <v>107</v>
      </c>
      <c r="AX55" s="64"/>
      <c r="AY55" s="64" t="s">
        <v>5452</v>
      </c>
      <c r="BA55" s="64"/>
      <c r="BB55" s="64"/>
      <c r="BC55" s="64"/>
      <c r="BD55" s="46"/>
      <c r="BE55" s="46" t="e">
        <v>#REF!</v>
      </c>
      <c r="BF55" s="46" t="s">
        <v>75</v>
      </c>
      <c r="BG55" s="65"/>
      <c r="BH55" s="66" t="s">
        <v>5453</v>
      </c>
      <c r="BI55" s="63" t="s">
        <v>5454</v>
      </c>
    </row>
    <row r="56" spans="1:61" ht="76.5" x14ac:dyDescent="0.2">
      <c r="A56" s="45" t="s">
        <v>5455</v>
      </c>
      <c r="B56" s="46"/>
      <c r="C56" s="46" t="s">
        <v>5447</v>
      </c>
      <c r="D56" s="46" t="s">
        <v>5427</v>
      </c>
      <c r="E56" s="46" t="s">
        <v>68</v>
      </c>
      <c r="F56" s="46" t="s">
        <v>68</v>
      </c>
      <c r="G56" s="46" t="s">
        <v>68</v>
      </c>
      <c r="H56" s="46" t="s">
        <v>68</v>
      </c>
      <c r="I56" s="46" t="s">
        <v>68</v>
      </c>
      <c r="J56" s="46" t="s">
        <v>71</v>
      </c>
      <c r="K56" s="47">
        <v>300</v>
      </c>
      <c r="L56" s="47">
        <v>400</v>
      </c>
      <c r="M56" s="47">
        <v>700</v>
      </c>
      <c r="N56" s="46"/>
      <c r="O56" s="71" t="s">
        <v>68</v>
      </c>
      <c r="P56" s="64"/>
      <c r="Q56" s="46" t="s">
        <v>5193</v>
      </c>
      <c r="R56" s="46" t="s">
        <v>5196</v>
      </c>
      <c r="S56" s="49">
        <v>175</v>
      </c>
      <c r="T56" s="49">
        <v>875</v>
      </c>
      <c r="U56" s="28">
        <v>0.20857142857142857</v>
      </c>
      <c r="V56" s="28">
        <v>0.24285714285714285</v>
      </c>
      <c r="W56" s="74">
        <v>1.3333333333333333</v>
      </c>
      <c r="X56" s="52">
        <v>87.5</v>
      </c>
      <c r="Y56" s="52">
        <v>30</v>
      </c>
      <c r="Z56" s="52">
        <v>575</v>
      </c>
      <c r="AA56" s="52">
        <v>692.5</v>
      </c>
      <c r="AB56" s="53">
        <v>0.79142857142857148</v>
      </c>
      <c r="AC56" s="72">
        <v>182.5</v>
      </c>
      <c r="AD56" s="55">
        <v>0.20857142857142857</v>
      </c>
      <c r="AE56" s="73">
        <v>3</v>
      </c>
      <c r="AF56" s="57" t="s">
        <v>95</v>
      </c>
      <c r="AG56" s="58">
        <v>300</v>
      </c>
      <c r="AH56" s="58">
        <v>400</v>
      </c>
      <c r="AI56" s="58">
        <v>700</v>
      </c>
      <c r="AJ56" s="49">
        <v>175</v>
      </c>
      <c r="AK56" s="49">
        <v>875</v>
      </c>
      <c r="AL56" s="52">
        <v>87.5</v>
      </c>
      <c r="AM56" s="52">
        <v>575</v>
      </c>
      <c r="AN56" s="52">
        <v>662.5</v>
      </c>
      <c r="AO56" s="59">
        <v>0.75714285714285712</v>
      </c>
      <c r="AP56" s="60">
        <v>212.5</v>
      </c>
      <c r="AQ56" s="61">
        <v>0.24285714285714285</v>
      </c>
      <c r="AR56" s="60" t="s">
        <v>78</v>
      </c>
      <c r="AS56" s="62">
        <v>480</v>
      </c>
      <c r="AT56" s="62">
        <v>640</v>
      </c>
      <c r="AU56" s="62">
        <v>1120</v>
      </c>
      <c r="AV56" s="62">
        <v>1400</v>
      </c>
      <c r="AW56" s="47" t="s">
        <v>107</v>
      </c>
      <c r="AX56" s="64"/>
      <c r="AY56" s="64" t="s">
        <v>5456</v>
      </c>
      <c r="BA56" s="64"/>
      <c r="BB56" s="64"/>
      <c r="BC56" s="64"/>
      <c r="BD56" s="46"/>
      <c r="BE56" s="46" t="e">
        <v>#REF!</v>
      </c>
      <c r="BF56" s="46" t="s">
        <v>75</v>
      </c>
      <c r="BG56" s="65"/>
      <c r="BH56" s="66" t="s">
        <v>5457</v>
      </c>
      <c r="BI56" s="63" t="s">
        <v>5458</v>
      </c>
    </row>
    <row r="57" spans="1:61" ht="140.25" x14ac:dyDescent="0.2">
      <c r="A57" s="45" t="s">
        <v>5459</v>
      </c>
      <c r="B57" s="46"/>
      <c r="C57" s="46" t="s">
        <v>5460</v>
      </c>
      <c r="D57" s="46" t="s">
        <v>5413</v>
      </c>
      <c r="E57" s="46" t="s">
        <v>68</v>
      </c>
      <c r="F57" s="46" t="s">
        <v>68</v>
      </c>
      <c r="G57" s="46" t="s">
        <v>5414</v>
      </c>
      <c r="H57" s="46" t="s">
        <v>5461</v>
      </c>
      <c r="I57" s="46" t="s">
        <v>68</v>
      </c>
      <c r="J57" s="46" t="s">
        <v>71</v>
      </c>
      <c r="K57" s="47">
        <v>250</v>
      </c>
      <c r="L57" s="47">
        <v>580</v>
      </c>
      <c r="M57" s="47">
        <v>830</v>
      </c>
      <c r="N57" s="46"/>
      <c r="O57" s="71" t="s">
        <v>68</v>
      </c>
      <c r="P57" s="64"/>
      <c r="Q57" s="46" t="s">
        <v>5193</v>
      </c>
      <c r="R57" s="46" t="s">
        <v>5196</v>
      </c>
      <c r="S57" s="49">
        <v>207.5</v>
      </c>
      <c r="T57" s="49">
        <v>1037.5</v>
      </c>
      <c r="U57" s="50">
        <v>0.11204819277108434</v>
      </c>
      <c r="V57" s="50">
        <v>0.14096385542168674</v>
      </c>
      <c r="W57" s="77">
        <v>2.3199999999999998</v>
      </c>
      <c r="X57" s="52">
        <v>103.75</v>
      </c>
      <c r="Y57" s="52">
        <v>30</v>
      </c>
      <c r="Z57" s="52">
        <v>787.5</v>
      </c>
      <c r="AA57" s="52">
        <v>921.25</v>
      </c>
      <c r="AB57" s="53">
        <v>0.88795180722891565</v>
      </c>
      <c r="AC57" s="54">
        <v>116.25</v>
      </c>
      <c r="AD57" s="55">
        <v>0.11204819277108434</v>
      </c>
      <c r="AE57" s="73">
        <v>3</v>
      </c>
      <c r="AF57" s="57" t="s">
        <v>95</v>
      </c>
      <c r="AG57" s="58">
        <v>250</v>
      </c>
      <c r="AH57" s="58">
        <v>580</v>
      </c>
      <c r="AI57" s="58">
        <v>830</v>
      </c>
      <c r="AJ57" s="49">
        <v>207.5</v>
      </c>
      <c r="AK57" s="49">
        <v>1037.5</v>
      </c>
      <c r="AL57" s="52">
        <v>103.75</v>
      </c>
      <c r="AM57" s="52">
        <v>787.5</v>
      </c>
      <c r="AN57" s="52">
        <v>891.25</v>
      </c>
      <c r="AO57" s="59">
        <v>0.85903614457831323</v>
      </c>
      <c r="AP57" s="60">
        <v>146.25</v>
      </c>
      <c r="AQ57" s="61">
        <v>0.14096385542168674</v>
      </c>
      <c r="AR57" s="60" t="s">
        <v>73</v>
      </c>
      <c r="AS57" s="62">
        <v>400</v>
      </c>
      <c r="AT57" s="62">
        <v>928</v>
      </c>
      <c r="AU57" s="62">
        <v>1328</v>
      </c>
      <c r="AV57" s="62">
        <v>1660</v>
      </c>
      <c r="AW57" s="47" t="s">
        <v>107</v>
      </c>
      <c r="AX57" s="64"/>
      <c r="AY57" s="64" t="s">
        <v>5462</v>
      </c>
      <c r="BA57" s="64"/>
      <c r="BB57" s="64"/>
      <c r="BC57" s="64"/>
      <c r="BD57" s="46"/>
      <c r="BE57" s="46" t="e">
        <v>#REF!</v>
      </c>
      <c r="BF57" s="46" t="s">
        <v>75</v>
      </c>
      <c r="BG57" s="65"/>
      <c r="BH57" s="66" t="s">
        <v>5463</v>
      </c>
      <c r="BI57" s="63" t="s">
        <v>5464</v>
      </c>
    </row>
    <row r="58" spans="1:61" ht="140.25" x14ac:dyDescent="0.2">
      <c r="A58" s="45" t="s">
        <v>5465</v>
      </c>
      <c r="B58" s="46"/>
      <c r="C58" s="46" t="s">
        <v>5460</v>
      </c>
      <c r="D58" s="46" t="s">
        <v>5413</v>
      </c>
      <c r="E58" s="46" t="s">
        <v>68</v>
      </c>
      <c r="F58" s="46" t="s">
        <v>68</v>
      </c>
      <c r="G58" s="46" t="s">
        <v>5421</v>
      </c>
      <c r="H58" s="46" t="s">
        <v>5466</v>
      </c>
      <c r="I58" s="46" t="s">
        <v>68</v>
      </c>
      <c r="J58" s="46" t="s">
        <v>71</v>
      </c>
      <c r="K58" s="47">
        <v>250</v>
      </c>
      <c r="L58" s="47">
        <v>100</v>
      </c>
      <c r="M58" s="47">
        <v>350</v>
      </c>
      <c r="N58" s="46"/>
      <c r="O58" s="71" t="s">
        <v>68</v>
      </c>
      <c r="P58" s="64"/>
      <c r="Q58" s="46" t="s">
        <v>5193</v>
      </c>
      <c r="R58" s="46" t="s">
        <v>5196</v>
      </c>
      <c r="S58" s="49">
        <v>87.5</v>
      </c>
      <c r="T58" s="49">
        <v>437.5</v>
      </c>
      <c r="U58" s="67">
        <v>0.40285714285714286</v>
      </c>
      <c r="V58" s="67">
        <v>0.47142857142857142</v>
      </c>
      <c r="W58" s="51">
        <v>0.4</v>
      </c>
      <c r="X58" s="52">
        <v>43.75</v>
      </c>
      <c r="Y58" s="52">
        <v>30</v>
      </c>
      <c r="Z58" s="52">
        <v>187.5</v>
      </c>
      <c r="AA58" s="52">
        <v>261.25</v>
      </c>
      <c r="AB58" s="53">
        <v>0.5971428571428572</v>
      </c>
      <c r="AC58" s="72">
        <v>176.25</v>
      </c>
      <c r="AD58" s="55">
        <v>0.40285714285714286</v>
      </c>
      <c r="AE58" s="73">
        <v>3</v>
      </c>
      <c r="AF58" s="57" t="s">
        <v>95</v>
      </c>
      <c r="AG58" s="58">
        <v>250</v>
      </c>
      <c r="AH58" s="58">
        <v>100</v>
      </c>
      <c r="AI58" s="58">
        <v>350</v>
      </c>
      <c r="AJ58" s="49">
        <v>87.5</v>
      </c>
      <c r="AK58" s="49">
        <v>437.5</v>
      </c>
      <c r="AL58" s="52">
        <v>43.75</v>
      </c>
      <c r="AM58" s="52">
        <v>187.5</v>
      </c>
      <c r="AN58" s="52">
        <v>231.25</v>
      </c>
      <c r="AO58" s="59">
        <v>0.52857142857142858</v>
      </c>
      <c r="AP58" s="60">
        <v>206.25</v>
      </c>
      <c r="AQ58" s="61">
        <v>0.47142857142857142</v>
      </c>
      <c r="AR58" s="60" t="s">
        <v>78</v>
      </c>
      <c r="AS58" s="62">
        <v>400</v>
      </c>
      <c r="AT58" s="62">
        <v>160</v>
      </c>
      <c r="AU58" s="62">
        <v>560</v>
      </c>
      <c r="AV58" s="62">
        <v>700</v>
      </c>
      <c r="AW58" s="47" t="s">
        <v>107</v>
      </c>
      <c r="AX58" s="64"/>
      <c r="AY58" s="64" t="s">
        <v>5467</v>
      </c>
      <c r="BA58" s="64"/>
      <c r="BB58" s="64"/>
      <c r="BC58" s="64"/>
      <c r="BD58" s="46"/>
      <c r="BE58" s="46" t="e">
        <v>#REF!</v>
      </c>
      <c r="BF58" s="46" t="s">
        <v>75</v>
      </c>
      <c r="BG58" s="65"/>
      <c r="BH58" s="66" t="s">
        <v>5468</v>
      </c>
      <c r="BI58" s="63" t="s">
        <v>5469</v>
      </c>
    </row>
    <row r="59" spans="1:61" ht="51" x14ac:dyDescent="0.2">
      <c r="A59" s="45" t="s">
        <v>5470</v>
      </c>
      <c r="B59" s="46"/>
      <c r="C59" s="46" t="s">
        <v>5471</v>
      </c>
      <c r="D59" s="46" t="s">
        <v>68</v>
      </c>
      <c r="E59" s="46" t="s">
        <v>68</v>
      </c>
      <c r="F59" s="46" t="s">
        <v>68</v>
      </c>
      <c r="G59" s="46" t="s">
        <v>68</v>
      </c>
      <c r="H59" s="46" t="s">
        <v>68</v>
      </c>
      <c r="I59" s="46" t="s">
        <v>68</v>
      </c>
      <c r="J59" s="46" t="s">
        <v>71</v>
      </c>
      <c r="K59" s="47">
        <v>150</v>
      </c>
      <c r="L59" s="47">
        <v>30</v>
      </c>
      <c r="M59" s="47">
        <v>180</v>
      </c>
      <c r="N59" s="46"/>
      <c r="O59" s="71" t="s">
        <v>68</v>
      </c>
      <c r="P59" s="64"/>
      <c r="Q59" s="46" t="s">
        <v>5193</v>
      </c>
      <c r="R59" s="46" t="s">
        <v>5196</v>
      </c>
      <c r="S59" s="49">
        <v>45</v>
      </c>
      <c r="T59" s="49">
        <v>225</v>
      </c>
      <c r="U59" s="67">
        <v>0.43333333333333335</v>
      </c>
      <c r="V59" s="67">
        <v>0.56666666666666665</v>
      </c>
      <c r="W59" s="51">
        <v>0.2</v>
      </c>
      <c r="X59" s="52">
        <v>22.5</v>
      </c>
      <c r="Y59" s="52">
        <v>30</v>
      </c>
      <c r="Z59" s="52">
        <v>75</v>
      </c>
      <c r="AA59" s="52">
        <v>127.5</v>
      </c>
      <c r="AB59" s="53">
        <v>0.56666666666666665</v>
      </c>
      <c r="AC59" s="54">
        <v>97.5</v>
      </c>
      <c r="AD59" s="55">
        <v>0.43333333333333335</v>
      </c>
      <c r="AE59" s="73">
        <v>3</v>
      </c>
      <c r="AF59" s="57" t="s">
        <v>95</v>
      </c>
      <c r="AG59" s="58">
        <v>150</v>
      </c>
      <c r="AH59" s="58">
        <v>30</v>
      </c>
      <c r="AI59" s="58">
        <v>180</v>
      </c>
      <c r="AJ59" s="49">
        <v>45</v>
      </c>
      <c r="AK59" s="49">
        <v>225</v>
      </c>
      <c r="AL59" s="52">
        <v>22.5</v>
      </c>
      <c r="AM59" s="52">
        <v>75</v>
      </c>
      <c r="AN59" s="52">
        <v>97.5</v>
      </c>
      <c r="AO59" s="59">
        <v>0.43333333333333335</v>
      </c>
      <c r="AP59" s="60">
        <v>127.5</v>
      </c>
      <c r="AQ59" s="61">
        <v>0.56666666666666665</v>
      </c>
      <c r="AR59" s="60" t="s">
        <v>78</v>
      </c>
      <c r="AS59" s="62">
        <v>240</v>
      </c>
      <c r="AT59" s="62">
        <v>48</v>
      </c>
      <c r="AU59" s="62">
        <v>288</v>
      </c>
      <c r="AV59" s="62">
        <v>360</v>
      </c>
      <c r="AW59" s="47" t="s">
        <v>107</v>
      </c>
      <c r="AX59" s="64"/>
      <c r="AY59" s="64" t="s">
        <v>5472</v>
      </c>
      <c r="BA59" s="64"/>
      <c r="BB59" s="64"/>
      <c r="BC59" s="64"/>
      <c r="BD59" s="46"/>
      <c r="BE59" s="46" t="e">
        <v>#REF!</v>
      </c>
      <c r="BF59" s="46" t="s">
        <v>79</v>
      </c>
      <c r="BG59" s="65">
        <v>1</v>
      </c>
      <c r="BH59" s="66" t="s">
        <v>5473</v>
      </c>
      <c r="BI59" s="63" t="s">
        <v>5471</v>
      </c>
    </row>
    <row r="60" spans="1:61" ht="63.75" x14ac:dyDescent="0.2">
      <c r="A60" s="45" t="s">
        <v>5474</v>
      </c>
      <c r="B60" s="46"/>
      <c r="C60" s="46" t="s">
        <v>5475</v>
      </c>
      <c r="D60" s="46" t="s">
        <v>68</v>
      </c>
      <c r="E60" s="46" t="s">
        <v>68</v>
      </c>
      <c r="F60" s="46" t="s">
        <v>68</v>
      </c>
      <c r="G60" s="46" t="s">
        <v>68</v>
      </c>
      <c r="H60" s="46" t="s">
        <v>68</v>
      </c>
      <c r="I60" s="46" t="s">
        <v>68</v>
      </c>
      <c r="J60" s="46" t="s">
        <v>71</v>
      </c>
      <c r="K60" s="47">
        <v>150</v>
      </c>
      <c r="L60" s="47">
        <v>30</v>
      </c>
      <c r="M60" s="47">
        <v>180</v>
      </c>
      <c r="N60" s="46"/>
      <c r="O60" s="71" t="s">
        <v>68</v>
      </c>
      <c r="P60" s="64"/>
      <c r="Q60" s="46" t="s">
        <v>5193</v>
      </c>
      <c r="R60" s="46" t="s">
        <v>5196</v>
      </c>
      <c r="S60" s="49">
        <v>45</v>
      </c>
      <c r="T60" s="49">
        <v>225</v>
      </c>
      <c r="U60" s="67">
        <v>0.43333333333333335</v>
      </c>
      <c r="V60" s="67">
        <v>0.56666666666666665</v>
      </c>
      <c r="W60" s="51">
        <v>0.2</v>
      </c>
      <c r="X60" s="52">
        <v>22.5</v>
      </c>
      <c r="Y60" s="52">
        <v>30</v>
      </c>
      <c r="Z60" s="52">
        <v>75</v>
      </c>
      <c r="AA60" s="52">
        <v>127.5</v>
      </c>
      <c r="AB60" s="53">
        <v>0.56666666666666665</v>
      </c>
      <c r="AC60" s="54">
        <v>97.5</v>
      </c>
      <c r="AD60" s="55">
        <v>0.43333333333333335</v>
      </c>
      <c r="AE60" s="73">
        <v>3</v>
      </c>
      <c r="AF60" s="57" t="s">
        <v>95</v>
      </c>
      <c r="AG60" s="58">
        <v>150</v>
      </c>
      <c r="AH60" s="58">
        <v>30</v>
      </c>
      <c r="AI60" s="58">
        <v>180</v>
      </c>
      <c r="AJ60" s="49">
        <v>45</v>
      </c>
      <c r="AK60" s="49">
        <v>225</v>
      </c>
      <c r="AL60" s="52">
        <v>22.5</v>
      </c>
      <c r="AM60" s="52">
        <v>75</v>
      </c>
      <c r="AN60" s="52">
        <v>97.5</v>
      </c>
      <c r="AO60" s="59">
        <v>0.43333333333333335</v>
      </c>
      <c r="AP60" s="60">
        <v>127.5</v>
      </c>
      <c r="AQ60" s="61">
        <v>0.56666666666666665</v>
      </c>
      <c r="AR60" s="60" t="s">
        <v>78</v>
      </c>
      <c r="AS60" s="62">
        <v>240</v>
      </c>
      <c r="AT60" s="62">
        <v>48</v>
      </c>
      <c r="AU60" s="62">
        <v>288</v>
      </c>
      <c r="AV60" s="62">
        <v>360</v>
      </c>
      <c r="AW60" s="47" t="s">
        <v>107</v>
      </c>
      <c r="AX60" s="64"/>
      <c r="AY60" s="64" t="s">
        <v>5476</v>
      </c>
      <c r="BA60" s="64"/>
      <c r="BB60" s="64"/>
      <c r="BC60" s="64"/>
      <c r="BD60" s="46"/>
      <c r="BE60" s="46" t="e">
        <v>#REF!</v>
      </c>
      <c r="BF60" s="46" t="s">
        <v>79</v>
      </c>
      <c r="BG60" s="65">
        <v>1</v>
      </c>
      <c r="BH60" s="66" t="s">
        <v>5477</v>
      </c>
      <c r="BI60" s="63" t="s">
        <v>5475</v>
      </c>
    </row>
    <row r="61" spans="1:61" ht="76.5" x14ac:dyDescent="0.2">
      <c r="A61" s="45" t="s">
        <v>5478</v>
      </c>
      <c r="B61" s="46"/>
      <c r="C61" s="46" t="s">
        <v>5479</v>
      </c>
      <c r="D61" s="46" t="s">
        <v>5480</v>
      </c>
      <c r="E61" s="46" t="s">
        <v>68</v>
      </c>
      <c r="F61" s="46" t="s">
        <v>68</v>
      </c>
      <c r="G61" s="46" t="s">
        <v>68</v>
      </c>
      <c r="H61" s="46" t="s">
        <v>68</v>
      </c>
      <c r="I61" s="46" t="s">
        <v>68</v>
      </c>
      <c r="J61" s="46" t="s">
        <v>71</v>
      </c>
      <c r="K61" s="47">
        <v>180</v>
      </c>
      <c r="L61" s="47">
        <v>70</v>
      </c>
      <c r="M61" s="47">
        <v>250</v>
      </c>
      <c r="N61" s="46"/>
      <c r="O61" s="71" t="s">
        <v>68</v>
      </c>
      <c r="P61" s="64"/>
      <c r="Q61" s="46" t="s">
        <v>5193</v>
      </c>
      <c r="R61" s="46" t="s">
        <v>5196</v>
      </c>
      <c r="S61" s="49">
        <v>62.5</v>
      </c>
      <c r="T61" s="49">
        <v>312.5</v>
      </c>
      <c r="U61" s="67">
        <v>0.38</v>
      </c>
      <c r="V61" s="67">
        <v>0.47599999999999998</v>
      </c>
      <c r="W61" s="51">
        <v>0.3888888888888889</v>
      </c>
      <c r="X61" s="52">
        <v>31.25</v>
      </c>
      <c r="Y61" s="52">
        <v>30</v>
      </c>
      <c r="Z61" s="52">
        <v>132.5</v>
      </c>
      <c r="AA61" s="52">
        <v>193.75</v>
      </c>
      <c r="AB61" s="53">
        <v>0.62</v>
      </c>
      <c r="AC61" s="54">
        <v>118.75</v>
      </c>
      <c r="AD61" s="55">
        <v>0.38</v>
      </c>
      <c r="AE61" s="73">
        <v>3</v>
      </c>
      <c r="AF61" s="57" t="s">
        <v>95</v>
      </c>
      <c r="AG61" s="58">
        <v>180</v>
      </c>
      <c r="AH61" s="58">
        <v>70</v>
      </c>
      <c r="AI61" s="58">
        <v>250</v>
      </c>
      <c r="AJ61" s="49">
        <v>62.5</v>
      </c>
      <c r="AK61" s="49">
        <v>312.5</v>
      </c>
      <c r="AL61" s="52">
        <v>31.25</v>
      </c>
      <c r="AM61" s="52">
        <v>132.5</v>
      </c>
      <c r="AN61" s="52">
        <v>163.75</v>
      </c>
      <c r="AO61" s="59">
        <v>0.52400000000000002</v>
      </c>
      <c r="AP61" s="60">
        <v>148.75</v>
      </c>
      <c r="AQ61" s="61">
        <v>0.47599999999999998</v>
      </c>
      <c r="AR61" s="60" t="s">
        <v>78</v>
      </c>
      <c r="AS61" s="62">
        <v>288</v>
      </c>
      <c r="AT61" s="62">
        <v>112</v>
      </c>
      <c r="AU61" s="62">
        <v>400</v>
      </c>
      <c r="AV61" s="62">
        <v>500</v>
      </c>
      <c r="AW61" s="47" t="s">
        <v>107</v>
      </c>
      <c r="AX61" s="64"/>
      <c r="AY61" s="64" t="s">
        <v>5481</v>
      </c>
      <c r="BA61" s="64"/>
      <c r="BB61" s="64"/>
      <c r="BC61" s="64"/>
      <c r="BD61" s="46"/>
      <c r="BE61" s="46" t="e">
        <v>#REF!</v>
      </c>
      <c r="BF61" s="46" t="s">
        <v>79</v>
      </c>
      <c r="BG61" s="65">
        <v>1</v>
      </c>
      <c r="BH61" s="66" t="s">
        <v>5482</v>
      </c>
      <c r="BI61" s="63" t="s">
        <v>5483</v>
      </c>
    </row>
    <row r="62" spans="1:61" ht="76.5" x14ac:dyDescent="0.2">
      <c r="A62" s="45" t="s">
        <v>5484</v>
      </c>
      <c r="B62" s="46"/>
      <c r="C62" s="46" t="s">
        <v>5479</v>
      </c>
      <c r="D62" s="46" t="s">
        <v>5485</v>
      </c>
      <c r="E62" s="46" t="s">
        <v>68</v>
      </c>
      <c r="F62" s="46" t="s">
        <v>68</v>
      </c>
      <c r="G62" s="46" t="s">
        <v>5486</v>
      </c>
      <c r="H62" s="46" t="s">
        <v>68</v>
      </c>
      <c r="I62" s="46" t="s">
        <v>68</v>
      </c>
      <c r="J62" s="46" t="s">
        <v>71</v>
      </c>
      <c r="K62" s="47">
        <v>1000</v>
      </c>
      <c r="L62" s="47">
        <v>250</v>
      </c>
      <c r="M62" s="47">
        <v>1250</v>
      </c>
      <c r="N62" s="46"/>
      <c r="O62" s="71" t="s">
        <v>68</v>
      </c>
      <c r="P62" s="64"/>
      <c r="Q62" s="46" t="s">
        <v>5193</v>
      </c>
      <c r="R62" s="46" t="s">
        <v>5196</v>
      </c>
      <c r="S62" s="49">
        <v>312.5</v>
      </c>
      <c r="T62" s="49">
        <v>1562.5</v>
      </c>
      <c r="U62" s="67">
        <v>0.52080000000000004</v>
      </c>
      <c r="V62" s="67">
        <v>0.54</v>
      </c>
      <c r="W62" s="51">
        <v>0.25</v>
      </c>
      <c r="X62" s="52">
        <v>156.25</v>
      </c>
      <c r="Y62" s="52">
        <v>30</v>
      </c>
      <c r="Z62" s="52">
        <v>562.5</v>
      </c>
      <c r="AA62" s="52">
        <v>748.75</v>
      </c>
      <c r="AB62" s="53">
        <v>0.47920000000000001</v>
      </c>
      <c r="AC62" s="72">
        <v>813.75</v>
      </c>
      <c r="AD62" s="55">
        <v>0.52080000000000004</v>
      </c>
      <c r="AE62" s="73">
        <v>3</v>
      </c>
      <c r="AF62" s="57" t="s">
        <v>95</v>
      </c>
      <c r="AG62" s="58">
        <v>1000</v>
      </c>
      <c r="AH62" s="58">
        <v>250</v>
      </c>
      <c r="AI62" s="58">
        <v>1250</v>
      </c>
      <c r="AJ62" s="49">
        <v>312.5</v>
      </c>
      <c r="AK62" s="49">
        <v>1562.5</v>
      </c>
      <c r="AL62" s="52">
        <v>156.25</v>
      </c>
      <c r="AM62" s="52">
        <v>562.5</v>
      </c>
      <c r="AN62" s="52">
        <v>718.75</v>
      </c>
      <c r="AO62" s="59">
        <v>0.46</v>
      </c>
      <c r="AP62" s="60">
        <v>843.75</v>
      </c>
      <c r="AQ62" s="61">
        <v>0.54</v>
      </c>
      <c r="AR62" s="60" t="s">
        <v>78</v>
      </c>
      <c r="AS62" s="62">
        <v>1600</v>
      </c>
      <c r="AT62" s="62">
        <v>400</v>
      </c>
      <c r="AU62" s="62">
        <v>2000</v>
      </c>
      <c r="AV62" s="62">
        <v>2500</v>
      </c>
      <c r="AW62" s="47" t="s">
        <v>68</v>
      </c>
      <c r="AX62" s="64"/>
      <c r="AY62" s="64" t="s">
        <v>5487</v>
      </c>
      <c r="BA62" s="64"/>
      <c r="BB62" s="64"/>
      <c r="BC62" s="64"/>
      <c r="BD62" s="46"/>
      <c r="BE62" s="46" t="e">
        <v>#REF!</v>
      </c>
      <c r="BF62" s="46" t="s">
        <v>75</v>
      </c>
      <c r="BG62" s="65">
        <v>4</v>
      </c>
      <c r="BH62" s="66" t="s">
        <v>5488</v>
      </c>
      <c r="BI62" s="63" t="s">
        <v>5489</v>
      </c>
    </row>
    <row r="63" spans="1:61" ht="76.5" x14ac:dyDescent="0.2">
      <c r="A63" s="45" t="s">
        <v>5490</v>
      </c>
      <c r="B63" s="46"/>
      <c r="C63" s="46" t="s">
        <v>5479</v>
      </c>
      <c r="D63" s="46" t="s">
        <v>5485</v>
      </c>
      <c r="E63" s="46" t="s">
        <v>68</v>
      </c>
      <c r="F63" s="46" t="s">
        <v>68</v>
      </c>
      <c r="G63" s="46" t="s">
        <v>4316</v>
      </c>
      <c r="H63" s="46" t="s">
        <v>68</v>
      </c>
      <c r="I63" s="46" t="s">
        <v>68</v>
      </c>
      <c r="J63" s="46" t="s">
        <v>71</v>
      </c>
      <c r="K63" s="47">
        <v>150</v>
      </c>
      <c r="L63" s="47">
        <v>100</v>
      </c>
      <c r="M63" s="47">
        <v>250</v>
      </c>
      <c r="N63" s="46"/>
      <c r="O63" s="71" t="s">
        <v>68</v>
      </c>
      <c r="P63" s="64"/>
      <c r="Q63" s="46" t="s">
        <v>5193</v>
      </c>
      <c r="R63" s="46" t="s">
        <v>5196</v>
      </c>
      <c r="S63" s="49">
        <v>62.5</v>
      </c>
      <c r="T63" s="49">
        <v>312.5</v>
      </c>
      <c r="U63" s="28">
        <v>0.28399999999999997</v>
      </c>
      <c r="V63" s="67">
        <v>0.38</v>
      </c>
      <c r="W63" s="51">
        <v>0.66666666666666663</v>
      </c>
      <c r="X63" s="52">
        <v>31.25</v>
      </c>
      <c r="Y63" s="52">
        <v>30</v>
      </c>
      <c r="Z63" s="52">
        <v>162.5</v>
      </c>
      <c r="AA63" s="52">
        <v>223.75</v>
      </c>
      <c r="AB63" s="53">
        <v>0.71599999999999997</v>
      </c>
      <c r="AC63" s="68">
        <v>88.75</v>
      </c>
      <c r="AD63" s="55">
        <v>0.28399999999999997</v>
      </c>
      <c r="AE63" s="73">
        <v>3</v>
      </c>
      <c r="AF63" s="57" t="s">
        <v>95</v>
      </c>
      <c r="AG63" s="58">
        <v>150</v>
      </c>
      <c r="AH63" s="58">
        <v>100</v>
      </c>
      <c r="AI63" s="58">
        <v>250</v>
      </c>
      <c r="AJ63" s="49">
        <v>62.5</v>
      </c>
      <c r="AK63" s="49">
        <v>312.5</v>
      </c>
      <c r="AL63" s="52">
        <v>31.25</v>
      </c>
      <c r="AM63" s="52">
        <v>162.5</v>
      </c>
      <c r="AN63" s="52">
        <v>193.75</v>
      </c>
      <c r="AO63" s="59">
        <v>0.62</v>
      </c>
      <c r="AP63" s="60">
        <v>118.75</v>
      </c>
      <c r="AQ63" s="61">
        <v>0.38</v>
      </c>
      <c r="AR63" s="60" t="s">
        <v>78</v>
      </c>
      <c r="AS63" s="62">
        <v>240</v>
      </c>
      <c r="AT63" s="62">
        <v>160</v>
      </c>
      <c r="AU63" s="62">
        <v>400</v>
      </c>
      <c r="AV63" s="62">
        <v>500</v>
      </c>
      <c r="AW63" s="47" t="s">
        <v>68</v>
      </c>
      <c r="AX63" s="64"/>
      <c r="AY63" s="64" t="s">
        <v>5491</v>
      </c>
      <c r="BA63" s="64"/>
      <c r="BB63" s="64"/>
      <c r="BC63" s="64"/>
      <c r="BD63" s="46"/>
      <c r="BE63" s="46" t="e">
        <v>#REF!</v>
      </c>
      <c r="BF63" s="46" t="s">
        <v>79</v>
      </c>
      <c r="BG63" s="65">
        <v>1</v>
      </c>
      <c r="BH63" s="66" t="s">
        <v>5492</v>
      </c>
      <c r="BI63" s="63" t="s">
        <v>5493</v>
      </c>
    </row>
    <row r="64" spans="1:61" ht="51" x14ac:dyDescent="0.2">
      <c r="A64" s="45" t="s">
        <v>5494</v>
      </c>
      <c r="B64" s="46"/>
      <c r="C64" s="46" t="s">
        <v>5495</v>
      </c>
      <c r="D64" s="46" t="s">
        <v>5486</v>
      </c>
      <c r="E64" s="46" t="s">
        <v>68</v>
      </c>
      <c r="F64" s="46" t="s">
        <v>68</v>
      </c>
      <c r="G64" s="46" t="s">
        <v>68</v>
      </c>
      <c r="H64" s="46" t="s">
        <v>68</v>
      </c>
      <c r="I64" s="46" t="s">
        <v>68</v>
      </c>
      <c r="J64" s="46" t="s">
        <v>71</v>
      </c>
      <c r="K64" s="47">
        <v>1000</v>
      </c>
      <c r="L64" s="47">
        <v>500</v>
      </c>
      <c r="M64" s="47">
        <v>1500</v>
      </c>
      <c r="N64" s="46"/>
      <c r="O64" s="71" t="s">
        <v>68</v>
      </c>
      <c r="P64" s="64"/>
      <c r="Q64" s="46" t="s">
        <v>5193</v>
      </c>
      <c r="R64" s="46" t="s">
        <v>5196</v>
      </c>
      <c r="S64" s="49">
        <v>375</v>
      </c>
      <c r="T64" s="49">
        <v>1875</v>
      </c>
      <c r="U64" s="67">
        <v>0.41733333333333333</v>
      </c>
      <c r="V64" s="67">
        <v>0.43333333333333335</v>
      </c>
      <c r="W64" s="51">
        <v>0.5</v>
      </c>
      <c r="X64" s="52">
        <v>187.5</v>
      </c>
      <c r="Y64" s="52">
        <v>30</v>
      </c>
      <c r="Z64" s="52">
        <v>875</v>
      </c>
      <c r="AA64" s="52">
        <v>1092.5</v>
      </c>
      <c r="AB64" s="53">
        <v>0.58266666666666667</v>
      </c>
      <c r="AC64" s="72">
        <v>782.5</v>
      </c>
      <c r="AD64" s="55">
        <v>0.41733333333333333</v>
      </c>
      <c r="AE64" s="73">
        <v>3</v>
      </c>
      <c r="AF64" s="57" t="s">
        <v>95</v>
      </c>
      <c r="AG64" s="58">
        <v>1000</v>
      </c>
      <c r="AH64" s="58">
        <v>500</v>
      </c>
      <c r="AI64" s="58">
        <v>1500</v>
      </c>
      <c r="AJ64" s="49">
        <v>375</v>
      </c>
      <c r="AK64" s="49">
        <v>1875</v>
      </c>
      <c r="AL64" s="52">
        <v>187.5</v>
      </c>
      <c r="AM64" s="52">
        <v>875</v>
      </c>
      <c r="AN64" s="52">
        <v>1062.5</v>
      </c>
      <c r="AO64" s="59">
        <v>0.56666666666666665</v>
      </c>
      <c r="AP64" s="60">
        <v>812.5</v>
      </c>
      <c r="AQ64" s="61">
        <v>0.43333333333333335</v>
      </c>
      <c r="AR64" s="60" t="s">
        <v>78</v>
      </c>
      <c r="AS64" s="62">
        <v>1600</v>
      </c>
      <c r="AT64" s="62">
        <v>800</v>
      </c>
      <c r="AU64" s="62">
        <v>2400</v>
      </c>
      <c r="AV64" s="62">
        <v>3000</v>
      </c>
      <c r="AW64" s="47" t="s">
        <v>107</v>
      </c>
      <c r="AX64" s="64"/>
      <c r="AY64" s="64" t="s">
        <v>5496</v>
      </c>
      <c r="BA64" s="64"/>
      <c r="BB64" s="64"/>
      <c r="BC64" s="64"/>
      <c r="BD64" s="46"/>
      <c r="BE64" s="46" t="e">
        <v>#REF!</v>
      </c>
      <c r="BF64" s="46" t="s">
        <v>75</v>
      </c>
      <c r="BG64" s="65">
        <v>12</v>
      </c>
      <c r="BH64" s="66" t="s">
        <v>5497</v>
      </c>
      <c r="BI64" s="63" t="s">
        <v>5498</v>
      </c>
    </row>
    <row r="65" spans="1:61" ht="51" x14ac:dyDescent="0.2">
      <c r="A65" s="45" t="s">
        <v>5499</v>
      </c>
      <c r="B65" s="46"/>
      <c r="C65" s="46" t="s">
        <v>5495</v>
      </c>
      <c r="D65" s="46" t="s">
        <v>4316</v>
      </c>
      <c r="E65" s="46" t="s">
        <v>68</v>
      </c>
      <c r="F65" s="46" t="s">
        <v>68</v>
      </c>
      <c r="G65" s="46" t="s">
        <v>68</v>
      </c>
      <c r="H65" s="46" t="s">
        <v>68</v>
      </c>
      <c r="I65" s="46" t="s">
        <v>68</v>
      </c>
      <c r="J65" s="46" t="s">
        <v>71</v>
      </c>
      <c r="K65" s="47">
        <v>150</v>
      </c>
      <c r="L65" s="47">
        <v>400</v>
      </c>
      <c r="M65" s="47">
        <v>550</v>
      </c>
      <c r="N65" s="46"/>
      <c r="O65" s="71" t="s">
        <v>68</v>
      </c>
      <c r="P65" s="64"/>
      <c r="Q65" s="46" t="s">
        <v>5193</v>
      </c>
      <c r="R65" s="46" t="s">
        <v>5196</v>
      </c>
      <c r="S65" s="49">
        <v>137.5</v>
      </c>
      <c r="T65" s="49">
        <v>687.5</v>
      </c>
      <c r="U65" s="50">
        <v>7.454545454545454E-2</v>
      </c>
      <c r="V65" s="50">
        <v>0.11818181818181818</v>
      </c>
      <c r="W65" s="77">
        <v>2.6666666666666665</v>
      </c>
      <c r="X65" s="52">
        <v>68.75</v>
      </c>
      <c r="Y65" s="52">
        <v>30</v>
      </c>
      <c r="Z65" s="52">
        <v>537.5</v>
      </c>
      <c r="AA65" s="52">
        <v>636.25</v>
      </c>
      <c r="AB65" s="53">
        <v>0.92545454545454542</v>
      </c>
      <c r="AC65" s="75">
        <v>51.25</v>
      </c>
      <c r="AD65" s="55">
        <v>7.454545454545454E-2</v>
      </c>
      <c r="AE65" s="73">
        <v>3</v>
      </c>
      <c r="AF65" s="57" t="s">
        <v>95</v>
      </c>
      <c r="AG65" s="58">
        <v>150</v>
      </c>
      <c r="AH65" s="58">
        <v>400</v>
      </c>
      <c r="AI65" s="58">
        <v>550</v>
      </c>
      <c r="AJ65" s="49">
        <v>137.5</v>
      </c>
      <c r="AK65" s="49">
        <v>687.5</v>
      </c>
      <c r="AL65" s="52">
        <v>68.75</v>
      </c>
      <c r="AM65" s="52">
        <v>537.5</v>
      </c>
      <c r="AN65" s="52">
        <v>606.25</v>
      </c>
      <c r="AO65" s="59">
        <v>0.88181818181818183</v>
      </c>
      <c r="AP65" s="60">
        <v>81.25</v>
      </c>
      <c r="AQ65" s="61">
        <v>0.11818181818181818</v>
      </c>
      <c r="AR65" s="60" t="s">
        <v>73</v>
      </c>
      <c r="AS65" s="62">
        <v>240</v>
      </c>
      <c r="AT65" s="62">
        <v>640</v>
      </c>
      <c r="AU65" s="62">
        <v>880</v>
      </c>
      <c r="AV65" s="62">
        <v>1100</v>
      </c>
      <c r="AW65" s="47" t="s">
        <v>107</v>
      </c>
      <c r="AX65" s="64"/>
      <c r="AY65" s="64" t="s">
        <v>5500</v>
      </c>
      <c r="BA65" s="64"/>
      <c r="BB65" s="64"/>
      <c r="BC65" s="64"/>
      <c r="BD65" s="46"/>
      <c r="BE65" s="46" t="e">
        <v>#REF!</v>
      </c>
      <c r="BF65" s="46" t="s">
        <v>75</v>
      </c>
      <c r="BG65" s="65">
        <v>8</v>
      </c>
      <c r="BH65" s="66" t="s">
        <v>5501</v>
      </c>
      <c r="BI65" s="63" t="s">
        <v>5502</v>
      </c>
    </row>
    <row r="66" spans="1:61" ht="25.5" x14ac:dyDescent="0.2">
      <c r="A66" s="23" t="s">
        <v>5503</v>
      </c>
      <c r="B66" s="24"/>
      <c r="C66" s="24" t="s">
        <v>68</v>
      </c>
      <c r="D66" s="24" t="s">
        <v>68</v>
      </c>
      <c r="E66" s="24" t="s">
        <v>68</v>
      </c>
      <c r="F66" s="24" t="s">
        <v>68</v>
      </c>
      <c r="G66" s="24" t="s">
        <v>68</v>
      </c>
      <c r="H66" s="24" t="s">
        <v>68</v>
      </c>
      <c r="I66" s="24" t="s">
        <v>68</v>
      </c>
      <c r="J66" s="24" t="s">
        <v>68</v>
      </c>
      <c r="K66" s="25" t="s">
        <v>68</v>
      </c>
      <c r="L66" s="25" t="s">
        <v>68</v>
      </c>
      <c r="M66" s="25" t="s">
        <v>68</v>
      </c>
      <c r="N66" s="24"/>
      <c r="O66" s="24" t="s">
        <v>68</v>
      </c>
      <c r="P66" s="26"/>
      <c r="Q66" s="27" t="s">
        <v>5504</v>
      </c>
      <c r="R66" s="24" t="s">
        <v>68</v>
      </c>
      <c r="S66" s="25" t="s">
        <v>68</v>
      </c>
      <c r="T66" s="25" t="s">
        <v>68</v>
      </c>
      <c r="U66" s="28" t="s">
        <v>68</v>
      </c>
      <c r="V66" s="28" t="s">
        <v>68</v>
      </c>
      <c r="W66" s="29" t="s">
        <v>68</v>
      </c>
      <c r="X66" s="25" t="s">
        <v>68</v>
      </c>
      <c r="Y66" s="25" t="s">
        <v>68</v>
      </c>
      <c r="Z66" s="25" t="s">
        <v>68</v>
      </c>
      <c r="AA66" s="25" t="s">
        <v>68</v>
      </c>
      <c r="AB66" s="28" t="s">
        <v>68</v>
      </c>
      <c r="AC66" s="25" t="s">
        <v>68</v>
      </c>
      <c r="AD66" s="28" t="s">
        <v>68</v>
      </c>
      <c r="AE66" s="30"/>
      <c r="AF66" s="31" t="s">
        <v>68</v>
      </c>
      <c r="AG66" s="25" t="s">
        <v>68</v>
      </c>
      <c r="AH66" s="25" t="s">
        <v>68</v>
      </c>
      <c r="AI66" s="25" t="s">
        <v>68</v>
      </c>
      <c r="AJ66" s="25" t="s">
        <v>68</v>
      </c>
      <c r="AK66" s="25" t="s">
        <v>68</v>
      </c>
      <c r="AL66" s="25" t="s">
        <v>68</v>
      </c>
      <c r="AM66" s="25" t="s">
        <v>68</v>
      </c>
      <c r="AN66" s="25" t="s">
        <v>68</v>
      </c>
      <c r="AO66" s="32" t="s">
        <v>68</v>
      </c>
      <c r="AP66" s="25" t="s">
        <v>68</v>
      </c>
      <c r="AQ66" s="28" t="s">
        <v>68</v>
      </c>
      <c r="AR66" s="25" t="s">
        <v>68</v>
      </c>
      <c r="AS66" s="25" t="s">
        <v>68</v>
      </c>
      <c r="AT66" s="25" t="s">
        <v>68</v>
      </c>
      <c r="AU66" s="25" t="s">
        <v>68</v>
      </c>
      <c r="AV66" s="25" t="s">
        <v>68</v>
      </c>
      <c r="AW66" s="24"/>
      <c r="AX66" s="26"/>
      <c r="AY66" s="26" t="s">
        <v>68</v>
      </c>
      <c r="BA66" s="26"/>
      <c r="BB66" s="26"/>
      <c r="BC66" s="26"/>
      <c r="BD66" s="24"/>
      <c r="BE66" s="27" t="s">
        <v>5503</v>
      </c>
      <c r="BF66" s="24"/>
      <c r="BG66" s="33"/>
      <c r="BH66" s="27" t="s">
        <v>5505</v>
      </c>
      <c r="BI66" s="24" t="s">
        <v>68</v>
      </c>
    </row>
    <row r="67" spans="1:61" ht="25.5" x14ac:dyDescent="0.2">
      <c r="A67" s="34" t="s">
        <v>5506</v>
      </c>
      <c r="B67" s="35"/>
      <c r="C67" s="35" t="s">
        <v>68</v>
      </c>
      <c r="D67" s="35" t="s">
        <v>68</v>
      </c>
      <c r="E67" s="35" t="s">
        <v>68</v>
      </c>
      <c r="F67" s="35" t="s">
        <v>68</v>
      </c>
      <c r="G67" s="35" t="s">
        <v>68</v>
      </c>
      <c r="H67" s="35" t="s">
        <v>68</v>
      </c>
      <c r="I67" s="35" t="s">
        <v>68</v>
      </c>
      <c r="J67" s="35" t="s">
        <v>68</v>
      </c>
      <c r="K67" s="36" t="s">
        <v>68</v>
      </c>
      <c r="L67" s="36" t="s">
        <v>68</v>
      </c>
      <c r="M67" s="36" t="s">
        <v>68</v>
      </c>
      <c r="N67" s="35"/>
      <c r="O67" s="35" t="s">
        <v>68</v>
      </c>
      <c r="P67" s="37"/>
      <c r="Q67" s="38" t="s">
        <v>5504</v>
      </c>
      <c r="R67" s="38" t="s">
        <v>5507</v>
      </c>
      <c r="S67" s="36" t="s">
        <v>68</v>
      </c>
      <c r="T67" s="36" t="s">
        <v>68</v>
      </c>
      <c r="U67" s="39" t="s">
        <v>68</v>
      </c>
      <c r="V67" s="39" t="s">
        <v>68</v>
      </c>
      <c r="W67" s="40" t="s">
        <v>68</v>
      </c>
      <c r="X67" s="36" t="s">
        <v>68</v>
      </c>
      <c r="Y67" s="36" t="s">
        <v>68</v>
      </c>
      <c r="Z67" s="36" t="s">
        <v>68</v>
      </c>
      <c r="AA67" s="36" t="s">
        <v>68</v>
      </c>
      <c r="AB67" s="39" t="s">
        <v>68</v>
      </c>
      <c r="AC67" s="36" t="s">
        <v>68</v>
      </c>
      <c r="AD67" s="39" t="s">
        <v>68</v>
      </c>
      <c r="AE67" s="41"/>
      <c r="AF67" s="42" t="s">
        <v>68</v>
      </c>
      <c r="AG67" s="36" t="s">
        <v>68</v>
      </c>
      <c r="AH67" s="36" t="s">
        <v>68</v>
      </c>
      <c r="AI67" s="36" t="s">
        <v>68</v>
      </c>
      <c r="AJ67" s="36" t="s">
        <v>68</v>
      </c>
      <c r="AK67" s="36" t="s">
        <v>68</v>
      </c>
      <c r="AL67" s="36" t="s">
        <v>68</v>
      </c>
      <c r="AM67" s="36" t="s">
        <v>68</v>
      </c>
      <c r="AN67" s="36" t="s">
        <v>68</v>
      </c>
      <c r="AO67" s="43" t="s">
        <v>68</v>
      </c>
      <c r="AP67" s="36" t="s">
        <v>68</v>
      </c>
      <c r="AQ67" s="39" t="s">
        <v>68</v>
      </c>
      <c r="AR67" s="36" t="s">
        <v>68</v>
      </c>
      <c r="AS67" s="36" t="s">
        <v>68</v>
      </c>
      <c r="AT67" s="36" t="s">
        <v>68</v>
      </c>
      <c r="AU67" s="36" t="s">
        <v>68</v>
      </c>
      <c r="AV67" s="36" t="s">
        <v>68</v>
      </c>
      <c r="AW67" s="35"/>
      <c r="AX67" s="37"/>
      <c r="AY67" s="37" t="s">
        <v>68</v>
      </c>
      <c r="BA67" s="37"/>
      <c r="BB67" s="37"/>
      <c r="BC67" s="37"/>
      <c r="BD67" s="35"/>
      <c r="BE67" s="35" t="e">
        <v>#REF!</v>
      </c>
      <c r="BF67" s="35"/>
      <c r="BG67" s="44"/>
      <c r="BH67" s="38" t="s">
        <v>5508</v>
      </c>
      <c r="BI67" s="35" t="s">
        <v>68</v>
      </c>
    </row>
    <row r="68" spans="1:61" ht="76.5" x14ac:dyDescent="0.2">
      <c r="A68" s="45" t="s">
        <v>5509</v>
      </c>
      <c r="B68" s="46"/>
      <c r="C68" s="46" t="s">
        <v>5510</v>
      </c>
      <c r="D68" s="46" t="s">
        <v>5511</v>
      </c>
      <c r="E68" s="46" t="s">
        <v>68</v>
      </c>
      <c r="F68" s="46" t="s">
        <v>68</v>
      </c>
      <c r="G68" s="46" t="s">
        <v>68</v>
      </c>
      <c r="H68" s="46"/>
      <c r="I68" s="46" t="s">
        <v>68</v>
      </c>
      <c r="J68" s="46" t="s">
        <v>2996</v>
      </c>
      <c r="K68" s="47">
        <v>40</v>
      </c>
      <c r="L68" s="47">
        <v>10</v>
      </c>
      <c r="M68" s="47">
        <v>50</v>
      </c>
      <c r="N68" s="46"/>
      <c r="O68" s="71" t="s">
        <v>68</v>
      </c>
      <c r="P68" s="64"/>
      <c r="Q68" s="46" t="s">
        <v>5504</v>
      </c>
      <c r="R68" s="46" t="s">
        <v>5507</v>
      </c>
      <c r="S68" s="49">
        <v>12.5</v>
      </c>
      <c r="T68" s="49">
        <v>62.5</v>
      </c>
      <c r="U68" s="50">
        <v>0.06</v>
      </c>
      <c r="V68" s="67">
        <v>0.54</v>
      </c>
      <c r="W68" s="51">
        <v>0.25</v>
      </c>
      <c r="X68" s="52">
        <v>6.25</v>
      </c>
      <c r="Y68" s="52">
        <v>30</v>
      </c>
      <c r="Z68" s="52">
        <v>22.5</v>
      </c>
      <c r="AA68" s="52">
        <v>58.75</v>
      </c>
      <c r="AB68" s="53">
        <v>0.94</v>
      </c>
      <c r="AC68" s="75">
        <v>3.75</v>
      </c>
      <c r="AD68" s="55">
        <v>0.06</v>
      </c>
      <c r="AE68" s="73">
        <v>3</v>
      </c>
      <c r="AF68" s="57" t="s">
        <v>95</v>
      </c>
      <c r="AG68" s="58">
        <v>40</v>
      </c>
      <c r="AH68" s="58">
        <v>10</v>
      </c>
      <c r="AI68" s="58">
        <v>50</v>
      </c>
      <c r="AJ68" s="49">
        <v>12.5</v>
      </c>
      <c r="AK68" s="49">
        <v>62.5</v>
      </c>
      <c r="AL68" s="52">
        <v>6.25</v>
      </c>
      <c r="AM68" s="52">
        <v>22.5</v>
      </c>
      <c r="AN68" s="52">
        <v>28.75</v>
      </c>
      <c r="AO68" s="59">
        <v>0.46</v>
      </c>
      <c r="AP68" s="60">
        <v>33.75</v>
      </c>
      <c r="AQ68" s="61">
        <v>0.54</v>
      </c>
      <c r="AR68" s="60" t="s">
        <v>78</v>
      </c>
      <c r="AS68" s="62">
        <v>64</v>
      </c>
      <c r="AT68" s="62">
        <v>16</v>
      </c>
      <c r="AU68" s="62">
        <v>80</v>
      </c>
      <c r="AV68" s="62">
        <v>100</v>
      </c>
      <c r="AW68" s="47" t="s">
        <v>107</v>
      </c>
      <c r="AX68" s="64">
        <v>45068</v>
      </c>
      <c r="AY68" s="64" t="s">
        <v>5512</v>
      </c>
      <c r="BA68" s="64"/>
      <c r="BB68" s="64"/>
      <c r="BC68" s="64"/>
      <c r="BD68" s="46"/>
      <c r="BE68" s="46" t="e">
        <v>#REF!</v>
      </c>
      <c r="BF68" s="46" t="s">
        <v>75</v>
      </c>
      <c r="BG68" s="65">
        <v>1</v>
      </c>
      <c r="BH68" s="66" t="s">
        <v>5513</v>
      </c>
      <c r="BI68" s="63" t="s">
        <v>5514</v>
      </c>
    </row>
    <row r="69" spans="1:61" ht="76.5" x14ac:dyDescent="0.2">
      <c r="A69" s="45" t="s">
        <v>5515</v>
      </c>
      <c r="B69" s="46"/>
      <c r="C69" s="46" t="s">
        <v>5516</v>
      </c>
      <c r="D69" s="46" t="s">
        <v>5517</v>
      </c>
      <c r="E69" s="46" t="s">
        <v>68</v>
      </c>
      <c r="F69" s="46" t="s">
        <v>68</v>
      </c>
      <c r="G69" s="46" t="s">
        <v>68</v>
      </c>
      <c r="H69" s="46" t="s">
        <v>5518</v>
      </c>
      <c r="I69" s="46" t="s">
        <v>68</v>
      </c>
      <c r="J69" s="46" t="s">
        <v>71</v>
      </c>
      <c r="K69" s="47">
        <v>170</v>
      </c>
      <c r="L69" s="47">
        <f>12*3</f>
        <v>36</v>
      </c>
      <c r="M69" s="47">
        <v>206</v>
      </c>
      <c r="N69" s="46"/>
      <c r="O69" s="71" t="s">
        <v>68</v>
      </c>
      <c r="P69" s="64"/>
      <c r="Q69" s="46" t="s">
        <v>5504</v>
      </c>
      <c r="R69" s="46" t="s">
        <v>5507</v>
      </c>
      <c r="S69" s="49">
        <v>51.5</v>
      </c>
      <c r="T69" s="49">
        <v>257.5</v>
      </c>
      <c r="U69" s="67">
        <v>0.44368932038834952</v>
      </c>
      <c r="V69" s="67">
        <v>0.5601941747572815</v>
      </c>
      <c r="W69" s="51">
        <v>0.21176470588235294</v>
      </c>
      <c r="X69" s="52">
        <v>25.75</v>
      </c>
      <c r="Y69" s="52">
        <v>30</v>
      </c>
      <c r="Z69" s="52">
        <v>87.5</v>
      </c>
      <c r="AA69" s="52">
        <v>143.25</v>
      </c>
      <c r="AB69" s="53">
        <v>0.55631067961165048</v>
      </c>
      <c r="AC69" s="54">
        <v>114.25</v>
      </c>
      <c r="AD69" s="55">
        <v>0.44368932038834952</v>
      </c>
      <c r="AE69" s="73">
        <v>3</v>
      </c>
      <c r="AF69" s="57" t="s">
        <v>95</v>
      </c>
      <c r="AG69" s="58">
        <v>170</v>
      </c>
      <c r="AH69" s="58">
        <v>36</v>
      </c>
      <c r="AI69" s="58">
        <v>206</v>
      </c>
      <c r="AJ69" s="49">
        <v>51.5</v>
      </c>
      <c r="AK69" s="49">
        <v>257.5</v>
      </c>
      <c r="AL69" s="52">
        <v>25.75</v>
      </c>
      <c r="AM69" s="52">
        <v>87.5</v>
      </c>
      <c r="AN69" s="52">
        <v>113.25</v>
      </c>
      <c r="AO69" s="59">
        <v>0.43980582524271844</v>
      </c>
      <c r="AP69" s="60">
        <v>144.25</v>
      </c>
      <c r="AQ69" s="61">
        <v>0.5601941747572815</v>
      </c>
      <c r="AR69" s="60" t="s">
        <v>78</v>
      </c>
      <c r="AS69" s="62">
        <v>272</v>
      </c>
      <c r="AT69" s="62">
        <v>58</v>
      </c>
      <c r="AU69" s="62">
        <v>330</v>
      </c>
      <c r="AV69" s="62">
        <v>412.5</v>
      </c>
      <c r="AW69" s="47" t="s">
        <v>74</v>
      </c>
      <c r="AX69" s="64">
        <v>45068</v>
      </c>
      <c r="AY69" s="64" t="s">
        <v>5519</v>
      </c>
      <c r="BA69" s="64"/>
      <c r="BB69" s="64"/>
      <c r="BC69" s="64"/>
      <c r="BD69" s="70" t="s">
        <v>5520</v>
      </c>
      <c r="BE69" s="46" t="e">
        <v>#REF!</v>
      </c>
      <c r="BF69" s="46" t="s">
        <v>79</v>
      </c>
      <c r="BG69" s="65">
        <v>0.75</v>
      </c>
      <c r="BH69" s="66" t="s">
        <v>5521</v>
      </c>
      <c r="BI69" s="63" t="s">
        <v>5522</v>
      </c>
    </row>
    <row r="70" spans="1:61" ht="76.5" x14ac:dyDescent="0.2">
      <c r="A70" s="45" t="s">
        <v>5523</v>
      </c>
      <c r="B70" s="46"/>
      <c r="C70" s="46" t="s">
        <v>5516</v>
      </c>
      <c r="D70" s="46" t="s">
        <v>5517</v>
      </c>
      <c r="E70" s="46" t="s">
        <v>68</v>
      </c>
      <c r="F70" s="46" t="s">
        <v>68</v>
      </c>
      <c r="G70" s="46" t="s">
        <v>68</v>
      </c>
      <c r="H70" s="46" t="s">
        <v>5524</v>
      </c>
      <c r="I70" s="46" t="s">
        <v>68</v>
      </c>
      <c r="J70" s="46" t="s">
        <v>71</v>
      </c>
      <c r="K70" s="47">
        <f t="shared" ref="K70:L70" si="0">K69*1.5</f>
        <v>255</v>
      </c>
      <c r="L70" s="47">
        <f t="shared" si="0"/>
        <v>54</v>
      </c>
      <c r="M70" s="47">
        <v>309</v>
      </c>
      <c r="N70" s="46"/>
      <c r="O70" s="71" t="s">
        <v>68</v>
      </c>
      <c r="P70" s="64"/>
      <c r="Q70" s="46" t="s">
        <v>5504</v>
      </c>
      <c r="R70" s="46" t="s">
        <v>5507</v>
      </c>
      <c r="S70" s="49">
        <v>77.25</v>
      </c>
      <c r="T70" s="49">
        <v>386.25</v>
      </c>
      <c r="U70" s="67">
        <v>0.48252427184466018</v>
      </c>
      <c r="V70" s="67">
        <v>0.5601941747572815</v>
      </c>
      <c r="W70" s="51">
        <v>0.21176470588235294</v>
      </c>
      <c r="X70" s="52">
        <v>38.625</v>
      </c>
      <c r="Y70" s="52">
        <v>30</v>
      </c>
      <c r="Z70" s="52">
        <v>131.25</v>
      </c>
      <c r="AA70" s="52">
        <v>199.875</v>
      </c>
      <c r="AB70" s="53">
        <v>0.51747572815533982</v>
      </c>
      <c r="AC70" s="72">
        <v>186.375</v>
      </c>
      <c r="AD70" s="55">
        <v>0.48252427184466018</v>
      </c>
      <c r="AE70" s="73">
        <v>3</v>
      </c>
      <c r="AF70" s="57" t="s">
        <v>95</v>
      </c>
      <c r="AG70" s="58">
        <v>255</v>
      </c>
      <c r="AH70" s="58">
        <v>54</v>
      </c>
      <c r="AI70" s="58">
        <v>309</v>
      </c>
      <c r="AJ70" s="49">
        <v>77.25</v>
      </c>
      <c r="AK70" s="49">
        <v>386.25</v>
      </c>
      <c r="AL70" s="52">
        <v>38.625</v>
      </c>
      <c r="AM70" s="52">
        <v>131.25</v>
      </c>
      <c r="AN70" s="52">
        <v>169.875</v>
      </c>
      <c r="AO70" s="59">
        <v>0.43980582524271844</v>
      </c>
      <c r="AP70" s="60">
        <v>216.375</v>
      </c>
      <c r="AQ70" s="61">
        <v>0.5601941747572815</v>
      </c>
      <c r="AR70" s="60" t="s">
        <v>78</v>
      </c>
      <c r="AS70" s="62">
        <v>408</v>
      </c>
      <c r="AT70" s="62">
        <v>87</v>
      </c>
      <c r="AU70" s="62">
        <v>495</v>
      </c>
      <c r="AV70" s="62">
        <v>618.75</v>
      </c>
      <c r="AW70" s="47" t="s">
        <v>74</v>
      </c>
      <c r="AX70" s="64">
        <v>45068</v>
      </c>
      <c r="AY70" s="64" t="s">
        <v>5525</v>
      </c>
      <c r="BA70" s="64"/>
      <c r="BB70" s="64"/>
      <c r="BC70" s="64"/>
      <c r="BD70" s="70" t="s">
        <v>5520</v>
      </c>
      <c r="BE70" s="46" t="e">
        <v>#REF!</v>
      </c>
      <c r="BF70" s="46" t="s">
        <v>79</v>
      </c>
      <c r="BG70" s="65">
        <v>1</v>
      </c>
      <c r="BH70" s="66"/>
      <c r="BI70" s="63" t="s">
        <v>5526</v>
      </c>
    </row>
    <row r="71" spans="1:61" ht="76.5" x14ac:dyDescent="0.2">
      <c r="A71" s="45" t="s">
        <v>5527</v>
      </c>
      <c r="B71" s="46"/>
      <c r="C71" s="46" t="s">
        <v>5516</v>
      </c>
      <c r="D71" s="46" t="s">
        <v>5517</v>
      </c>
      <c r="E71" s="46" t="s">
        <v>68</v>
      </c>
      <c r="F71" s="46" t="s">
        <v>68</v>
      </c>
      <c r="G71" s="46" t="s">
        <v>68</v>
      </c>
      <c r="H71" s="46" t="s">
        <v>5528</v>
      </c>
      <c r="I71" s="46" t="s">
        <v>68</v>
      </c>
      <c r="J71" s="46" t="s">
        <v>71</v>
      </c>
      <c r="K71" s="47">
        <f t="shared" ref="K71:L71" si="1">K69*2</f>
        <v>340</v>
      </c>
      <c r="L71" s="47">
        <f t="shared" si="1"/>
        <v>72</v>
      </c>
      <c r="M71" s="47">
        <v>412</v>
      </c>
      <c r="N71" s="46"/>
      <c r="O71" s="71" t="s">
        <v>68</v>
      </c>
      <c r="P71" s="64"/>
      <c r="Q71" s="46" t="s">
        <v>5504</v>
      </c>
      <c r="R71" s="46" t="s">
        <v>5507</v>
      </c>
      <c r="S71" s="49">
        <v>103</v>
      </c>
      <c r="T71" s="49">
        <v>515</v>
      </c>
      <c r="U71" s="67">
        <v>0.50194174757281551</v>
      </c>
      <c r="V71" s="67">
        <v>0.5601941747572815</v>
      </c>
      <c r="W71" s="51">
        <v>0.21176470588235294</v>
      </c>
      <c r="X71" s="52">
        <v>51.5</v>
      </c>
      <c r="Y71" s="52">
        <v>30</v>
      </c>
      <c r="Z71" s="52">
        <v>175</v>
      </c>
      <c r="AA71" s="52">
        <v>256.5</v>
      </c>
      <c r="AB71" s="53">
        <v>0.49805825242718449</v>
      </c>
      <c r="AC71" s="72">
        <v>258.5</v>
      </c>
      <c r="AD71" s="55">
        <v>0.50194174757281551</v>
      </c>
      <c r="AE71" s="73">
        <v>3</v>
      </c>
      <c r="AF71" s="57" t="s">
        <v>95</v>
      </c>
      <c r="AG71" s="58">
        <v>340</v>
      </c>
      <c r="AH71" s="58">
        <v>72</v>
      </c>
      <c r="AI71" s="58">
        <v>412</v>
      </c>
      <c r="AJ71" s="49">
        <v>103</v>
      </c>
      <c r="AK71" s="49">
        <v>515</v>
      </c>
      <c r="AL71" s="52">
        <v>51.5</v>
      </c>
      <c r="AM71" s="52">
        <v>175</v>
      </c>
      <c r="AN71" s="52">
        <v>226.5</v>
      </c>
      <c r="AO71" s="59">
        <v>0.43980582524271844</v>
      </c>
      <c r="AP71" s="60">
        <v>288.5</v>
      </c>
      <c r="AQ71" s="61">
        <v>0.5601941747572815</v>
      </c>
      <c r="AR71" s="60" t="s">
        <v>78</v>
      </c>
      <c r="AS71" s="62">
        <v>544</v>
      </c>
      <c r="AT71" s="62">
        <v>116</v>
      </c>
      <c r="AU71" s="62">
        <v>660</v>
      </c>
      <c r="AV71" s="62">
        <v>825</v>
      </c>
      <c r="AW71" s="47" t="s">
        <v>74</v>
      </c>
      <c r="AX71" s="64">
        <v>45068</v>
      </c>
      <c r="AY71" s="64" t="s">
        <v>5529</v>
      </c>
      <c r="BA71" s="64"/>
      <c r="BB71" s="64"/>
      <c r="BC71" s="64"/>
      <c r="BD71" s="70" t="s">
        <v>5520</v>
      </c>
      <c r="BE71" s="46" t="e">
        <v>#REF!</v>
      </c>
      <c r="BF71" s="46" t="s">
        <v>79</v>
      </c>
      <c r="BG71" s="65">
        <v>1.25</v>
      </c>
      <c r="BH71" s="66"/>
      <c r="BI71" s="63" t="s">
        <v>5530</v>
      </c>
    </row>
    <row r="72" spans="1:61" ht="76.5" x14ac:dyDescent="0.2">
      <c r="A72" s="45" t="s">
        <v>5531</v>
      </c>
      <c r="B72" s="46"/>
      <c r="C72" s="46" t="s">
        <v>5516</v>
      </c>
      <c r="D72" s="46" t="s">
        <v>5517</v>
      </c>
      <c r="E72" s="46" t="s">
        <v>68</v>
      </c>
      <c r="F72" s="46" t="s">
        <v>68</v>
      </c>
      <c r="G72" s="46" t="s">
        <v>68</v>
      </c>
      <c r="H72" s="46" t="s">
        <v>5532</v>
      </c>
      <c r="I72" s="46" t="s">
        <v>68</v>
      </c>
      <c r="J72" s="46" t="s">
        <v>71</v>
      </c>
      <c r="K72" s="47">
        <v>425</v>
      </c>
      <c r="L72" s="47">
        <f>L69*2.5</f>
        <v>90</v>
      </c>
      <c r="M72" s="47">
        <v>515</v>
      </c>
      <c r="N72" s="46"/>
      <c r="O72" s="71" t="s">
        <v>68</v>
      </c>
      <c r="P72" s="64"/>
      <c r="Q72" s="46" t="s">
        <v>5504</v>
      </c>
      <c r="R72" s="46" t="s">
        <v>5507</v>
      </c>
      <c r="S72" s="49">
        <v>128.75</v>
      </c>
      <c r="T72" s="49">
        <v>643.75</v>
      </c>
      <c r="U72" s="67">
        <v>0.51359223300970869</v>
      </c>
      <c r="V72" s="67">
        <v>0.5601941747572815</v>
      </c>
      <c r="W72" s="51">
        <v>0.21176470588235294</v>
      </c>
      <c r="X72" s="52">
        <v>64.375</v>
      </c>
      <c r="Y72" s="52">
        <v>30</v>
      </c>
      <c r="Z72" s="52">
        <v>218.75</v>
      </c>
      <c r="AA72" s="52">
        <v>313.125</v>
      </c>
      <c r="AB72" s="53">
        <v>0.48640776699029126</v>
      </c>
      <c r="AC72" s="72">
        <v>330.625</v>
      </c>
      <c r="AD72" s="55">
        <v>0.51359223300970869</v>
      </c>
      <c r="AE72" s="73">
        <v>3</v>
      </c>
      <c r="AF72" s="57" t="s">
        <v>95</v>
      </c>
      <c r="AG72" s="58">
        <v>425</v>
      </c>
      <c r="AH72" s="58">
        <v>90</v>
      </c>
      <c r="AI72" s="58">
        <v>515</v>
      </c>
      <c r="AJ72" s="49">
        <v>128.75</v>
      </c>
      <c r="AK72" s="49">
        <v>643.75</v>
      </c>
      <c r="AL72" s="52">
        <v>64.375</v>
      </c>
      <c r="AM72" s="52">
        <v>218.75</v>
      </c>
      <c r="AN72" s="52">
        <v>283.125</v>
      </c>
      <c r="AO72" s="59">
        <v>0.43980582524271844</v>
      </c>
      <c r="AP72" s="60">
        <v>360.625</v>
      </c>
      <c r="AQ72" s="61">
        <v>0.5601941747572815</v>
      </c>
      <c r="AR72" s="60" t="s">
        <v>78</v>
      </c>
      <c r="AS72" s="62">
        <v>680</v>
      </c>
      <c r="AT72" s="62">
        <v>144</v>
      </c>
      <c r="AU72" s="62">
        <v>824</v>
      </c>
      <c r="AV72" s="62">
        <v>1030</v>
      </c>
      <c r="AW72" s="47" t="s">
        <v>74</v>
      </c>
      <c r="AX72" s="64">
        <v>45068</v>
      </c>
      <c r="AY72" s="64" t="s">
        <v>5533</v>
      </c>
      <c r="BA72" s="64"/>
      <c r="BB72" s="64"/>
      <c r="BC72" s="64"/>
      <c r="BD72" s="70" t="s">
        <v>5520</v>
      </c>
      <c r="BE72" s="46" t="e">
        <v>#REF!</v>
      </c>
      <c r="BF72" s="46" t="s">
        <v>79</v>
      </c>
      <c r="BG72" s="65">
        <v>1.5</v>
      </c>
      <c r="BH72" s="66"/>
      <c r="BI72" s="63" t="s">
        <v>5534</v>
      </c>
    </row>
    <row r="73" spans="1:61" ht="76.5" x14ac:dyDescent="0.2">
      <c r="A73" s="45" t="s">
        <v>5535</v>
      </c>
      <c r="B73" s="46"/>
      <c r="C73" s="46" t="s">
        <v>5516</v>
      </c>
      <c r="D73" s="46" t="s">
        <v>5517</v>
      </c>
      <c r="E73" s="46" t="s">
        <v>68</v>
      </c>
      <c r="F73" s="46" t="s">
        <v>68</v>
      </c>
      <c r="G73" s="46" t="s">
        <v>68</v>
      </c>
      <c r="H73" s="46" t="s">
        <v>5536</v>
      </c>
      <c r="I73" s="46" t="s">
        <v>68</v>
      </c>
      <c r="J73" s="46" t="s">
        <v>71</v>
      </c>
      <c r="K73" s="47">
        <v>510</v>
      </c>
      <c r="L73" s="47">
        <f>L69*3</f>
        <v>108</v>
      </c>
      <c r="M73" s="47">
        <v>618</v>
      </c>
      <c r="N73" s="46"/>
      <c r="O73" s="71" t="s">
        <v>68</v>
      </c>
      <c r="P73" s="64"/>
      <c r="Q73" s="46" t="s">
        <v>5504</v>
      </c>
      <c r="R73" s="46" t="s">
        <v>5507</v>
      </c>
      <c r="S73" s="49">
        <v>154.5</v>
      </c>
      <c r="T73" s="49">
        <v>772.5</v>
      </c>
      <c r="U73" s="67">
        <v>0.52135922330097084</v>
      </c>
      <c r="V73" s="67">
        <v>0.5601941747572815</v>
      </c>
      <c r="W73" s="51">
        <v>0.21176470588235294</v>
      </c>
      <c r="X73" s="52">
        <v>77.25</v>
      </c>
      <c r="Y73" s="52">
        <v>30</v>
      </c>
      <c r="Z73" s="52">
        <v>262.5</v>
      </c>
      <c r="AA73" s="52">
        <v>369.75</v>
      </c>
      <c r="AB73" s="53">
        <v>0.4786407766990291</v>
      </c>
      <c r="AC73" s="72">
        <v>402.75</v>
      </c>
      <c r="AD73" s="55">
        <v>0.52135922330097084</v>
      </c>
      <c r="AE73" s="73">
        <v>3</v>
      </c>
      <c r="AF73" s="57" t="s">
        <v>95</v>
      </c>
      <c r="AG73" s="58">
        <v>510</v>
      </c>
      <c r="AH73" s="58">
        <v>108</v>
      </c>
      <c r="AI73" s="58">
        <v>618</v>
      </c>
      <c r="AJ73" s="49">
        <v>154.5</v>
      </c>
      <c r="AK73" s="49">
        <v>772.5</v>
      </c>
      <c r="AL73" s="52">
        <v>77.25</v>
      </c>
      <c r="AM73" s="52">
        <v>262.5</v>
      </c>
      <c r="AN73" s="52">
        <v>339.75</v>
      </c>
      <c r="AO73" s="59">
        <v>0.43980582524271844</v>
      </c>
      <c r="AP73" s="60">
        <v>432.75</v>
      </c>
      <c r="AQ73" s="61">
        <v>0.5601941747572815</v>
      </c>
      <c r="AR73" s="60" t="s">
        <v>78</v>
      </c>
      <c r="AS73" s="62">
        <v>816</v>
      </c>
      <c r="AT73" s="62">
        <v>173</v>
      </c>
      <c r="AU73" s="62">
        <v>989</v>
      </c>
      <c r="AV73" s="62">
        <v>1236.25</v>
      </c>
      <c r="AW73" s="47" t="s">
        <v>74</v>
      </c>
      <c r="AX73" s="64">
        <v>45068</v>
      </c>
      <c r="AY73" s="64" t="s">
        <v>5537</v>
      </c>
      <c r="BA73" s="64"/>
      <c r="BB73" s="64"/>
      <c r="BC73" s="64"/>
      <c r="BD73" s="70" t="s">
        <v>5520</v>
      </c>
      <c r="BE73" s="46" t="e">
        <v>#REF!</v>
      </c>
      <c r="BF73" s="46" t="s">
        <v>79</v>
      </c>
      <c r="BG73" s="65">
        <v>2.75</v>
      </c>
      <c r="BH73" s="66"/>
      <c r="BI73" s="63" t="s">
        <v>5538</v>
      </c>
    </row>
    <row r="74" spans="1:61" ht="76.5" x14ac:dyDescent="0.2">
      <c r="A74" s="45" t="s">
        <v>5539</v>
      </c>
      <c r="B74" s="46"/>
      <c r="C74" s="46" t="s">
        <v>5516</v>
      </c>
      <c r="D74" s="46" t="s">
        <v>5517</v>
      </c>
      <c r="E74" s="46" t="s">
        <v>68</v>
      </c>
      <c r="F74" s="46" t="s">
        <v>68</v>
      </c>
      <c r="G74" s="46" t="s">
        <v>68</v>
      </c>
      <c r="H74" s="46" t="s">
        <v>5540</v>
      </c>
      <c r="I74" s="46" t="s">
        <v>68</v>
      </c>
      <c r="J74" s="46" t="s">
        <v>71</v>
      </c>
      <c r="K74" s="47">
        <v>595</v>
      </c>
      <c r="L74" s="47">
        <f>L69*3.5</f>
        <v>126</v>
      </c>
      <c r="M74" s="47">
        <v>721</v>
      </c>
      <c r="N74" s="46"/>
      <c r="O74" s="71" t="s">
        <v>68</v>
      </c>
      <c r="P74" s="64"/>
      <c r="Q74" s="46" t="s">
        <v>5504</v>
      </c>
      <c r="R74" s="46" t="s">
        <v>5507</v>
      </c>
      <c r="S74" s="49">
        <v>180.25</v>
      </c>
      <c r="T74" s="49">
        <v>901.25</v>
      </c>
      <c r="U74" s="67">
        <v>0.52690707350901522</v>
      </c>
      <c r="V74" s="67">
        <v>0.5601941747572815</v>
      </c>
      <c r="W74" s="51">
        <v>0.21176470588235294</v>
      </c>
      <c r="X74" s="52">
        <v>90.125</v>
      </c>
      <c r="Y74" s="52">
        <v>30</v>
      </c>
      <c r="Z74" s="52">
        <v>306.25</v>
      </c>
      <c r="AA74" s="52">
        <v>426.375</v>
      </c>
      <c r="AB74" s="53">
        <v>0.47309292649098472</v>
      </c>
      <c r="AC74" s="72">
        <v>474.875</v>
      </c>
      <c r="AD74" s="55">
        <v>0.52690707350901522</v>
      </c>
      <c r="AE74" s="73">
        <v>3</v>
      </c>
      <c r="AF74" s="57" t="s">
        <v>95</v>
      </c>
      <c r="AG74" s="58">
        <v>595</v>
      </c>
      <c r="AH74" s="58">
        <v>126</v>
      </c>
      <c r="AI74" s="58">
        <v>721</v>
      </c>
      <c r="AJ74" s="49">
        <v>180.25</v>
      </c>
      <c r="AK74" s="49">
        <v>901.25</v>
      </c>
      <c r="AL74" s="52">
        <v>90.125</v>
      </c>
      <c r="AM74" s="52">
        <v>306.25</v>
      </c>
      <c r="AN74" s="52">
        <v>396.375</v>
      </c>
      <c r="AO74" s="59">
        <v>0.43980582524271844</v>
      </c>
      <c r="AP74" s="60">
        <v>504.875</v>
      </c>
      <c r="AQ74" s="61">
        <v>0.5601941747572815</v>
      </c>
      <c r="AR74" s="60" t="s">
        <v>78</v>
      </c>
      <c r="AS74" s="62">
        <v>952</v>
      </c>
      <c r="AT74" s="62">
        <v>202</v>
      </c>
      <c r="AU74" s="62">
        <v>1154</v>
      </c>
      <c r="AV74" s="62">
        <v>1442.5</v>
      </c>
      <c r="AW74" s="47" t="s">
        <v>74</v>
      </c>
      <c r="AX74" s="64">
        <v>45068</v>
      </c>
      <c r="AY74" s="64" t="s">
        <v>5541</v>
      </c>
      <c r="BA74" s="64"/>
      <c r="BB74" s="64"/>
      <c r="BC74" s="64"/>
      <c r="BD74" s="70" t="s">
        <v>5520</v>
      </c>
      <c r="BE74" s="46" t="e">
        <v>#REF!</v>
      </c>
      <c r="BF74" s="46" t="s">
        <v>79</v>
      </c>
      <c r="BG74" s="65">
        <v>3</v>
      </c>
      <c r="BH74" s="66"/>
      <c r="BI74" s="63" t="s">
        <v>5542</v>
      </c>
    </row>
    <row r="75" spans="1:61" ht="63.75" x14ac:dyDescent="0.2">
      <c r="A75" s="45" t="s">
        <v>5543</v>
      </c>
      <c r="B75" s="46"/>
      <c r="C75" s="46" t="s">
        <v>5516</v>
      </c>
      <c r="D75" s="46" t="s">
        <v>5517</v>
      </c>
      <c r="E75" s="46" t="s">
        <v>68</v>
      </c>
      <c r="F75" s="46" t="s">
        <v>68</v>
      </c>
      <c r="G75" s="46" t="s">
        <v>68</v>
      </c>
      <c r="H75" s="46"/>
      <c r="I75" s="46" t="s">
        <v>68</v>
      </c>
      <c r="J75" s="46" t="s">
        <v>2996</v>
      </c>
      <c r="K75" s="47">
        <f>ROUNDUP(K69/10,0)</f>
        <v>17</v>
      </c>
      <c r="L75" s="47">
        <f>ROUNDUP(L69/10,0)</f>
        <v>4</v>
      </c>
      <c r="M75" s="47">
        <v>21</v>
      </c>
      <c r="N75" s="46"/>
      <c r="O75" s="71" t="s">
        <v>68</v>
      </c>
      <c r="P75" s="64"/>
      <c r="Q75" s="46" t="s">
        <v>5504</v>
      </c>
      <c r="R75" s="46" t="s">
        <v>5507</v>
      </c>
      <c r="S75" s="49">
        <v>5.25</v>
      </c>
      <c r="T75" s="49">
        <v>26.25</v>
      </c>
      <c r="U75" s="67">
        <v>0.40476190476190477</v>
      </c>
      <c r="V75" s="67">
        <v>0.54761904761904767</v>
      </c>
      <c r="W75" s="51">
        <v>0.23529411764705882</v>
      </c>
      <c r="X75" s="52">
        <v>2.625</v>
      </c>
      <c r="Y75" s="52">
        <v>30</v>
      </c>
      <c r="Z75" s="52">
        <v>9.25</v>
      </c>
      <c r="AA75" s="52">
        <v>41.875</v>
      </c>
      <c r="AB75" s="53">
        <v>1.5952380952380953</v>
      </c>
      <c r="AC75" s="75">
        <v>10.625</v>
      </c>
      <c r="AD75" s="55">
        <v>0.40476190476190477</v>
      </c>
      <c r="AE75" s="73">
        <v>3</v>
      </c>
      <c r="AF75" s="57" t="s">
        <v>95</v>
      </c>
      <c r="AG75" s="58">
        <v>17</v>
      </c>
      <c r="AH75" s="58">
        <v>4</v>
      </c>
      <c r="AI75" s="58">
        <v>21</v>
      </c>
      <c r="AJ75" s="49">
        <v>5.25</v>
      </c>
      <c r="AK75" s="49">
        <v>26.25</v>
      </c>
      <c r="AL75" s="52">
        <v>2.625</v>
      </c>
      <c r="AM75" s="52">
        <v>9.25</v>
      </c>
      <c r="AN75" s="52">
        <v>11.875</v>
      </c>
      <c r="AO75" s="59">
        <v>0.45238095238095238</v>
      </c>
      <c r="AP75" s="60">
        <v>14.375</v>
      </c>
      <c r="AQ75" s="61">
        <v>0.54761904761904767</v>
      </c>
      <c r="AR75" s="60" t="s">
        <v>78</v>
      </c>
      <c r="AS75" s="62">
        <v>28</v>
      </c>
      <c r="AT75" s="62">
        <v>7</v>
      </c>
      <c r="AU75" s="62">
        <v>35</v>
      </c>
      <c r="AV75" s="62">
        <v>43.75</v>
      </c>
      <c r="AW75" s="47" t="s">
        <v>74</v>
      </c>
      <c r="AX75" s="64">
        <v>45068</v>
      </c>
      <c r="AY75" s="64" t="s">
        <v>5544</v>
      </c>
      <c r="BA75" s="64"/>
      <c r="BB75" s="64"/>
      <c r="BC75" s="64"/>
      <c r="BD75" s="70" t="s">
        <v>5520</v>
      </c>
      <c r="BE75" s="46" t="e">
        <v>#REF!</v>
      </c>
      <c r="BF75" s="46" t="s">
        <v>79</v>
      </c>
      <c r="BG75" s="65">
        <v>0.5</v>
      </c>
      <c r="BH75" s="66"/>
      <c r="BI75" s="63" t="s">
        <v>5545</v>
      </c>
    </row>
    <row r="76" spans="1:61" ht="76.5" x14ac:dyDescent="0.2">
      <c r="A76" s="45" t="s">
        <v>5546</v>
      </c>
      <c r="B76" s="46"/>
      <c r="C76" s="46" t="s">
        <v>5516</v>
      </c>
      <c r="D76" s="46" t="s">
        <v>5547</v>
      </c>
      <c r="E76" s="46" t="s">
        <v>68</v>
      </c>
      <c r="F76" s="46" t="s">
        <v>68</v>
      </c>
      <c r="G76" s="46" t="s">
        <v>68</v>
      </c>
      <c r="H76" s="46" t="s">
        <v>5518</v>
      </c>
      <c r="I76" s="46" t="s">
        <v>68</v>
      </c>
      <c r="J76" s="46" t="s">
        <v>71</v>
      </c>
      <c r="K76" s="47">
        <v>180</v>
      </c>
      <c r="L76" s="47">
        <v>80</v>
      </c>
      <c r="M76" s="47">
        <v>260</v>
      </c>
      <c r="N76" s="46"/>
      <c r="O76" s="71" t="s">
        <v>68</v>
      </c>
      <c r="P76" s="64"/>
      <c r="Q76" s="46" t="s">
        <v>5504</v>
      </c>
      <c r="R76" s="46" t="s">
        <v>5507</v>
      </c>
      <c r="S76" s="49">
        <v>65</v>
      </c>
      <c r="T76" s="49">
        <v>325</v>
      </c>
      <c r="U76" s="67">
        <v>0.36153846153846153</v>
      </c>
      <c r="V76" s="67">
        <v>0.45384615384615384</v>
      </c>
      <c r="W76" s="51">
        <v>0.44444444444444442</v>
      </c>
      <c r="X76" s="52">
        <v>32.5</v>
      </c>
      <c r="Y76" s="52">
        <v>30</v>
      </c>
      <c r="Z76" s="52">
        <v>145</v>
      </c>
      <c r="AA76" s="52">
        <v>207.5</v>
      </c>
      <c r="AB76" s="53">
        <v>0.63846153846153841</v>
      </c>
      <c r="AC76" s="54">
        <v>117.5</v>
      </c>
      <c r="AD76" s="55">
        <v>0.36153846153846153</v>
      </c>
      <c r="AE76" s="73">
        <v>3</v>
      </c>
      <c r="AF76" s="57" t="s">
        <v>95</v>
      </c>
      <c r="AG76" s="58">
        <v>180</v>
      </c>
      <c r="AH76" s="58">
        <v>80</v>
      </c>
      <c r="AI76" s="58">
        <v>260</v>
      </c>
      <c r="AJ76" s="49">
        <v>65</v>
      </c>
      <c r="AK76" s="49">
        <v>325</v>
      </c>
      <c r="AL76" s="52">
        <v>32.5</v>
      </c>
      <c r="AM76" s="52">
        <v>145</v>
      </c>
      <c r="AN76" s="52">
        <v>177.5</v>
      </c>
      <c r="AO76" s="59">
        <v>0.5461538461538461</v>
      </c>
      <c r="AP76" s="60">
        <v>147.5</v>
      </c>
      <c r="AQ76" s="61">
        <v>0.45384615384615384</v>
      </c>
      <c r="AR76" s="60" t="s">
        <v>78</v>
      </c>
      <c r="AS76" s="62">
        <v>288</v>
      </c>
      <c r="AT76" s="62">
        <v>128</v>
      </c>
      <c r="AU76" s="62">
        <v>416</v>
      </c>
      <c r="AV76" s="62">
        <v>520</v>
      </c>
      <c r="AW76" s="47" t="s">
        <v>74</v>
      </c>
      <c r="AX76" s="64">
        <v>45068</v>
      </c>
      <c r="AY76" s="64" t="s">
        <v>5548</v>
      </c>
      <c r="BA76" s="64"/>
      <c r="BB76" s="64"/>
      <c r="BC76" s="64"/>
      <c r="BD76" s="70" t="s">
        <v>5549</v>
      </c>
      <c r="BE76" s="46" t="e">
        <v>#REF!</v>
      </c>
      <c r="BF76" s="46" t="s">
        <v>75</v>
      </c>
      <c r="BG76" s="65">
        <v>1</v>
      </c>
      <c r="BH76" s="66"/>
      <c r="BI76" s="63" t="s">
        <v>5550</v>
      </c>
    </row>
    <row r="77" spans="1:61" ht="76.5" x14ac:dyDescent="0.2">
      <c r="A77" s="45" t="s">
        <v>5551</v>
      </c>
      <c r="B77" s="46"/>
      <c r="C77" s="46" t="s">
        <v>5516</v>
      </c>
      <c r="D77" s="46" t="s">
        <v>5547</v>
      </c>
      <c r="E77" s="46" t="s">
        <v>68</v>
      </c>
      <c r="F77" s="46" t="s">
        <v>68</v>
      </c>
      <c r="G77" s="46" t="s">
        <v>68</v>
      </c>
      <c r="H77" s="46" t="s">
        <v>5528</v>
      </c>
      <c r="I77" s="46" t="s">
        <v>68</v>
      </c>
      <c r="J77" s="46" t="s">
        <v>71</v>
      </c>
      <c r="K77" s="47">
        <v>230</v>
      </c>
      <c r="L77" s="47">
        <v>160</v>
      </c>
      <c r="M77" s="47">
        <v>390</v>
      </c>
      <c r="N77" s="46"/>
      <c r="O77" s="71" t="s">
        <v>68</v>
      </c>
      <c r="P77" s="64"/>
      <c r="Q77" s="46" t="s">
        <v>5504</v>
      </c>
      <c r="R77" s="46" t="s">
        <v>5507</v>
      </c>
      <c r="S77" s="49">
        <v>97.5</v>
      </c>
      <c r="T77" s="49">
        <v>487.5</v>
      </c>
      <c r="U77" s="67">
        <v>0.31025641025641026</v>
      </c>
      <c r="V77" s="67">
        <v>0.37179487179487181</v>
      </c>
      <c r="W77" s="51">
        <v>0.69565217391304346</v>
      </c>
      <c r="X77" s="52">
        <v>48.75</v>
      </c>
      <c r="Y77" s="52">
        <v>30</v>
      </c>
      <c r="Z77" s="52">
        <v>257.5</v>
      </c>
      <c r="AA77" s="52">
        <v>336.25</v>
      </c>
      <c r="AB77" s="53">
        <v>0.68974358974358974</v>
      </c>
      <c r="AC77" s="72">
        <v>151.25</v>
      </c>
      <c r="AD77" s="55">
        <v>0.31025641025641026</v>
      </c>
      <c r="AE77" s="73">
        <v>3</v>
      </c>
      <c r="AF77" s="57" t="s">
        <v>95</v>
      </c>
      <c r="AG77" s="58">
        <v>230</v>
      </c>
      <c r="AH77" s="58">
        <v>160</v>
      </c>
      <c r="AI77" s="58">
        <v>390</v>
      </c>
      <c r="AJ77" s="49">
        <v>97.5</v>
      </c>
      <c r="AK77" s="49">
        <v>487.5</v>
      </c>
      <c r="AL77" s="52">
        <v>48.75</v>
      </c>
      <c r="AM77" s="52">
        <v>257.5</v>
      </c>
      <c r="AN77" s="52">
        <v>306.25</v>
      </c>
      <c r="AO77" s="59">
        <v>0.62820512820512819</v>
      </c>
      <c r="AP77" s="60">
        <v>181.25</v>
      </c>
      <c r="AQ77" s="61">
        <v>0.37179487179487181</v>
      </c>
      <c r="AR77" s="60" t="s">
        <v>78</v>
      </c>
      <c r="AS77" s="62">
        <v>368</v>
      </c>
      <c r="AT77" s="62">
        <v>256</v>
      </c>
      <c r="AU77" s="62">
        <v>624</v>
      </c>
      <c r="AV77" s="62">
        <v>780</v>
      </c>
      <c r="AW77" s="47" t="s">
        <v>74</v>
      </c>
      <c r="AX77" s="64">
        <v>45068</v>
      </c>
      <c r="AY77" s="64" t="s">
        <v>5552</v>
      </c>
      <c r="BA77" s="64"/>
      <c r="BB77" s="64"/>
      <c r="BC77" s="64"/>
      <c r="BD77" s="70" t="s">
        <v>5549</v>
      </c>
      <c r="BE77" s="46" t="e">
        <v>#REF!</v>
      </c>
      <c r="BF77" s="46" t="s">
        <v>75</v>
      </c>
      <c r="BG77" s="65">
        <v>2</v>
      </c>
      <c r="BH77" s="66"/>
      <c r="BI77" s="63" t="s">
        <v>5553</v>
      </c>
    </row>
    <row r="78" spans="1:61" ht="178.5" x14ac:dyDescent="0.2">
      <c r="A78" s="45" t="s">
        <v>5554</v>
      </c>
      <c r="B78" s="46"/>
      <c r="C78" s="46" t="s">
        <v>5555</v>
      </c>
      <c r="D78" s="46" t="s">
        <v>727</v>
      </c>
      <c r="E78" s="46" t="s">
        <v>454</v>
      </c>
      <c r="F78" s="46" t="s">
        <v>5556</v>
      </c>
      <c r="G78" s="46"/>
      <c r="H78" s="46"/>
      <c r="I78" s="46"/>
      <c r="J78" s="46" t="s">
        <v>2996</v>
      </c>
      <c r="K78" s="47">
        <v>30</v>
      </c>
      <c r="L78" s="47">
        <f>40+10+10</f>
        <v>60</v>
      </c>
      <c r="M78" s="47">
        <v>90</v>
      </c>
      <c r="N78" s="46"/>
      <c r="O78" s="71" t="s">
        <v>68</v>
      </c>
      <c r="P78" s="64"/>
      <c r="Q78" s="46" t="s">
        <v>5504</v>
      </c>
      <c r="R78" s="46" t="s">
        <v>5507</v>
      </c>
      <c r="S78" s="49">
        <v>22.5</v>
      </c>
      <c r="T78" s="49">
        <v>112.5</v>
      </c>
      <c r="U78" s="50">
        <v>0.16666666666666666</v>
      </c>
      <c r="V78" s="50">
        <v>0.16666666666666666</v>
      </c>
      <c r="W78" s="77">
        <v>2</v>
      </c>
      <c r="X78" s="52">
        <v>11.25</v>
      </c>
      <c r="Y78" s="52">
        <v>30</v>
      </c>
      <c r="Z78" s="52">
        <v>82.5</v>
      </c>
      <c r="AA78" s="52">
        <v>123.75</v>
      </c>
      <c r="AB78" s="53">
        <v>1.1000000000000001</v>
      </c>
      <c r="AC78" s="75">
        <v>18.75</v>
      </c>
      <c r="AD78" s="55">
        <v>0.16666666666666666</v>
      </c>
      <c r="AE78" s="73">
        <v>3</v>
      </c>
      <c r="AF78" s="57" t="s">
        <v>95</v>
      </c>
      <c r="AG78" s="58">
        <v>30</v>
      </c>
      <c r="AH78" s="58">
        <v>60</v>
      </c>
      <c r="AI78" s="58">
        <v>90</v>
      </c>
      <c r="AJ78" s="49">
        <v>22.5</v>
      </c>
      <c r="AK78" s="49">
        <v>112.5</v>
      </c>
      <c r="AL78" s="52">
        <v>11.25</v>
      </c>
      <c r="AM78" s="52">
        <v>82.5</v>
      </c>
      <c r="AN78" s="52">
        <v>93.75</v>
      </c>
      <c r="AO78" s="59">
        <v>0.83333333333333337</v>
      </c>
      <c r="AP78" s="60">
        <v>18.75</v>
      </c>
      <c r="AQ78" s="61">
        <v>0.16666666666666666</v>
      </c>
      <c r="AR78" s="60" t="s">
        <v>73</v>
      </c>
      <c r="AS78" s="62">
        <v>48</v>
      </c>
      <c r="AT78" s="62">
        <v>96</v>
      </c>
      <c r="AU78" s="62">
        <v>144</v>
      </c>
      <c r="AV78" s="62">
        <v>180</v>
      </c>
      <c r="AW78" s="47" t="s">
        <v>107</v>
      </c>
      <c r="AX78" s="64">
        <v>45068</v>
      </c>
      <c r="AY78" s="64" t="s">
        <v>5557</v>
      </c>
      <c r="BA78" s="64"/>
      <c r="BB78" s="64"/>
      <c r="BC78" s="64"/>
      <c r="BD78" s="70" t="s">
        <v>5558</v>
      </c>
      <c r="BE78" s="46" t="e">
        <v>#REF!</v>
      </c>
      <c r="BF78" s="46" t="s">
        <v>75</v>
      </c>
      <c r="BG78" s="65">
        <v>2</v>
      </c>
      <c r="BH78" s="66" t="s">
        <v>5559</v>
      </c>
      <c r="BI78" s="63" t="s">
        <v>5560</v>
      </c>
    </row>
    <row r="79" spans="1:61" ht="165.75" x14ac:dyDescent="0.2">
      <c r="A79" s="45" t="s">
        <v>5561</v>
      </c>
      <c r="B79" s="46"/>
      <c r="C79" s="46" t="s">
        <v>5555</v>
      </c>
      <c r="D79" s="46" t="s">
        <v>727</v>
      </c>
      <c r="E79" s="46" t="s">
        <v>445</v>
      </c>
      <c r="F79" s="46" t="s">
        <v>5556</v>
      </c>
      <c r="G79" s="46"/>
      <c r="H79" s="46"/>
      <c r="I79" s="46"/>
      <c r="J79" s="46" t="s">
        <v>2996</v>
      </c>
      <c r="K79" s="47">
        <v>36</v>
      </c>
      <c r="L79" s="47">
        <v>72</v>
      </c>
      <c r="M79" s="47">
        <v>108</v>
      </c>
      <c r="N79" s="46"/>
      <c r="O79" s="71" t="s">
        <v>68</v>
      </c>
      <c r="P79" s="64"/>
      <c r="Q79" s="46" t="s">
        <v>5504</v>
      </c>
      <c r="R79" s="46" t="s">
        <v>5507</v>
      </c>
      <c r="S79" s="49">
        <v>27</v>
      </c>
      <c r="T79" s="49">
        <v>135</v>
      </c>
      <c r="U79" s="50">
        <v>0.16666666666666666</v>
      </c>
      <c r="V79" s="50">
        <v>0.16666666666666666</v>
      </c>
      <c r="W79" s="77">
        <v>2</v>
      </c>
      <c r="X79" s="52">
        <v>13.5</v>
      </c>
      <c r="Y79" s="52">
        <v>30</v>
      </c>
      <c r="Z79" s="52">
        <v>99</v>
      </c>
      <c r="AA79" s="52">
        <v>142.5</v>
      </c>
      <c r="AB79" s="53">
        <v>1.0555555555555556</v>
      </c>
      <c r="AC79" s="75">
        <v>22.5</v>
      </c>
      <c r="AD79" s="55">
        <v>0.16666666666666666</v>
      </c>
      <c r="AE79" s="73">
        <v>3</v>
      </c>
      <c r="AF79" s="57" t="s">
        <v>95</v>
      </c>
      <c r="AG79" s="58">
        <v>36</v>
      </c>
      <c r="AH79" s="58">
        <v>72</v>
      </c>
      <c r="AI79" s="58">
        <v>108</v>
      </c>
      <c r="AJ79" s="49">
        <v>27</v>
      </c>
      <c r="AK79" s="49">
        <v>135</v>
      </c>
      <c r="AL79" s="52">
        <v>13.5</v>
      </c>
      <c r="AM79" s="52">
        <v>99</v>
      </c>
      <c r="AN79" s="52">
        <v>112.5</v>
      </c>
      <c r="AO79" s="59">
        <v>0.83333333333333337</v>
      </c>
      <c r="AP79" s="60">
        <v>22.5</v>
      </c>
      <c r="AQ79" s="61">
        <v>0.16666666666666666</v>
      </c>
      <c r="AR79" s="60" t="s">
        <v>73</v>
      </c>
      <c r="AS79" s="62">
        <v>58</v>
      </c>
      <c r="AT79" s="62">
        <v>116</v>
      </c>
      <c r="AU79" s="62">
        <v>174</v>
      </c>
      <c r="AV79" s="62">
        <v>217.5</v>
      </c>
      <c r="AW79" s="47" t="s">
        <v>107</v>
      </c>
      <c r="AX79" s="64">
        <v>45325</v>
      </c>
      <c r="AY79" s="64" t="s">
        <v>5562</v>
      </c>
      <c r="BA79" s="64"/>
      <c r="BB79" s="64"/>
      <c r="BC79" s="64"/>
      <c r="BD79" s="70" t="s">
        <v>5563</v>
      </c>
      <c r="BE79" s="46" t="e">
        <v>#REF!</v>
      </c>
      <c r="BF79" s="46" t="s">
        <v>75</v>
      </c>
      <c r="BG79" s="65">
        <v>2</v>
      </c>
      <c r="BH79" s="66"/>
      <c r="BI79" s="63" t="s">
        <v>5564</v>
      </c>
    </row>
    <row r="80" spans="1:61" ht="178.5" x14ac:dyDescent="0.2">
      <c r="A80" s="45" t="s">
        <v>5565</v>
      </c>
      <c r="B80" s="46"/>
      <c r="C80" s="46" t="s">
        <v>5555</v>
      </c>
      <c r="D80" s="46" t="s">
        <v>727</v>
      </c>
      <c r="E80" s="46" t="s">
        <v>449</v>
      </c>
      <c r="F80" s="46" t="s">
        <v>5556</v>
      </c>
      <c r="G80" s="46"/>
      <c r="H80" s="46"/>
      <c r="I80" s="46"/>
      <c r="J80" s="46" t="s">
        <v>2996</v>
      </c>
      <c r="K80" s="47">
        <v>44</v>
      </c>
      <c r="L80" s="47">
        <v>87</v>
      </c>
      <c r="M80" s="47">
        <v>131</v>
      </c>
      <c r="N80" s="46"/>
      <c r="O80" s="71" t="s">
        <v>68</v>
      </c>
      <c r="P80" s="64"/>
      <c r="Q80" s="46" t="s">
        <v>5504</v>
      </c>
      <c r="R80" s="46" t="s">
        <v>5507</v>
      </c>
      <c r="S80" s="49">
        <v>32.75</v>
      </c>
      <c r="T80" s="49">
        <v>163.75</v>
      </c>
      <c r="U80" s="50">
        <v>0.16793893129770993</v>
      </c>
      <c r="V80" s="50">
        <v>0.16870229007633589</v>
      </c>
      <c r="W80" s="77">
        <v>1.9772727272727273</v>
      </c>
      <c r="X80" s="52">
        <v>16.375</v>
      </c>
      <c r="Y80" s="52">
        <v>30</v>
      </c>
      <c r="Z80" s="52">
        <v>119.75</v>
      </c>
      <c r="AA80" s="52">
        <v>166.125</v>
      </c>
      <c r="AB80" s="53">
        <v>1.0145038167938931</v>
      </c>
      <c r="AC80" s="75">
        <v>27.5</v>
      </c>
      <c r="AD80" s="55">
        <v>0.16793893129770993</v>
      </c>
      <c r="AE80" s="73">
        <v>3</v>
      </c>
      <c r="AF80" s="57" t="s">
        <v>95</v>
      </c>
      <c r="AG80" s="58">
        <v>44</v>
      </c>
      <c r="AH80" s="58">
        <v>87</v>
      </c>
      <c r="AI80" s="58">
        <v>131</v>
      </c>
      <c r="AJ80" s="49">
        <v>32.75</v>
      </c>
      <c r="AK80" s="49">
        <v>163.75</v>
      </c>
      <c r="AL80" s="52">
        <v>16.375</v>
      </c>
      <c r="AM80" s="52">
        <v>119.75</v>
      </c>
      <c r="AN80" s="52">
        <v>136.125</v>
      </c>
      <c r="AO80" s="59">
        <v>0.83129770992366414</v>
      </c>
      <c r="AP80" s="60">
        <v>27.625</v>
      </c>
      <c r="AQ80" s="61">
        <v>0.16870229007633589</v>
      </c>
      <c r="AR80" s="60" t="s">
        <v>73</v>
      </c>
      <c r="AS80" s="62">
        <v>71</v>
      </c>
      <c r="AT80" s="62">
        <v>140</v>
      </c>
      <c r="AU80" s="62">
        <v>211</v>
      </c>
      <c r="AV80" s="62">
        <v>263.75</v>
      </c>
      <c r="AW80" s="47" t="s">
        <v>107</v>
      </c>
      <c r="AX80" s="64">
        <v>45325</v>
      </c>
      <c r="AY80" s="64" t="s">
        <v>5566</v>
      </c>
      <c r="BA80" s="64"/>
      <c r="BB80" s="64"/>
      <c r="BC80" s="64"/>
      <c r="BD80" s="70" t="s">
        <v>5567</v>
      </c>
      <c r="BE80" s="46" t="e">
        <v>#REF!</v>
      </c>
      <c r="BF80" s="46" t="s">
        <v>75</v>
      </c>
      <c r="BG80" s="65">
        <v>2</v>
      </c>
      <c r="BH80" s="66"/>
      <c r="BI80" s="63" t="s">
        <v>5568</v>
      </c>
    </row>
    <row r="81" spans="1:61" ht="127.5" x14ac:dyDescent="0.2">
      <c r="A81" s="45" t="s">
        <v>5569</v>
      </c>
      <c r="B81" s="46"/>
      <c r="C81" s="46" t="s">
        <v>5555</v>
      </c>
      <c r="D81" s="46" t="s">
        <v>5570</v>
      </c>
      <c r="E81" s="46" t="s">
        <v>136</v>
      </c>
      <c r="F81" s="46" t="s">
        <v>129</v>
      </c>
      <c r="G81" s="46" t="s">
        <v>68</v>
      </c>
      <c r="H81" s="46" t="s">
        <v>68</v>
      </c>
      <c r="I81" s="46" t="s">
        <v>68</v>
      </c>
      <c r="J81" s="46" t="s">
        <v>71</v>
      </c>
      <c r="K81" s="47">
        <v>200</v>
      </c>
      <c r="L81" s="47">
        <f>(25*2)+30+10+10</f>
        <v>100</v>
      </c>
      <c r="M81" s="47">
        <v>300</v>
      </c>
      <c r="N81" s="46"/>
      <c r="O81" s="71" t="s">
        <v>68</v>
      </c>
      <c r="P81" s="64"/>
      <c r="Q81" s="46" t="s">
        <v>5504</v>
      </c>
      <c r="R81" s="46" t="s">
        <v>5507</v>
      </c>
      <c r="S81" s="49">
        <v>75</v>
      </c>
      <c r="T81" s="49">
        <v>375</v>
      </c>
      <c r="U81" s="67">
        <v>0.35333333333333333</v>
      </c>
      <c r="V81" s="67">
        <v>0.43333333333333335</v>
      </c>
      <c r="W81" s="51">
        <v>0.5</v>
      </c>
      <c r="X81" s="52">
        <v>37.5</v>
      </c>
      <c r="Y81" s="52">
        <v>30</v>
      </c>
      <c r="Z81" s="52">
        <v>175</v>
      </c>
      <c r="AA81" s="52">
        <v>242.5</v>
      </c>
      <c r="AB81" s="53">
        <v>0.64666666666666661</v>
      </c>
      <c r="AC81" s="72">
        <v>132.5</v>
      </c>
      <c r="AD81" s="55">
        <v>0.35333333333333333</v>
      </c>
      <c r="AE81" s="73">
        <v>3</v>
      </c>
      <c r="AF81" s="57" t="s">
        <v>95</v>
      </c>
      <c r="AG81" s="58">
        <v>200</v>
      </c>
      <c r="AH81" s="58">
        <v>100</v>
      </c>
      <c r="AI81" s="58">
        <v>300</v>
      </c>
      <c r="AJ81" s="49">
        <v>75</v>
      </c>
      <c r="AK81" s="49">
        <v>375</v>
      </c>
      <c r="AL81" s="52">
        <v>37.5</v>
      </c>
      <c r="AM81" s="52">
        <v>175</v>
      </c>
      <c r="AN81" s="52">
        <v>212.5</v>
      </c>
      <c r="AO81" s="59">
        <v>0.56666666666666665</v>
      </c>
      <c r="AP81" s="60">
        <v>162.5</v>
      </c>
      <c r="AQ81" s="61">
        <v>0.43333333333333335</v>
      </c>
      <c r="AR81" s="60" t="s">
        <v>78</v>
      </c>
      <c r="AS81" s="62">
        <v>320</v>
      </c>
      <c r="AT81" s="62">
        <v>160</v>
      </c>
      <c r="AU81" s="62">
        <v>480</v>
      </c>
      <c r="AV81" s="62">
        <v>600</v>
      </c>
      <c r="AW81" s="47" t="s">
        <v>107</v>
      </c>
      <c r="AX81" s="64">
        <v>45068</v>
      </c>
      <c r="AY81" s="64" t="s">
        <v>5571</v>
      </c>
      <c r="BA81" s="64"/>
      <c r="BB81" s="64"/>
      <c r="BC81" s="64"/>
      <c r="BD81" s="46"/>
      <c r="BE81" s="46" t="e">
        <v>#REF!</v>
      </c>
      <c r="BF81" s="46" t="s">
        <v>75</v>
      </c>
      <c r="BG81" s="65">
        <v>0.75</v>
      </c>
      <c r="BH81" s="66" t="s">
        <v>5572</v>
      </c>
      <c r="BI81" s="63" t="s">
        <v>5573</v>
      </c>
    </row>
    <row r="82" spans="1:61" ht="127.5" x14ac:dyDescent="0.2">
      <c r="A82" s="45" t="s">
        <v>5574</v>
      </c>
      <c r="B82" s="46"/>
      <c r="C82" s="46" t="s">
        <v>5555</v>
      </c>
      <c r="D82" s="46" t="s">
        <v>5570</v>
      </c>
      <c r="E82" s="46" t="s">
        <v>136</v>
      </c>
      <c r="F82" s="46" t="s">
        <v>132</v>
      </c>
      <c r="G82" s="46" t="s">
        <v>68</v>
      </c>
      <c r="H82" s="46" t="s">
        <v>68</v>
      </c>
      <c r="I82" s="46" t="s">
        <v>68</v>
      </c>
      <c r="J82" s="46" t="s">
        <v>71</v>
      </c>
      <c r="K82" s="47">
        <f t="shared" ref="K82:K85" si="2">ROUND( K81*1.04,0)</f>
        <v>208</v>
      </c>
      <c r="L82" s="47">
        <f t="shared" ref="L82:L85" si="3">ROUND( L81*1.25,0)</f>
        <v>125</v>
      </c>
      <c r="M82" s="47">
        <v>333</v>
      </c>
      <c r="N82" s="46"/>
      <c r="O82" s="71" t="s">
        <v>68</v>
      </c>
      <c r="P82" s="64"/>
      <c r="Q82" s="46" t="s">
        <v>5504</v>
      </c>
      <c r="R82" s="46" t="s">
        <v>5507</v>
      </c>
      <c r="S82" s="49">
        <v>83.25</v>
      </c>
      <c r="T82" s="49">
        <v>416.25</v>
      </c>
      <c r="U82" s="67">
        <v>0.32762762762762765</v>
      </c>
      <c r="V82" s="67">
        <v>0.39969969969969971</v>
      </c>
      <c r="W82" s="51">
        <v>0.60096153846153844</v>
      </c>
      <c r="X82" s="52">
        <v>41.625</v>
      </c>
      <c r="Y82" s="52">
        <v>30</v>
      </c>
      <c r="Z82" s="52">
        <v>208.25</v>
      </c>
      <c r="AA82" s="52">
        <v>279.875</v>
      </c>
      <c r="AB82" s="53">
        <v>0.67237237237237235</v>
      </c>
      <c r="AC82" s="72">
        <v>136.375</v>
      </c>
      <c r="AD82" s="55">
        <v>0.32762762762762765</v>
      </c>
      <c r="AE82" s="73">
        <v>3</v>
      </c>
      <c r="AF82" s="57" t="s">
        <v>95</v>
      </c>
      <c r="AG82" s="58">
        <v>208</v>
      </c>
      <c r="AH82" s="58">
        <v>125</v>
      </c>
      <c r="AI82" s="58">
        <v>333</v>
      </c>
      <c r="AJ82" s="49">
        <v>83.25</v>
      </c>
      <c r="AK82" s="49">
        <v>416.25</v>
      </c>
      <c r="AL82" s="52">
        <v>41.625</v>
      </c>
      <c r="AM82" s="52">
        <v>208.25</v>
      </c>
      <c r="AN82" s="52">
        <v>249.875</v>
      </c>
      <c r="AO82" s="59">
        <v>0.60030030030030035</v>
      </c>
      <c r="AP82" s="60">
        <v>166.375</v>
      </c>
      <c r="AQ82" s="61">
        <v>0.39969969969969971</v>
      </c>
      <c r="AR82" s="60" t="s">
        <v>78</v>
      </c>
      <c r="AS82" s="62">
        <v>333</v>
      </c>
      <c r="AT82" s="62">
        <v>200</v>
      </c>
      <c r="AU82" s="62">
        <v>533</v>
      </c>
      <c r="AV82" s="62">
        <v>666.25</v>
      </c>
      <c r="AW82" s="47" t="s">
        <v>107</v>
      </c>
      <c r="AX82" s="64">
        <v>45325</v>
      </c>
      <c r="AY82" s="64" t="s">
        <v>5575</v>
      </c>
      <c r="BA82" s="64"/>
      <c r="BB82" s="64"/>
      <c r="BC82" s="64"/>
      <c r="BD82" s="46"/>
      <c r="BE82" s="46" t="e">
        <v>#REF!</v>
      </c>
      <c r="BF82" s="46" t="s">
        <v>75</v>
      </c>
      <c r="BG82" s="65">
        <v>1</v>
      </c>
      <c r="BH82" s="66"/>
      <c r="BI82" s="63" t="s">
        <v>5576</v>
      </c>
    </row>
    <row r="83" spans="1:61" ht="127.5" x14ac:dyDescent="0.2">
      <c r="A83" s="45" t="s">
        <v>5577</v>
      </c>
      <c r="B83" s="46"/>
      <c r="C83" s="46" t="s">
        <v>5555</v>
      </c>
      <c r="D83" s="46" t="s">
        <v>5570</v>
      </c>
      <c r="E83" s="46" t="s">
        <v>136</v>
      </c>
      <c r="F83" s="46" t="s">
        <v>141</v>
      </c>
      <c r="G83" s="46" t="s">
        <v>68</v>
      </c>
      <c r="H83" s="46" t="s">
        <v>68</v>
      </c>
      <c r="I83" s="46" t="s">
        <v>68</v>
      </c>
      <c r="J83" s="46" t="s">
        <v>71</v>
      </c>
      <c r="K83" s="47">
        <f t="shared" si="2"/>
        <v>216</v>
      </c>
      <c r="L83" s="47">
        <f t="shared" si="3"/>
        <v>156</v>
      </c>
      <c r="M83" s="47">
        <v>372</v>
      </c>
      <c r="N83" s="46"/>
      <c r="O83" s="71" t="s">
        <v>68</v>
      </c>
      <c r="P83" s="64"/>
      <c r="Q83" s="46" t="s">
        <v>5504</v>
      </c>
      <c r="R83" s="46" t="s">
        <v>5507</v>
      </c>
      <c r="S83" s="49">
        <v>93</v>
      </c>
      <c r="T83" s="49">
        <v>465</v>
      </c>
      <c r="U83" s="67">
        <v>0.3</v>
      </c>
      <c r="V83" s="67">
        <v>0.36451612903225805</v>
      </c>
      <c r="W83" s="51">
        <v>0.72222222222222221</v>
      </c>
      <c r="X83" s="52">
        <v>46.5</v>
      </c>
      <c r="Y83" s="52">
        <v>30</v>
      </c>
      <c r="Z83" s="52">
        <v>249</v>
      </c>
      <c r="AA83" s="52">
        <v>325.5</v>
      </c>
      <c r="AB83" s="53">
        <v>0.7</v>
      </c>
      <c r="AC83" s="72">
        <v>139.5</v>
      </c>
      <c r="AD83" s="55">
        <v>0.3</v>
      </c>
      <c r="AE83" s="73">
        <v>3</v>
      </c>
      <c r="AF83" s="57" t="s">
        <v>95</v>
      </c>
      <c r="AG83" s="58">
        <v>216</v>
      </c>
      <c r="AH83" s="58">
        <v>156</v>
      </c>
      <c r="AI83" s="58">
        <v>372</v>
      </c>
      <c r="AJ83" s="49">
        <v>93</v>
      </c>
      <c r="AK83" s="49">
        <v>465</v>
      </c>
      <c r="AL83" s="52">
        <v>46.5</v>
      </c>
      <c r="AM83" s="52">
        <v>249</v>
      </c>
      <c r="AN83" s="52">
        <v>295.5</v>
      </c>
      <c r="AO83" s="59">
        <v>0.63548387096774195</v>
      </c>
      <c r="AP83" s="60">
        <v>169.5</v>
      </c>
      <c r="AQ83" s="61">
        <v>0.36451612903225805</v>
      </c>
      <c r="AR83" s="60" t="s">
        <v>78</v>
      </c>
      <c r="AS83" s="62">
        <v>346</v>
      </c>
      <c r="AT83" s="62">
        <v>250</v>
      </c>
      <c r="AU83" s="62">
        <v>596</v>
      </c>
      <c r="AV83" s="62">
        <v>745</v>
      </c>
      <c r="AW83" s="47" t="s">
        <v>107</v>
      </c>
      <c r="AX83" s="64">
        <v>45325</v>
      </c>
      <c r="AY83" s="64" t="s">
        <v>5578</v>
      </c>
      <c r="BA83" s="64"/>
      <c r="BB83" s="64"/>
      <c r="BC83" s="64"/>
      <c r="BD83" s="46"/>
      <c r="BE83" s="46" t="e">
        <v>#REF!</v>
      </c>
      <c r="BF83" s="46" t="s">
        <v>75</v>
      </c>
      <c r="BG83" s="65">
        <v>1.25</v>
      </c>
      <c r="BH83" s="66"/>
      <c r="BI83" s="63" t="s">
        <v>5579</v>
      </c>
    </row>
    <row r="84" spans="1:61" ht="127.5" x14ac:dyDescent="0.2">
      <c r="A84" s="45" t="s">
        <v>5580</v>
      </c>
      <c r="B84" s="46"/>
      <c r="C84" s="46" t="s">
        <v>5555</v>
      </c>
      <c r="D84" s="46" t="s">
        <v>5570</v>
      </c>
      <c r="E84" s="46" t="s">
        <v>136</v>
      </c>
      <c r="F84" s="46" t="s">
        <v>5581</v>
      </c>
      <c r="G84" s="46" t="s">
        <v>68</v>
      </c>
      <c r="H84" s="46" t="s">
        <v>68</v>
      </c>
      <c r="I84" s="46" t="s">
        <v>68</v>
      </c>
      <c r="J84" s="46" t="s">
        <v>71</v>
      </c>
      <c r="K84" s="47">
        <f t="shared" si="2"/>
        <v>225</v>
      </c>
      <c r="L84" s="47">
        <f t="shared" si="3"/>
        <v>195</v>
      </c>
      <c r="M84" s="47">
        <v>420</v>
      </c>
      <c r="N84" s="46"/>
      <c r="O84" s="71" t="s">
        <v>68</v>
      </c>
      <c r="P84" s="64"/>
      <c r="Q84" s="46" t="s">
        <v>5504</v>
      </c>
      <c r="R84" s="46" t="s">
        <v>5507</v>
      </c>
      <c r="S84" s="49">
        <v>105</v>
      </c>
      <c r="T84" s="49">
        <v>525</v>
      </c>
      <c r="U84" s="28">
        <v>0.27142857142857141</v>
      </c>
      <c r="V84" s="67">
        <v>0.32857142857142857</v>
      </c>
      <c r="W84" s="51">
        <v>0.8666666666666667</v>
      </c>
      <c r="X84" s="52">
        <v>52.5</v>
      </c>
      <c r="Y84" s="52">
        <v>30</v>
      </c>
      <c r="Z84" s="52">
        <v>300</v>
      </c>
      <c r="AA84" s="52">
        <v>382.5</v>
      </c>
      <c r="AB84" s="53">
        <v>0.72857142857142854</v>
      </c>
      <c r="AC84" s="72">
        <v>142.5</v>
      </c>
      <c r="AD84" s="55">
        <v>0.27142857142857141</v>
      </c>
      <c r="AE84" s="73">
        <v>3</v>
      </c>
      <c r="AF84" s="57" t="s">
        <v>95</v>
      </c>
      <c r="AG84" s="58">
        <v>225</v>
      </c>
      <c r="AH84" s="58">
        <v>195</v>
      </c>
      <c r="AI84" s="58">
        <v>420</v>
      </c>
      <c r="AJ84" s="49">
        <v>105</v>
      </c>
      <c r="AK84" s="49">
        <v>525</v>
      </c>
      <c r="AL84" s="52">
        <v>52.5</v>
      </c>
      <c r="AM84" s="52">
        <v>300</v>
      </c>
      <c r="AN84" s="52">
        <v>352.5</v>
      </c>
      <c r="AO84" s="59">
        <v>0.67142857142857137</v>
      </c>
      <c r="AP84" s="60">
        <v>172.5</v>
      </c>
      <c r="AQ84" s="61">
        <v>0.32857142857142857</v>
      </c>
      <c r="AR84" s="60" t="s">
        <v>78</v>
      </c>
      <c r="AS84" s="62">
        <v>360</v>
      </c>
      <c r="AT84" s="62">
        <v>312</v>
      </c>
      <c r="AU84" s="62">
        <v>672</v>
      </c>
      <c r="AV84" s="62">
        <v>840</v>
      </c>
      <c r="AW84" s="47" t="s">
        <v>107</v>
      </c>
      <c r="AX84" s="64">
        <v>45325</v>
      </c>
      <c r="AY84" s="64" t="s">
        <v>5582</v>
      </c>
      <c r="BA84" s="64"/>
      <c r="BB84" s="64"/>
      <c r="BC84" s="64"/>
      <c r="BD84" s="46"/>
      <c r="BE84" s="46" t="e">
        <v>#REF!</v>
      </c>
      <c r="BF84" s="46" t="s">
        <v>75</v>
      </c>
      <c r="BG84" s="65">
        <v>1.5</v>
      </c>
      <c r="BH84" s="66"/>
      <c r="BI84" s="63" t="s">
        <v>5583</v>
      </c>
    </row>
    <row r="85" spans="1:61" ht="127.5" x14ac:dyDescent="0.2">
      <c r="A85" s="45" t="s">
        <v>5584</v>
      </c>
      <c r="B85" s="46"/>
      <c r="C85" s="46" t="s">
        <v>5555</v>
      </c>
      <c r="D85" s="46" t="s">
        <v>5570</v>
      </c>
      <c r="E85" s="46" t="s">
        <v>136</v>
      </c>
      <c r="F85" s="46" t="s">
        <v>4775</v>
      </c>
      <c r="G85" s="46" t="s">
        <v>68</v>
      </c>
      <c r="H85" s="46" t="s">
        <v>68</v>
      </c>
      <c r="I85" s="46" t="s">
        <v>68</v>
      </c>
      <c r="J85" s="46" t="s">
        <v>71</v>
      </c>
      <c r="K85" s="47">
        <f t="shared" si="2"/>
        <v>234</v>
      </c>
      <c r="L85" s="47">
        <f t="shared" si="3"/>
        <v>244</v>
      </c>
      <c r="M85" s="47">
        <v>478</v>
      </c>
      <c r="N85" s="46"/>
      <c r="O85" s="71" t="s">
        <v>68</v>
      </c>
      <c r="P85" s="64"/>
      <c r="Q85" s="46" t="s">
        <v>5504</v>
      </c>
      <c r="R85" s="46" t="s">
        <v>5507</v>
      </c>
      <c r="S85" s="49">
        <v>119.5</v>
      </c>
      <c r="T85" s="49">
        <v>597.5</v>
      </c>
      <c r="U85" s="28">
        <v>0.24142259414225942</v>
      </c>
      <c r="V85" s="28">
        <v>0.29163179916317994</v>
      </c>
      <c r="W85" s="74">
        <v>1.0427350427350428</v>
      </c>
      <c r="X85" s="52">
        <v>59.75</v>
      </c>
      <c r="Y85" s="52">
        <v>30</v>
      </c>
      <c r="Z85" s="52">
        <v>363.5</v>
      </c>
      <c r="AA85" s="52">
        <v>453.25</v>
      </c>
      <c r="AB85" s="53">
        <v>0.75857740585774058</v>
      </c>
      <c r="AC85" s="72">
        <v>144.25</v>
      </c>
      <c r="AD85" s="55">
        <v>0.24142259414225942</v>
      </c>
      <c r="AE85" s="73">
        <v>3</v>
      </c>
      <c r="AF85" s="57" t="s">
        <v>95</v>
      </c>
      <c r="AG85" s="58">
        <v>234</v>
      </c>
      <c r="AH85" s="58">
        <v>244</v>
      </c>
      <c r="AI85" s="58">
        <v>478</v>
      </c>
      <c r="AJ85" s="49">
        <v>119.5</v>
      </c>
      <c r="AK85" s="49">
        <v>597.5</v>
      </c>
      <c r="AL85" s="52">
        <v>59.75</v>
      </c>
      <c r="AM85" s="52">
        <v>363.5</v>
      </c>
      <c r="AN85" s="52">
        <v>423.25</v>
      </c>
      <c r="AO85" s="59">
        <v>0.70836820083682006</v>
      </c>
      <c r="AP85" s="60">
        <v>174.25</v>
      </c>
      <c r="AQ85" s="61">
        <v>0.29163179916317994</v>
      </c>
      <c r="AR85" s="60" t="s">
        <v>78</v>
      </c>
      <c r="AS85" s="62">
        <v>375</v>
      </c>
      <c r="AT85" s="62">
        <v>391</v>
      </c>
      <c r="AU85" s="62">
        <v>766</v>
      </c>
      <c r="AV85" s="62">
        <v>957.5</v>
      </c>
      <c r="AW85" s="47" t="s">
        <v>107</v>
      </c>
      <c r="AX85" s="64">
        <v>45325</v>
      </c>
      <c r="AY85" s="64" t="s">
        <v>5585</v>
      </c>
      <c r="BA85" s="64"/>
      <c r="BB85" s="64"/>
      <c r="BC85" s="64"/>
      <c r="BD85" s="46"/>
      <c r="BE85" s="46" t="e">
        <v>#REF!</v>
      </c>
      <c r="BF85" s="46" t="s">
        <v>75</v>
      </c>
      <c r="BG85" s="65">
        <v>2</v>
      </c>
      <c r="BH85" s="66"/>
      <c r="BI85" s="63" t="s">
        <v>5586</v>
      </c>
    </row>
    <row r="86" spans="1:61" ht="127.5" x14ac:dyDescent="0.2">
      <c r="A86" s="45" t="s">
        <v>5587</v>
      </c>
      <c r="B86" s="46"/>
      <c r="C86" s="46" t="s">
        <v>5555</v>
      </c>
      <c r="D86" s="46" t="s">
        <v>5570</v>
      </c>
      <c r="E86" s="46" t="s">
        <v>144</v>
      </c>
      <c r="F86" s="46" t="s">
        <v>129</v>
      </c>
      <c r="G86" s="46" t="s">
        <v>68</v>
      </c>
      <c r="H86" s="46" t="s">
        <v>68</v>
      </c>
      <c r="I86" s="46" t="s">
        <v>68</v>
      </c>
      <c r="J86" s="46" t="s">
        <v>71</v>
      </c>
      <c r="K86" s="47">
        <v>200</v>
      </c>
      <c r="L86" s="47">
        <f>(50*2)+30+10+10</f>
        <v>150</v>
      </c>
      <c r="M86" s="47">
        <v>350</v>
      </c>
      <c r="N86" s="46"/>
      <c r="O86" s="71" t="s">
        <v>68</v>
      </c>
      <c r="P86" s="64"/>
      <c r="Q86" s="46" t="s">
        <v>5504</v>
      </c>
      <c r="R86" s="46" t="s">
        <v>5507</v>
      </c>
      <c r="S86" s="49">
        <v>87.5</v>
      </c>
      <c r="T86" s="49">
        <v>437.5</v>
      </c>
      <c r="U86" s="28">
        <v>0.28857142857142859</v>
      </c>
      <c r="V86" s="67">
        <v>0.35714285714285715</v>
      </c>
      <c r="W86" s="51">
        <v>0.75</v>
      </c>
      <c r="X86" s="52">
        <v>43.75</v>
      </c>
      <c r="Y86" s="52">
        <v>30</v>
      </c>
      <c r="Z86" s="52">
        <v>237.5</v>
      </c>
      <c r="AA86" s="52">
        <v>311.25</v>
      </c>
      <c r="AB86" s="53">
        <v>0.71142857142857141</v>
      </c>
      <c r="AC86" s="72">
        <v>126.25</v>
      </c>
      <c r="AD86" s="55">
        <v>0.28857142857142859</v>
      </c>
      <c r="AE86" s="73">
        <v>3</v>
      </c>
      <c r="AF86" s="57" t="s">
        <v>95</v>
      </c>
      <c r="AG86" s="58">
        <v>200</v>
      </c>
      <c r="AH86" s="58">
        <v>150</v>
      </c>
      <c r="AI86" s="58">
        <v>350</v>
      </c>
      <c r="AJ86" s="49">
        <v>87.5</v>
      </c>
      <c r="AK86" s="49">
        <v>437.5</v>
      </c>
      <c r="AL86" s="52">
        <v>43.75</v>
      </c>
      <c r="AM86" s="52">
        <v>237.5</v>
      </c>
      <c r="AN86" s="52">
        <v>281.25</v>
      </c>
      <c r="AO86" s="59">
        <v>0.6428571428571429</v>
      </c>
      <c r="AP86" s="60">
        <v>156.25</v>
      </c>
      <c r="AQ86" s="61">
        <v>0.35714285714285715</v>
      </c>
      <c r="AR86" s="60" t="s">
        <v>78</v>
      </c>
      <c r="AS86" s="62">
        <v>320</v>
      </c>
      <c r="AT86" s="62">
        <v>240</v>
      </c>
      <c r="AU86" s="62">
        <v>560</v>
      </c>
      <c r="AV86" s="62">
        <v>700</v>
      </c>
      <c r="AW86" s="47" t="s">
        <v>107</v>
      </c>
      <c r="AX86" s="64">
        <v>45068</v>
      </c>
      <c r="AY86" s="64" t="s">
        <v>5588</v>
      </c>
      <c r="BA86" s="64"/>
      <c r="BB86" s="64"/>
      <c r="BC86" s="64"/>
      <c r="BD86" s="46"/>
      <c r="BE86" s="46" t="e">
        <v>#REF!</v>
      </c>
      <c r="BF86" s="46" t="s">
        <v>75</v>
      </c>
      <c r="BG86" s="65">
        <v>0.75</v>
      </c>
      <c r="BH86" s="66" t="s">
        <v>5589</v>
      </c>
      <c r="BI86" s="63" t="s">
        <v>5590</v>
      </c>
    </row>
    <row r="87" spans="1:61" ht="127.5" x14ac:dyDescent="0.2">
      <c r="A87" s="45" t="s">
        <v>5591</v>
      </c>
      <c r="B87" s="46"/>
      <c r="C87" s="46" t="s">
        <v>5555</v>
      </c>
      <c r="D87" s="46" t="s">
        <v>5570</v>
      </c>
      <c r="E87" s="46" t="s">
        <v>144</v>
      </c>
      <c r="F87" s="46" t="s">
        <v>132</v>
      </c>
      <c r="G87" s="46" t="s">
        <v>68</v>
      </c>
      <c r="H87" s="46" t="s">
        <v>68</v>
      </c>
      <c r="I87" s="46" t="s">
        <v>68</v>
      </c>
      <c r="J87" s="46" t="s">
        <v>71</v>
      </c>
      <c r="K87" s="47">
        <f t="shared" ref="K87:K90" si="4">ROUND( K86*1.04,0)</f>
        <v>208</v>
      </c>
      <c r="L87" s="47">
        <f t="shared" ref="L87:L90" si="5">ROUND( L86*1.25,0)</f>
        <v>188</v>
      </c>
      <c r="M87" s="47">
        <v>396</v>
      </c>
      <c r="N87" s="46"/>
      <c r="O87" s="71" t="s">
        <v>68</v>
      </c>
      <c r="P87" s="64"/>
      <c r="Q87" s="46" t="s">
        <v>5504</v>
      </c>
      <c r="R87" s="46" t="s">
        <v>5507</v>
      </c>
      <c r="S87" s="49">
        <v>99</v>
      </c>
      <c r="T87" s="49">
        <v>495</v>
      </c>
      <c r="U87" s="28">
        <v>0.2595959595959596</v>
      </c>
      <c r="V87" s="67">
        <v>0.32020202020202021</v>
      </c>
      <c r="W87" s="51">
        <v>0.90384615384615385</v>
      </c>
      <c r="X87" s="52">
        <v>49.5</v>
      </c>
      <c r="Y87" s="52">
        <v>30</v>
      </c>
      <c r="Z87" s="52">
        <v>287</v>
      </c>
      <c r="AA87" s="52">
        <v>366.5</v>
      </c>
      <c r="AB87" s="53">
        <v>0.7404040404040404</v>
      </c>
      <c r="AC87" s="72">
        <v>128.5</v>
      </c>
      <c r="AD87" s="55">
        <v>0.2595959595959596</v>
      </c>
      <c r="AE87" s="73">
        <v>3</v>
      </c>
      <c r="AF87" s="57" t="s">
        <v>95</v>
      </c>
      <c r="AG87" s="58">
        <v>208</v>
      </c>
      <c r="AH87" s="58">
        <v>188</v>
      </c>
      <c r="AI87" s="58">
        <v>396</v>
      </c>
      <c r="AJ87" s="49">
        <v>99</v>
      </c>
      <c r="AK87" s="49">
        <v>495</v>
      </c>
      <c r="AL87" s="52">
        <v>49.5</v>
      </c>
      <c r="AM87" s="52">
        <v>287</v>
      </c>
      <c r="AN87" s="52">
        <v>336.5</v>
      </c>
      <c r="AO87" s="59">
        <v>0.67979797979797985</v>
      </c>
      <c r="AP87" s="60">
        <v>158.5</v>
      </c>
      <c r="AQ87" s="61">
        <v>0.32020202020202021</v>
      </c>
      <c r="AR87" s="60" t="s">
        <v>78</v>
      </c>
      <c r="AS87" s="62">
        <v>333</v>
      </c>
      <c r="AT87" s="62">
        <v>301</v>
      </c>
      <c r="AU87" s="62">
        <v>634</v>
      </c>
      <c r="AV87" s="62">
        <v>792.5</v>
      </c>
      <c r="AW87" s="47" t="s">
        <v>107</v>
      </c>
      <c r="AX87" s="64">
        <v>45325</v>
      </c>
      <c r="AY87" s="64" t="s">
        <v>5592</v>
      </c>
      <c r="BA87" s="64"/>
      <c r="BB87" s="64"/>
      <c r="BC87" s="64"/>
      <c r="BD87" s="46"/>
      <c r="BE87" s="46" t="e">
        <v>#REF!</v>
      </c>
      <c r="BF87" s="46" t="s">
        <v>75</v>
      </c>
      <c r="BG87" s="65">
        <v>1</v>
      </c>
      <c r="BH87" s="66"/>
      <c r="BI87" s="63" t="s">
        <v>5593</v>
      </c>
    </row>
    <row r="88" spans="1:61" ht="127.5" x14ac:dyDescent="0.2">
      <c r="A88" s="45" t="s">
        <v>5594</v>
      </c>
      <c r="B88" s="46"/>
      <c r="C88" s="46" t="s">
        <v>5555</v>
      </c>
      <c r="D88" s="46" t="s">
        <v>5570</v>
      </c>
      <c r="E88" s="46" t="s">
        <v>144</v>
      </c>
      <c r="F88" s="46" t="s">
        <v>141</v>
      </c>
      <c r="G88" s="46" t="s">
        <v>68</v>
      </c>
      <c r="H88" s="46" t="s">
        <v>68</v>
      </c>
      <c r="I88" s="46" t="s">
        <v>68</v>
      </c>
      <c r="J88" s="46" t="s">
        <v>71</v>
      </c>
      <c r="K88" s="47">
        <f t="shared" si="4"/>
        <v>216</v>
      </c>
      <c r="L88" s="47">
        <f t="shared" si="5"/>
        <v>235</v>
      </c>
      <c r="M88" s="47">
        <v>451</v>
      </c>
      <c r="N88" s="46"/>
      <c r="O88" s="71" t="s">
        <v>68</v>
      </c>
      <c r="P88" s="64"/>
      <c r="Q88" s="46" t="s">
        <v>5504</v>
      </c>
      <c r="R88" s="46" t="s">
        <v>5507</v>
      </c>
      <c r="S88" s="49">
        <v>112.75</v>
      </c>
      <c r="T88" s="49">
        <v>563.75</v>
      </c>
      <c r="U88" s="28">
        <v>0.22993348115299334</v>
      </c>
      <c r="V88" s="28">
        <v>0.28314855875831485</v>
      </c>
      <c r="W88" s="74">
        <v>1.087962962962963</v>
      </c>
      <c r="X88" s="52">
        <v>56.375</v>
      </c>
      <c r="Y88" s="52">
        <v>30</v>
      </c>
      <c r="Z88" s="52">
        <v>347.75</v>
      </c>
      <c r="AA88" s="52">
        <v>434.125</v>
      </c>
      <c r="AB88" s="53">
        <v>0.77006651884700661</v>
      </c>
      <c r="AC88" s="72">
        <v>129.625</v>
      </c>
      <c r="AD88" s="55">
        <v>0.22993348115299334</v>
      </c>
      <c r="AE88" s="73">
        <v>3</v>
      </c>
      <c r="AF88" s="57" t="s">
        <v>95</v>
      </c>
      <c r="AG88" s="58">
        <v>216</v>
      </c>
      <c r="AH88" s="58">
        <v>235</v>
      </c>
      <c r="AI88" s="58">
        <v>451</v>
      </c>
      <c r="AJ88" s="49">
        <v>112.75</v>
      </c>
      <c r="AK88" s="49">
        <v>563.75</v>
      </c>
      <c r="AL88" s="52">
        <v>56.375</v>
      </c>
      <c r="AM88" s="52">
        <v>347.75</v>
      </c>
      <c r="AN88" s="52">
        <v>404.125</v>
      </c>
      <c r="AO88" s="59">
        <v>0.71685144124168509</v>
      </c>
      <c r="AP88" s="60">
        <v>159.625</v>
      </c>
      <c r="AQ88" s="61">
        <v>0.28314855875831485</v>
      </c>
      <c r="AR88" s="60" t="s">
        <v>78</v>
      </c>
      <c r="AS88" s="62">
        <v>346</v>
      </c>
      <c r="AT88" s="62">
        <v>376</v>
      </c>
      <c r="AU88" s="62">
        <v>722</v>
      </c>
      <c r="AV88" s="62">
        <v>902.5</v>
      </c>
      <c r="AW88" s="47" t="s">
        <v>107</v>
      </c>
      <c r="AX88" s="64">
        <v>45325</v>
      </c>
      <c r="AY88" s="64" t="s">
        <v>5595</v>
      </c>
      <c r="BA88" s="64"/>
      <c r="BB88" s="64"/>
      <c r="BC88" s="64"/>
      <c r="BD88" s="46"/>
      <c r="BE88" s="46" t="e">
        <v>#REF!</v>
      </c>
      <c r="BF88" s="46" t="s">
        <v>75</v>
      </c>
      <c r="BG88" s="65">
        <v>1.25</v>
      </c>
      <c r="BH88" s="66"/>
      <c r="BI88" s="63" t="s">
        <v>5596</v>
      </c>
    </row>
    <row r="89" spans="1:61" ht="127.5" x14ac:dyDescent="0.2">
      <c r="A89" s="45" t="s">
        <v>5597</v>
      </c>
      <c r="B89" s="46"/>
      <c r="C89" s="46" t="s">
        <v>5555</v>
      </c>
      <c r="D89" s="46" t="s">
        <v>5570</v>
      </c>
      <c r="E89" s="46" t="s">
        <v>144</v>
      </c>
      <c r="F89" s="46" t="s">
        <v>5581</v>
      </c>
      <c r="G89" s="46" t="s">
        <v>68</v>
      </c>
      <c r="H89" s="46" t="s">
        <v>68</v>
      </c>
      <c r="I89" s="46" t="s">
        <v>68</v>
      </c>
      <c r="J89" s="46" t="s">
        <v>71</v>
      </c>
      <c r="K89" s="47">
        <f t="shared" si="4"/>
        <v>225</v>
      </c>
      <c r="L89" s="47">
        <f t="shared" si="5"/>
        <v>294</v>
      </c>
      <c r="M89" s="47">
        <v>519</v>
      </c>
      <c r="N89" s="46"/>
      <c r="O89" s="71" t="s">
        <v>68</v>
      </c>
      <c r="P89" s="64"/>
      <c r="Q89" s="46" t="s">
        <v>5504</v>
      </c>
      <c r="R89" s="46" t="s">
        <v>5507</v>
      </c>
      <c r="S89" s="49">
        <v>129.75</v>
      </c>
      <c r="T89" s="49">
        <v>648.75</v>
      </c>
      <c r="U89" s="28">
        <v>0.20057803468208094</v>
      </c>
      <c r="V89" s="28">
        <v>0.2468208092485549</v>
      </c>
      <c r="W89" s="74">
        <v>1.3066666666666666</v>
      </c>
      <c r="X89" s="52">
        <v>64.875</v>
      </c>
      <c r="Y89" s="52">
        <v>30</v>
      </c>
      <c r="Z89" s="52">
        <v>423.75</v>
      </c>
      <c r="AA89" s="52">
        <v>518.625</v>
      </c>
      <c r="AB89" s="53">
        <v>0.79942196531791909</v>
      </c>
      <c r="AC89" s="72">
        <v>130.125</v>
      </c>
      <c r="AD89" s="55">
        <v>0.20057803468208094</v>
      </c>
      <c r="AE89" s="73">
        <v>3</v>
      </c>
      <c r="AF89" s="57" t="s">
        <v>95</v>
      </c>
      <c r="AG89" s="58">
        <v>225</v>
      </c>
      <c r="AH89" s="58">
        <v>294</v>
      </c>
      <c r="AI89" s="58">
        <v>519</v>
      </c>
      <c r="AJ89" s="49">
        <v>129.75</v>
      </c>
      <c r="AK89" s="49">
        <v>648.75</v>
      </c>
      <c r="AL89" s="52">
        <v>64.875</v>
      </c>
      <c r="AM89" s="52">
        <v>423.75</v>
      </c>
      <c r="AN89" s="52">
        <v>488.625</v>
      </c>
      <c r="AO89" s="59">
        <v>0.75317919075144513</v>
      </c>
      <c r="AP89" s="60">
        <v>160.125</v>
      </c>
      <c r="AQ89" s="61">
        <v>0.2468208092485549</v>
      </c>
      <c r="AR89" s="60" t="s">
        <v>78</v>
      </c>
      <c r="AS89" s="62">
        <v>360</v>
      </c>
      <c r="AT89" s="62">
        <v>471</v>
      </c>
      <c r="AU89" s="62">
        <v>831</v>
      </c>
      <c r="AV89" s="62">
        <v>1038.75</v>
      </c>
      <c r="AW89" s="47" t="s">
        <v>107</v>
      </c>
      <c r="AX89" s="64">
        <v>45325</v>
      </c>
      <c r="AY89" s="64" t="s">
        <v>5598</v>
      </c>
      <c r="BA89" s="64"/>
      <c r="BB89" s="64"/>
      <c r="BC89" s="64"/>
      <c r="BD89" s="46"/>
      <c r="BE89" s="46" t="e">
        <v>#REF!</v>
      </c>
      <c r="BF89" s="46" t="s">
        <v>75</v>
      </c>
      <c r="BG89" s="65">
        <v>1.5</v>
      </c>
      <c r="BH89" s="66"/>
      <c r="BI89" s="63" t="s">
        <v>5599</v>
      </c>
    </row>
    <row r="90" spans="1:61" ht="127.5" x14ac:dyDescent="0.2">
      <c r="A90" s="45" t="s">
        <v>5600</v>
      </c>
      <c r="B90" s="46"/>
      <c r="C90" s="46" t="s">
        <v>5555</v>
      </c>
      <c r="D90" s="46" t="s">
        <v>5570</v>
      </c>
      <c r="E90" s="46" t="s">
        <v>144</v>
      </c>
      <c r="F90" s="46" t="s">
        <v>4775</v>
      </c>
      <c r="G90" s="46" t="s">
        <v>68</v>
      </c>
      <c r="H90" s="46" t="s">
        <v>68</v>
      </c>
      <c r="I90" s="46" t="s">
        <v>68</v>
      </c>
      <c r="J90" s="46" t="s">
        <v>71</v>
      </c>
      <c r="K90" s="47">
        <f t="shared" si="4"/>
        <v>234</v>
      </c>
      <c r="L90" s="47">
        <f t="shared" si="5"/>
        <v>368</v>
      </c>
      <c r="M90" s="47">
        <v>602</v>
      </c>
      <c r="N90" s="46"/>
      <c r="O90" s="71" t="s">
        <v>68</v>
      </c>
      <c r="P90" s="64"/>
      <c r="Q90" s="46" t="s">
        <v>5504</v>
      </c>
      <c r="R90" s="46" t="s">
        <v>5507</v>
      </c>
      <c r="S90" s="49">
        <v>150.5</v>
      </c>
      <c r="T90" s="49">
        <v>752.5</v>
      </c>
      <c r="U90" s="50">
        <v>0.17109634551495018</v>
      </c>
      <c r="V90" s="28">
        <v>0.21096345514950166</v>
      </c>
      <c r="W90" s="77">
        <v>1.5726495726495726</v>
      </c>
      <c r="X90" s="52">
        <v>75.25</v>
      </c>
      <c r="Y90" s="52">
        <v>30</v>
      </c>
      <c r="Z90" s="52">
        <v>518.5</v>
      </c>
      <c r="AA90" s="52">
        <v>623.75</v>
      </c>
      <c r="AB90" s="53">
        <v>0.82890365448504988</v>
      </c>
      <c r="AC90" s="72">
        <v>128.75</v>
      </c>
      <c r="AD90" s="55">
        <v>0.17109634551495018</v>
      </c>
      <c r="AE90" s="73">
        <v>3</v>
      </c>
      <c r="AF90" s="57" t="s">
        <v>95</v>
      </c>
      <c r="AG90" s="58">
        <v>234</v>
      </c>
      <c r="AH90" s="58">
        <v>368</v>
      </c>
      <c r="AI90" s="58">
        <v>602</v>
      </c>
      <c r="AJ90" s="49">
        <v>150.5</v>
      </c>
      <c r="AK90" s="49">
        <v>752.5</v>
      </c>
      <c r="AL90" s="52">
        <v>75.25</v>
      </c>
      <c r="AM90" s="52">
        <v>518.5</v>
      </c>
      <c r="AN90" s="52">
        <v>593.75</v>
      </c>
      <c r="AO90" s="59">
        <v>0.78903654485049834</v>
      </c>
      <c r="AP90" s="60">
        <v>158.75</v>
      </c>
      <c r="AQ90" s="61">
        <v>0.21096345514950166</v>
      </c>
      <c r="AR90" s="60" t="s">
        <v>78</v>
      </c>
      <c r="AS90" s="62">
        <v>375</v>
      </c>
      <c r="AT90" s="62">
        <v>589</v>
      </c>
      <c r="AU90" s="62">
        <v>964</v>
      </c>
      <c r="AV90" s="62">
        <v>1205</v>
      </c>
      <c r="AW90" s="47" t="s">
        <v>107</v>
      </c>
      <c r="AX90" s="64">
        <v>45325</v>
      </c>
      <c r="AY90" s="64" t="s">
        <v>5601</v>
      </c>
      <c r="BA90" s="64"/>
      <c r="BB90" s="64"/>
      <c r="BC90" s="64"/>
      <c r="BD90" s="46"/>
      <c r="BE90" s="46" t="e">
        <v>#REF!</v>
      </c>
      <c r="BF90" s="46" t="s">
        <v>75</v>
      </c>
      <c r="BG90" s="65">
        <v>2</v>
      </c>
      <c r="BH90" s="66"/>
      <c r="BI90" s="63" t="s">
        <v>5602</v>
      </c>
    </row>
    <row r="91" spans="1:61" ht="127.5" x14ac:dyDescent="0.2">
      <c r="A91" s="45" t="s">
        <v>5603</v>
      </c>
      <c r="B91" s="46"/>
      <c r="C91" s="46" t="s">
        <v>5555</v>
      </c>
      <c r="D91" s="46" t="s">
        <v>5570</v>
      </c>
      <c r="E91" s="46" t="s">
        <v>149</v>
      </c>
      <c r="F91" s="46" t="s">
        <v>129</v>
      </c>
      <c r="G91" s="46" t="s">
        <v>68</v>
      </c>
      <c r="H91" s="46" t="s">
        <v>68</v>
      </c>
      <c r="I91" s="46" t="s">
        <v>68</v>
      </c>
      <c r="J91" s="46" t="s">
        <v>71</v>
      </c>
      <c r="K91" s="47">
        <v>200</v>
      </c>
      <c r="L91" s="47">
        <f>(75*2)+30+10+10</f>
        <v>200</v>
      </c>
      <c r="M91" s="47">
        <v>400</v>
      </c>
      <c r="N91" s="46"/>
      <c r="O91" s="71" t="s">
        <v>68</v>
      </c>
      <c r="P91" s="64"/>
      <c r="Q91" s="46" t="s">
        <v>5504</v>
      </c>
      <c r="R91" s="46" t="s">
        <v>5507</v>
      </c>
      <c r="S91" s="49">
        <v>100</v>
      </c>
      <c r="T91" s="49">
        <v>500</v>
      </c>
      <c r="U91" s="28">
        <v>0.24</v>
      </c>
      <c r="V91" s="67">
        <v>0.3</v>
      </c>
      <c r="W91" s="51">
        <v>1</v>
      </c>
      <c r="X91" s="52">
        <v>50</v>
      </c>
      <c r="Y91" s="52">
        <v>30</v>
      </c>
      <c r="Z91" s="52">
        <v>300</v>
      </c>
      <c r="AA91" s="52">
        <v>380</v>
      </c>
      <c r="AB91" s="53">
        <v>0.76</v>
      </c>
      <c r="AC91" s="54">
        <v>120</v>
      </c>
      <c r="AD91" s="55">
        <v>0.24</v>
      </c>
      <c r="AE91" s="73">
        <v>3</v>
      </c>
      <c r="AF91" s="57" t="s">
        <v>95</v>
      </c>
      <c r="AG91" s="58">
        <v>200</v>
      </c>
      <c r="AH91" s="58">
        <v>200</v>
      </c>
      <c r="AI91" s="58">
        <v>400</v>
      </c>
      <c r="AJ91" s="49">
        <v>100</v>
      </c>
      <c r="AK91" s="49">
        <v>500</v>
      </c>
      <c r="AL91" s="52">
        <v>50</v>
      </c>
      <c r="AM91" s="52">
        <v>300</v>
      </c>
      <c r="AN91" s="52">
        <v>350</v>
      </c>
      <c r="AO91" s="59">
        <v>0.7</v>
      </c>
      <c r="AP91" s="60">
        <v>150</v>
      </c>
      <c r="AQ91" s="61">
        <v>0.3</v>
      </c>
      <c r="AR91" s="60" t="s">
        <v>78</v>
      </c>
      <c r="AS91" s="62">
        <v>320</v>
      </c>
      <c r="AT91" s="62">
        <v>320</v>
      </c>
      <c r="AU91" s="62">
        <v>640</v>
      </c>
      <c r="AV91" s="62">
        <v>800</v>
      </c>
      <c r="AW91" s="47" t="s">
        <v>107</v>
      </c>
      <c r="AX91" s="64">
        <v>45068</v>
      </c>
      <c r="AY91" s="64" t="s">
        <v>5604</v>
      </c>
      <c r="BA91" s="64"/>
      <c r="BB91" s="64"/>
      <c r="BC91" s="64"/>
      <c r="BD91" s="46"/>
      <c r="BE91" s="46" t="e">
        <v>#REF!</v>
      </c>
      <c r="BF91" s="46" t="s">
        <v>75</v>
      </c>
      <c r="BG91" s="65">
        <v>0.75</v>
      </c>
      <c r="BH91" s="66" t="s">
        <v>5605</v>
      </c>
      <c r="BI91" s="63" t="s">
        <v>5606</v>
      </c>
    </row>
    <row r="92" spans="1:61" ht="127.5" x14ac:dyDescent="0.2">
      <c r="A92" s="45" t="s">
        <v>5607</v>
      </c>
      <c r="B92" s="46"/>
      <c r="C92" s="46" t="s">
        <v>5555</v>
      </c>
      <c r="D92" s="46" t="s">
        <v>5570</v>
      </c>
      <c r="E92" s="46" t="s">
        <v>149</v>
      </c>
      <c r="F92" s="46" t="s">
        <v>132</v>
      </c>
      <c r="G92" s="46" t="s">
        <v>68</v>
      </c>
      <c r="H92" s="46" t="s">
        <v>68</v>
      </c>
      <c r="I92" s="46" t="s">
        <v>68</v>
      </c>
      <c r="J92" s="46" t="s">
        <v>71</v>
      </c>
      <c r="K92" s="47">
        <f t="shared" ref="K92:K95" si="6">ROUND( K91*1.04,0)</f>
        <v>208</v>
      </c>
      <c r="L92" s="47">
        <f t="shared" ref="L92:L95" si="7">ROUND( L91*1.25,0)</f>
        <v>250</v>
      </c>
      <c r="M92" s="47">
        <v>458</v>
      </c>
      <c r="N92" s="46"/>
      <c r="O92" s="71" t="s">
        <v>68</v>
      </c>
      <c r="P92" s="64"/>
      <c r="Q92" s="46" t="s">
        <v>5504</v>
      </c>
      <c r="R92" s="46" t="s">
        <v>5507</v>
      </c>
      <c r="S92" s="49">
        <v>114.5</v>
      </c>
      <c r="T92" s="49">
        <v>572.5</v>
      </c>
      <c r="U92" s="28">
        <v>0.2109170305676856</v>
      </c>
      <c r="V92" s="28">
        <v>0.26331877729257641</v>
      </c>
      <c r="W92" s="74">
        <v>1.2019230769230769</v>
      </c>
      <c r="X92" s="52">
        <v>57.25</v>
      </c>
      <c r="Y92" s="52">
        <v>30</v>
      </c>
      <c r="Z92" s="52">
        <v>364.5</v>
      </c>
      <c r="AA92" s="52">
        <v>451.75</v>
      </c>
      <c r="AB92" s="53">
        <v>0.78908296943231437</v>
      </c>
      <c r="AC92" s="72">
        <v>120.75</v>
      </c>
      <c r="AD92" s="55">
        <v>0.2109170305676856</v>
      </c>
      <c r="AE92" s="73">
        <v>3</v>
      </c>
      <c r="AF92" s="57" t="s">
        <v>95</v>
      </c>
      <c r="AG92" s="58">
        <v>208</v>
      </c>
      <c r="AH92" s="58">
        <v>250</v>
      </c>
      <c r="AI92" s="58">
        <v>458</v>
      </c>
      <c r="AJ92" s="49">
        <v>114.5</v>
      </c>
      <c r="AK92" s="49">
        <v>572.5</v>
      </c>
      <c r="AL92" s="52">
        <v>57.25</v>
      </c>
      <c r="AM92" s="52">
        <v>364.5</v>
      </c>
      <c r="AN92" s="52">
        <v>421.75</v>
      </c>
      <c r="AO92" s="59">
        <v>0.73668122270742353</v>
      </c>
      <c r="AP92" s="60">
        <v>150.75</v>
      </c>
      <c r="AQ92" s="61">
        <v>0.26331877729257641</v>
      </c>
      <c r="AR92" s="60" t="s">
        <v>78</v>
      </c>
      <c r="AS92" s="62">
        <v>333</v>
      </c>
      <c r="AT92" s="62">
        <v>400</v>
      </c>
      <c r="AU92" s="62">
        <v>733</v>
      </c>
      <c r="AV92" s="62">
        <v>916.25</v>
      </c>
      <c r="AW92" s="47" t="s">
        <v>107</v>
      </c>
      <c r="AX92" s="64">
        <v>45325</v>
      </c>
      <c r="AY92" s="64" t="s">
        <v>5608</v>
      </c>
      <c r="BA92" s="64"/>
      <c r="BB92" s="64"/>
      <c r="BC92" s="64"/>
      <c r="BD92" s="46"/>
      <c r="BE92" s="46" t="e">
        <v>#REF!</v>
      </c>
      <c r="BF92" s="46" t="s">
        <v>75</v>
      </c>
      <c r="BG92" s="65">
        <v>1</v>
      </c>
      <c r="BH92" s="66"/>
      <c r="BI92" s="63" t="s">
        <v>5609</v>
      </c>
    </row>
    <row r="93" spans="1:61" ht="127.5" x14ac:dyDescent="0.2">
      <c r="A93" s="45" t="s">
        <v>5610</v>
      </c>
      <c r="B93" s="46"/>
      <c r="C93" s="46" t="s">
        <v>5555</v>
      </c>
      <c r="D93" s="46" t="s">
        <v>5570</v>
      </c>
      <c r="E93" s="46" t="s">
        <v>149</v>
      </c>
      <c r="F93" s="46" t="s">
        <v>141</v>
      </c>
      <c r="G93" s="46" t="s">
        <v>68</v>
      </c>
      <c r="H93" s="46" t="s">
        <v>68</v>
      </c>
      <c r="I93" s="46" t="s">
        <v>68</v>
      </c>
      <c r="J93" s="46" t="s">
        <v>71</v>
      </c>
      <c r="K93" s="47">
        <f t="shared" si="6"/>
        <v>216</v>
      </c>
      <c r="L93" s="47">
        <f t="shared" si="7"/>
        <v>313</v>
      </c>
      <c r="M93" s="47">
        <v>529</v>
      </c>
      <c r="N93" s="46"/>
      <c r="O93" s="71" t="s">
        <v>68</v>
      </c>
      <c r="P93" s="64"/>
      <c r="Q93" s="46" t="s">
        <v>5504</v>
      </c>
      <c r="R93" s="46" t="s">
        <v>5507</v>
      </c>
      <c r="S93" s="49">
        <v>132.25</v>
      </c>
      <c r="T93" s="49">
        <v>661.25</v>
      </c>
      <c r="U93" s="50">
        <v>0.18128544423440454</v>
      </c>
      <c r="V93" s="28">
        <v>0.22665406427221171</v>
      </c>
      <c r="W93" s="74">
        <v>1.4490740740740742</v>
      </c>
      <c r="X93" s="52">
        <v>66.125</v>
      </c>
      <c r="Y93" s="52">
        <v>30</v>
      </c>
      <c r="Z93" s="52">
        <v>445.25</v>
      </c>
      <c r="AA93" s="52">
        <v>541.375</v>
      </c>
      <c r="AB93" s="53">
        <v>0.81871455576559549</v>
      </c>
      <c r="AC93" s="54">
        <v>119.875</v>
      </c>
      <c r="AD93" s="55">
        <v>0.18128544423440454</v>
      </c>
      <c r="AE93" s="73">
        <v>3</v>
      </c>
      <c r="AF93" s="57" t="s">
        <v>95</v>
      </c>
      <c r="AG93" s="58">
        <v>216</v>
      </c>
      <c r="AH93" s="58">
        <v>313</v>
      </c>
      <c r="AI93" s="58">
        <v>529</v>
      </c>
      <c r="AJ93" s="49">
        <v>132.25</v>
      </c>
      <c r="AK93" s="49">
        <v>661.25</v>
      </c>
      <c r="AL93" s="52">
        <v>66.125</v>
      </c>
      <c r="AM93" s="52">
        <v>445.25</v>
      </c>
      <c r="AN93" s="52">
        <v>511.375</v>
      </c>
      <c r="AO93" s="59">
        <v>0.77334593572778831</v>
      </c>
      <c r="AP93" s="60">
        <v>149.875</v>
      </c>
      <c r="AQ93" s="61">
        <v>0.22665406427221171</v>
      </c>
      <c r="AR93" s="60" t="s">
        <v>78</v>
      </c>
      <c r="AS93" s="62">
        <v>346</v>
      </c>
      <c r="AT93" s="62">
        <v>501</v>
      </c>
      <c r="AU93" s="62">
        <v>847</v>
      </c>
      <c r="AV93" s="62">
        <v>1058.75</v>
      </c>
      <c r="AW93" s="47" t="s">
        <v>107</v>
      </c>
      <c r="AX93" s="64">
        <v>45325</v>
      </c>
      <c r="AY93" s="64" t="s">
        <v>5611</v>
      </c>
      <c r="BA93" s="64"/>
      <c r="BB93" s="64"/>
      <c r="BC93" s="64"/>
      <c r="BD93" s="46"/>
      <c r="BE93" s="46" t="e">
        <v>#REF!</v>
      </c>
      <c r="BF93" s="46" t="s">
        <v>75</v>
      </c>
      <c r="BG93" s="65">
        <v>1.25</v>
      </c>
      <c r="BH93" s="66"/>
      <c r="BI93" s="63" t="s">
        <v>5612</v>
      </c>
    </row>
    <row r="94" spans="1:61" ht="127.5" x14ac:dyDescent="0.2">
      <c r="A94" s="45" t="s">
        <v>5613</v>
      </c>
      <c r="B94" s="46"/>
      <c r="C94" s="46" t="s">
        <v>5555</v>
      </c>
      <c r="D94" s="46" t="s">
        <v>5570</v>
      </c>
      <c r="E94" s="46" t="s">
        <v>149</v>
      </c>
      <c r="F94" s="46" t="s">
        <v>5581</v>
      </c>
      <c r="G94" s="46" t="s">
        <v>68</v>
      </c>
      <c r="H94" s="46" t="s">
        <v>68</v>
      </c>
      <c r="I94" s="46" t="s">
        <v>68</v>
      </c>
      <c r="J94" s="46" t="s">
        <v>71</v>
      </c>
      <c r="K94" s="47">
        <f t="shared" si="6"/>
        <v>225</v>
      </c>
      <c r="L94" s="47">
        <f t="shared" si="7"/>
        <v>391</v>
      </c>
      <c r="M94" s="47">
        <v>616</v>
      </c>
      <c r="N94" s="46"/>
      <c r="O94" s="71" t="s">
        <v>68</v>
      </c>
      <c r="P94" s="64"/>
      <c r="Q94" s="46" t="s">
        <v>5504</v>
      </c>
      <c r="R94" s="46" t="s">
        <v>5507</v>
      </c>
      <c r="S94" s="49">
        <v>154</v>
      </c>
      <c r="T94" s="49">
        <v>770</v>
      </c>
      <c r="U94" s="50">
        <v>0.15324675324675324</v>
      </c>
      <c r="V94" s="50">
        <v>0.19220779220779222</v>
      </c>
      <c r="W94" s="77">
        <v>1.7377777777777779</v>
      </c>
      <c r="X94" s="52">
        <v>77</v>
      </c>
      <c r="Y94" s="52">
        <v>30</v>
      </c>
      <c r="Z94" s="52">
        <v>545</v>
      </c>
      <c r="AA94" s="52">
        <v>652</v>
      </c>
      <c r="AB94" s="53">
        <v>0.8467532467532467</v>
      </c>
      <c r="AC94" s="54">
        <v>118</v>
      </c>
      <c r="AD94" s="55">
        <v>0.15324675324675324</v>
      </c>
      <c r="AE94" s="73">
        <v>3</v>
      </c>
      <c r="AF94" s="57" t="s">
        <v>95</v>
      </c>
      <c r="AG94" s="58">
        <v>225</v>
      </c>
      <c r="AH94" s="58">
        <v>391</v>
      </c>
      <c r="AI94" s="58">
        <v>616</v>
      </c>
      <c r="AJ94" s="49">
        <v>154</v>
      </c>
      <c r="AK94" s="49">
        <v>770</v>
      </c>
      <c r="AL94" s="52">
        <v>77</v>
      </c>
      <c r="AM94" s="52">
        <v>545</v>
      </c>
      <c r="AN94" s="52">
        <v>622</v>
      </c>
      <c r="AO94" s="59">
        <v>0.80779220779220784</v>
      </c>
      <c r="AP94" s="60">
        <v>148</v>
      </c>
      <c r="AQ94" s="61">
        <v>0.19220779220779222</v>
      </c>
      <c r="AR94" s="60" t="s">
        <v>73</v>
      </c>
      <c r="AS94" s="62">
        <v>360</v>
      </c>
      <c r="AT94" s="62">
        <v>626</v>
      </c>
      <c r="AU94" s="62">
        <v>986</v>
      </c>
      <c r="AV94" s="62">
        <v>1232.5</v>
      </c>
      <c r="AW94" s="47" t="s">
        <v>107</v>
      </c>
      <c r="AX94" s="64">
        <v>45325</v>
      </c>
      <c r="AY94" s="64" t="s">
        <v>5614</v>
      </c>
      <c r="BA94" s="64"/>
      <c r="BB94" s="64"/>
      <c r="BC94" s="64"/>
      <c r="BD94" s="46"/>
      <c r="BE94" s="46" t="e">
        <v>#REF!</v>
      </c>
      <c r="BF94" s="46" t="s">
        <v>75</v>
      </c>
      <c r="BG94" s="65">
        <v>1.5</v>
      </c>
      <c r="BH94" s="66"/>
      <c r="BI94" s="63" t="s">
        <v>5615</v>
      </c>
    </row>
    <row r="95" spans="1:61" ht="127.5" x14ac:dyDescent="0.2">
      <c r="A95" s="45" t="s">
        <v>5616</v>
      </c>
      <c r="B95" s="46"/>
      <c r="C95" s="46" t="s">
        <v>5555</v>
      </c>
      <c r="D95" s="46" t="s">
        <v>5570</v>
      </c>
      <c r="E95" s="46" t="s">
        <v>149</v>
      </c>
      <c r="F95" s="46" t="s">
        <v>4775</v>
      </c>
      <c r="G95" s="46" t="s">
        <v>68</v>
      </c>
      <c r="H95" s="46" t="s">
        <v>68</v>
      </c>
      <c r="I95" s="46" t="s">
        <v>68</v>
      </c>
      <c r="J95" s="46" t="s">
        <v>71</v>
      </c>
      <c r="K95" s="47">
        <f t="shared" si="6"/>
        <v>234</v>
      </c>
      <c r="L95" s="47">
        <f t="shared" si="7"/>
        <v>489</v>
      </c>
      <c r="M95" s="47">
        <v>723</v>
      </c>
      <c r="N95" s="46"/>
      <c r="O95" s="71" t="s">
        <v>68</v>
      </c>
      <c r="P95" s="64"/>
      <c r="Q95" s="46" t="s">
        <v>5504</v>
      </c>
      <c r="R95" s="46" t="s">
        <v>5507</v>
      </c>
      <c r="S95" s="49">
        <v>180.75</v>
      </c>
      <c r="T95" s="49">
        <v>903.75</v>
      </c>
      <c r="U95" s="50">
        <v>0.12572614107883817</v>
      </c>
      <c r="V95" s="50">
        <v>0.15892116182572613</v>
      </c>
      <c r="W95" s="77">
        <v>2.0897435897435899</v>
      </c>
      <c r="X95" s="52">
        <v>90.375</v>
      </c>
      <c r="Y95" s="52">
        <v>30</v>
      </c>
      <c r="Z95" s="52">
        <v>669.75</v>
      </c>
      <c r="AA95" s="52">
        <v>790.125</v>
      </c>
      <c r="AB95" s="53">
        <v>0.87427385892116183</v>
      </c>
      <c r="AC95" s="54">
        <v>113.625</v>
      </c>
      <c r="AD95" s="55">
        <v>0.12572614107883817</v>
      </c>
      <c r="AE95" s="73">
        <v>3</v>
      </c>
      <c r="AF95" s="57" t="s">
        <v>95</v>
      </c>
      <c r="AG95" s="58">
        <v>234</v>
      </c>
      <c r="AH95" s="58">
        <v>489</v>
      </c>
      <c r="AI95" s="58">
        <v>723</v>
      </c>
      <c r="AJ95" s="49">
        <v>180.75</v>
      </c>
      <c r="AK95" s="49">
        <v>903.75</v>
      </c>
      <c r="AL95" s="52">
        <v>90.375</v>
      </c>
      <c r="AM95" s="52">
        <v>669.75</v>
      </c>
      <c r="AN95" s="52">
        <v>760.125</v>
      </c>
      <c r="AO95" s="59">
        <v>0.84107883817427387</v>
      </c>
      <c r="AP95" s="60">
        <v>143.625</v>
      </c>
      <c r="AQ95" s="61">
        <v>0.15892116182572613</v>
      </c>
      <c r="AR95" s="60" t="s">
        <v>73</v>
      </c>
      <c r="AS95" s="62">
        <v>375</v>
      </c>
      <c r="AT95" s="62">
        <v>783</v>
      </c>
      <c r="AU95" s="62">
        <v>1158</v>
      </c>
      <c r="AV95" s="62">
        <v>1447.5</v>
      </c>
      <c r="AW95" s="47" t="s">
        <v>107</v>
      </c>
      <c r="AX95" s="64">
        <v>45325</v>
      </c>
      <c r="AY95" s="64" t="s">
        <v>5617</v>
      </c>
      <c r="BA95" s="64"/>
      <c r="BB95" s="64"/>
      <c r="BC95" s="64"/>
      <c r="BD95" s="46"/>
      <c r="BE95" s="46" t="e">
        <v>#REF!</v>
      </c>
      <c r="BF95" s="46" t="s">
        <v>75</v>
      </c>
      <c r="BG95" s="65">
        <v>2</v>
      </c>
      <c r="BH95" s="66"/>
      <c r="BI95" s="63" t="s">
        <v>5618</v>
      </c>
    </row>
    <row r="96" spans="1:61" ht="127.5" x14ac:dyDescent="0.2">
      <c r="A96" s="45" t="s">
        <v>5619</v>
      </c>
      <c r="B96" s="46"/>
      <c r="C96" s="46" t="s">
        <v>5555</v>
      </c>
      <c r="D96" s="46" t="s">
        <v>5570</v>
      </c>
      <c r="E96" s="46" t="s">
        <v>5620</v>
      </c>
      <c r="F96" s="46" t="s">
        <v>129</v>
      </c>
      <c r="G96" s="46" t="s">
        <v>68</v>
      </c>
      <c r="H96" s="46" t="s">
        <v>68</v>
      </c>
      <c r="I96" s="46" t="s">
        <v>68</v>
      </c>
      <c r="J96" s="46" t="s">
        <v>71</v>
      </c>
      <c r="K96" s="47">
        <v>220</v>
      </c>
      <c r="L96" s="47">
        <f>(100*2)+30+10+10</f>
        <v>250</v>
      </c>
      <c r="M96" s="47">
        <v>470</v>
      </c>
      <c r="N96" s="46"/>
      <c r="O96" s="71" t="s">
        <v>68</v>
      </c>
      <c r="P96" s="64"/>
      <c r="Q96" s="46" t="s">
        <v>5504</v>
      </c>
      <c r="R96" s="46" t="s">
        <v>5507</v>
      </c>
      <c r="S96" s="49">
        <v>117.5</v>
      </c>
      <c r="T96" s="49">
        <v>587.5</v>
      </c>
      <c r="U96" s="28">
        <v>0.22340425531914893</v>
      </c>
      <c r="V96" s="28">
        <v>0.27446808510638299</v>
      </c>
      <c r="W96" s="74">
        <v>1.1363636363636365</v>
      </c>
      <c r="X96" s="52">
        <v>58.75</v>
      </c>
      <c r="Y96" s="52">
        <v>30</v>
      </c>
      <c r="Z96" s="52">
        <v>367.5</v>
      </c>
      <c r="AA96" s="52">
        <v>456.25</v>
      </c>
      <c r="AB96" s="53">
        <v>0.77659574468085102</v>
      </c>
      <c r="AC96" s="72">
        <v>131.25</v>
      </c>
      <c r="AD96" s="55">
        <v>0.22340425531914893</v>
      </c>
      <c r="AE96" s="73">
        <v>3</v>
      </c>
      <c r="AF96" s="57" t="s">
        <v>95</v>
      </c>
      <c r="AG96" s="58">
        <v>220</v>
      </c>
      <c r="AH96" s="58">
        <v>250</v>
      </c>
      <c r="AI96" s="58">
        <v>470</v>
      </c>
      <c r="AJ96" s="49">
        <v>117.5</v>
      </c>
      <c r="AK96" s="49">
        <v>587.5</v>
      </c>
      <c r="AL96" s="52">
        <v>58.75</v>
      </c>
      <c r="AM96" s="52">
        <v>367.5</v>
      </c>
      <c r="AN96" s="52">
        <v>426.25</v>
      </c>
      <c r="AO96" s="59">
        <v>0.72553191489361701</v>
      </c>
      <c r="AP96" s="60">
        <v>161.25</v>
      </c>
      <c r="AQ96" s="61">
        <v>0.27446808510638299</v>
      </c>
      <c r="AR96" s="60" t="s">
        <v>78</v>
      </c>
      <c r="AS96" s="62">
        <v>352</v>
      </c>
      <c r="AT96" s="62">
        <v>400</v>
      </c>
      <c r="AU96" s="62">
        <v>752</v>
      </c>
      <c r="AV96" s="62">
        <v>940</v>
      </c>
      <c r="AW96" s="47" t="s">
        <v>107</v>
      </c>
      <c r="AX96" s="64">
        <v>45068</v>
      </c>
      <c r="AY96" s="64" t="s">
        <v>5621</v>
      </c>
      <c r="BA96" s="64"/>
      <c r="BB96" s="64"/>
      <c r="BC96" s="64"/>
      <c r="BD96" s="46"/>
      <c r="BE96" s="46" t="e">
        <v>#REF!</v>
      </c>
      <c r="BF96" s="46" t="s">
        <v>75</v>
      </c>
      <c r="BG96" s="65">
        <v>0.75</v>
      </c>
      <c r="BH96" s="66" t="s">
        <v>5622</v>
      </c>
      <c r="BI96" s="63" t="s">
        <v>5623</v>
      </c>
    </row>
    <row r="97" spans="1:61" ht="127.5" x14ac:dyDescent="0.2">
      <c r="A97" s="45" t="s">
        <v>5624</v>
      </c>
      <c r="B97" s="46"/>
      <c r="C97" s="46" t="s">
        <v>5555</v>
      </c>
      <c r="D97" s="46" t="s">
        <v>5570</v>
      </c>
      <c r="E97" s="46" t="s">
        <v>5620</v>
      </c>
      <c r="F97" s="46" t="s">
        <v>132</v>
      </c>
      <c r="G97" s="46" t="s">
        <v>68</v>
      </c>
      <c r="H97" s="46" t="s">
        <v>68</v>
      </c>
      <c r="I97" s="46" t="s">
        <v>68</v>
      </c>
      <c r="J97" s="46" t="s">
        <v>71</v>
      </c>
      <c r="K97" s="47">
        <f t="shared" ref="K97:K100" si="8">ROUND( K96*1.04,0)</f>
        <v>229</v>
      </c>
      <c r="L97" s="47">
        <f t="shared" ref="L97:L100" si="9">ROUND( L96*1.25,0)</f>
        <v>313</v>
      </c>
      <c r="M97" s="47">
        <v>542</v>
      </c>
      <c r="N97" s="46"/>
      <c r="O97" s="71" t="s">
        <v>68</v>
      </c>
      <c r="P97" s="64"/>
      <c r="Q97" s="46" t="s">
        <v>5504</v>
      </c>
      <c r="R97" s="46" t="s">
        <v>5507</v>
      </c>
      <c r="S97" s="49">
        <v>135.5</v>
      </c>
      <c r="T97" s="49">
        <v>677.5</v>
      </c>
      <c r="U97" s="50">
        <v>0.19372693726937271</v>
      </c>
      <c r="V97" s="28">
        <v>0.23800738007380073</v>
      </c>
      <c r="W97" s="74">
        <v>1.3668122270742358</v>
      </c>
      <c r="X97" s="52">
        <v>67.75</v>
      </c>
      <c r="Y97" s="52">
        <v>30</v>
      </c>
      <c r="Z97" s="52">
        <v>448.5</v>
      </c>
      <c r="AA97" s="52">
        <v>546.25</v>
      </c>
      <c r="AB97" s="53">
        <v>0.80627306273062727</v>
      </c>
      <c r="AC97" s="72">
        <v>131.25</v>
      </c>
      <c r="AD97" s="55">
        <v>0.19372693726937271</v>
      </c>
      <c r="AE97" s="73">
        <v>3</v>
      </c>
      <c r="AF97" s="57" t="s">
        <v>95</v>
      </c>
      <c r="AG97" s="58">
        <v>229</v>
      </c>
      <c r="AH97" s="58">
        <v>313</v>
      </c>
      <c r="AI97" s="58">
        <v>542</v>
      </c>
      <c r="AJ97" s="49">
        <v>135.5</v>
      </c>
      <c r="AK97" s="49">
        <v>677.5</v>
      </c>
      <c r="AL97" s="52">
        <v>67.75</v>
      </c>
      <c r="AM97" s="52">
        <v>448.5</v>
      </c>
      <c r="AN97" s="52">
        <v>516.25</v>
      </c>
      <c r="AO97" s="59">
        <v>0.76199261992619927</v>
      </c>
      <c r="AP97" s="60">
        <v>161.25</v>
      </c>
      <c r="AQ97" s="61">
        <v>0.23800738007380073</v>
      </c>
      <c r="AR97" s="60" t="s">
        <v>78</v>
      </c>
      <c r="AS97" s="62">
        <v>367</v>
      </c>
      <c r="AT97" s="62">
        <v>501</v>
      </c>
      <c r="AU97" s="62">
        <v>868</v>
      </c>
      <c r="AV97" s="62">
        <v>1085</v>
      </c>
      <c r="AW97" s="47" t="s">
        <v>107</v>
      </c>
      <c r="AX97" s="64">
        <v>45325</v>
      </c>
      <c r="AY97" s="64" t="s">
        <v>5625</v>
      </c>
      <c r="BA97" s="64"/>
      <c r="BB97" s="64"/>
      <c r="BC97" s="64"/>
      <c r="BD97" s="46"/>
      <c r="BE97" s="46" t="e">
        <v>#REF!</v>
      </c>
      <c r="BF97" s="46" t="s">
        <v>75</v>
      </c>
      <c r="BG97" s="65">
        <v>1</v>
      </c>
      <c r="BH97" s="66"/>
      <c r="BI97" s="63" t="s">
        <v>5626</v>
      </c>
    </row>
    <row r="98" spans="1:61" ht="127.5" x14ac:dyDescent="0.2">
      <c r="A98" s="45" t="s">
        <v>5627</v>
      </c>
      <c r="B98" s="46"/>
      <c r="C98" s="46" t="s">
        <v>5555</v>
      </c>
      <c r="D98" s="46" t="s">
        <v>5570</v>
      </c>
      <c r="E98" s="46" t="s">
        <v>5620</v>
      </c>
      <c r="F98" s="46" t="s">
        <v>141</v>
      </c>
      <c r="G98" s="46" t="s">
        <v>68</v>
      </c>
      <c r="H98" s="46" t="s">
        <v>68</v>
      </c>
      <c r="I98" s="46" t="s">
        <v>68</v>
      </c>
      <c r="J98" s="46" t="s">
        <v>71</v>
      </c>
      <c r="K98" s="47">
        <f t="shared" si="8"/>
        <v>238</v>
      </c>
      <c r="L98" s="47">
        <f t="shared" si="9"/>
        <v>391</v>
      </c>
      <c r="M98" s="47">
        <v>629</v>
      </c>
      <c r="N98" s="46"/>
      <c r="O98" s="71" t="s">
        <v>68</v>
      </c>
      <c r="P98" s="64"/>
      <c r="Q98" s="46" t="s">
        <v>5504</v>
      </c>
      <c r="R98" s="46" t="s">
        <v>5507</v>
      </c>
      <c r="S98" s="49">
        <v>157.25</v>
      </c>
      <c r="T98" s="49">
        <v>786.25</v>
      </c>
      <c r="U98" s="50">
        <v>0.16454689984101747</v>
      </c>
      <c r="V98" s="28">
        <v>0.20270270270270271</v>
      </c>
      <c r="W98" s="77">
        <v>1.6428571428571428</v>
      </c>
      <c r="X98" s="52">
        <v>78.625</v>
      </c>
      <c r="Y98" s="52">
        <v>30</v>
      </c>
      <c r="Z98" s="52">
        <v>548.25</v>
      </c>
      <c r="AA98" s="52">
        <v>656.875</v>
      </c>
      <c r="AB98" s="53">
        <v>0.83545310015898255</v>
      </c>
      <c r="AC98" s="72">
        <v>129.375</v>
      </c>
      <c r="AD98" s="55">
        <v>0.16454689984101747</v>
      </c>
      <c r="AE98" s="73">
        <v>3</v>
      </c>
      <c r="AF98" s="57" t="s">
        <v>95</v>
      </c>
      <c r="AG98" s="58">
        <v>238</v>
      </c>
      <c r="AH98" s="58">
        <v>391</v>
      </c>
      <c r="AI98" s="58">
        <v>629</v>
      </c>
      <c r="AJ98" s="49">
        <v>157.25</v>
      </c>
      <c r="AK98" s="49">
        <v>786.25</v>
      </c>
      <c r="AL98" s="52">
        <v>78.625</v>
      </c>
      <c r="AM98" s="52">
        <v>548.25</v>
      </c>
      <c r="AN98" s="52">
        <v>626.875</v>
      </c>
      <c r="AO98" s="59">
        <v>0.79729729729729726</v>
      </c>
      <c r="AP98" s="60">
        <v>159.375</v>
      </c>
      <c r="AQ98" s="61">
        <v>0.20270270270270271</v>
      </c>
      <c r="AR98" s="60" t="s">
        <v>78</v>
      </c>
      <c r="AS98" s="62">
        <v>381</v>
      </c>
      <c r="AT98" s="62">
        <v>626</v>
      </c>
      <c r="AU98" s="62">
        <v>1007</v>
      </c>
      <c r="AV98" s="62">
        <v>1258.75</v>
      </c>
      <c r="AW98" s="47" t="s">
        <v>107</v>
      </c>
      <c r="AX98" s="64">
        <v>45325</v>
      </c>
      <c r="AY98" s="64" t="s">
        <v>5628</v>
      </c>
      <c r="BA98" s="64"/>
      <c r="BB98" s="64"/>
      <c r="BC98" s="64"/>
      <c r="BD98" s="46"/>
      <c r="BE98" s="46" t="e">
        <v>#REF!</v>
      </c>
      <c r="BF98" s="46" t="s">
        <v>75</v>
      </c>
      <c r="BG98" s="65">
        <v>1.25</v>
      </c>
      <c r="BH98" s="66"/>
      <c r="BI98" s="63" t="s">
        <v>5629</v>
      </c>
    </row>
    <row r="99" spans="1:61" ht="127.5" x14ac:dyDescent="0.2">
      <c r="A99" s="45" t="s">
        <v>5630</v>
      </c>
      <c r="B99" s="46"/>
      <c r="C99" s="46" t="s">
        <v>5555</v>
      </c>
      <c r="D99" s="46" t="s">
        <v>5570</v>
      </c>
      <c r="E99" s="46" t="s">
        <v>5620</v>
      </c>
      <c r="F99" s="46" t="s">
        <v>5581</v>
      </c>
      <c r="G99" s="46" t="s">
        <v>68</v>
      </c>
      <c r="H99" s="46" t="s">
        <v>68</v>
      </c>
      <c r="I99" s="46" t="s">
        <v>68</v>
      </c>
      <c r="J99" s="46" t="s">
        <v>71</v>
      </c>
      <c r="K99" s="47">
        <f t="shared" si="8"/>
        <v>248</v>
      </c>
      <c r="L99" s="47">
        <f t="shared" si="9"/>
        <v>489</v>
      </c>
      <c r="M99" s="47">
        <v>737</v>
      </c>
      <c r="N99" s="46"/>
      <c r="O99" s="71" t="s">
        <v>68</v>
      </c>
      <c r="P99" s="64"/>
      <c r="Q99" s="46" t="s">
        <v>5504</v>
      </c>
      <c r="R99" s="46" t="s">
        <v>5507</v>
      </c>
      <c r="S99" s="49">
        <v>184.25</v>
      </c>
      <c r="T99" s="49">
        <v>921.25</v>
      </c>
      <c r="U99" s="50">
        <v>0.13663500678426052</v>
      </c>
      <c r="V99" s="50">
        <v>0.16919945725915875</v>
      </c>
      <c r="W99" s="77">
        <v>1.971774193548387</v>
      </c>
      <c r="X99" s="52">
        <v>92.125</v>
      </c>
      <c r="Y99" s="52">
        <v>30</v>
      </c>
      <c r="Z99" s="52">
        <v>673.25</v>
      </c>
      <c r="AA99" s="52">
        <v>795.375</v>
      </c>
      <c r="AB99" s="53">
        <v>0.86336499321573945</v>
      </c>
      <c r="AC99" s="72">
        <v>125.875</v>
      </c>
      <c r="AD99" s="55">
        <v>0.13663500678426052</v>
      </c>
      <c r="AE99" s="73">
        <v>3</v>
      </c>
      <c r="AF99" s="57" t="s">
        <v>95</v>
      </c>
      <c r="AG99" s="58">
        <v>248</v>
      </c>
      <c r="AH99" s="58">
        <v>489</v>
      </c>
      <c r="AI99" s="58">
        <v>737</v>
      </c>
      <c r="AJ99" s="49">
        <v>184.25</v>
      </c>
      <c r="AK99" s="49">
        <v>921.25</v>
      </c>
      <c r="AL99" s="52">
        <v>92.125</v>
      </c>
      <c r="AM99" s="52">
        <v>673.25</v>
      </c>
      <c r="AN99" s="52">
        <v>765.375</v>
      </c>
      <c r="AO99" s="59">
        <v>0.83080054274084125</v>
      </c>
      <c r="AP99" s="60">
        <v>155.875</v>
      </c>
      <c r="AQ99" s="61">
        <v>0.16919945725915875</v>
      </c>
      <c r="AR99" s="60" t="s">
        <v>73</v>
      </c>
      <c r="AS99" s="62">
        <v>397</v>
      </c>
      <c r="AT99" s="62">
        <v>783</v>
      </c>
      <c r="AU99" s="62">
        <v>1180</v>
      </c>
      <c r="AV99" s="62">
        <v>1475</v>
      </c>
      <c r="AW99" s="47" t="s">
        <v>107</v>
      </c>
      <c r="AX99" s="64">
        <v>45325</v>
      </c>
      <c r="AY99" s="64" t="s">
        <v>5631</v>
      </c>
      <c r="BA99" s="64"/>
      <c r="BB99" s="64"/>
      <c r="BC99" s="64"/>
      <c r="BD99" s="46"/>
      <c r="BE99" s="46" t="e">
        <v>#REF!</v>
      </c>
      <c r="BF99" s="46" t="s">
        <v>75</v>
      </c>
      <c r="BG99" s="65">
        <v>1.5</v>
      </c>
      <c r="BH99" s="66"/>
      <c r="BI99" s="63" t="s">
        <v>5632</v>
      </c>
    </row>
    <row r="100" spans="1:61" ht="127.5" x14ac:dyDescent="0.2">
      <c r="A100" s="45" t="s">
        <v>5633</v>
      </c>
      <c r="B100" s="46"/>
      <c r="C100" s="46" t="s">
        <v>5555</v>
      </c>
      <c r="D100" s="46" t="s">
        <v>5570</v>
      </c>
      <c r="E100" s="46" t="s">
        <v>5620</v>
      </c>
      <c r="F100" s="46" t="s">
        <v>4775</v>
      </c>
      <c r="G100" s="46" t="s">
        <v>68</v>
      </c>
      <c r="H100" s="46" t="s">
        <v>68</v>
      </c>
      <c r="I100" s="46" t="s">
        <v>68</v>
      </c>
      <c r="J100" s="46" t="s">
        <v>71</v>
      </c>
      <c r="K100" s="47">
        <f t="shared" si="8"/>
        <v>258</v>
      </c>
      <c r="L100" s="47">
        <f t="shared" si="9"/>
        <v>611</v>
      </c>
      <c r="M100" s="47">
        <v>869</v>
      </c>
      <c r="N100" s="46"/>
      <c r="O100" s="71" t="s">
        <v>68</v>
      </c>
      <c r="P100" s="64"/>
      <c r="Q100" s="46" t="s">
        <v>5504</v>
      </c>
      <c r="R100" s="46" t="s">
        <v>5507</v>
      </c>
      <c r="S100" s="49">
        <v>217.25</v>
      </c>
      <c r="T100" s="49">
        <v>1086.25</v>
      </c>
      <c r="U100" s="50">
        <v>0.10989643268124281</v>
      </c>
      <c r="V100" s="50">
        <v>0.13751438434982738</v>
      </c>
      <c r="W100" s="77">
        <v>2.3682170542635661</v>
      </c>
      <c r="X100" s="52">
        <v>108.625</v>
      </c>
      <c r="Y100" s="52">
        <v>30</v>
      </c>
      <c r="Z100" s="52">
        <v>828.25</v>
      </c>
      <c r="AA100" s="52">
        <v>966.875</v>
      </c>
      <c r="AB100" s="53">
        <v>0.89010356731875717</v>
      </c>
      <c r="AC100" s="54">
        <v>119.375</v>
      </c>
      <c r="AD100" s="55">
        <v>0.10989643268124281</v>
      </c>
      <c r="AE100" s="73">
        <v>3</v>
      </c>
      <c r="AF100" s="57" t="s">
        <v>95</v>
      </c>
      <c r="AG100" s="58">
        <v>258</v>
      </c>
      <c r="AH100" s="58">
        <v>611</v>
      </c>
      <c r="AI100" s="58">
        <v>869</v>
      </c>
      <c r="AJ100" s="49">
        <v>217.25</v>
      </c>
      <c r="AK100" s="49">
        <v>1086.25</v>
      </c>
      <c r="AL100" s="52">
        <v>108.625</v>
      </c>
      <c r="AM100" s="52">
        <v>828.25</v>
      </c>
      <c r="AN100" s="52">
        <v>936.875</v>
      </c>
      <c r="AO100" s="59">
        <v>0.86248561565017257</v>
      </c>
      <c r="AP100" s="60">
        <v>149.375</v>
      </c>
      <c r="AQ100" s="61">
        <v>0.13751438434982738</v>
      </c>
      <c r="AR100" s="60" t="s">
        <v>73</v>
      </c>
      <c r="AS100" s="62">
        <v>413</v>
      </c>
      <c r="AT100" s="62">
        <v>978</v>
      </c>
      <c r="AU100" s="62">
        <v>1391</v>
      </c>
      <c r="AV100" s="62">
        <v>1738.75</v>
      </c>
      <c r="AW100" s="47" t="s">
        <v>107</v>
      </c>
      <c r="AX100" s="64">
        <v>45325</v>
      </c>
      <c r="AY100" s="64" t="s">
        <v>5634</v>
      </c>
      <c r="BA100" s="64"/>
      <c r="BB100" s="64"/>
      <c r="BC100" s="64"/>
      <c r="BD100" s="46"/>
      <c r="BE100" s="46" t="e">
        <v>#REF!</v>
      </c>
      <c r="BF100" s="46" t="s">
        <v>75</v>
      </c>
      <c r="BG100" s="65">
        <v>2</v>
      </c>
      <c r="BH100" s="66"/>
      <c r="BI100" s="63" t="s">
        <v>5635</v>
      </c>
    </row>
    <row r="101" spans="1:61" ht="89.25" x14ac:dyDescent="0.2">
      <c r="A101" s="45" t="s">
        <v>5636</v>
      </c>
      <c r="B101" s="46"/>
      <c r="C101" s="46" t="s">
        <v>5555</v>
      </c>
      <c r="D101" s="46" t="s">
        <v>5637</v>
      </c>
      <c r="E101" s="46" t="s">
        <v>129</v>
      </c>
      <c r="F101" s="46" t="s">
        <v>68</v>
      </c>
      <c r="G101" s="46" t="s">
        <v>68</v>
      </c>
      <c r="H101" s="46" t="s">
        <v>68</v>
      </c>
      <c r="I101" s="46" t="s">
        <v>68</v>
      </c>
      <c r="J101" s="46" t="s">
        <v>71</v>
      </c>
      <c r="K101" s="47">
        <f>K81</f>
        <v>200</v>
      </c>
      <c r="L101" s="47">
        <v>20</v>
      </c>
      <c r="M101" s="47">
        <v>220</v>
      </c>
      <c r="N101" s="46"/>
      <c r="O101" s="71" t="s">
        <v>68</v>
      </c>
      <c r="P101" s="64"/>
      <c r="Q101" s="46" t="s">
        <v>5504</v>
      </c>
      <c r="R101" s="46" t="s">
        <v>5507</v>
      </c>
      <c r="S101" s="49">
        <v>55</v>
      </c>
      <c r="T101" s="49">
        <v>275</v>
      </c>
      <c r="U101" s="67">
        <v>0.51818181818181819</v>
      </c>
      <c r="V101" s="67">
        <v>0.62727272727272732</v>
      </c>
      <c r="W101" s="51">
        <v>0.1</v>
      </c>
      <c r="X101" s="52">
        <v>27.5</v>
      </c>
      <c r="Y101" s="52">
        <v>30</v>
      </c>
      <c r="Z101" s="52">
        <v>75</v>
      </c>
      <c r="AA101" s="52">
        <v>132.5</v>
      </c>
      <c r="AB101" s="53">
        <v>0.48181818181818181</v>
      </c>
      <c r="AC101" s="72">
        <v>142.5</v>
      </c>
      <c r="AD101" s="55">
        <v>0.51818181818181819</v>
      </c>
      <c r="AE101" s="73">
        <v>3</v>
      </c>
      <c r="AF101" s="57" t="s">
        <v>95</v>
      </c>
      <c r="AG101" s="58">
        <v>200</v>
      </c>
      <c r="AH101" s="58">
        <v>20</v>
      </c>
      <c r="AI101" s="58">
        <v>220</v>
      </c>
      <c r="AJ101" s="49">
        <v>55</v>
      </c>
      <c r="AK101" s="49">
        <v>275</v>
      </c>
      <c r="AL101" s="52">
        <v>27.5</v>
      </c>
      <c r="AM101" s="52">
        <v>75</v>
      </c>
      <c r="AN101" s="52">
        <v>102.5</v>
      </c>
      <c r="AO101" s="59">
        <v>0.37272727272727274</v>
      </c>
      <c r="AP101" s="60">
        <v>172.5</v>
      </c>
      <c r="AQ101" s="61">
        <v>0.62727272727272732</v>
      </c>
      <c r="AR101" s="60" t="s">
        <v>78</v>
      </c>
      <c r="AS101" s="62">
        <v>320</v>
      </c>
      <c r="AT101" s="62">
        <v>32</v>
      </c>
      <c r="AU101" s="62">
        <v>352</v>
      </c>
      <c r="AV101" s="62">
        <v>440</v>
      </c>
      <c r="AW101" s="47" t="s">
        <v>107</v>
      </c>
      <c r="AX101" s="64">
        <v>45127</v>
      </c>
      <c r="AY101" s="64" t="s">
        <v>5638</v>
      </c>
      <c r="BA101" s="64"/>
      <c r="BB101" s="64"/>
      <c r="BC101" s="64"/>
      <c r="BD101" s="46"/>
      <c r="BE101" s="46" t="e">
        <v>#REF!</v>
      </c>
      <c r="BF101" s="46" t="s">
        <v>75</v>
      </c>
      <c r="BG101" s="65">
        <v>0.75</v>
      </c>
      <c r="BH101" s="66"/>
      <c r="BI101" s="63" t="s">
        <v>5639</v>
      </c>
    </row>
    <row r="102" spans="1:61" ht="89.25" x14ac:dyDescent="0.2">
      <c r="A102" s="45" t="s">
        <v>5640</v>
      </c>
      <c r="B102" s="46"/>
      <c r="C102" s="46" t="s">
        <v>5555</v>
      </c>
      <c r="D102" s="46" t="s">
        <v>5637</v>
      </c>
      <c r="E102" s="46" t="s">
        <v>132</v>
      </c>
      <c r="F102" s="46" t="s">
        <v>68</v>
      </c>
      <c r="G102" s="46" t="s">
        <v>68</v>
      </c>
      <c r="H102" s="46" t="s">
        <v>68</v>
      </c>
      <c r="I102" s="46" t="s">
        <v>68</v>
      </c>
      <c r="J102" s="46" t="s">
        <v>71</v>
      </c>
      <c r="K102" s="47">
        <f t="shared" ref="K102:K105" si="10">ROUND( K101*1.04,0)</f>
        <v>208</v>
      </c>
      <c r="L102" s="47">
        <f t="shared" ref="L102:L105" si="11">ROUND( L101*1.25,0)</f>
        <v>25</v>
      </c>
      <c r="M102" s="47">
        <v>233</v>
      </c>
      <c r="N102" s="46"/>
      <c r="O102" s="71" t="s">
        <v>68</v>
      </c>
      <c r="P102" s="64"/>
      <c r="Q102" s="46" t="s">
        <v>5504</v>
      </c>
      <c r="R102" s="46" t="s">
        <v>5507</v>
      </c>
      <c r="S102" s="49">
        <v>58.25</v>
      </c>
      <c r="T102" s="49">
        <v>291.25</v>
      </c>
      <c r="U102" s="67">
        <v>0.51115879828326183</v>
      </c>
      <c r="V102" s="67">
        <v>0.61416309012875536</v>
      </c>
      <c r="W102" s="51">
        <v>0.1201923076923077</v>
      </c>
      <c r="X102" s="52">
        <v>29.125</v>
      </c>
      <c r="Y102" s="52">
        <v>30</v>
      </c>
      <c r="Z102" s="52">
        <v>83.25</v>
      </c>
      <c r="AA102" s="52">
        <v>142.375</v>
      </c>
      <c r="AB102" s="53">
        <v>0.48884120171673817</v>
      </c>
      <c r="AC102" s="72">
        <v>148.875</v>
      </c>
      <c r="AD102" s="55">
        <v>0.51115879828326183</v>
      </c>
      <c r="AE102" s="73">
        <v>3</v>
      </c>
      <c r="AF102" s="57" t="s">
        <v>95</v>
      </c>
      <c r="AG102" s="58">
        <v>208</v>
      </c>
      <c r="AH102" s="58">
        <v>25</v>
      </c>
      <c r="AI102" s="58">
        <v>233</v>
      </c>
      <c r="AJ102" s="49">
        <v>58.25</v>
      </c>
      <c r="AK102" s="49">
        <v>291.25</v>
      </c>
      <c r="AL102" s="52">
        <v>29.125</v>
      </c>
      <c r="AM102" s="52">
        <v>83.25</v>
      </c>
      <c r="AN102" s="52">
        <v>112.375</v>
      </c>
      <c r="AO102" s="59">
        <v>0.38583690987124464</v>
      </c>
      <c r="AP102" s="60">
        <v>178.875</v>
      </c>
      <c r="AQ102" s="61">
        <v>0.61416309012875536</v>
      </c>
      <c r="AR102" s="60" t="s">
        <v>78</v>
      </c>
      <c r="AS102" s="62">
        <v>333</v>
      </c>
      <c r="AT102" s="62">
        <v>40</v>
      </c>
      <c r="AU102" s="62">
        <v>373</v>
      </c>
      <c r="AV102" s="62">
        <v>466.25</v>
      </c>
      <c r="AW102" s="47" t="s">
        <v>107</v>
      </c>
      <c r="AX102" s="64">
        <v>45325</v>
      </c>
      <c r="AY102" s="64" t="s">
        <v>5641</v>
      </c>
      <c r="BA102" s="64"/>
      <c r="BB102" s="64"/>
      <c r="BC102" s="64"/>
      <c r="BD102" s="46"/>
      <c r="BE102" s="46" t="e">
        <v>#REF!</v>
      </c>
      <c r="BF102" s="46" t="s">
        <v>75</v>
      </c>
      <c r="BG102" s="65">
        <v>1</v>
      </c>
      <c r="BH102" s="66"/>
      <c r="BI102" s="63" t="s">
        <v>5642</v>
      </c>
    </row>
    <row r="103" spans="1:61" ht="89.25" x14ac:dyDescent="0.2">
      <c r="A103" s="45" t="s">
        <v>5643</v>
      </c>
      <c r="B103" s="46"/>
      <c r="C103" s="46" t="s">
        <v>5555</v>
      </c>
      <c r="D103" s="46" t="s">
        <v>5637</v>
      </c>
      <c r="E103" s="46" t="s">
        <v>141</v>
      </c>
      <c r="F103" s="46" t="s">
        <v>68</v>
      </c>
      <c r="G103" s="46" t="s">
        <v>68</v>
      </c>
      <c r="H103" s="46" t="s">
        <v>68</v>
      </c>
      <c r="I103" s="46" t="s">
        <v>68</v>
      </c>
      <c r="J103" s="46" t="s">
        <v>71</v>
      </c>
      <c r="K103" s="47">
        <f t="shared" si="10"/>
        <v>216</v>
      </c>
      <c r="L103" s="47">
        <f t="shared" si="11"/>
        <v>31</v>
      </c>
      <c r="M103" s="47">
        <v>247</v>
      </c>
      <c r="N103" s="46"/>
      <c r="O103" s="71" t="s">
        <v>68</v>
      </c>
      <c r="P103" s="64"/>
      <c r="Q103" s="46" t="s">
        <v>5504</v>
      </c>
      <c r="R103" s="46" t="s">
        <v>5507</v>
      </c>
      <c r="S103" s="49">
        <v>61.75</v>
      </c>
      <c r="T103" s="49">
        <v>308.75</v>
      </c>
      <c r="U103" s="67">
        <v>0.50242914979757081</v>
      </c>
      <c r="V103" s="67">
        <v>0.59959514170040484</v>
      </c>
      <c r="W103" s="51">
        <v>0.14351851851851852</v>
      </c>
      <c r="X103" s="52">
        <v>30.875</v>
      </c>
      <c r="Y103" s="52">
        <v>30</v>
      </c>
      <c r="Z103" s="52">
        <v>92.75</v>
      </c>
      <c r="AA103" s="52">
        <v>153.625</v>
      </c>
      <c r="AB103" s="53">
        <v>0.49757085020242914</v>
      </c>
      <c r="AC103" s="72">
        <v>155.125</v>
      </c>
      <c r="AD103" s="55">
        <v>0.50242914979757081</v>
      </c>
      <c r="AE103" s="73">
        <v>3</v>
      </c>
      <c r="AF103" s="57" t="s">
        <v>95</v>
      </c>
      <c r="AG103" s="58">
        <v>216</v>
      </c>
      <c r="AH103" s="58">
        <v>31</v>
      </c>
      <c r="AI103" s="58">
        <v>247</v>
      </c>
      <c r="AJ103" s="49">
        <v>61.75</v>
      </c>
      <c r="AK103" s="49">
        <v>308.75</v>
      </c>
      <c r="AL103" s="52">
        <v>30.875</v>
      </c>
      <c r="AM103" s="52">
        <v>92.75</v>
      </c>
      <c r="AN103" s="52">
        <v>123.625</v>
      </c>
      <c r="AO103" s="59">
        <v>0.40040485829959516</v>
      </c>
      <c r="AP103" s="60">
        <v>185.125</v>
      </c>
      <c r="AQ103" s="61">
        <v>0.59959514170040484</v>
      </c>
      <c r="AR103" s="60" t="s">
        <v>78</v>
      </c>
      <c r="AS103" s="62">
        <v>346</v>
      </c>
      <c r="AT103" s="62">
        <v>50</v>
      </c>
      <c r="AU103" s="62">
        <v>396</v>
      </c>
      <c r="AV103" s="62">
        <v>495</v>
      </c>
      <c r="AW103" s="47" t="s">
        <v>107</v>
      </c>
      <c r="AX103" s="64">
        <v>45325</v>
      </c>
      <c r="AY103" s="64" t="s">
        <v>5644</v>
      </c>
      <c r="BA103" s="64"/>
      <c r="BB103" s="64"/>
      <c r="BC103" s="64"/>
      <c r="BD103" s="46"/>
      <c r="BE103" s="46" t="e">
        <v>#REF!</v>
      </c>
      <c r="BF103" s="46" t="s">
        <v>75</v>
      </c>
      <c r="BG103" s="65">
        <v>1.25</v>
      </c>
      <c r="BH103" s="66"/>
      <c r="BI103" s="63" t="s">
        <v>5645</v>
      </c>
    </row>
    <row r="104" spans="1:61" ht="89.25" x14ac:dyDescent="0.2">
      <c r="A104" s="45" t="s">
        <v>5646</v>
      </c>
      <c r="B104" s="46"/>
      <c r="C104" s="46" t="s">
        <v>5555</v>
      </c>
      <c r="D104" s="46" t="s">
        <v>5637</v>
      </c>
      <c r="E104" s="46" t="s">
        <v>5581</v>
      </c>
      <c r="F104" s="46" t="s">
        <v>68</v>
      </c>
      <c r="G104" s="46" t="s">
        <v>68</v>
      </c>
      <c r="H104" s="46" t="s">
        <v>68</v>
      </c>
      <c r="I104" s="46" t="s">
        <v>68</v>
      </c>
      <c r="J104" s="46" t="s">
        <v>71</v>
      </c>
      <c r="K104" s="47">
        <f t="shared" si="10"/>
        <v>225</v>
      </c>
      <c r="L104" s="47">
        <f t="shared" si="11"/>
        <v>39</v>
      </c>
      <c r="M104" s="47">
        <v>264</v>
      </c>
      <c r="N104" s="46"/>
      <c r="O104" s="71" t="s">
        <v>68</v>
      </c>
      <c r="P104" s="64"/>
      <c r="Q104" s="46" t="s">
        <v>5504</v>
      </c>
      <c r="R104" s="46" t="s">
        <v>5507</v>
      </c>
      <c r="S104" s="49">
        <v>66</v>
      </c>
      <c r="T104" s="49">
        <v>330</v>
      </c>
      <c r="U104" s="67">
        <v>0.49090909090909091</v>
      </c>
      <c r="V104" s="67">
        <v>0.58181818181818179</v>
      </c>
      <c r="W104" s="51">
        <v>0.17333333333333334</v>
      </c>
      <c r="X104" s="52">
        <v>33</v>
      </c>
      <c r="Y104" s="52">
        <v>30</v>
      </c>
      <c r="Z104" s="52">
        <v>105</v>
      </c>
      <c r="AA104" s="52">
        <v>168</v>
      </c>
      <c r="AB104" s="53">
        <v>0.50909090909090904</v>
      </c>
      <c r="AC104" s="72">
        <v>162</v>
      </c>
      <c r="AD104" s="55">
        <v>0.49090909090909091</v>
      </c>
      <c r="AE104" s="73">
        <v>3</v>
      </c>
      <c r="AF104" s="57" t="s">
        <v>95</v>
      </c>
      <c r="AG104" s="58">
        <v>225</v>
      </c>
      <c r="AH104" s="58">
        <v>39</v>
      </c>
      <c r="AI104" s="58">
        <v>264</v>
      </c>
      <c r="AJ104" s="49">
        <v>66</v>
      </c>
      <c r="AK104" s="49">
        <v>330</v>
      </c>
      <c r="AL104" s="52">
        <v>33</v>
      </c>
      <c r="AM104" s="52">
        <v>105</v>
      </c>
      <c r="AN104" s="52">
        <v>138</v>
      </c>
      <c r="AO104" s="59">
        <v>0.41818181818181815</v>
      </c>
      <c r="AP104" s="60">
        <v>192</v>
      </c>
      <c r="AQ104" s="61">
        <v>0.58181818181818179</v>
      </c>
      <c r="AR104" s="60" t="s">
        <v>78</v>
      </c>
      <c r="AS104" s="62">
        <v>360</v>
      </c>
      <c r="AT104" s="62">
        <v>63</v>
      </c>
      <c r="AU104" s="62">
        <v>423</v>
      </c>
      <c r="AV104" s="62">
        <v>528.75</v>
      </c>
      <c r="AW104" s="47" t="s">
        <v>107</v>
      </c>
      <c r="AX104" s="64">
        <v>45325</v>
      </c>
      <c r="AY104" s="64" t="s">
        <v>5647</v>
      </c>
      <c r="BA104" s="64"/>
      <c r="BB104" s="64"/>
      <c r="BC104" s="64"/>
      <c r="BD104" s="46"/>
      <c r="BE104" s="46" t="e">
        <v>#REF!</v>
      </c>
      <c r="BF104" s="46" t="s">
        <v>75</v>
      </c>
      <c r="BG104" s="65">
        <v>1.5</v>
      </c>
      <c r="BH104" s="66"/>
      <c r="BI104" s="63" t="s">
        <v>5648</v>
      </c>
    </row>
    <row r="105" spans="1:61" ht="89.25" x14ac:dyDescent="0.2">
      <c r="A105" s="45" t="s">
        <v>5649</v>
      </c>
      <c r="B105" s="46"/>
      <c r="C105" s="46" t="s">
        <v>5555</v>
      </c>
      <c r="D105" s="46" t="s">
        <v>5637</v>
      </c>
      <c r="E105" s="46" t="s">
        <v>4775</v>
      </c>
      <c r="F105" s="46" t="s">
        <v>68</v>
      </c>
      <c r="G105" s="46" t="s">
        <v>68</v>
      </c>
      <c r="H105" s="46" t="s">
        <v>68</v>
      </c>
      <c r="I105" s="46" t="s">
        <v>68</v>
      </c>
      <c r="J105" s="46" t="s">
        <v>71</v>
      </c>
      <c r="K105" s="47">
        <f t="shared" si="10"/>
        <v>234</v>
      </c>
      <c r="L105" s="47">
        <f t="shared" si="11"/>
        <v>49</v>
      </c>
      <c r="M105" s="47">
        <v>283</v>
      </c>
      <c r="N105" s="46"/>
      <c r="O105" s="71" t="s">
        <v>68</v>
      </c>
      <c r="P105" s="64"/>
      <c r="Q105" s="46" t="s">
        <v>5504</v>
      </c>
      <c r="R105" s="46" t="s">
        <v>5507</v>
      </c>
      <c r="S105" s="49">
        <v>70.75</v>
      </c>
      <c r="T105" s="49">
        <v>353.75</v>
      </c>
      <c r="U105" s="67">
        <v>0.476678445229682</v>
      </c>
      <c r="V105" s="67">
        <v>0.56148409893992934</v>
      </c>
      <c r="W105" s="51">
        <v>0.20940170940170941</v>
      </c>
      <c r="X105" s="52">
        <v>35.375</v>
      </c>
      <c r="Y105" s="52">
        <v>30</v>
      </c>
      <c r="Z105" s="52">
        <v>119.75</v>
      </c>
      <c r="AA105" s="52">
        <v>185.125</v>
      </c>
      <c r="AB105" s="53">
        <v>0.52332155477031805</v>
      </c>
      <c r="AC105" s="72">
        <v>168.625</v>
      </c>
      <c r="AD105" s="55">
        <v>0.476678445229682</v>
      </c>
      <c r="AE105" s="73">
        <v>3</v>
      </c>
      <c r="AF105" s="57" t="s">
        <v>95</v>
      </c>
      <c r="AG105" s="58">
        <v>234</v>
      </c>
      <c r="AH105" s="58">
        <v>49</v>
      </c>
      <c r="AI105" s="58">
        <v>283</v>
      </c>
      <c r="AJ105" s="49">
        <v>70.75</v>
      </c>
      <c r="AK105" s="49">
        <v>353.75</v>
      </c>
      <c r="AL105" s="52">
        <v>35.375</v>
      </c>
      <c r="AM105" s="52">
        <v>119.75</v>
      </c>
      <c r="AN105" s="52">
        <v>155.125</v>
      </c>
      <c r="AO105" s="59">
        <v>0.43851590106007066</v>
      </c>
      <c r="AP105" s="60">
        <v>198.625</v>
      </c>
      <c r="AQ105" s="61">
        <v>0.56148409893992934</v>
      </c>
      <c r="AR105" s="60" t="s">
        <v>78</v>
      </c>
      <c r="AS105" s="62">
        <v>375</v>
      </c>
      <c r="AT105" s="62">
        <v>79</v>
      </c>
      <c r="AU105" s="62">
        <v>454</v>
      </c>
      <c r="AV105" s="62">
        <v>567.5</v>
      </c>
      <c r="AW105" s="47" t="s">
        <v>107</v>
      </c>
      <c r="AX105" s="64">
        <v>45325</v>
      </c>
      <c r="AY105" s="64" t="s">
        <v>5650</v>
      </c>
      <c r="BA105" s="64"/>
      <c r="BB105" s="64"/>
      <c r="BC105" s="64"/>
      <c r="BD105" s="46"/>
      <c r="BE105" s="46" t="e">
        <v>#REF!</v>
      </c>
      <c r="BF105" s="46" t="s">
        <v>75</v>
      </c>
      <c r="BG105" s="65">
        <v>2</v>
      </c>
      <c r="BH105" s="66"/>
      <c r="BI105" s="63" t="s">
        <v>5651</v>
      </c>
    </row>
    <row r="106" spans="1:61" ht="140.25" x14ac:dyDescent="0.2">
      <c r="A106" s="45" t="s">
        <v>5652</v>
      </c>
      <c r="B106" s="46"/>
      <c r="C106" s="46" t="s">
        <v>5653</v>
      </c>
      <c r="D106" s="46" t="s">
        <v>727</v>
      </c>
      <c r="E106" s="46" t="s">
        <v>454</v>
      </c>
      <c r="F106" s="46" t="s">
        <v>5654</v>
      </c>
      <c r="G106" s="46"/>
      <c r="H106" s="46"/>
      <c r="I106" s="46"/>
      <c r="J106" s="46" t="s">
        <v>3855</v>
      </c>
      <c r="K106" s="47">
        <f t="shared" ref="K106:K108" si="12">ROUND( K78*0.5,0)</f>
        <v>15</v>
      </c>
      <c r="L106" s="47">
        <f t="shared" ref="L106:L108" si="13">ROUND( L78*0.25,0)</f>
        <v>15</v>
      </c>
      <c r="M106" s="47">
        <v>30</v>
      </c>
      <c r="N106" s="46"/>
      <c r="O106" s="71" t="s">
        <v>68</v>
      </c>
      <c r="P106" s="64"/>
      <c r="Q106" s="46" t="s">
        <v>5504</v>
      </c>
      <c r="R106" s="46" t="s">
        <v>5507</v>
      </c>
      <c r="S106" s="49">
        <v>7.5</v>
      </c>
      <c r="T106" s="49">
        <v>37.5</v>
      </c>
      <c r="U106" s="28">
        <v>0.25</v>
      </c>
      <c r="V106" s="67">
        <v>0.3</v>
      </c>
      <c r="W106" s="51">
        <v>1</v>
      </c>
      <c r="X106" s="52">
        <v>3.75</v>
      </c>
      <c r="Y106" s="52">
        <v>30</v>
      </c>
      <c r="Z106" s="52">
        <v>22.5</v>
      </c>
      <c r="AA106" s="52">
        <v>56.25</v>
      </c>
      <c r="AB106" s="53">
        <v>1.5</v>
      </c>
      <c r="AC106" s="75">
        <v>9.375</v>
      </c>
      <c r="AD106" s="55">
        <v>0.25</v>
      </c>
      <c r="AE106" s="73">
        <v>3</v>
      </c>
      <c r="AF106" s="57" t="s">
        <v>95</v>
      </c>
      <c r="AG106" s="58">
        <v>15</v>
      </c>
      <c r="AH106" s="58">
        <v>15</v>
      </c>
      <c r="AI106" s="58">
        <v>30</v>
      </c>
      <c r="AJ106" s="49">
        <v>7.5</v>
      </c>
      <c r="AK106" s="49">
        <v>37.5</v>
      </c>
      <c r="AL106" s="52">
        <v>3.75</v>
      </c>
      <c r="AM106" s="52">
        <v>22.5</v>
      </c>
      <c r="AN106" s="52">
        <v>26.25</v>
      </c>
      <c r="AO106" s="59">
        <v>0.7</v>
      </c>
      <c r="AP106" s="60">
        <v>11.25</v>
      </c>
      <c r="AQ106" s="61">
        <v>0.3</v>
      </c>
      <c r="AR106" s="60" t="s">
        <v>78</v>
      </c>
      <c r="AS106" s="62">
        <v>24</v>
      </c>
      <c r="AT106" s="62">
        <v>24</v>
      </c>
      <c r="AU106" s="62">
        <v>48</v>
      </c>
      <c r="AV106" s="62">
        <v>60</v>
      </c>
      <c r="AW106" s="47" t="s">
        <v>107</v>
      </c>
      <c r="AX106" s="64">
        <v>45325</v>
      </c>
      <c r="AY106" s="64" t="s">
        <v>5655</v>
      </c>
      <c r="BA106" s="64"/>
      <c r="BB106" s="64"/>
      <c r="BC106" s="64"/>
      <c r="BD106" s="46"/>
      <c r="BE106" s="46" t="e">
        <v>#REF!</v>
      </c>
      <c r="BF106" s="46" t="s">
        <v>75</v>
      </c>
      <c r="BG106" s="65">
        <v>1</v>
      </c>
      <c r="BH106" s="66"/>
      <c r="BI106" s="63" t="s">
        <v>5656</v>
      </c>
    </row>
    <row r="107" spans="1:61" ht="127.5" x14ac:dyDescent="0.2">
      <c r="A107" s="45" t="s">
        <v>5657</v>
      </c>
      <c r="B107" s="46"/>
      <c r="C107" s="46" t="s">
        <v>5653</v>
      </c>
      <c r="D107" s="46" t="s">
        <v>727</v>
      </c>
      <c r="E107" s="46" t="s">
        <v>445</v>
      </c>
      <c r="F107" s="46" t="s">
        <v>5654</v>
      </c>
      <c r="G107" s="46"/>
      <c r="H107" s="46"/>
      <c r="I107" s="46"/>
      <c r="J107" s="46" t="s">
        <v>3855</v>
      </c>
      <c r="K107" s="47">
        <f t="shared" si="12"/>
        <v>18</v>
      </c>
      <c r="L107" s="47">
        <f t="shared" si="13"/>
        <v>18</v>
      </c>
      <c r="M107" s="47">
        <v>36</v>
      </c>
      <c r="N107" s="46"/>
      <c r="O107" s="71" t="s">
        <v>68</v>
      </c>
      <c r="P107" s="64"/>
      <c r="Q107" s="46" t="s">
        <v>5504</v>
      </c>
      <c r="R107" s="46" t="s">
        <v>5507</v>
      </c>
      <c r="S107" s="49">
        <v>9</v>
      </c>
      <c r="T107" s="49">
        <v>45</v>
      </c>
      <c r="U107" s="28">
        <v>0.25</v>
      </c>
      <c r="V107" s="67">
        <v>0.3</v>
      </c>
      <c r="W107" s="51">
        <v>1</v>
      </c>
      <c r="X107" s="52">
        <v>4.5</v>
      </c>
      <c r="Y107" s="52">
        <v>30</v>
      </c>
      <c r="Z107" s="52">
        <v>27</v>
      </c>
      <c r="AA107" s="52">
        <v>61.5</v>
      </c>
      <c r="AB107" s="53">
        <v>1.3666666666666667</v>
      </c>
      <c r="AC107" s="75">
        <v>11.25</v>
      </c>
      <c r="AD107" s="55">
        <v>0.25</v>
      </c>
      <c r="AE107" s="73">
        <v>3</v>
      </c>
      <c r="AF107" s="57" t="s">
        <v>95</v>
      </c>
      <c r="AG107" s="58">
        <v>18</v>
      </c>
      <c r="AH107" s="58">
        <v>18</v>
      </c>
      <c r="AI107" s="58">
        <v>36</v>
      </c>
      <c r="AJ107" s="49">
        <v>9</v>
      </c>
      <c r="AK107" s="49">
        <v>45</v>
      </c>
      <c r="AL107" s="52">
        <v>4.5</v>
      </c>
      <c r="AM107" s="52">
        <v>27</v>
      </c>
      <c r="AN107" s="52">
        <v>31.5</v>
      </c>
      <c r="AO107" s="59">
        <v>0.7</v>
      </c>
      <c r="AP107" s="60">
        <v>13.5</v>
      </c>
      <c r="AQ107" s="61">
        <v>0.3</v>
      </c>
      <c r="AR107" s="60" t="s">
        <v>78</v>
      </c>
      <c r="AS107" s="62">
        <v>29</v>
      </c>
      <c r="AT107" s="62">
        <v>29</v>
      </c>
      <c r="AU107" s="62">
        <v>58</v>
      </c>
      <c r="AV107" s="62">
        <v>72.5</v>
      </c>
      <c r="AW107" s="47" t="s">
        <v>107</v>
      </c>
      <c r="AX107" s="64">
        <v>45325</v>
      </c>
      <c r="AY107" s="64" t="s">
        <v>5658</v>
      </c>
      <c r="BA107" s="64"/>
      <c r="BB107" s="64"/>
      <c r="BC107" s="64"/>
      <c r="BD107" s="46"/>
      <c r="BE107" s="46" t="e">
        <v>#REF!</v>
      </c>
      <c r="BF107" s="46" t="s">
        <v>75</v>
      </c>
      <c r="BG107" s="65">
        <v>1</v>
      </c>
      <c r="BH107" s="66"/>
      <c r="BI107" s="63" t="s">
        <v>5659</v>
      </c>
    </row>
    <row r="108" spans="1:61" ht="140.25" x14ac:dyDescent="0.2">
      <c r="A108" s="45" t="s">
        <v>5660</v>
      </c>
      <c r="B108" s="46"/>
      <c r="C108" s="46" t="s">
        <v>5653</v>
      </c>
      <c r="D108" s="46" t="s">
        <v>727</v>
      </c>
      <c r="E108" s="46" t="s">
        <v>449</v>
      </c>
      <c r="F108" s="46" t="s">
        <v>5654</v>
      </c>
      <c r="G108" s="46"/>
      <c r="H108" s="46"/>
      <c r="I108" s="46"/>
      <c r="J108" s="46" t="s">
        <v>3855</v>
      </c>
      <c r="K108" s="47">
        <f t="shared" si="12"/>
        <v>22</v>
      </c>
      <c r="L108" s="47">
        <f t="shared" si="13"/>
        <v>22</v>
      </c>
      <c r="M108" s="47">
        <v>44</v>
      </c>
      <c r="N108" s="46"/>
      <c r="O108" s="71" t="s">
        <v>68</v>
      </c>
      <c r="P108" s="64"/>
      <c r="Q108" s="46" t="s">
        <v>5504</v>
      </c>
      <c r="R108" s="46" t="s">
        <v>5507</v>
      </c>
      <c r="S108" s="49">
        <v>11</v>
      </c>
      <c r="T108" s="49">
        <v>55</v>
      </c>
      <c r="U108" s="28">
        <v>0.25</v>
      </c>
      <c r="V108" s="67">
        <v>0.3</v>
      </c>
      <c r="W108" s="51">
        <v>1</v>
      </c>
      <c r="X108" s="52">
        <v>5.5</v>
      </c>
      <c r="Y108" s="52">
        <v>30</v>
      </c>
      <c r="Z108" s="52">
        <v>33</v>
      </c>
      <c r="AA108" s="52">
        <v>68.5</v>
      </c>
      <c r="AB108" s="53">
        <v>1.2454545454545454</v>
      </c>
      <c r="AC108" s="75">
        <v>13.75</v>
      </c>
      <c r="AD108" s="55">
        <v>0.25</v>
      </c>
      <c r="AE108" s="73">
        <v>3</v>
      </c>
      <c r="AF108" s="57" t="s">
        <v>95</v>
      </c>
      <c r="AG108" s="58">
        <v>22</v>
      </c>
      <c r="AH108" s="58">
        <v>22</v>
      </c>
      <c r="AI108" s="58">
        <v>44</v>
      </c>
      <c r="AJ108" s="49">
        <v>11</v>
      </c>
      <c r="AK108" s="49">
        <v>55</v>
      </c>
      <c r="AL108" s="52">
        <v>5.5</v>
      </c>
      <c r="AM108" s="52">
        <v>33</v>
      </c>
      <c r="AN108" s="52">
        <v>38.5</v>
      </c>
      <c r="AO108" s="59">
        <v>0.7</v>
      </c>
      <c r="AP108" s="60">
        <v>16.5</v>
      </c>
      <c r="AQ108" s="61">
        <v>0.3</v>
      </c>
      <c r="AR108" s="60" t="s">
        <v>78</v>
      </c>
      <c r="AS108" s="62">
        <v>36</v>
      </c>
      <c r="AT108" s="62">
        <v>36</v>
      </c>
      <c r="AU108" s="62">
        <v>72</v>
      </c>
      <c r="AV108" s="62">
        <v>90</v>
      </c>
      <c r="AW108" s="47" t="s">
        <v>107</v>
      </c>
      <c r="AX108" s="64">
        <v>45325</v>
      </c>
      <c r="AY108" s="64" t="s">
        <v>5661</v>
      </c>
      <c r="BA108" s="64"/>
      <c r="BB108" s="64"/>
      <c r="BC108" s="64"/>
      <c r="BD108" s="46"/>
      <c r="BE108" s="46" t="e">
        <v>#REF!</v>
      </c>
      <c r="BF108" s="46" t="s">
        <v>75</v>
      </c>
      <c r="BG108" s="65">
        <v>1</v>
      </c>
      <c r="BH108" s="66"/>
      <c r="BI108" s="63" t="s">
        <v>5662</v>
      </c>
    </row>
    <row r="109" spans="1:61" ht="127.5" x14ac:dyDescent="0.2">
      <c r="A109" s="45" t="s">
        <v>5663</v>
      </c>
      <c r="B109" s="46"/>
      <c r="C109" s="46" t="s">
        <v>5664</v>
      </c>
      <c r="D109" s="46" t="s">
        <v>5665</v>
      </c>
      <c r="E109" s="46" t="s">
        <v>68</v>
      </c>
      <c r="F109" s="46" t="s">
        <v>68</v>
      </c>
      <c r="G109" s="46" t="s">
        <v>68</v>
      </c>
      <c r="H109" s="46" t="s">
        <v>68</v>
      </c>
      <c r="I109" s="46" t="s">
        <v>445</v>
      </c>
      <c r="J109" s="46" t="s">
        <v>2996</v>
      </c>
      <c r="K109" s="47">
        <f t="shared" ref="K109:K110" si="14">ROUND( K79+40,0)</f>
        <v>76</v>
      </c>
      <c r="L109" s="47">
        <f t="shared" ref="L109:L110" si="15">ROUND( L79+3,0)</f>
        <v>75</v>
      </c>
      <c r="M109" s="47">
        <v>151</v>
      </c>
      <c r="N109" s="46"/>
      <c r="O109" s="71" t="s">
        <v>68</v>
      </c>
      <c r="P109" s="64"/>
      <c r="Q109" s="46" t="s">
        <v>5504</v>
      </c>
      <c r="R109" s="46" t="s">
        <v>5507</v>
      </c>
      <c r="S109" s="49">
        <v>37.75</v>
      </c>
      <c r="T109" s="49">
        <v>188.75</v>
      </c>
      <c r="U109" s="50">
        <v>0.14370860927152318</v>
      </c>
      <c r="V109" s="67">
        <v>0.30264900662251654</v>
      </c>
      <c r="W109" s="51">
        <v>0.98684210526315785</v>
      </c>
      <c r="X109" s="52">
        <v>18.875</v>
      </c>
      <c r="Y109" s="52">
        <v>30</v>
      </c>
      <c r="Z109" s="52">
        <v>112.75</v>
      </c>
      <c r="AA109" s="52">
        <v>161.625</v>
      </c>
      <c r="AB109" s="53">
        <v>0.85629139072847682</v>
      </c>
      <c r="AC109" s="75">
        <v>27.125</v>
      </c>
      <c r="AD109" s="55">
        <v>0.14370860927152318</v>
      </c>
      <c r="AE109" s="73">
        <v>3</v>
      </c>
      <c r="AF109" s="57" t="s">
        <v>95</v>
      </c>
      <c r="AG109" s="58">
        <v>76</v>
      </c>
      <c r="AH109" s="58">
        <v>75</v>
      </c>
      <c r="AI109" s="58">
        <v>151</v>
      </c>
      <c r="AJ109" s="49">
        <v>37.75</v>
      </c>
      <c r="AK109" s="49">
        <v>188.75</v>
      </c>
      <c r="AL109" s="52">
        <v>18.875</v>
      </c>
      <c r="AM109" s="52">
        <v>112.75</v>
      </c>
      <c r="AN109" s="52">
        <v>131.625</v>
      </c>
      <c r="AO109" s="59">
        <v>0.69735099337748341</v>
      </c>
      <c r="AP109" s="60">
        <v>57.125</v>
      </c>
      <c r="AQ109" s="61">
        <v>0.30264900662251654</v>
      </c>
      <c r="AR109" s="60" t="s">
        <v>78</v>
      </c>
      <c r="AS109" s="62">
        <v>122</v>
      </c>
      <c r="AT109" s="62">
        <v>120</v>
      </c>
      <c r="AU109" s="62">
        <v>242</v>
      </c>
      <c r="AV109" s="62">
        <v>302.5</v>
      </c>
      <c r="AW109" s="47" t="s">
        <v>107</v>
      </c>
      <c r="AX109" s="64">
        <v>45068</v>
      </c>
      <c r="AY109" s="64" t="s">
        <v>5666</v>
      </c>
      <c r="BA109" s="64"/>
      <c r="BB109" s="64"/>
      <c r="BC109" s="64"/>
      <c r="BD109" s="46"/>
      <c r="BE109" s="46" t="e">
        <v>#REF!</v>
      </c>
      <c r="BF109" s="46" t="s">
        <v>75</v>
      </c>
      <c r="BG109" s="65">
        <v>1</v>
      </c>
      <c r="BH109" s="66" t="s">
        <v>5667</v>
      </c>
      <c r="BI109" s="63" t="s">
        <v>5668</v>
      </c>
    </row>
    <row r="110" spans="1:61" ht="127.5" x14ac:dyDescent="0.2">
      <c r="A110" s="45" t="s">
        <v>5669</v>
      </c>
      <c r="B110" s="46"/>
      <c r="C110" s="46" t="s">
        <v>5664</v>
      </c>
      <c r="D110" s="46" t="s">
        <v>5665</v>
      </c>
      <c r="E110" s="46" t="s">
        <v>68</v>
      </c>
      <c r="F110" s="46" t="s">
        <v>68</v>
      </c>
      <c r="G110" s="46" t="s">
        <v>68</v>
      </c>
      <c r="H110" s="46" t="s">
        <v>68</v>
      </c>
      <c r="I110" s="46" t="s">
        <v>449</v>
      </c>
      <c r="J110" s="46" t="s">
        <v>2996</v>
      </c>
      <c r="K110" s="47">
        <f t="shared" si="14"/>
        <v>84</v>
      </c>
      <c r="L110" s="47">
        <f t="shared" si="15"/>
        <v>90</v>
      </c>
      <c r="M110" s="47">
        <v>174</v>
      </c>
      <c r="N110" s="46"/>
      <c r="O110" s="71" t="s">
        <v>68</v>
      </c>
      <c r="P110" s="64"/>
      <c r="Q110" s="46" t="s">
        <v>5504</v>
      </c>
      <c r="R110" s="46" t="s">
        <v>5507</v>
      </c>
      <c r="S110" s="49">
        <v>43.5</v>
      </c>
      <c r="T110" s="49">
        <v>217.5</v>
      </c>
      <c r="U110" s="50">
        <v>0.14827586206896551</v>
      </c>
      <c r="V110" s="28">
        <v>0.28620689655172415</v>
      </c>
      <c r="W110" s="74">
        <v>1.0714285714285714</v>
      </c>
      <c r="X110" s="52">
        <v>21.75</v>
      </c>
      <c r="Y110" s="52">
        <v>30</v>
      </c>
      <c r="Z110" s="52">
        <v>133.5</v>
      </c>
      <c r="AA110" s="52">
        <v>185.25</v>
      </c>
      <c r="AB110" s="53">
        <v>0.85172413793103452</v>
      </c>
      <c r="AC110" s="75">
        <v>32.25</v>
      </c>
      <c r="AD110" s="55">
        <v>0.14827586206896551</v>
      </c>
      <c r="AE110" s="73">
        <v>3</v>
      </c>
      <c r="AF110" s="57" t="s">
        <v>95</v>
      </c>
      <c r="AG110" s="58">
        <v>84</v>
      </c>
      <c r="AH110" s="58">
        <v>90</v>
      </c>
      <c r="AI110" s="58">
        <v>174</v>
      </c>
      <c r="AJ110" s="49">
        <v>43.5</v>
      </c>
      <c r="AK110" s="49">
        <v>217.5</v>
      </c>
      <c r="AL110" s="52">
        <v>21.75</v>
      </c>
      <c r="AM110" s="52">
        <v>133.5</v>
      </c>
      <c r="AN110" s="52">
        <v>155.25</v>
      </c>
      <c r="AO110" s="59">
        <v>0.71379310344827585</v>
      </c>
      <c r="AP110" s="60">
        <v>62.25</v>
      </c>
      <c r="AQ110" s="61">
        <v>0.28620689655172415</v>
      </c>
      <c r="AR110" s="60" t="s">
        <v>78</v>
      </c>
      <c r="AS110" s="62">
        <v>135</v>
      </c>
      <c r="AT110" s="62">
        <v>144</v>
      </c>
      <c r="AU110" s="62">
        <v>279</v>
      </c>
      <c r="AV110" s="62">
        <v>348.75</v>
      </c>
      <c r="AW110" s="47" t="s">
        <v>107</v>
      </c>
      <c r="AX110" s="64">
        <v>45068</v>
      </c>
      <c r="AY110" s="64" t="s">
        <v>5670</v>
      </c>
      <c r="BA110" s="64"/>
      <c r="BB110" s="64"/>
      <c r="BC110" s="64"/>
      <c r="BD110" s="46"/>
      <c r="BE110" s="46" t="e">
        <v>#REF!</v>
      </c>
      <c r="BF110" s="46" t="s">
        <v>75</v>
      </c>
      <c r="BG110" s="65">
        <v>1</v>
      </c>
      <c r="BH110" s="66" t="s">
        <v>5671</v>
      </c>
      <c r="BI110" s="63" t="s">
        <v>5672</v>
      </c>
    </row>
    <row r="111" spans="1:61" ht="114.75" x14ac:dyDescent="0.2">
      <c r="A111" s="45" t="s">
        <v>5673</v>
      </c>
      <c r="B111" s="46"/>
      <c r="C111" s="46" t="s">
        <v>5664</v>
      </c>
      <c r="D111" s="46" t="s">
        <v>5570</v>
      </c>
      <c r="E111" s="46" t="s">
        <v>68</v>
      </c>
      <c r="F111" s="46" t="s">
        <v>68</v>
      </c>
      <c r="G111" s="46" t="s">
        <v>68</v>
      </c>
      <c r="H111" s="46" t="s">
        <v>68</v>
      </c>
      <c r="I111" s="46" t="s">
        <v>5674</v>
      </c>
      <c r="J111" s="46" t="s">
        <v>71</v>
      </c>
      <c r="K111" s="47">
        <v>15</v>
      </c>
      <c r="L111" s="47">
        <v>25</v>
      </c>
      <c r="M111" s="47">
        <v>40</v>
      </c>
      <c r="N111" s="46"/>
      <c r="O111" s="71" t="s">
        <v>68</v>
      </c>
      <c r="P111" s="64"/>
      <c r="Q111" s="46" t="s">
        <v>5504</v>
      </c>
      <c r="R111" s="46" t="s">
        <v>5507</v>
      </c>
      <c r="S111" s="49">
        <v>10</v>
      </c>
      <c r="T111" s="49">
        <v>50</v>
      </c>
      <c r="U111" s="50">
        <v>0.1875</v>
      </c>
      <c r="V111" s="28">
        <v>0.2</v>
      </c>
      <c r="W111" s="77">
        <v>1.6666666666666667</v>
      </c>
      <c r="X111" s="52">
        <v>5</v>
      </c>
      <c r="Y111" s="52">
        <v>30</v>
      </c>
      <c r="Z111" s="52">
        <v>35</v>
      </c>
      <c r="AA111" s="52">
        <v>70</v>
      </c>
      <c r="AB111" s="53">
        <v>1.4</v>
      </c>
      <c r="AC111" s="75">
        <v>9.375</v>
      </c>
      <c r="AD111" s="55">
        <v>0.1875</v>
      </c>
      <c r="AE111" s="73">
        <v>3</v>
      </c>
      <c r="AF111" s="57" t="s">
        <v>95</v>
      </c>
      <c r="AG111" s="58">
        <v>15</v>
      </c>
      <c r="AH111" s="58">
        <v>25</v>
      </c>
      <c r="AI111" s="58">
        <v>40</v>
      </c>
      <c r="AJ111" s="49">
        <v>10</v>
      </c>
      <c r="AK111" s="49">
        <v>50</v>
      </c>
      <c r="AL111" s="52">
        <v>5</v>
      </c>
      <c r="AM111" s="52">
        <v>35</v>
      </c>
      <c r="AN111" s="52">
        <v>40</v>
      </c>
      <c r="AO111" s="59">
        <v>0.8</v>
      </c>
      <c r="AP111" s="60">
        <v>10</v>
      </c>
      <c r="AQ111" s="61">
        <v>0.2</v>
      </c>
      <c r="AR111" s="60" t="s">
        <v>78</v>
      </c>
      <c r="AS111" s="62">
        <v>24</v>
      </c>
      <c r="AT111" s="62">
        <v>40</v>
      </c>
      <c r="AU111" s="62">
        <v>64</v>
      </c>
      <c r="AV111" s="62">
        <v>80</v>
      </c>
      <c r="AW111" s="47" t="s">
        <v>107</v>
      </c>
      <c r="AX111" s="64">
        <v>45068</v>
      </c>
      <c r="AY111" s="64" t="s">
        <v>5675</v>
      </c>
      <c r="BA111" s="64"/>
      <c r="BB111" s="64"/>
      <c r="BC111" s="64"/>
      <c r="BD111" s="46"/>
      <c r="BE111" s="46" t="e">
        <v>#REF!</v>
      </c>
      <c r="BF111" s="46" t="s">
        <v>75</v>
      </c>
      <c r="BG111" s="65">
        <v>1</v>
      </c>
      <c r="BH111" s="66" t="s">
        <v>5676</v>
      </c>
      <c r="BI111" s="63" t="s">
        <v>5677</v>
      </c>
    </row>
    <row r="112" spans="1:61" ht="114.75" x14ac:dyDescent="0.2">
      <c r="A112" s="45" t="s">
        <v>5678</v>
      </c>
      <c r="B112" s="46"/>
      <c r="C112" s="46" t="s">
        <v>5664</v>
      </c>
      <c r="D112" s="46" t="s">
        <v>5570</v>
      </c>
      <c r="E112" s="46" t="s">
        <v>68</v>
      </c>
      <c r="F112" s="46" t="s">
        <v>68</v>
      </c>
      <c r="G112" s="46" t="s">
        <v>68</v>
      </c>
      <c r="H112" s="46" t="s">
        <v>68</v>
      </c>
      <c r="I112" s="46" t="s">
        <v>5679</v>
      </c>
      <c r="J112" s="46" t="s">
        <v>71</v>
      </c>
      <c r="K112" s="47">
        <v>15</v>
      </c>
      <c r="L112" s="47">
        <v>50</v>
      </c>
      <c r="M112" s="47">
        <v>65</v>
      </c>
      <c r="N112" s="46"/>
      <c r="O112" s="71" t="s">
        <v>68</v>
      </c>
      <c r="P112" s="64"/>
      <c r="Q112" s="46" t="s">
        <v>5504</v>
      </c>
      <c r="R112" s="46" t="s">
        <v>5507</v>
      </c>
      <c r="S112" s="49">
        <v>16.25</v>
      </c>
      <c r="T112" s="49">
        <v>81.25</v>
      </c>
      <c r="U112" s="50">
        <v>0.11538461538461539</v>
      </c>
      <c r="V112" s="50">
        <v>8.461538461538462E-2</v>
      </c>
      <c r="W112" s="77">
        <v>3.3333333333333335</v>
      </c>
      <c r="X112" s="52">
        <v>8.125</v>
      </c>
      <c r="Y112" s="52">
        <v>30</v>
      </c>
      <c r="Z112" s="52">
        <v>66.25</v>
      </c>
      <c r="AA112" s="52">
        <v>104.375</v>
      </c>
      <c r="AB112" s="53">
        <v>1.2846153846153847</v>
      </c>
      <c r="AC112" s="75">
        <v>9.375</v>
      </c>
      <c r="AD112" s="55">
        <v>0.11538461538461539</v>
      </c>
      <c r="AE112" s="73">
        <v>3</v>
      </c>
      <c r="AF112" s="57" t="s">
        <v>95</v>
      </c>
      <c r="AG112" s="58">
        <v>15</v>
      </c>
      <c r="AH112" s="58">
        <v>50</v>
      </c>
      <c r="AI112" s="58">
        <v>65</v>
      </c>
      <c r="AJ112" s="49">
        <v>16.25</v>
      </c>
      <c r="AK112" s="49">
        <v>81.25</v>
      </c>
      <c r="AL112" s="52">
        <v>8.125</v>
      </c>
      <c r="AM112" s="52">
        <v>66.25</v>
      </c>
      <c r="AN112" s="52">
        <v>74.375</v>
      </c>
      <c r="AO112" s="59">
        <v>0.91538461538461535</v>
      </c>
      <c r="AP112" s="60">
        <v>6.875</v>
      </c>
      <c r="AQ112" s="61">
        <v>8.461538461538462E-2</v>
      </c>
      <c r="AR112" s="60" t="s">
        <v>73</v>
      </c>
      <c r="AS112" s="62">
        <v>24</v>
      </c>
      <c r="AT112" s="62">
        <v>80</v>
      </c>
      <c r="AU112" s="62">
        <v>104</v>
      </c>
      <c r="AV112" s="62">
        <v>130</v>
      </c>
      <c r="AW112" s="47" t="s">
        <v>107</v>
      </c>
      <c r="AX112" s="64">
        <v>45068</v>
      </c>
      <c r="AY112" s="64" t="s">
        <v>5680</v>
      </c>
      <c r="BA112" s="64"/>
      <c r="BB112" s="64"/>
      <c r="BC112" s="64"/>
      <c r="BD112" s="46"/>
      <c r="BE112" s="46" t="e">
        <v>#REF!</v>
      </c>
      <c r="BF112" s="46" t="s">
        <v>75</v>
      </c>
      <c r="BG112" s="65">
        <v>1</v>
      </c>
      <c r="BH112" s="66" t="s">
        <v>5681</v>
      </c>
      <c r="BI112" s="63" t="s">
        <v>5682</v>
      </c>
    </row>
    <row r="113" spans="1:61" ht="114.75" x14ac:dyDescent="0.2">
      <c r="A113" s="45" t="s">
        <v>5683</v>
      </c>
      <c r="B113" s="46"/>
      <c r="C113" s="46" t="s">
        <v>5664</v>
      </c>
      <c r="D113" s="46" t="s">
        <v>5570</v>
      </c>
      <c r="E113" s="46" t="s">
        <v>68</v>
      </c>
      <c r="F113" s="46" t="s">
        <v>68</v>
      </c>
      <c r="G113" s="46" t="s">
        <v>68</v>
      </c>
      <c r="H113" s="46" t="s">
        <v>68</v>
      </c>
      <c r="I113" s="46" t="s">
        <v>5684</v>
      </c>
      <c r="J113" s="46" t="s">
        <v>71</v>
      </c>
      <c r="K113" s="47">
        <v>15</v>
      </c>
      <c r="L113" s="47">
        <v>75</v>
      </c>
      <c r="M113" s="47">
        <v>90</v>
      </c>
      <c r="N113" s="46"/>
      <c r="O113" s="71" t="s">
        <v>68</v>
      </c>
      <c r="P113" s="64"/>
      <c r="Q113" s="46" t="s">
        <v>5504</v>
      </c>
      <c r="R113" s="46" t="s">
        <v>5507</v>
      </c>
      <c r="S113" s="49">
        <v>22.5</v>
      </c>
      <c r="T113" s="49">
        <v>112.5</v>
      </c>
      <c r="U113" s="50">
        <v>8.3333333333333329E-2</v>
      </c>
      <c r="V113" s="50">
        <v>3.3333333333333333E-2</v>
      </c>
      <c r="W113" s="77">
        <v>5</v>
      </c>
      <c r="X113" s="52">
        <v>11.25</v>
      </c>
      <c r="Y113" s="52">
        <v>30</v>
      </c>
      <c r="Z113" s="52">
        <v>97.5</v>
      </c>
      <c r="AA113" s="52">
        <v>138.75</v>
      </c>
      <c r="AB113" s="53">
        <v>1.2333333333333334</v>
      </c>
      <c r="AC113" s="75">
        <v>9.375</v>
      </c>
      <c r="AD113" s="55">
        <v>8.3333333333333329E-2</v>
      </c>
      <c r="AE113" s="73">
        <v>3</v>
      </c>
      <c r="AF113" s="57" t="s">
        <v>95</v>
      </c>
      <c r="AG113" s="58">
        <v>15</v>
      </c>
      <c r="AH113" s="58">
        <v>75</v>
      </c>
      <c r="AI113" s="58">
        <v>90</v>
      </c>
      <c r="AJ113" s="49">
        <v>22.5</v>
      </c>
      <c r="AK113" s="49">
        <v>112.5</v>
      </c>
      <c r="AL113" s="52">
        <v>11.25</v>
      </c>
      <c r="AM113" s="52">
        <v>97.5</v>
      </c>
      <c r="AN113" s="52">
        <v>108.75</v>
      </c>
      <c r="AO113" s="59">
        <v>0.96666666666666667</v>
      </c>
      <c r="AP113" s="60">
        <v>3.75</v>
      </c>
      <c r="AQ113" s="61">
        <v>3.3333333333333333E-2</v>
      </c>
      <c r="AR113" s="60" t="s">
        <v>73</v>
      </c>
      <c r="AS113" s="62">
        <v>24</v>
      </c>
      <c r="AT113" s="62">
        <v>120</v>
      </c>
      <c r="AU113" s="62">
        <v>144</v>
      </c>
      <c r="AV113" s="62">
        <v>180</v>
      </c>
      <c r="AW113" s="47" t="s">
        <v>107</v>
      </c>
      <c r="AX113" s="64">
        <v>45068</v>
      </c>
      <c r="AY113" s="64" t="s">
        <v>5685</v>
      </c>
      <c r="BA113" s="64"/>
      <c r="BB113" s="64"/>
      <c r="BC113" s="64"/>
      <c r="BD113" s="46"/>
      <c r="BE113" s="46" t="e">
        <v>#REF!</v>
      </c>
      <c r="BF113" s="46" t="s">
        <v>75</v>
      </c>
      <c r="BG113" s="65">
        <v>1</v>
      </c>
      <c r="BH113" s="66" t="s">
        <v>5686</v>
      </c>
      <c r="BI113" s="63" t="s">
        <v>5687</v>
      </c>
    </row>
    <row r="114" spans="1:61" ht="89.25" x14ac:dyDescent="0.2">
      <c r="A114" s="45" t="s">
        <v>5688</v>
      </c>
      <c r="B114" s="46"/>
      <c r="C114" s="46" t="s">
        <v>5689</v>
      </c>
      <c r="D114" s="46" t="s">
        <v>5690</v>
      </c>
      <c r="E114" s="46" t="s">
        <v>68</v>
      </c>
      <c r="F114" s="46" t="s">
        <v>68</v>
      </c>
      <c r="G114" s="46" t="s">
        <v>68</v>
      </c>
      <c r="H114" s="46" t="s">
        <v>68</v>
      </c>
      <c r="I114" s="46"/>
      <c r="J114" s="46" t="s">
        <v>2996</v>
      </c>
      <c r="K114" s="47">
        <v>40</v>
      </c>
      <c r="L114" s="47">
        <v>5</v>
      </c>
      <c r="M114" s="47">
        <v>45</v>
      </c>
      <c r="N114" s="46"/>
      <c r="O114" s="71" t="s">
        <v>68</v>
      </c>
      <c r="P114" s="64"/>
      <c r="Q114" s="46" t="s">
        <v>5504</v>
      </c>
      <c r="R114" s="46" t="s">
        <v>5507</v>
      </c>
      <c r="S114" s="49">
        <v>11.25</v>
      </c>
      <c r="T114" s="49">
        <v>56.25</v>
      </c>
      <c r="U114" s="50">
        <v>7.7777777777777779E-2</v>
      </c>
      <c r="V114" s="67">
        <v>0.61111111111111116</v>
      </c>
      <c r="W114" s="51">
        <v>0.125</v>
      </c>
      <c r="X114" s="52">
        <v>5.625</v>
      </c>
      <c r="Y114" s="52">
        <v>30</v>
      </c>
      <c r="Z114" s="52">
        <v>16.25</v>
      </c>
      <c r="AA114" s="52">
        <v>51.875</v>
      </c>
      <c r="AB114" s="53">
        <v>0.92222222222222228</v>
      </c>
      <c r="AC114" s="75">
        <v>4.375</v>
      </c>
      <c r="AD114" s="55">
        <v>7.7777777777777779E-2</v>
      </c>
      <c r="AE114" s="73">
        <v>3</v>
      </c>
      <c r="AF114" s="57" t="s">
        <v>95</v>
      </c>
      <c r="AG114" s="58">
        <v>40</v>
      </c>
      <c r="AH114" s="58">
        <v>5</v>
      </c>
      <c r="AI114" s="58">
        <v>45</v>
      </c>
      <c r="AJ114" s="49">
        <v>11.25</v>
      </c>
      <c r="AK114" s="49">
        <v>56.25</v>
      </c>
      <c r="AL114" s="52">
        <v>5.625</v>
      </c>
      <c r="AM114" s="52">
        <v>16.25</v>
      </c>
      <c r="AN114" s="52">
        <v>21.875</v>
      </c>
      <c r="AO114" s="59">
        <v>0.3888888888888889</v>
      </c>
      <c r="AP114" s="60">
        <v>34.375</v>
      </c>
      <c r="AQ114" s="61">
        <v>0.61111111111111116</v>
      </c>
      <c r="AR114" s="60" t="s">
        <v>78</v>
      </c>
      <c r="AS114" s="62">
        <v>64</v>
      </c>
      <c r="AT114" s="62">
        <v>8</v>
      </c>
      <c r="AU114" s="62">
        <v>72</v>
      </c>
      <c r="AV114" s="62">
        <v>90</v>
      </c>
      <c r="AW114" s="47" t="s">
        <v>107</v>
      </c>
      <c r="AX114" s="64">
        <v>45068</v>
      </c>
      <c r="AY114" s="64" t="s">
        <v>5691</v>
      </c>
      <c r="BA114" s="64"/>
      <c r="BB114" s="64"/>
      <c r="BC114" s="64"/>
      <c r="BD114" s="46"/>
      <c r="BE114" s="46" t="e">
        <v>#REF!</v>
      </c>
      <c r="BF114" s="46" t="s">
        <v>75</v>
      </c>
      <c r="BG114" s="65">
        <v>1</v>
      </c>
      <c r="BH114" s="66" t="s">
        <v>5692</v>
      </c>
      <c r="BI114" s="63" t="s">
        <v>5693</v>
      </c>
    </row>
    <row r="115" spans="1:61" ht="89.25" x14ac:dyDescent="0.2">
      <c r="A115" s="45" t="s">
        <v>5694</v>
      </c>
      <c r="B115" s="46"/>
      <c r="C115" s="46" t="s">
        <v>5664</v>
      </c>
      <c r="D115" s="46" t="s">
        <v>5637</v>
      </c>
      <c r="E115" s="46" t="s">
        <v>68</v>
      </c>
      <c r="F115" s="46" t="s">
        <v>68</v>
      </c>
      <c r="G115" s="46" t="s">
        <v>68</v>
      </c>
      <c r="H115" s="46" t="s">
        <v>68</v>
      </c>
      <c r="I115" s="46" t="s">
        <v>68</v>
      </c>
      <c r="J115" s="46" t="s">
        <v>2996</v>
      </c>
      <c r="K115" s="47">
        <v>100</v>
      </c>
      <c r="L115" s="47">
        <f>5+10+10</f>
        <v>25</v>
      </c>
      <c r="M115" s="47">
        <v>125</v>
      </c>
      <c r="N115" s="46"/>
      <c r="O115" s="71" t="s">
        <v>68</v>
      </c>
      <c r="P115" s="64"/>
      <c r="Q115" s="46" t="s">
        <v>5504</v>
      </c>
      <c r="R115" s="46" t="s">
        <v>5507</v>
      </c>
      <c r="S115" s="49">
        <v>31.25</v>
      </c>
      <c r="T115" s="49">
        <v>156.25</v>
      </c>
      <c r="U115" s="67">
        <v>0.34799999999999998</v>
      </c>
      <c r="V115" s="67">
        <v>0.54</v>
      </c>
      <c r="W115" s="51">
        <v>0.25</v>
      </c>
      <c r="X115" s="52">
        <v>15.625</v>
      </c>
      <c r="Y115" s="52">
        <v>30</v>
      </c>
      <c r="Z115" s="52">
        <v>56.25</v>
      </c>
      <c r="AA115" s="52">
        <v>101.875</v>
      </c>
      <c r="AB115" s="53">
        <v>0.65200000000000002</v>
      </c>
      <c r="AC115" s="75">
        <v>54.375</v>
      </c>
      <c r="AD115" s="55">
        <v>0.34799999999999998</v>
      </c>
      <c r="AE115" s="73">
        <v>3</v>
      </c>
      <c r="AF115" s="57" t="s">
        <v>95</v>
      </c>
      <c r="AG115" s="58">
        <v>100</v>
      </c>
      <c r="AH115" s="58">
        <v>25</v>
      </c>
      <c r="AI115" s="58">
        <v>125</v>
      </c>
      <c r="AJ115" s="49">
        <v>31.25</v>
      </c>
      <c r="AK115" s="49">
        <v>156.25</v>
      </c>
      <c r="AL115" s="52">
        <v>15.625</v>
      </c>
      <c r="AM115" s="52">
        <v>56.25</v>
      </c>
      <c r="AN115" s="52">
        <v>71.875</v>
      </c>
      <c r="AO115" s="59">
        <v>0.46</v>
      </c>
      <c r="AP115" s="60">
        <v>84.375</v>
      </c>
      <c r="AQ115" s="61">
        <v>0.54</v>
      </c>
      <c r="AR115" s="60" t="s">
        <v>78</v>
      </c>
      <c r="AS115" s="62">
        <v>160</v>
      </c>
      <c r="AT115" s="62">
        <v>40</v>
      </c>
      <c r="AU115" s="62">
        <v>200</v>
      </c>
      <c r="AV115" s="62">
        <v>250</v>
      </c>
      <c r="AW115" s="47" t="s">
        <v>107</v>
      </c>
      <c r="AX115" s="64">
        <v>45127</v>
      </c>
      <c r="AY115" s="64" t="s">
        <v>5695</v>
      </c>
      <c r="BA115" s="64"/>
      <c r="BB115" s="64"/>
      <c r="BC115" s="64"/>
      <c r="BD115" s="46"/>
      <c r="BE115" s="46" t="e">
        <v>#REF!</v>
      </c>
      <c r="BF115" s="46" t="s">
        <v>75</v>
      </c>
      <c r="BG115" s="65">
        <v>2</v>
      </c>
      <c r="BH115" s="66"/>
      <c r="BI115" s="63" t="s">
        <v>5696</v>
      </c>
    </row>
    <row r="116" spans="1:61" ht="178.5" x14ac:dyDescent="0.2">
      <c r="A116" s="45" t="s">
        <v>5697</v>
      </c>
      <c r="B116" s="46"/>
      <c r="C116" s="46" t="s">
        <v>5555</v>
      </c>
      <c r="D116" s="46" t="s">
        <v>727</v>
      </c>
      <c r="E116" s="46" t="s">
        <v>454</v>
      </c>
      <c r="F116" s="46" t="s">
        <v>5698</v>
      </c>
      <c r="G116" s="46" t="s">
        <v>5654</v>
      </c>
      <c r="H116" s="46"/>
      <c r="I116" s="46"/>
      <c r="J116" s="46" t="s">
        <v>2996</v>
      </c>
      <c r="K116" s="47">
        <f t="shared" ref="K116:K118" si="16">K78+10</f>
        <v>40</v>
      </c>
      <c r="L116" s="47">
        <f t="shared" ref="L116:L118" si="17">L78+10+(ROUND(200/6,0))</f>
        <v>103</v>
      </c>
      <c r="M116" s="47">
        <v>143</v>
      </c>
      <c r="N116" s="46"/>
      <c r="O116" s="71" t="s">
        <v>68</v>
      </c>
      <c r="P116" s="64"/>
      <c r="Q116" s="46" t="s">
        <v>5504</v>
      </c>
      <c r="R116" s="46" t="s">
        <v>5507</v>
      </c>
      <c r="S116" s="49">
        <v>35.75</v>
      </c>
      <c r="T116" s="49">
        <v>178.75</v>
      </c>
      <c r="U116" s="50">
        <v>0.13986013986013987</v>
      </c>
      <c r="V116" s="50">
        <v>0.12377622377622377</v>
      </c>
      <c r="W116" s="77">
        <v>2.5750000000000002</v>
      </c>
      <c r="X116" s="52">
        <v>17.875</v>
      </c>
      <c r="Y116" s="52">
        <v>30</v>
      </c>
      <c r="Z116" s="52">
        <v>138.75</v>
      </c>
      <c r="AA116" s="52">
        <v>186.625</v>
      </c>
      <c r="AB116" s="53">
        <v>1.044055944055944</v>
      </c>
      <c r="AC116" s="75">
        <v>25</v>
      </c>
      <c r="AD116" s="55">
        <v>0.13986013986013987</v>
      </c>
      <c r="AE116" s="73">
        <v>3</v>
      </c>
      <c r="AF116" s="57" t="s">
        <v>95</v>
      </c>
      <c r="AG116" s="58">
        <v>40</v>
      </c>
      <c r="AH116" s="58">
        <v>103</v>
      </c>
      <c r="AI116" s="58">
        <v>143</v>
      </c>
      <c r="AJ116" s="49">
        <v>35.75</v>
      </c>
      <c r="AK116" s="49">
        <v>178.75</v>
      </c>
      <c r="AL116" s="52">
        <v>17.875</v>
      </c>
      <c r="AM116" s="52">
        <v>138.75</v>
      </c>
      <c r="AN116" s="52">
        <v>156.625</v>
      </c>
      <c r="AO116" s="59">
        <v>0.87622377622377623</v>
      </c>
      <c r="AP116" s="60">
        <v>22.125</v>
      </c>
      <c r="AQ116" s="61">
        <v>0.12377622377622377</v>
      </c>
      <c r="AR116" s="60" t="s">
        <v>73</v>
      </c>
      <c r="AS116" s="62">
        <v>64</v>
      </c>
      <c r="AT116" s="62">
        <v>165</v>
      </c>
      <c r="AU116" s="62">
        <v>229</v>
      </c>
      <c r="AV116" s="62">
        <v>286.25</v>
      </c>
      <c r="AW116" s="47" t="s">
        <v>107</v>
      </c>
      <c r="AX116" s="64">
        <v>45325</v>
      </c>
      <c r="AY116" s="64" t="s">
        <v>5699</v>
      </c>
      <c r="BA116" s="64"/>
      <c r="BB116" s="64"/>
      <c r="BC116" s="64"/>
      <c r="BD116" s="46"/>
      <c r="BE116" s="46" t="e">
        <v>#REF!</v>
      </c>
      <c r="BF116" s="46" t="s">
        <v>75</v>
      </c>
      <c r="BG116" s="65">
        <v>1</v>
      </c>
      <c r="BH116" s="66"/>
      <c r="BI116" s="63" t="s">
        <v>5700</v>
      </c>
    </row>
    <row r="117" spans="1:61" ht="178.5" x14ac:dyDescent="0.2">
      <c r="A117" s="45" t="s">
        <v>5701</v>
      </c>
      <c r="B117" s="46"/>
      <c r="C117" s="46" t="s">
        <v>5555</v>
      </c>
      <c r="D117" s="46" t="s">
        <v>727</v>
      </c>
      <c r="E117" s="46" t="s">
        <v>445</v>
      </c>
      <c r="F117" s="46" t="s">
        <v>5698</v>
      </c>
      <c r="G117" s="46" t="s">
        <v>5654</v>
      </c>
      <c r="H117" s="46"/>
      <c r="I117" s="46"/>
      <c r="J117" s="46" t="s">
        <v>2996</v>
      </c>
      <c r="K117" s="47">
        <f t="shared" si="16"/>
        <v>46</v>
      </c>
      <c r="L117" s="47">
        <f t="shared" si="17"/>
        <v>115</v>
      </c>
      <c r="M117" s="47">
        <v>161</v>
      </c>
      <c r="N117" s="46"/>
      <c r="O117" s="71" t="s">
        <v>68</v>
      </c>
      <c r="P117" s="64"/>
      <c r="Q117" s="46" t="s">
        <v>5504</v>
      </c>
      <c r="R117" s="46" t="s">
        <v>5507</v>
      </c>
      <c r="S117" s="49">
        <v>40.25</v>
      </c>
      <c r="T117" s="49">
        <v>201.25</v>
      </c>
      <c r="U117" s="50">
        <v>0.14285714285714285</v>
      </c>
      <c r="V117" s="50">
        <v>0.12857142857142856</v>
      </c>
      <c r="W117" s="77">
        <v>2.5</v>
      </c>
      <c r="X117" s="52">
        <v>20.125</v>
      </c>
      <c r="Y117" s="52">
        <v>30</v>
      </c>
      <c r="Z117" s="52">
        <v>155.25</v>
      </c>
      <c r="AA117" s="52">
        <v>205.375</v>
      </c>
      <c r="AB117" s="53">
        <v>1.020496894409938</v>
      </c>
      <c r="AC117" s="75">
        <v>28.75</v>
      </c>
      <c r="AD117" s="55">
        <v>0.14285714285714285</v>
      </c>
      <c r="AE117" s="73">
        <v>3</v>
      </c>
      <c r="AF117" s="57" t="s">
        <v>95</v>
      </c>
      <c r="AG117" s="58">
        <v>46</v>
      </c>
      <c r="AH117" s="58">
        <v>115</v>
      </c>
      <c r="AI117" s="58">
        <v>161</v>
      </c>
      <c r="AJ117" s="49">
        <v>40.25</v>
      </c>
      <c r="AK117" s="49">
        <v>201.25</v>
      </c>
      <c r="AL117" s="52">
        <v>20.125</v>
      </c>
      <c r="AM117" s="52">
        <v>155.25</v>
      </c>
      <c r="AN117" s="52">
        <v>175.375</v>
      </c>
      <c r="AO117" s="59">
        <v>0.87142857142857144</v>
      </c>
      <c r="AP117" s="60">
        <v>25.875</v>
      </c>
      <c r="AQ117" s="61">
        <v>0.12857142857142856</v>
      </c>
      <c r="AR117" s="60" t="s">
        <v>73</v>
      </c>
      <c r="AS117" s="62">
        <v>74</v>
      </c>
      <c r="AT117" s="62">
        <v>184</v>
      </c>
      <c r="AU117" s="62">
        <v>258</v>
      </c>
      <c r="AV117" s="62">
        <v>322.5</v>
      </c>
      <c r="AW117" s="47" t="s">
        <v>107</v>
      </c>
      <c r="AX117" s="64">
        <v>45325</v>
      </c>
      <c r="AY117" s="64" t="s">
        <v>5702</v>
      </c>
      <c r="BA117" s="64"/>
      <c r="BB117" s="64"/>
      <c r="BC117" s="64"/>
      <c r="BD117" s="46"/>
      <c r="BE117" s="46" t="e">
        <v>#REF!</v>
      </c>
      <c r="BF117" s="46" t="s">
        <v>75</v>
      </c>
      <c r="BG117" s="65">
        <v>1</v>
      </c>
      <c r="BH117" s="66"/>
      <c r="BI117" s="63" t="s">
        <v>5703</v>
      </c>
    </row>
    <row r="118" spans="1:61" ht="178.5" x14ac:dyDescent="0.2">
      <c r="A118" s="45" t="s">
        <v>5704</v>
      </c>
      <c r="B118" s="46"/>
      <c r="C118" s="46" t="s">
        <v>5555</v>
      </c>
      <c r="D118" s="46" t="s">
        <v>727</v>
      </c>
      <c r="E118" s="46" t="s">
        <v>449</v>
      </c>
      <c r="F118" s="46" t="s">
        <v>5698</v>
      </c>
      <c r="G118" s="46" t="s">
        <v>5654</v>
      </c>
      <c r="H118" s="46"/>
      <c r="I118" s="46"/>
      <c r="J118" s="46" t="s">
        <v>2996</v>
      </c>
      <c r="K118" s="47">
        <f t="shared" si="16"/>
        <v>54</v>
      </c>
      <c r="L118" s="47">
        <f t="shared" si="17"/>
        <v>130</v>
      </c>
      <c r="M118" s="47">
        <v>184</v>
      </c>
      <c r="N118" s="46"/>
      <c r="O118" s="71" t="s">
        <v>68</v>
      </c>
      <c r="P118" s="64"/>
      <c r="Q118" s="46" t="s">
        <v>5504</v>
      </c>
      <c r="R118" s="46" t="s">
        <v>5507</v>
      </c>
      <c r="S118" s="49">
        <v>46</v>
      </c>
      <c r="T118" s="49">
        <v>230</v>
      </c>
      <c r="U118" s="50">
        <v>4.3478260869565218E-3</v>
      </c>
      <c r="V118" s="50">
        <v>0.13478260869565217</v>
      </c>
      <c r="W118" s="77">
        <v>2.4074074074074074</v>
      </c>
      <c r="X118" s="52">
        <v>23</v>
      </c>
      <c r="Y118" s="52">
        <v>30</v>
      </c>
      <c r="Z118" s="52">
        <v>176</v>
      </c>
      <c r="AA118" s="52">
        <v>229</v>
      </c>
      <c r="AB118" s="53">
        <v>0.9956521739130435</v>
      </c>
      <c r="AC118" s="75">
        <v>1</v>
      </c>
      <c r="AD118" s="55">
        <v>4.3478260869565218E-3</v>
      </c>
      <c r="AE118" s="73">
        <v>3</v>
      </c>
      <c r="AF118" s="57" t="s">
        <v>95</v>
      </c>
      <c r="AG118" s="58">
        <v>54</v>
      </c>
      <c r="AH118" s="58">
        <v>130</v>
      </c>
      <c r="AI118" s="58">
        <v>184</v>
      </c>
      <c r="AJ118" s="49">
        <v>46</v>
      </c>
      <c r="AK118" s="49">
        <v>230</v>
      </c>
      <c r="AL118" s="52">
        <v>23</v>
      </c>
      <c r="AM118" s="52">
        <v>176</v>
      </c>
      <c r="AN118" s="52">
        <v>199</v>
      </c>
      <c r="AO118" s="59">
        <v>0.86521739130434783</v>
      </c>
      <c r="AP118" s="60">
        <v>31</v>
      </c>
      <c r="AQ118" s="61">
        <v>0.13478260869565217</v>
      </c>
      <c r="AR118" s="60" t="s">
        <v>73</v>
      </c>
      <c r="AS118" s="62">
        <v>87</v>
      </c>
      <c r="AT118" s="62">
        <v>208</v>
      </c>
      <c r="AU118" s="62">
        <v>295</v>
      </c>
      <c r="AV118" s="62">
        <v>368.75</v>
      </c>
      <c r="AW118" s="47" t="s">
        <v>107</v>
      </c>
      <c r="AX118" s="64">
        <v>45325</v>
      </c>
      <c r="AY118" s="64" t="s">
        <v>5705</v>
      </c>
      <c r="BA118" s="64"/>
      <c r="BB118" s="64"/>
      <c r="BC118" s="64"/>
      <c r="BD118" s="46"/>
      <c r="BE118" s="46" t="e">
        <v>#REF!</v>
      </c>
      <c r="BF118" s="46" t="s">
        <v>75</v>
      </c>
      <c r="BG118" s="65">
        <v>1</v>
      </c>
      <c r="BH118" s="66"/>
      <c r="BI118" s="63" t="s">
        <v>5706</v>
      </c>
    </row>
    <row r="119" spans="1:61" ht="140.25" x14ac:dyDescent="0.2">
      <c r="A119" s="45" t="s">
        <v>5707</v>
      </c>
      <c r="B119" s="46"/>
      <c r="C119" s="46" t="s">
        <v>5555</v>
      </c>
      <c r="D119" s="46" t="s">
        <v>5570</v>
      </c>
      <c r="E119" s="46" t="s">
        <v>5698</v>
      </c>
      <c r="F119" s="46" t="s">
        <v>68</v>
      </c>
      <c r="G119" s="46" t="s">
        <v>68</v>
      </c>
      <c r="H119" s="46" t="s">
        <v>68</v>
      </c>
      <c r="I119" s="46" t="s">
        <v>5674</v>
      </c>
      <c r="J119" s="46" t="s">
        <v>71</v>
      </c>
      <c r="K119" s="47">
        <v>15</v>
      </c>
      <c r="L119" s="47">
        <v>25</v>
      </c>
      <c r="M119" s="47">
        <v>40</v>
      </c>
      <c r="N119" s="46"/>
      <c r="O119" s="71" t="s">
        <v>68</v>
      </c>
      <c r="P119" s="64"/>
      <c r="Q119" s="46" t="s">
        <v>5504</v>
      </c>
      <c r="R119" s="46" t="s">
        <v>5507</v>
      </c>
      <c r="S119" s="49">
        <v>10</v>
      </c>
      <c r="T119" s="49">
        <v>50</v>
      </c>
      <c r="U119" s="50">
        <v>0.1875</v>
      </c>
      <c r="V119" s="28">
        <v>0.2</v>
      </c>
      <c r="W119" s="77">
        <v>1.6666666666666667</v>
      </c>
      <c r="X119" s="52">
        <v>5</v>
      </c>
      <c r="Y119" s="52">
        <v>30</v>
      </c>
      <c r="Z119" s="52">
        <v>35</v>
      </c>
      <c r="AA119" s="52">
        <v>70</v>
      </c>
      <c r="AB119" s="53">
        <v>1.4</v>
      </c>
      <c r="AC119" s="75">
        <v>9.375</v>
      </c>
      <c r="AD119" s="55">
        <v>0.1875</v>
      </c>
      <c r="AE119" s="73">
        <v>3</v>
      </c>
      <c r="AF119" s="57" t="s">
        <v>95</v>
      </c>
      <c r="AG119" s="58">
        <v>15</v>
      </c>
      <c r="AH119" s="58">
        <v>25</v>
      </c>
      <c r="AI119" s="58">
        <v>40</v>
      </c>
      <c r="AJ119" s="49">
        <v>10</v>
      </c>
      <c r="AK119" s="49">
        <v>50</v>
      </c>
      <c r="AL119" s="52">
        <v>5</v>
      </c>
      <c r="AM119" s="52">
        <v>35</v>
      </c>
      <c r="AN119" s="52">
        <v>40</v>
      </c>
      <c r="AO119" s="59">
        <v>0.8</v>
      </c>
      <c r="AP119" s="60">
        <v>10</v>
      </c>
      <c r="AQ119" s="61">
        <v>0.2</v>
      </c>
      <c r="AR119" s="60" t="s">
        <v>78</v>
      </c>
      <c r="AS119" s="62">
        <v>24</v>
      </c>
      <c r="AT119" s="62">
        <v>40</v>
      </c>
      <c r="AU119" s="62">
        <v>64</v>
      </c>
      <c r="AV119" s="62">
        <v>80</v>
      </c>
      <c r="AW119" s="47" t="s">
        <v>107</v>
      </c>
      <c r="AX119" s="64">
        <v>45127</v>
      </c>
      <c r="AY119" s="64" t="s">
        <v>5708</v>
      </c>
      <c r="BA119" s="64"/>
      <c r="BB119" s="64"/>
      <c r="BC119" s="64"/>
      <c r="BD119" s="46"/>
      <c r="BE119" s="46" t="e">
        <v>#REF!</v>
      </c>
      <c r="BF119" s="46" t="s">
        <v>75</v>
      </c>
      <c r="BG119" s="65">
        <v>1</v>
      </c>
      <c r="BH119" s="66"/>
      <c r="BI119" s="63" t="s">
        <v>5709</v>
      </c>
    </row>
    <row r="120" spans="1:61" ht="140.25" x14ac:dyDescent="0.2">
      <c r="A120" s="45" t="s">
        <v>5710</v>
      </c>
      <c r="B120" s="46"/>
      <c r="C120" s="46" t="s">
        <v>5555</v>
      </c>
      <c r="D120" s="46" t="s">
        <v>5570</v>
      </c>
      <c r="E120" s="46" t="s">
        <v>5698</v>
      </c>
      <c r="F120" s="46" t="s">
        <v>68</v>
      </c>
      <c r="G120" s="46" t="s">
        <v>68</v>
      </c>
      <c r="H120" s="46" t="s">
        <v>68</v>
      </c>
      <c r="I120" s="46" t="s">
        <v>5679</v>
      </c>
      <c r="J120" s="46" t="s">
        <v>71</v>
      </c>
      <c r="K120" s="47">
        <v>15</v>
      </c>
      <c r="L120" s="47">
        <v>50</v>
      </c>
      <c r="M120" s="47">
        <v>65</v>
      </c>
      <c r="N120" s="46"/>
      <c r="O120" s="71" t="s">
        <v>68</v>
      </c>
      <c r="P120" s="64"/>
      <c r="Q120" s="46" t="s">
        <v>5504</v>
      </c>
      <c r="R120" s="46" t="s">
        <v>5507</v>
      </c>
      <c r="S120" s="49">
        <v>16.25</v>
      </c>
      <c r="T120" s="49">
        <v>81.25</v>
      </c>
      <c r="U120" s="50">
        <v>0.11538461538461539</v>
      </c>
      <c r="V120" s="50">
        <v>8.461538461538462E-2</v>
      </c>
      <c r="W120" s="77">
        <v>3.3333333333333335</v>
      </c>
      <c r="X120" s="52">
        <v>8.125</v>
      </c>
      <c r="Y120" s="52">
        <v>30</v>
      </c>
      <c r="Z120" s="52">
        <v>66.25</v>
      </c>
      <c r="AA120" s="52">
        <v>104.375</v>
      </c>
      <c r="AB120" s="53">
        <v>1.2846153846153847</v>
      </c>
      <c r="AC120" s="75">
        <v>9.375</v>
      </c>
      <c r="AD120" s="55">
        <v>0.11538461538461539</v>
      </c>
      <c r="AE120" s="73">
        <v>3</v>
      </c>
      <c r="AF120" s="57" t="s">
        <v>95</v>
      </c>
      <c r="AG120" s="58">
        <v>15</v>
      </c>
      <c r="AH120" s="58">
        <v>50</v>
      </c>
      <c r="AI120" s="58">
        <v>65</v>
      </c>
      <c r="AJ120" s="49">
        <v>16.25</v>
      </c>
      <c r="AK120" s="49">
        <v>81.25</v>
      </c>
      <c r="AL120" s="52">
        <v>8.125</v>
      </c>
      <c r="AM120" s="52">
        <v>66.25</v>
      </c>
      <c r="AN120" s="52">
        <v>74.375</v>
      </c>
      <c r="AO120" s="59">
        <v>0.91538461538461535</v>
      </c>
      <c r="AP120" s="60">
        <v>6.875</v>
      </c>
      <c r="AQ120" s="61">
        <v>8.461538461538462E-2</v>
      </c>
      <c r="AR120" s="60" t="s">
        <v>73</v>
      </c>
      <c r="AS120" s="62">
        <v>24</v>
      </c>
      <c r="AT120" s="62">
        <v>80</v>
      </c>
      <c r="AU120" s="62">
        <v>104</v>
      </c>
      <c r="AV120" s="62">
        <v>130</v>
      </c>
      <c r="AW120" s="47" t="s">
        <v>107</v>
      </c>
      <c r="AX120" s="64">
        <v>45127</v>
      </c>
      <c r="AY120" s="64" t="s">
        <v>5711</v>
      </c>
      <c r="BA120" s="64"/>
      <c r="BB120" s="64"/>
      <c r="BC120" s="64"/>
      <c r="BD120" s="46"/>
      <c r="BE120" s="46" t="e">
        <v>#REF!</v>
      </c>
      <c r="BF120" s="46" t="s">
        <v>75</v>
      </c>
      <c r="BG120" s="65">
        <v>1</v>
      </c>
      <c r="BH120" s="66"/>
      <c r="BI120" s="63" t="s">
        <v>5712</v>
      </c>
    </row>
    <row r="121" spans="1:61" ht="140.25" x14ac:dyDescent="0.2">
      <c r="A121" s="45" t="s">
        <v>5713</v>
      </c>
      <c r="B121" s="46"/>
      <c r="C121" s="46" t="s">
        <v>5555</v>
      </c>
      <c r="D121" s="46" t="s">
        <v>5570</v>
      </c>
      <c r="E121" s="46" t="s">
        <v>5698</v>
      </c>
      <c r="F121" s="46" t="s">
        <v>68</v>
      </c>
      <c r="G121" s="46" t="s">
        <v>68</v>
      </c>
      <c r="H121" s="46" t="s">
        <v>68</v>
      </c>
      <c r="I121" s="46" t="s">
        <v>5684</v>
      </c>
      <c r="J121" s="46" t="s">
        <v>71</v>
      </c>
      <c r="K121" s="47">
        <v>15</v>
      </c>
      <c r="L121" s="47">
        <v>75</v>
      </c>
      <c r="M121" s="47">
        <v>90</v>
      </c>
      <c r="N121" s="46"/>
      <c r="O121" s="71" t="s">
        <v>68</v>
      </c>
      <c r="P121" s="64"/>
      <c r="Q121" s="46" t="s">
        <v>5504</v>
      </c>
      <c r="R121" s="46" t="s">
        <v>5507</v>
      </c>
      <c r="S121" s="49">
        <v>22.5</v>
      </c>
      <c r="T121" s="49">
        <v>112.5</v>
      </c>
      <c r="U121" s="50">
        <v>8.3333333333333329E-2</v>
      </c>
      <c r="V121" s="50">
        <v>3.3333333333333333E-2</v>
      </c>
      <c r="W121" s="77">
        <v>5</v>
      </c>
      <c r="X121" s="52">
        <v>11.25</v>
      </c>
      <c r="Y121" s="52">
        <v>30</v>
      </c>
      <c r="Z121" s="52">
        <v>97.5</v>
      </c>
      <c r="AA121" s="52">
        <v>138.75</v>
      </c>
      <c r="AB121" s="53">
        <v>1.2333333333333334</v>
      </c>
      <c r="AC121" s="75">
        <v>9.375</v>
      </c>
      <c r="AD121" s="55">
        <v>8.3333333333333329E-2</v>
      </c>
      <c r="AE121" s="73">
        <v>3</v>
      </c>
      <c r="AF121" s="57" t="s">
        <v>95</v>
      </c>
      <c r="AG121" s="58">
        <v>15</v>
      </c>
      <c r="AH121" s="58">
        <v>75</v>
      </c>
      <c r="AI121" s="58">
        <v>90</v>
      </c>
      <c r="AJ121" s="49">
        <v>22.5</v>
      </c>
      <c r="AK121" s="49">
        <v>112.5</v>
      </c>
      <c r="AL121" s="52">
        <v>11.25</v>
      </c>
      <c r="AM121" s="52">
        <v>97.5</v>
      </c>
      <c r="AN121" s="52">
        <v>108.75</v>
      </c>
      <c r="AO121" s="59">
        <v>0.96666666666666667</v>
      </c>
      <c r="AP121" s="60">
        <v>3.75</v>
      </c>
      <c r="AQ121" s="61">
        <v>3.3333333333333333E-2</v>
      </c>
      <c r="AR121" s="60" t="s">
        <v>73</v>
      </c>
      <c r="AS121" s="62">
        <v>24</v>
      </c>
      <c r="AT121" s="62">
        <v>120</v>
      </c>
      <c r="AU121" s="62">
        <v>144</v>
      </c>
      <c r="AV121" s="62">
        <v>180</v>
      </c>
      <c r="AW121" s="47" t="s">
        <v>107</v>
      </c>
      <c r="AX121" s="64">
        <v>45127</v>
      </c>
      <c r="AY121" s="64" t="s">
        <v>5714</v>
      </c>
      <c r="BA121" s="64"/>
      <c r="BB121" s="64"/>
      <c r="BC121" s="64"/>
      <c r="BD121" s="46"/>
      <c r="BE121" s="46" t="e">
        <v>#REF!</v>
      </c>
      <c r="BF121" s="46" t="s">
        <v>75</v>
      </c>
      <c r="BG121" s="65">
        <v>1</v>
      </c>
      <c r="BH121" s="66"/>
      <c r="BI121" s="63" t="s">
        <v>5715</v>
      </c>
    </row>
    <row r="122" spans="1:61" ht="140.25" x14ac:dyDescent="0.2">
      <c r="A122" s="45" t="s">
        <v>5716</v>
      </c>
      <c r="B122" s="46"/>
      <c r="C122" s="46" t="s">
        <v>5555</v>
      </c>
      <c r="D122" s="46" t="s">
        <v>5570</v>
      </c>
      <c r="E122" s="46" t="s">
        <v>5698</v>
      </c>
      <c r="F122" s="46" t="s">
        <v>68</v>
      </c>
      <c r="G122" s="46" t="s">
        <v>68</v>
      </c>
      <c r="H122" s="46" t="s">
        <v>68</v>
      </c>
      <c r="I122" s="46" t="s">
        <v>154</v>
      </c>
      <c r="J122" s="46" t="s">
        <v>71</v>
      </c>
      <c r="K122" s="47">
        <v>15</v>
      </c>
      <c r="L122" s="47">
        <v>100</v>
      </c>
      <c r="M122" s="47">
        <v>115</v>
      </c>
      <c r="N122" s="46"/>
      <c r="O122" s="71" t="s">
        <v>68</v>
      </c>
      <c r="P122" s="64"/>
      <c r="Q122" s="46" t="s">
        <v>5504</v>
      </c>
      <c r="R122" s="46" t="s">
        <v>5507</v>
      </c>
      <c r="S122" s="49">
        <v>28.75</v>
      </c>
      <c r="T122" s="49">
        <v>143.75</v>
      </c>
      <c r="U122" s="50">
        <v>6.5217391304347824E-2</v>
      </c>
      <c r="V122" s="50">
        <v>4.3478260869565218E-3</v>
      </c>
      <c r="W122" s="77">
        <v>6.666666666666667</v>
      </c>
      <c r="X122" s="52">
        <v>14.375</v>
      </c>
      <c r="Y122" s="52">
        <v>30</v>
      </c>
      <c r="Z122" s="52">
        <v>128.75</v>
      </c>
      <c r="AA122" s="52">
        <v>173.125</v>
      </c>
      <c r="AB122" s="53">
        <v>1.2043478260869565</v>
      </c>
      <c r="AC122" s="75">
        <v>9.375</v>
      </c>
      <c r="AD122" s="55">
        <v>6.5217391304347824E-2</v>
      </c>
      <c r="AE122" s="73">
        <v>3</v>
      </c>
      <c r="AF122" s="57" t="s">
        <v>95</v>
      </c>
      <c r="AG122" s="58">
        <v>15</v>
      </c>
      <c r="AH122" s="58">
        <v>100</v>
      </c>
      <c r="AI122" s="58">
        <v>115</v>
      </c>
      <c r="AJ122" s="49">
        <v>28.75</v>
      </c>
      <c r="AK122" s="49">
        <v>143.75</v>
      </c>
      <c r="AL122" s="52">
        <v>14.375</v>
      </c>
      <c r="AM122" s="52">
        <v>128.75</v>
      </c>
      <c r="AN122" s="52">
        <v>143.125</v>
      </c>
      <c r="AO122" s="59">
        <v>0.9956521739130435</v>
      </c>
      <c r="AP122" s="60">
        <v>0.625</v>
      </c>
      <c r="AQ122" s="61">
        <v>4.3478260869565218E-3</v>
      </c>
      <c r="AR122" s="60" t="s">
        <v>73</v>
      </c>
      <c r="AS122" s="62">
        <v>24</v>
      </c>
      <c r="AT122" s="62">
        <v>160</v>
      </c>
      <c r="AU122" s="62">
        <v>184</v>
      </c>
      <c r="AV122" s="62">
        <v>230</v>
      </c>
      <c r="AW122" s="47" t="s">
        <v>107</v>
      </c>
      <c r="AX122" s="64">
        <v>45127</v>
      </c>
      <c r="AY122" s="64" t="s">
        <v>5717</v>
      </c>
      <c r="BA122" s="64"/>
      <c r="BB122" s="64"/>
      <c r="BC122" s="64"/>
      <c r="BD122" s="46"/>
      <c r="BE122" s="46" t="e">
        <v>#REF!</v>
      </c>
      <c r="BF122" s="46" t="s">
        <v>75</v>
      </c>
      <c r="BG122" s="65">
        <v>1</v>
      </c>
      <c r="BH122" s="66"/>
      <c r="BI122" s="63" t="s">
        <v>5718</v>
      </c>
    </row>
    <row r="123" spans="1:61" ht="114.75" x14ac:dyDescent="0.2">
      <c r="A123" s="45" t="s">
        <v>5719</v>
      </c>
      <c r="B123" s="46"/>
      <c r="C123" s="46" t="s">
        <v>5555</v>
      </c>
      <c r="D123" s="46" t="s">
        <v>5637</v>
      </c>
      <c r="E123" s="46" t="s">
        <v>5698</v>
      </c>
      <c r="F123" s="46" t="s">
        <v>68</v>
      </c>
      <c r="G123" s="46" t="s">
        <v>68</v>
      </c>
      <c r="H123" s="46" t="s">
        <v>68</v>
      </c>
      <c r="I123" s="46" t="s">
        <v>68</v>
      </c>
      <c r="J123" s="46" t="s">
        <v>2996</v>
      </c>
      <c r="K123" s="47">
        <f>K117</f>
        <v>46</v>
      </c>
      <c r="L123" s="47">
        <v>10</v>
      </c>
      <c r="M123" s="47">
        <v>56</v>
      </c>
      <c r="N123" s="46"/>
      <c r="O123" s="71" t="s">
        <v>68</v>
      </c>
      <c r="P123" s="64"/>
      <c r="Q123" s="46" t="s">
        <v>5504</v>
      </c>
      <c r="R123" s="46" t="s">
        <v>5507</v>
      </c>
      <c r="S123" s="49">
        <v>14</v>
      </c>
      <c r="T123" s="49">
        <v>70</v>
      </c>
      <c r="U123" s="50">
        <v>0.12857142857142856</v>
      </c>
      <c r="V123" s="67">
        <v>0.55714285714285716</v>
      </c>
      <c r="W123" s="51">
        <v>0.21739130434782608</v>
      </c>
      <c r="X123" s="52">
        <v>7</v>
      </c>
      <c r="Y123" s="52">
        <v>30</v>
      </c>
      <c r="Z123" s="52">
        <v>24</v>
      </c>
      <c r="AA123" s="52">
        <v>61</v>
      </c>
      <c r="AB123" s="53">
        <v>0.87142857142857144</v>
      </c>
      <c r="AC123" s="75">
        <v>9</v>
      </c>
      <c r="AD123" s="55">
        <v>0.12857142857142856</v>
      </c>
      <c r="AE123" s="73">
        <v>3</v>
      </c>
      <c r="AF123" s="57" t="s">
        <v>95</v>
      </c>
      <c r="AG123" s="58">
        <v>46</v>
      </c>
      <c r="AH123" s="58">
        <v>10</v>
      </c>
      <c r="AI123" s="58">
        <v>56</v>
      </c>
      <c r="AJ123" s="49">
        <v>14</v>
      </c>
      <c r="AK123" s="49">
        <v>70</v>
      </c>
      <c r="AL123" s="52">
        <v>7</v>
      </c>
      <c r="AM123" s="52">
        <v>24</v>
      </c>
      <c r="AN123" s="52">
        <v>31</v>
      </c>
      <c r="AO123" s="59">
        <v>0.44285714285714284</v>
      </c>
      <c r="AP123" s="60">
        <v>39</v>
      </c>
      <c r="AQ123" s="61">
        <v>0.55714285714285716</v>
      </c>
      <c r="AR123" s="60" t="s">
        <v>78</v>
      </c>
      <c r="AS123" s="62">
        <v>74</v>
      </c>
      <c r="AT123" s="62">
        <v>16</v>
      </c>
      <c r="AU123" s="62">
        <v>90</v>
      </c>
      <c r="AV123" s="62">
        <v>112.5</v>
      </c>
      <c r="AW123" s="47" t="s">
        <v>107</v>
      </c>
      <c r="AX123" s="64">
        <v>45127</v>
      </c>
      <c r="AY123" s="64" t="s">
        <v>5720</v>
      </c>
      <c r="BA123" s="64"/>
      <c r="BB123" s="64"/>
      <c r="BC123" s="64"/>
      <c r="BD123" s="46"/>
      <c r="BE123" s="46" t="e">
        <v>#REF!</v>
      </c>
      <c r="BF123" s="46" t="s">
        <v>75</v>
      </c>
      <c r="BG123" s="65">
        <v>1</v>
      </c>
      <c r="BH123" s="66"/>
      <c r="BI123" s="63" t="s">
        <v>5721</v>
      </c>
    </row>
    <row r="124" spans="1:61" ht="153" x14ac:dyDescent="0.2">
      <c r="A124" s="45" t="s">
        <v>5722</v>
      </c>
      <c r="B124" s="46"/>
      <c r="C124" s="46" t="s">
        <v>5664</v>
      </c>
      <c r="D124" s="46" t="s">
        <v>5665</v>
      </c>
      <c r="E124" s="46" t="s">
        <v>5698</v>
      </c>
      <c r="F124" s="46" t="s">
        <v>68</v>
      </c>
      <c r="G124" s="46" t="s">
        <v>68</v>
      </c>
      <c r="H124" s="46" t="s">
        <v>68</v>
      </c>
      <c r="I124" s="46" t="s">
        <v>445</v>
      </c>
      <c r="J124" s="46" t="s">
        <v>2996</v>
      </c>
      <c r="K124" s="47">
        <f t="shared" ref="K124:L124" si="18">K109+10</f>
        <v>86</v>
      </c>
      <c r="L124" s="47">
        <f t="shared" si="18"/>
        <v>85</v>
      </c>
      <c r="M124" s="47">
        <v>171</v>
      </c>
      <c r="N124" s="46"/>
      <c r="O124" s="71" t="s">
        <v>68</v>
      </c>
      <c r="P124" s="64"/>
      <c r="Q124" s="46" t="s">
        <v>5504</v>
      </c>
      <c r="R124" s="46" t="s">
        <v>5507</v>
      </c>
      <c r="S124" s="49">
        <v>42.75</v>
      </c>
      <c r="T124" s="49">
        <v>213.75</v>
      </c>
      <c r="U124" s="50">
        <v>0.16198830409356726</v>
      </c>
      <c r="V124" s="67">
        <v>0.30233918128654969</v>
      </c>
      <c r="W124" s="51">
        <v>0.98837209302325579</v>
      </c>
      <c r="X124" s="52">
        <v>21.375</v>
      </c>
      <c r="Y124" s="52">
        <v>30</v>
      </c>
      <c r="Z124" s="52">
        <v>127.75</v>
      </c>
      <c r="AA124" s="52">
        <v>179.125</v>
      </c>
      <c r="AB124" s="53">
        <v>0.83801169590643276</v>
      </c>
      <c r="AC124" s="75">
        <v>34.625</v>
      </c>
      <c r="AD124" s="55">
        <v>0.16198830409356726</v>
      </c>
      <c r="AE124" s="73">
        <v>3</v>
      </c>
      <c r="AF124" s="57" t="s">
        <v>95</v>
      </c>
      <c r="AG124" s="58">
        <v>86</v>
      </c>
      <c r="AH124" s="58">
        <v>85</v>
      </c>
      <c r="AI124" s="58">
        <v>171</v>
      </c>
      <c r="AJ124" s="49">
        <v>42.75</v>
      </c>
      <c r="AK124" s="49">
        <v>213.75</v>
      </c>
      <c r="AL124" s="52">
        <v>21.375</v>
      </c>
      <c r="AM124" s="52">
        <v>127.75</v>
      </c>
      <c r="AN124" s="52">
        <v>149.125</v>
      </c>
      <c r="AO124" s="59">
        <v>0.69766081871345031</v>
      </c>
      <c r="AP124" s="60">
        <v>64.625</v>
      </c>
      <c r="AQ124" s="61">
        <v>0.30233918128654969</v>
      </c>
      <c r="AR124" s="60" t="s">
        <v>78</v>
      </c>
      <c r="AS124" s="62">
        <v>138</v>
      </c>
      <c r="AT124" s="62">
        <v>136</v>
      </c>
      <c r="AU124" s="62">
        <v>274</v>
      </c>
      <c r="AV124" s="62">
        <v>342.5</v>
      </c>
      <c r="AW124" s="47" t="s">
        <v>107</v>
      </c>
      <c r="AX124" s="64">
        <v>45127</v>
      </c>
      <c r="AY124" s="64" t="s">
        <v>5723</v>
      </c>
      <c r="BA124" s="64"/>
      <c r="BB124" s="64"/>
      <c r="BC124" s="64"/>
      <c r="BD124" s="46"/>
      <c r="BE124" s="46" t="e">
        <v>#REF!</v>
      </c>
      <c r="BF124" s="46" t="s">
        <v>75</v>
      </c>
      <c r="BG124" s="65">
        <v>1</v>
      </c>
      <c r="BH124" s="66"/>
      <c r="BI124" s="63" t="s">
        <v>5724</v>
      </c>
    </row>
    <row r="125" spans="1:61" ht="153" x14ac:dyDescent="0.2">
      <c r="A125" s="45" t="s">
        <v>5725</v>
      </c>
      <c r="B125" s="46"/>
      <c r="C125" s="46" t="s">
        <v>5664</v>
      </c>
      <c r="D125" s="46" t="s">
        <v>5665</v>
      </c>
      <c r="E125" s="46" t="s">
        <v>5698</v>
      </c>
      <c r="F125" s="46" t="s">
        <v>68</v>
      </c>
      <c r="G125" s="46" t="s">
        <v>68</v>
      </c>
      <c r="H125" s="46" t="s">
        <v>68</v>
      </c>
      <c r="I125" s="46" t="s">
        <v>449</v>
      </c>
      <c r="J125" s="46" t="s">
        <v>2996</v>
      </c>
      <c r="K125" s="47">
        <f t="shared" ref="K125:L125" si="19">K110+10</f>
        <v>94</v>
      </c>
      <c r="L125" s="47">
        <f t="shared" si="19"/>
        <v>100</v>
      </c>
      <c r="M125" s="47">
        <v>194</v>
      </c>
      <c r="N125" s="46"/>
      <c r="O125" s="71" t="s">
        <v>68</v>
      </c>
      <c r="P125" s="64"/>
      <c r="Q125" s="46" t="s">
        <v>5504</v>
      </c>
      <c r="R125" s="46" t="s">
        <v>5507</v>
      </c>
      <c r="S125" s="49">
        <v>48.5</v>
      </c>
      <c r="T125" s="49">
        <v>242.5</v>
      </c>
      <c r="U125" s="50">
        <v>0.16391752577319588</v>
      </c>
      <c r="V125" s="28">
        <v>0.28762886597938142</v>
      </c>
      <c r="W125" s="74">
        <v>1.0638297872340425</v>
      </c>
      <c r="X125" s="52">
        <v>24.25</v>
      </c>
      <c r="Y125" s="52">
        <v>30</v>
      </c>
      <c r="Z125" s="52">
        <v>148.5</v>
      </c>
      <c r="AA125" s="52">
        <v>202.75</v>
      </c>
      <c r="AB125" s="53">
        <v>0.83608247422680415</v>
      </c>
      <c r="AC125" s="75">
        <v>39.75</v>
      </c>
      <c r="AD125" s="55">
        <v>0.16391752577319588</v>
      </c>
      <c r="AE125" s="73">
        <v>3</v>
      </c>
      <c r="AF125" s="57" t="s">
        <v>95</v>
      </c>
      <c r="AG125" s="58">
        <v>94</v>
      </c>
      <c r="AH125" s="58">
        <v>100</v>
      </c>
      <c r="AI125" s="58">
        <v>194</v>
      </c>
      <c r="AJ125" s="49">
        <v>48.5</v>
      </c>
      <c r="AK125" s="49">
        <v>242.5</v>
      </c>
      <c r="AL125" s="52">
        <v>24.25</v>
      </c>
      <c r="AM125" s="52">
        <v>148.5</v>
      </c>
      <c r="AN125" s="52">
        <v>172.75</v>
      </c>
      <c r="AO125" s="59">
        <v>0.71237113402061858</v>
      </c>
      <c r="AP125" s="60">
        <v>69.75</v>
      </c>
      <c r="AQ125" s="61">
        <v>0.28762886597938142</v>
      </c>
      <c r="AR125" s="60" t="s">
        <v>78</v>
      </c>
      <c r="AS125" s="62">
        <v>151</v>
      </c>
      <c r="AT125" s="62">
        <v>160</v>
      </c>
      <c r="AU125" s="62">
        <v>311</v>
      </c>
      <c r="AV125" s="62">
        <v>388.75</v>
      </c>
      <c r="AW125" s="47" t="s">
        <v>107</v>
      </c>
      <c r="AX125" s="64">
        <v>45127</v>
      </c>
      <c r="AY125" s="64" t="s">
        <v>5726</v>
      </c>
      <c r="BA125" s="64"/>
      <c r="BB125" s="64"/>
      <c r="BC125" s="64"/>
      <c r="BD125" s="46"/>
      <c r="BE125" s="46" t="e">
        <v>#REF!</v>
      </c>
      <c r="BF125" s="46" t="s">
        <v>75</v>
      </c>
      <c r="BG125" s="65">
        <v>1</v>
      </c>
      <c r="BH125" s="66"/>
      <c r="BI125" s="63" t="s">
        <v>5727</v>
      </c>
    </row>
    <row r="126" spans="1:61" ht="153" x14ac:dyDescent="0.2">
      <c r="A126" s="45" t="s">
        <v>5728</v>
      </c>
      <c r="B126" s="46"/>
      <c r="C126" s="46" t="s">
        <v>5664</v>
      </c>
      <c r="D126" s="46" t="s">
        <v>5570</v>
      </c>
      <c r="E126" s="46" t="s">
        <v>5698</v>
      </c>
      <c r="F126" s="46" t="s">
        <v>68</v>
      </c>
      <c r="G126" s="46" t="s">
        <v>68</v>
      </c>
      <c r="H126" s="46" t="s">
        <v>68</v>
      </c>
      <c r="I126" s="46" t="s">
        <v>5674</v>
      </c>
      <c r="J126" s="46" t="s">
        <v>71</v>
      </c>
      <c r="K126" s="47">
        <f t="shared" ref="K126:L126" si="20">K111+10</f>
        <v>25</v>
      </c>
      <c r="L126" s="47">
        <f t="shared" si="20"/>
        <v>35</v>
      </c>
      <c r="M126" s="47">
        <v>60</v>
      </c>
      <c r="N126" s="46"/>
      <c r="O126" s="71" t="s">
        <v>68</v>
      </c>
      <c r="P126" s="64"/>
      <c r="Q126" s="46" t="s">
        <v>5504</v>
      </c>
      <c r="R126" s="46" t="s">
        <v>5507</v>
      </c>
      <c r="S126" s="49">
        <v>15</v>
      </c>
      <c r="T126" s="49">
        <v>75</v>
      </c>
      <c r="U126" s="28">
        <v>0.20833333333333334</v>
      </c>
      <c r="V126" s="28">
        <v>0.23333333333333334</v>
      </c>
      <c r="W126" s="74">
        <v>1.4</v>
      </c>
      <c r="X126" s="52">
        <v>7.5</v>
      </c>
      <c r="Y126" s="52">
        <v>30</v>
      </c>
      <c r="Z126" s="52">
        <v>50</v>
      </c>
      <c r="AA126" s="52">
        <v>87.5</v>
      </c>
      <c r="AB126" s="53">
        <v>1.1666666666666667</v>
      </c>
      <c r="AC126" s="75">
        <v>15.625</v>
      </c>
      <c r="AD126" s="55">
        <v>0.20833333333333334</v>
      </c>
      <c r="AE126" s="73">
        <v>3</v>
      </c>
      <c r="AF126" s="57" t="s">
        <v>95</v>
      </c>
      <c r="AG126" s="58">
        <v>25</v>
      </c>
      <c r="AH126" s="58">
        <v>35</v>
      </c>
      <c r="AI126" s="58">
        <v>60</v>
      </c>
      <c r="AJ126" s="49">
        <v>15</v>
      </c>
      <c r="AK126" s="49">
        <v>75</v>
      </c>
      <c r="AL126" s="52">
        <v>7.5</v>
      </c>
      <c r="AM126" s="52">
        <v>50</v>
      </c>
      <c r="AN126" s="52">
        <v>57.5</v>
      </c>
      <c r="AO126" s="59">
        <v>0.76666666666666672</v>
      </c>
      <c r="AP126" s="60">
        <v>17.5</v>
      </c>
      <c r="AQ126" s="61">
        <v>0.23333333333333334</v>
      </c>
      <c r="AR126" s="60" t="s">
        <v>78</v>
      </c>
      <c r="AS126" s="62">
        <v>40</v>
      </c>
      <c r="AT126" s="62">
        <v>56</v>
      </c>
      <c r="AU126" s="62">
        <v>96</v>
      </c>
      <c r="AV126" s="62">
        <v>120</v>
      </c>
      <c r="AW126" s="47" t="s">
        <v>107</v>
      </c>
      <c r="AX126" s="64">
        <v>45127</v>
      </c>
      <c r="AY126" s="64" t="s">
        <v>5729</v>
      </c>
      <c r="BA126" s="64"/>
      <c r="BB126" s="64"/>
      <c r="BC126" s="64"/>
      <c r="BD126" s="46"/>
      <c r="BE126" s="46" t="e">
        <v>#REF!</v>
      </c>
      <c r="BF126" s="46" t="s">
        <v>75</v>
      </c>
      <c r="BG126" s="65">
        <v>1</v>
      </c>
      <c r="BH126" s="66"/>
      <c r="BI126" s="63" t="s">
        <v>5730</v>
      </c>
    </row>
    <row r="127" spans="1:61" ht="153" x14ac:dyDescent="0.2">
      <c r="A127" s="45" t="s">
        <v>5731</v>
      </c>
      <c r="B127" s="46"/>
      <c r="C127" s="46" t="s">
        <v>5664</v>
      </c>
      <c r="D127" s="46" t="s">
        <v>5570</v>
      </c>
      <c r="E127" s="46" t="s">
        <v>5698</v>
      </c>
      <c r="F127" s="46" t="s">
        <v>68</v>
      </c>
      <c r="G127" s="46" t="s">
        <v>68</v>
      </c>
      <c r="H127" s="46" t="s">
        <v>68</v>
      </c>
      <c r="I127" s="46" t="s">
        <v>5679</v>
      </c>
      <c r="J127" s="46" t="s">
        <v>71</v>
      </c>
      <c r="K127" s="47">
        <f t="shared" ref="K127:L127" si="21">K112+10</f>
        <v>25</v>
      </c>
      <c r="L127" s="47">
        <f t="shared" si="21"/>
        <v>60</v>
      </c>
      <c r="M127" s="47">
        <v>85</v>
      </c>
      <c r="N127" s="46"/>
      <c r="O127" s="71" t="s">
        <v>68</v>
      </c>
      <c r="P127" s="64"/>
      <c r="Q127" s="46" t="s">
        <v>5504</v>
      </c>
      <c r="R127" s="46" t="s">
        <v>5507</v>
      </c>
      <c r="S127" s="49">
        <v>21.25</v>
      </c>
      <c r="T127" s="49">
        <v>106.25</v>
      </c>
      <c r="U127" s="50">
        <v>0.14705882352941177</v>
      </c>
      <c r="V127" s="50">
        <v>0.13529411764705881</v>
      </c>
      <c r="W127" s="77">
        <v>2.4</v>
      </c>
      <c r="X127" s="52">
        <v>10.625</v>
      </c>
      <c r="Y127" s="52">
        <v>30</v>
      </c>
      <c r="Z127" s="52">
        <v>81.25</v>
      </c>
      <c r="AA127" s="52">
        <v>121.875</v>
      </c>
      <c r="AB127" s="53">
        <v>1.1470588235294117</v>
      </c>
      <c r="AC127" s="75">
        <v>15.625</v>
      </c>
      <c r="AD127" s="55">
        <v>0.14705882352941177</v>
      </c>
      <c r="AE127" s="73">
        <v>3</v>
      </c>
      <c r="AF127" s="57" t="s">
        <v>95</v>
      </c>
      <c r="AG127" s="58">
        <v>25</v>
      </c>
      <c r="AH127" s="58">
        <v>60</v>
      </c>
      <c r="AI127" s="58">
        <v>85</v>
      </c>
      <c r="AJ127" s="49">
        <v>21.25</v>
      </c>
      <c r="AK127" s="49">
        <v>106.25</v>
      </c>
      <c r="AL127" s="52">
        <v>10.625</v>
      </c>
      <c r="AM127" s="52">
        <v>81.25</v>
      </c>
      <c r="AN127" s="52">
        <v>91.875</v>
      </c>
      <c r="AO127" s="59">
        <v>0.86470588235294121</v>
      </c>
      <c r="AP127" s="60">
        <v>14.375</v>
      </c>
      <c r="AQ127" s="61">
        <v>0.13529411764705881</v>
      </c>
      <c r="AR127" s="60" t="s">
        <v>73</v>
      </c>
      <c r="AS127" s="62">
        <v>40</v>
      </c>
      <c r="AT127" s="62">
        <v>96</v>
      </c>
      <c r="AU127" s="62">
        <v>136</v>
      </c>
      <c r="AV127" s="62">
        <v>170</v>
      </c>
      <c r="AW127" s="47" t="s">
        <v>107</v>
      </c>
      <c r="AX127" s="64">
        <v>45127</v>
      </c>
      <c r="AY127" s="64" t="s">
        <v>5732</v>
      </c>
      <c r="BA127" s="64"/>
      <c r="BB127" s="64"/>
      <c r="BC127" s="64"/>
      <c r="BD127" s="46"/>
      <c r="BE127" s="46" t="e">
        <v>#REF!</v>
      </c>
      <c r="BF127" s="46" t="s">
        <v>75</v>
      </c>
      <c r="BG127" s="65">
        <v>1</v>
      </c>
      <c r="BH127" s="66"/>
      <c r="BI127" s="63" t="s">
        <v>5733</v>
      </c>
    </row>
    <row r="128" spans="1:61" ht="153" x14ac:dyDescent="0.2">
      <c r="A128" s="45" t="s">
        <v>5734</v>
      </c>
      <c r="B128" s="46"/>
      <c r="C128" s="46" t="s">
        <v>5664</v>
      </c>
      <c r="D128" s="46" t="s">
        <v>5570</v>
      </c>
      <c r="E128" s="46" t="s">
        <v>5698</v>
      </c>
      <c r="F128" s="46" t="s">
        <v>68</v>
      </c>
      <c r="G128" s="46" t="s">
        <v>68</v>
      </c>
      <c r="H128" s="46" t="s">
        <v>68</v>
      </c>
      <c r="I128" s="46" t="s">
        <v>5684</v>
      </c>
      <c r="J128" s="46" t="s">
        <v>71</v>
      </c>
      <c r="K128" s="47">
        <f t="shared" ref="K128:L128" si="22">K113+10</f>
        <v>25</v>
      </c>
      <c r="L128" s="47">
        <f t="shared" si="22"/>
        <v>85</v>
      </c>
      <c r="M128" s="47">
        <v>110</v>
      </c>
      <c r="N128" s="46"/>
      <c r="O128" s="71" t="s">
        <v>68</v>
      </c>
      <c r="P128" s="64"/>
      <c r="Q128" s="46" t="s">
        <v>5504</v>
      </c>
      <c r="R128" s="46" t="s">
        <v>5507</v>
      </c>
      <c r="S128" s="49">
        <v>27.5</v>
      </c>
      <c r="T128" s="49">
        <v>137.5</v>
      </c>
      <c r="U128" s="50">
        <v>0.11363636363636363</v>
      </c>
      <c r="V128" s="50">
        <v>8.1818181818181818E-2</v>
      </c>
      <c r="W128" s="77">
        <v>3.4</v>
      </c>
      <c r="X128" s="52">
        <v>13.75</v>
      </c>
      <c r="Y128" s="52">
        <v>30</v>
      </c>
      <c r="Z128" s="52">
        <v>112.5</v>
      </c>
      <c r="AA128" s="52">
        <v>156.25</v>
      </c>
      <c r="AB128" s="53">
        <v>1.1363636363636365</v>
      </c>
      <c r="AC128" s="75">
        <v>15.625</v>
      </c>
      <c r="AD128" s="55">
        <v>0.11363636363636363</v>
      </c>
      <c r="AE128" s="73">
        <v>3</v>
      </c>
      <c r="AF128" s="57" t="s">
        <v>95</v>
      </c>
      <c r="AG128" s="58">
        <v>25</v>
      </c>
      <c r="AH128" s="58">
        <v>85</v>
      </c>
      <c r="AI128" s="58">
        <v>110</v>
      </c>
      <c r="AJ128" s="49">
        <v>27.5</v>
      </c>
      <c r="AK128" s="49">
        <v>137.5</v>
      </c>
      <c r="AL128" s="52">
        <v>13.75</v>
      </c>
      <c r="AM128" s="52">
        <v>112.5</v>
      </c>
      <c r="AN128" s="52">
        <v>126.25</v>
      </c>
      <c r="AO128" s="59">
        <v>0.91818181818181821</v>
      </c>
      <c r="AP128" s="60">
        <v>11.25</v>
      </c>
      <c r="AQ128" s="61">
        <v>8.1818181818181818E-2</v>
      </c>
      <c r="AR128" s="60" t="s">
        <v>73</v>
      </c>
      <c r="AS128" s="62">
        <v>40</v>
      </c>
      <c r="AT128" s="62">
        <v>136</v>
      </c>
      <c r="AU128" s="62">
        <v>176</v>
      </c>
      <c r="AV128" s="62">
        <v>220</v>
      </c>
      <c r="AW128" s="47" t="s">
        <v>107</v>
      </c>
      <c r="AX128" s="64">
        <v>45127</v>
      </c>
      <c r="AY128" s="64" t="s">
        <v>5735</v>
      </c>
      <c r="BA128" s="64"/>
      <c r="BB128" s="64"/>
      <c r="BC128" s="64"/>
      <c r="BD128" s="46"/>
      <c r="BE128" s="46" t="e">
        <v>#REF!</v>
      </c>
      <c r="BF128" s="46" t="s">
        <v>75</v>
      </c>
      <c r="BG128" s="65">
        <v>1</v>
      </c>
      <c r="BH128" s="66"/>
      <c r="BI128" s="63" t="s">
        <v>5736</v>
      </c>
    </row>
    <row r="129" spans="1:61" ht="153" x14ac:dyDescent="0.2">
      <c r="A129" s="45" t="s">
        <v>5737</v>
      </c>
      <c r="B129" s="46"/>
      <c r="C129" s="46" t="s">
        <v>5664</v>
      </c>
      <c r="D129" s="46" t="s">
        <v>5570</v>
      </c>
      <c r="E129" s="46" t="s">
        <v>5698</v>
      </c>
      <c r="F129" s="46" t="s">
        <v>68</v>
      </c>
      <c r="G129" s="46" t="s">
        <v>68</v>
      </c>
      <c r="H129" s="46" t="s">
        <v>68</v>
      </c>
      <c r="I129" s="46" t="s">
        <v>154</v>
      </c>
      <c r="J129" s="46" t="s">
        <v>71</v>
      </c>
      <c r="K129" s="47">
        <f t="shared" ref="K129:L129" si="23">K114+10</f>
        <v>50</v>
      </c>
      <c r="L129" s="47">
        <f t="shared" si="23"/>
        <v>15</v>
      </c>
      <c r="M129" s="47">
        <v>65</v>
      </c>
      <c r="N129" s="46"/>
      <c r="O129" s="71" t="s">
        <v>68</v>
      </c>
      <c r="P129" s="64"/>
      <c r="Q129" s="46" t="s">
        <v>5504</v>
      </c>
      <c r="R129" s="46" t="s">
        <v>5507</v>
      </c>
      <c r="S129" s="49">
        <v>16.25</v>
      </c>
      <c r="T129" s="49">
        <v>81.25</v>
      </c>
      <c r="U129" s="50">
        <v>0.14615384615384616</v>
      </c>
      <c r="V129" s="67">
        <v>0.51538461538461533</v>
      </c>
      <c r="W129" s="51">
        <v>0.3</v>
      </c>
      <c r="X129" s="52">
        <v>8.125</v>
      </c>
      <c r="Y129" s="52">
        <v>30</v>
      </c>
      <c r="Z129" s="52">
        <v>31.25</v>
      </c>
      <c r="AA129" s="52">
        <v>69.375</v>
      </c>
      <c r="AB129" s="53">
        <v>0.85384615384615381</v>
      </c>
      <c r="AC129" s="75">
        <v>11.875</v>
      </c>
      <c r="AD129" s="55">
        <v>0.14615384615384616</v>
      </c>
      <c r="AE129" s="73">
        <v>3</v>
      </c>
      <c r="AF129" s="57" t="s">
        <v>95</v>
      </c>
      <c r="AG129" s="58">
        <v>50</v>
      </c>
      <c r="AH129" s="58">
        <v>15</v>
      </c>
      <c r="AI129" s="58">
        <v>65</v>
      </c>
      <c r="AJ129" s="49">
        <v>16.25</v>
      </c>
      <c r="AK129" s="49">
        <v>81.25</v>
      </c>
      <c r="AL129" s="52">
        <v>8.125</v>
      </c>
      <c r="AM129" s="52">
        <v>31.25</v>
      </c>
      <c r="AN129" s="52">
        <v>39.375</v>
      </c>
      <c r="AO129" s="59">
        <v>0.48461538461538461</v>
      </c>
      <c r="AP129" s="60">
        <v>41.875</v>
      </c>
      <c r="AQ129" s="61">
        <v>0.51538461538461533</v>
      </c>
      <c r="AR129" s="60" t="s">
        <v>78</v>
      </c>
      <c r="AS129" s="62">
        <v>80</v>
      </c>
      <c r="AT129" s="62">
        <v>24</v>
      </c>
      <c r="AU129" s="62">
        <v>104</v>
      </c>
      <c r="AV129" s="62">
        <v>130</v>
      </c>
      <c r="AW129" s="47" t="s">
        <v>107</v>
      </c>
      <c r="AX129" s="64">
        <v>45127</v>
      </c>
      <c r="AY129" s="64" t="s">
        <v>5738</v>
      </c>
      <c r="BA129" s="64"/>
      <c r="BB129" s="64"/>
      <c r="BC129" s="64"/>
      <c r="BD129" s="46"/>
      <c r="BE129" s="46" t="e">
        <v>#REF!</v>
      </c>
      <c r="BF129" s="46" t="s">
        <v>75</v>
      </c>
      <c r="BG129" s="65">
        <v>1</v>
      </c>
      <c r="BH129" s="66"/>
      <c r="BI129" s="63" t="s">
        <v>5739</v>
      </c>
    </row>
    <row r="130" spans="1:61" ht="127.5" x14ac:dyDescent="0.2">
      <c r="A130" s="45" t="s">
        <v>5740</v>
      </c>
      <c r="B130" s="46"/>
      <c r="C130" s="46" t="s">
        <v>5664</v>
      </c>
      <c r="D130" s="46" t="s">
        <v>5637</v>
      </c>
      <c r="E130" s="46" t="s">
        <v>5698</v>
      </c>
      <c r="F130" s="46" t="s">
        <v>68</v>
      </c>
      <c r="G130" s="46" t="s">
        <v>68</v>
      </c>
      <c r="H130" s="46" t="s">
        <v>68</v>
      </c>
      <c r="I130" s="46" t="s">
        <v>68</v>
      </c>
      <c r="J130" s="46" t="s">
        <v>2996</v>
      </c>
      <c r="K130" s="47">
        <f t="shared" ref="K130:L130" si="24">K115+10</f>
        <v>110</v>
      </c>
      <c r="L130" s="47">
        <f t="shared" si="24"/>
        <v>35</v>
      </c>
      <c r="M130" s="47">
        <v>145</v>
      </c>
      <c r="N130" s="46"/>
      <c r="O130" s="71" t="s">
        <v>68</v>
      </c>
      <c r="P130" s="64"/>
      <c r="Q130" s="46" t="s">
        <v>5504</v>
      </c>
      <c r="R130" s="46" t="s">
        <v>5507</v>
      </c>
      <c r="S130" s="49">
        <v>36.25</v>
      </c>
      <c r="T130" s="49">
        <v>181.25</v>
      </c>
      <c r="U130" s="67">
        <v>0.3413793103448276</v>
      </c>
      <c r="V130" s="67">
        <v>0.50689655172413794</v>
      </c>
      <c r="W130" s="51">
        <v>0.31818181818181818</v>
      </c>
      <c r="X130" s="52">
        <v>18.125</v>
      </c>
      <c r="Y130" s="52">
        <v>30</v>
      </c>
      <c r="Z130" s="52">
        <v>71.25</v>
      </c>
      <c r="AA130" s="52">
        <v>119.375</v>
      </c>
      <c r="AB130" s="53">
        <v>0.6586206896551724</v>
      </c>
      <c r="AC130" s="75">
        <v>61.875</v>
      </c>
      <c r="AD130" s="55">
        <v>0.3413793103448276</v>
      </c>
      <c r="AE130" s="73">
        <v>3</v>
      </c>
      <c r="AF130" s="57" t="s">
        <v>95</v>
      </c>
      <c r="AG130" s="58">
        <v>110</v>
      </c>
      <c r="AH130" s="58">
        <v>35</v>
      </c>
      <c r="AI130" s="58">
        <v>145</v>
      </c>
      <c r="AJ130" s="49">
        <v>36.25</v>
      </c>
      <c r="AK130" s="49">
        <v>181.25</v>
      </c>
      <c r="AL130" s="52">
        <v>18.125</v>
      </c>
      <c r="AM130" s="52">
        <v>71.25</v>
      </c>
      <c r="AN130" s="52">
        <v>89.375</v>
      </c>
      <c r="AO130" s="59">
        <v>0.49310344827586206</v>
      </c>
      <c r="AP130" s="60">
        <v>91.875</v>
      </c>
      <c r="AQ130" s="61">
        <v>0.50689655172413794</v>
      </c>
      <c r="AR130" s="60" t="s">
        <v>78</v>
      </c>
      <c r="AS130" s="62">
        <v>176</v>
      </c>
      <c r="AT130" s="62">
        <v>56</v>
      </c>
      <c r="AU130" s="62">
        <v>232</v>
      </c>
      <c r="AV130" s="62">
        <v>290</v>
      </c>
      <c r="AW130" s="47" t="s">
        <v>107</v>
      </c>
      <c r="AX130" s="64">
        <v>45127</v>
      </c>
      <c r="AY130" s="64" t="s">
        <v>5741</v>
      </c>
      <c r="BA130" s="64"/>
      <c r="BB130" s="64"/>
      <c r="BC130" s="64"/>
      <c r="BD130" s="46"/>
      <c r="BE130" s="46" t="e">
        <v>#REF!</v>
      </c>
      <c r="BF130" s="46" t="s">
        <v>75</v>
      </c>
      <c r="BG130" s="65">
        <v>1</v>
      </c>
      <c r="BH130" s="66"/>
      <c r="BI130" s="63" t="s">
        <v>5742</v>
      </c>
    </row>
    <row r="131" spans="1:61" ht="63.75" x14ac:dyDescent="0.2">
      <c r="A131" s="45" t="s">
        <v>5743</v>
      </c>
      <c r="B131" s="46"/>
      <c r="C131" s="46" t="s">
        <v>5744</v>
      </c>
      <c r="D131" s="46" t="s">
        <v>3438</v>
      </c>
      <c r="E131" s="46" t="s">
        <v>68</v>
      </c>
      <c r="F131" s="46" t="s">
        <v>68</v>
      </c>
      <c r="G131" s="46" t="s">
        <v>68</v>
      </c>
      <c r="H131" s="46" t="s">
        <v>68</v>
      </c>
      <c r="I131" s="46" t="s">
        <v>5745</v>
      </c>
      <c r="J131" s="46" t="s">
        <v>2996</v>
      </c>
      <c r="K131" s="47">
        <v>150</v>
      </c>
      <c r="L131" s="47">
        <v>150</v>
      </c>
      <c r="M131" s="47">
        <v>300</v>
      </c>
      <c r="N131" s="46"/>
      <c r="O131" s="71" t="s">
        <v>68</v>
      </c>
      <c r="P131" s="64"/>
      <c r="Q131" s="46" t="s">
        <v>5504</v>
      </c>
      <c r="R131" s="46" t="s">
        <v>5507</v>
      </c>
      <c r="S131" s="49">
        <v>75</v>
      </c>
      <c r="T131" s="49">
        <v>375</v>
      </c>
      <c r="U131" s="28">
        <v>0.22</v>
      </c>
      <c r="V131" s="67">
        <v>0.3</v>
      </c>
      <c r="W131" s="51">
        <v>1</v>
      </c>
      <c r="X131" s="52">
        <v>37.5</v>
      </c>
      <c r="Y131" s="52">
        <v>30</v>
      </c>
      <c r="Z131" s="52">
        <v>225</v>
      </c>
      <c r="AA131" s="52">
        <v>292.5</v>
      </c>
      <c r="AB131" s="53">
        <v>0.78</v>
      </c>
      <c r="AC131" s="68">
        <v>82.5</v>
      </c>
      <c r="AD131" s="55">
        <v>0.22</v>
      </c>
      <c r="AE131" s="73">
        <v>3</v>
      </c>
      <c r="AF131" s="57" t="s">
        <v>95</v>
      </c>
      <c r="AG131" s="58">
        <v>150</v>
      </c>
      <c r="AH131" s="58">
        <v>150</v>
      </c>
      <c r="AI131" s="58">
        <v>300</v>
      </c>
      <c r="AJ131" s="49">
        <v>75</v>
      </c>
      <c r="AK131" s="49">
        <v>375</v>
      </c>
      <c r="AL131" s="52">
        <v>37.5</v>
      </c>
      <c r="AM131" s="52">
        <v>225</v>
      </c>
      <c r="AN131" s="52">
        <v>262.5</v>
      </c>
      <c r="AO131" s="59">
        <v>0.7</v>
      </c>
      <c r="AP131" s="60">
        <v>112.5</v>
      </c>
      <c r="AQ131" s="61">
        <v>0.3</v>
      </c>
      <c r="AR131" s="60" t="s">
        <v>78</v>
      </c>
      <c r="AS131" s="62">
        <v>240</v>
      </c>
      <c r="AT131" s="62">
        <v>240</v>
      </c>
      <c r="AU131" s="62">
        <v>480</v>
      </c>
      <c r="AV131" s="62">
        <v>600</v>
      </c>
      <c r="AW131" s="47" t="s">
        <v>107</v>
      </c>
      <c r="AX131" s="64">
        <v>45068</v>
      </c>
      <c r="AY131" s="64" t="s">
        <v>5746</v>
      </c>
      <c r="BA131" s="64"/>
      <c r="BB131" s="64"/>
      <c r="BC131" s="64"/>
      <c r="BD131" s="46"/>
      <c r="BE131" s="46" t="e">
        <v>#REF!</v>
      </c>
      <c r="BF131" s="46" t="s">
        <v>75</v>
      </c>
      <c r="BG131" s="65">
        <v>1</v>
      </c>
      <c r="BH131" s="66" t="s">
        <v>5747</v>
      </c>
      <c r="BI131" s="63" t="s">
        <v>5748</v>
      </c>
    </row>
    <row r="132" spans="1:61" ht="76.5" x14ac:dyDescent="0.2">
      <c r="A132" s="45" t="s">
        <v>5749</v>
      </c>
      <c r="B132" s="46"/>
      <c r="C132" s="46" t="s">
        <v>5750</v>
      </c>
      <c r="D132" s="46" t="s">
        <v>3438</v>
      </c>
      <c r="E132" s="46" t="s">
        <v>68</v>
      </c>
      <c r="F132" s="46" t="s">
        <v>68</v>
      </c>
      <c r="G132" s="46" t="s">
        <v>68</v>
      </c>
      <c r="H132" s="46" t="s">
        <v>68</v>
      </c>
      <c r="I132" s="46" t="s">
        <v>5745</v>
      </c>
      <c r="J132" s="46" t="s">
        <v>2996</v>
      </c>
      <c r="K132" s="47">
        <f>K131+20</f>
        <v>170</v>
      </c>
      <c r="L132" s="47">
        <f>L131+10</f>
        <v>160</v>
      </c>
      <c r="M132" s="47">
        <v>330</v>
      </c>
      <c r="N132" s="46"/>
      <c r="O132" s="71" t="s">
        <v>68</v>
      </c>
      <c r="P132" s="64"/>
      <c r="Q132" s="46" t="s">
        <v>5504</v>
      </c>
      <c r="R132" s="46" t="s">
        <v>5507</v>
      </c>
      <c r="S132" s="49">
        <v>82.5</v>
      </c>
      <c r="T132" s="49">
        <v>412.5</v>
      </c>
      <c r="U132" s="28">
        <v>0.23939393939393938</v>
      </c>
      <c r="V132" s="67">
        <v>0.31212121212121213</v>
      </c>
      <c r="W132" s="51">
        <v>0.94117647058823528</v>
      </c>
      <c r="X132" s="52">
        <v>41.25</v>
      </c>
      <c r="Y132" s="52">
        <v>30</v>
      </c>
      <c r="Z132" s="52">
        <v>242.5</v>
      </c>
      <c r="AA132" s="52">
        <v>313.75</v>
      </c>
      <c r="AB132" s="53">
        <v>0.76060606060606062</v>
      </c>
      <c r="AC132" s="54">
        <v>98.75</v>
      </c>
      <c r="AD132" s="55">
        <v>0.23939393939393938</v>
      </c>
      <c r="AE132" s="73">
        <v>3</v>
      </c>
      <c r="AF132" s="57" t="s">
        <v>95</v>
      </c>
      <c r="AG132" s="58">
        <v>170</v>
      </c>
      <c r="AH132" s="58">
        <v>160</v>
      </c>
      <c r="AI132" s="58">
        <v>330</v>
      </c>
      <c r="AJ132" s="49">
        <v>82.5</v>
      </c>
      <c r="AK132" s="49">
        <v>412.5</v>
      </c>
      <c r="AL132" s="52">
        <v>41.25</v>
      </c>
      <c r="AM132" s="52">
        <v>242.5</v>
      </c>
      <c r="AN132" s="52">
        <v>283.75</v>
      </c>
      <c r="AO132" s="59">
        <v>0.68787878787878787</v>
      </c>
      <c r="AP132" s="60">
        <v>128.75</v>
      </c>
      <c r="AQ132" s="61">
        <v>0.31212121212121213</v>
      </c>
      <c r="AR132" s="60" t="s">
        <v>78</v>
      </c>
      <c r="AS132" s="62">
        <v>272</v>
      </c>
      <c r="AT132" s="62">
        <v>256</v>
      </c>
      <c r="AU132" s="62">
        <v>528</v>
      </c>
      <c r="AV132" s="62">
        <v>660</v>
      </c>
      <c r="AW132" s="47" t="s">
        <v>107</v>
      </c>
      <c r="AX132" s="64">
        <v>45068</v>
      </c>
      <c r="AY132" s="64" t="s">
        <v>5751</v>
      </c>
      <c r="BA132" s="64"/>
      <c r="BB132" s="64"/>
      <c r="BC132" s="64"/>
      <c r="BD132" s="46"/>
      <c r="BE132" s="46" t="e">
        <v>#REF!</v>
      </c>
      <c r="BF132" s="46" t="s">
        <v>75</v>
      </c>
      <c r="BG132" s="65">
        <v>1</v>
      </c>
      <c r="BH132" s="66" t="s">
        <v>5752</v>
      </c>
      <c r="BI132" s="63" t="s">
        <v>5753</v>
      </c>
    </row>
    <row r="133" spans="1:61" ht="89.25" x14ac:dyDescent="0.2">
      <c r="A133" s="45" t="s">
        <v>5754</v>
      </c>
      <c r="B133" s="46"/>
      <c r="C133" s="46" t="s">
        <v>5750</v>
      </c>
      <c r="D133" s="46" t="s">
        <v>3438</v>
      </c>
      <c r="E133" s="46" t="s">
        <v>68</v>
      </c>
      <c r="F133" s="46" t="s">
        <v>68</v>
      </c>
      <c r="G133" s="46" t="s">
        <v>68</v>
      </c>
      <c r="H133" s="46" t="s">
        <v>68</v>
      </c>
      <c r="I133" s="46" t="s">
        <v>5755</v>
      </c>
      <c r="J133" s="46" t="s">
        <v>2996</v>
      </c>
      <c r="K133" s="47">
        <f t="shared" ref="K133:K134" si="25">K132-5</f>
        <v>165</v>
      </c>
      <c r="L133" s="47">
        <f t="shared" ref="L133:L134" si="26">L132</f>
        <v>160</v>
      </c>
      <c r="M133" s="47">
        <v>325</v>
      </c>
      <c r="N133" s="46"/>
      <c r="O133" s="71" t="s">
        <v>68</v>
      </c>
      <c r="P133" s="64"/>
      <c r="Q133" s="46" t="s">
        <v>5504</v>
      </c>
      <c r="R133" s="46" t="s">
        <v>5507</v>
      </c>
      <c r="S133" s="49">
        <v>81.25</v>
      </c>
      <c r="T133" s="49">
        <v>406.25</v>
      </c>
      <c r="U133" s="28">
        <v>0.2323076923076923</v>
      </c>
      <c r="V133" s="67">
        <v>0.30615384615384617</v>
      </c>
      <c r="W133" s="51">
        <v>0.96969696969696972</v>
      </c>
      <c r="X133" s="52">
        <v>40.625</v>
      </c>
      <c r="Y133" s="52">
        <v>30</v>
      </c>
      <c r="Z133" s="52">
        <v>241.25</v>
      </c>
      <c r="AA133" s="52">
        <v>311.875</v>
      </c>
      <c r="AB133" s="53">
        <v>0.76769230769230767</v>
      </c>
      <c r="AC133" s="54">
        <v>94.375</v>
      </c>
      <c r="AD133" s="55">
        <v>0.2323076923076923</v>
      </c>
      <c r="AE133" s="73">
        <v>3</v>
      </c>
      <c r="AF133" s="57" t="s">
        <v>95</v>
      </c>
      <c r="AG133" s="58">
        <v>165</v>
      </c>
      <c r="AH133" s="58">
        <v>160</v>
      </c>
      <c r="AI133" s="58">
        <v>325</v>
      </c>
      <c r="AJ133" s="49">
        <v>81.25</v>
      </c>
      <c r="AK133" s="49">
        <v>406.25</v>
      </c>
      <c r="AL133" s="52">
        <v>40.625</v>
      </c>
      <c r="AM133" s="52">
        <v>241.25</v>
      </c>
      <c r="AN133" s="52">
        <v>281.875</v>
      </c>
      <c r="AO133" s="59">
        <v>0.69384615384615389</v>
      </c>
      <c r="AP133" s="60">
        <v>124.375</v>
      </c>
      <c r="AQ133" s="61">
        <v>0.30615384615384617</v>
      </c>
      <c r="AR133" s="60" t="s">
        <v>78</v>
      </c>
      <c r="AS133" s="62">
        <v>264</v>
      </c>
      <c r="AT133" s="62">
        <v>256</v>
      </c>
      <c r="AU133" s="62">
        <v>520</v>
      </c>
      <c r="AV133" s="62">
        <v>650</v>
      </c>
      <c r="AW133" s="47" t="s">
        <v>107</v>
      </c>
      <c r="AX133" s="64">
        <v>45068</v>
      </c>
      <c r="AY133" s="64" t="s">
        <v>5756</v>
      </c>
      <c r="BA133" s="64"/>
      <c r="BB133" s="64"/>
      <c r="BC133" s="64"/>
      <c r="BD133" s="46"/>
      <c r="BE133" s="46" t="e">
        <v>#REF!</v>
      </c>
      <c r="BF133" s="46" t="s">
        <v>75</v>
      </c>
      <c r="BG133" s="65">
        <v>1</v>
      </c>
      <c r="BH133" s="66" t="s">
        <v>5757</v>
      </c>
      <c r="BI133" s="63" t="s">
        <v>5758</v>
      </c>
    </row>
    <row r="134" spans="1:61" ht="89.25" x14ac:dyDescent="0.2">
      <c r="A134" s="45" t="s">
        <v>5759</v>
      </c>
      <c r="B134" s="46"/>
      <c r="C134" s="46" t="s">
        <v>5750</v>
      </c>
      <c r="D134" s="46" t="s">
        <v>3438</v>
      </c>
      <c r="E134" s="46" t="s">
        <v>68</v>
      </c>
      <c r="F134" s="46" t="s">
        <v>68</v>
      </c>
      <c r="G134" s="46" t="s">
        <v>68</v>
      </c>
      <c r="H134" s="46" t="s">
        <v>68</v>
      </c>
      <c r="I134" s="46" t="s">
        <v>5760</v>
      </c>
      <c r="J134" s="46" t="s">
        <v>2996</v>
      </c>
      <c r="K134" s="47">
        <f t="shared" si="25"/>
        <v>160</v>
      </c>
      <c r="L134" s="47">
        <f t="shared" si="26"/>
        <v>160</v>
      </c>
      <c r="M134" s="47">
        <v>320</v>
      </c>
      <c r="N134" s="46"/>
      <c r="O134" s="71" t="s">
        <v>68</v>
      </c>
      <c r="P134" s="64"/>
      <c r="Q134" s="46" t="s">
        <v>5504</v>
      </c>
      <c r="R134" s="46" t="s">
        <v>5507</v>
      </c>
      <c r="S134" s="49">
        <v>80</v>
      </c>
      <c r="T134" s="49">
        <v>400</v>
      </c>
      <c r="U134" s="28">
        <v>0.22500000000000001</v>
      </c>
      <c r="V134" s="67">
        <v>0.3</v>
      </c>
      <c r="W134" s="51">
        <v>1</v>
      </c>
      <c r="X134" s="52">
        <v>40</v>
      </c>
      <c r="Y134" s="52">
        <v>30</v>
      </c>
      <c r="Z134" s="52">
        <v>240</v>
      </c>
      <c r="AA134" s="52">
        <v>310</v>
      </c>
      <c r="AB134" s="53">
        <v>0.77500000000000002</v>
      </c>
      <c r="AC134" s="54">
        <v>90</v>
      </c>
      <c r="AD134" s="55">
        <v>0.22500000000000001</v>
      </c>
      <c r="AE134" s="73">
        <v>3</v>
      </c>
      <c r="AF134" s="57" t="s">
        <v>95</v>
      </c>
      <c r="AG134" s="58">
        <v>160</v>
      </c>
      <c r="AH134" s="58">
        <v>160</v>
      </c>
      <c r="AI134" s="58">
        <v>320</v>
      </c>
      <c r="AJ134" s="49">
        <v>80</v>
      </c>
      <c r="AK134" s="49">
        <v>400</v>
      </c>
      <c r="AL134" s="52">
        <v>40</v>
      </c>
      <c r="AM134" s="52">
        <v>240</v>
      </c>
      <c r="AN134" s="52">
        <v>280</v>
      </c>
      <c r="AO134" s="59">
        <v>0.7</v>
      </c>
      <c r="AP134" s="60">
        <v>120</v>
      </c>
      <c r="AQ134" s="61">
        <v>0.3</v>
      </c>
      <c r="AR134" s="60" t="s">
        <v>78</v>
      </c>
      <c r="AS134" s="62">
        <v>256</v>
      </c>
      <c r="AT134" s="62">
        <v>256</v>
      </c>
      <c r="AU134" s="62">
        <v>512</v>
      </c>
      <c r="AV134" s="62">
        <v>640</v>
      </c>
      <c r="AW134" s="47" t="s">
        <v>107</v>
      </c>
      <c r="AX134" s="64">
        <v>45068</v>
      </c>
      <c r="AY134" s="64" t="s">
        <v>5761</v>
      </c>
      <c r="BA134" s="64"/>
      <c r="BB134" s="64"/>
      <c r="BC134" s="64"/>
      <c r="BD134" s="46"/>
      <c r="BE134" s="46" t="e">
        <v>#REF!</v>
      </c>
      <c r="BF134" s="46" t="s">
        <v>75</v>
      </c>
      <c r="BG134" s="65">
        <v>1</v>
      </c>
      <c r="BH134" s="66" t="s">
        <v>5762</v>
      </c>
      <c r="BI134" s="63" t="s">
        <v>5763</v>
      </c>
    </row>
    <row r="135" spans="1:61" ht="102" x14ac:dyDescent="0.2">
      <c r="A135" s="45" t="s">
        <v>5764</v>
      </c>
      <c r="B135" s="46"/>
      <c r="C135" s="46" t="s">
        <v>5744</v>
      </c>
      <c r="D135" s="46" t="s">
        <v>3438</v>
      </c>
      <c r="E135" s="46" t="s">
        <v>5698</v>
      </c>
      <c r="F135" s="46" t="s">
        <v>68</v>
      </c>
      <c r="G135" s="46" t="s">
        <v>68</v>
      </c>
      <c r="H135" s="46" t="s">
        <v>68</v>
      </c>
      <c r="I135" s="46" t="s">
        <v>5745</v>
      </c>
      <c r="J135" s="46" t="s">
        <v>2996</v>
      </c>
      <c r="K135" s="47">
        <f>K131+10</f>
        <v>160</v>
      </c>
      <c r="L135" s="47">
        <f>L131+10+200</f>
        <v>360</v>
      </c>
      <c r="M135" s="47">
        <v>520</v>
      </c>
      <c r="N135" s="46"/>
      <c r="O135" s="71" t="s">
        <v>68</v>
      </c>
      <c r="P135" s="64"/>
      <c r="Q135" s="46" t="s">
        <v>5504</v>
      </c>
      <c r="R135" s="46" t="s">
        <v>5507</v>
      </c>
      <c r="S135" s="49">
        <v>130</v>
      </c>
      <c r="T135" s="49">
        <v>650</v>
      </c>
      <c r="U135" s="50">
        <v>0.1</v>
      </c>
      <c r="V135" s="50">
        <v>0.14615384615384616</v>
      </c>
      <c r="W135" s="77">
        <v>2.25</v>
      </c>
      <c r="X135" s="52">
        <v>65</v>
      </c>
      <c r="Y135" s="52">
        <v>30</v>
      </c>
      <c r="Z135" s="52">
        <v>490</v>
      </c>
      <c r="AA135" s="52">
        <v>585</v>
      </c>
      <c r="AB135" s="53">
        <v>0.9</v>
      </c>
      <c r="AC135" s="75">
        <v>65</v>
      </c>
      <c r="AD135" s="55">
        <v>0.1</v>
      </c>
      <c r="AE135" s="73">
        <v>3</v>
      </c>
      <c r="AF135" s="57" t="s">
        <v>95</v>
      </c>
      <c r="AG135" s="58">
        <v>160</v>
      </c>
      <c r="AH135" s="58">
        <v>360</v>
      </c>
      <c r="AI135" s="58">
        <v>520</v>
      </c>
      <c r="AJ135" s="49">
        <v>130</v>
      </c>
      <c r="AK135" s="49">
        <v>650</v>
      </c>
      <c r="AL135" s="52">
        <v>65</v>
      </c>
      <c r="AM135" s="52">
        <v>490</v>
      </c>
      <c r="AN135" s="52">
        <v>555</v>
      </c>
      <c r="AO135" s="59">
        <v>0.85384615384615381</v>
      </c>
      <c r="AP135" s="60">
        <v>95</v>
      </c>
      <c r="AQ135" s="61">
        <v>0.14615384615384616</v>
      </c>
      <c r="AR135" s="60" t="s">
        <v>73</v>
      </c>
      <c r="AS135" s="62">
        <v>256</v>
      </c>
      <c r="AT135" s="62">
        <v>576</v>
      </c>
      <c r="AU135" s="62">
        <v>832</v>
      </c>
      <c r="AV135" s="62">
        <v>1040</v>
      </c>
      <c r="AW135" s="47" t="s">
        <v>107</v>
      </c>
      <c r="AX135" s="64">
        <v>45325</v>
      </c>
      <c r="AY135" s="64" t="s">
        <v>5765</v>
      </c>
      <c r="BA135" s="64"/>
      <c r="BB135" s="64"/>
      <c r="BC135" s="64"/>
      <c r="BD135" s="46"/>
      <c r="BE135" s="46" t="e">
        <v>#REF!</v>
      </c>
      <c r="BF135" s="46" t="s">
        <v>75</v>
      </c>
      <c r="BG135" s="65">
        <v>1</v>
      </c>
      <c r="BH135" s="66"/>
      <c r="BI135" s="63" t="s">
        <v>5766</v>
      </c>
    </row>
    <row r="136" spans="1:61" ht="114.75" x14ac:dyDescent="0.2">
      <c r="A136" s="45" t="s">
        <v>5767</v>
      </c>
      <c r="B136" s="46"/>
      <c r="C136" s="46" t="s">
        <v>5750</v>
      </c>
      <c r="D136" s="46" t="s">
        <v>3438</v>
      </c>
      <c r="E136" s="46" t="s">
        <v>5698</v>
      </c>
      <c r="F136" s="46" t="s">
        <v>68</v>
      </c>
      <c r="G136" s="46" t="s">
        <v>68</v>
      </c>
      <c r="H136" s="46" t="s">
        <v>68</v>
      </c>
      <c r="I136" s="46" t="s">
        <v>5745</v>
      </c>
      <c r="J136" s="46" t="s">
        <v>2996</v>
      </c>
      <c r="K136" s="47">
        <f>K135+20</f>
        <v>180</v>
      </c>
      <c r="L136" s="47">
        <f>L135+10</f>
        <v>370</v>
      </c>
      <c r="M136" s="47">
        <v>550</v>
      </c>
      <c r="N136" s="46"/>
      <c r="O136" s="71" t="s">
        <v>68</v>
      </c>
      <c r="P136" s="64"/>
      <c r="Q136" s="46" t="s">
        <v>5504</v>
      </c>
      <c r="R136" s="46" t="s">
        <v>5507</v>
      </c>
      <c r="S136" s="49">
        <v>137.5</v>
      </c>
      <c r="T136" s="49">
        <v>687.5</v>
      </c>
      <c r="U136" s="50">
        <v>0.11818181818181818</v>
      </c>
      <c r="V136" s="50">
        <v>0.16181818181818181</v>
      </c>
      <c r="W136" s="77">
        <v>2.0555555555555554</v>
      </c>
      <c r="X136" s="52">
        <v>68.75</v>
      </c>
      <c r="Y136" s="52">
        <v>30</v>
      </c>
      <c r="Z136" s="52">
        <v>507.5</v>
      </c>
      <c r="AA136" s="52">
        <v>606.25</v>
      </c>
      <c r="AB136" s="53">
        <v>0.88181818181818183</v>
      </c>
      <c r="AC136" s="68">
        <v>81.25</v>
      </c>
      <c r="AD136" s="55">
        <v>0.11818181818181818</v>
      </c>
      <c r="AE136" s="73">
        <v>3</v>
      </c>
      <c r="AF136" s="57" t="s">
        <v>95</v>
      </c>
      <c r="AG136" s="58">
        <v>180</v>
      </c>
      <c r="AH136" s="58">
        <v>370</v>
      </c>
      <c r="AI136" s="58">
        <v>550</v>
      </c>
      <c r="AJ136" s="49">
        <v>137.5</v>
      </c>
      <c r="AK136" s="49">
        <v>687.5</v>
      </c>
      <c r="AL136" s="52">
        <v>68.75</v>
      </c>
      <c r="AM136" s="52">
        <v>507.5</v>
      </c>
      <c r="AN136" s="52">
        <v>576.25</v>
      </c>
      <c r="AO136" s="59">
        <v>0.83818181818181814</v>
      </c>
      <c r="AP136" s="60">
        <v>111.25</v>
      </c>
      <c r="AQ136" s="61">
        <v>0.16181818181818181</v>
      </c>
      <c r="AR136" s="60" t="s">
        <v>73</v>
      </c>
      <c r="AS136" s="62">
        <v>288</v>
      </c>
      <c r="AT136" s="62">
        <v>592</v>
      </c>
      <c r="AU136" s="62">
        <v>880</v>
      </c>
      <c r="AV136" s="62">
        <v>1100</v>
      </c>
      <c r="AW136" s="47" t="s">
        <v>107</v>
      </c>
      <c r="AX136" s="64">
        <v>45325</v>
      </c>
      <c r="AY136" s="64" t="s">
        <v>5768</v>
      </c>
      <c r="BA136" s="64"/>
      <c r="BB136" s="64"/>
      <c r="BC136" s="64"/>
      <c r="BD136" s="46"/>
      <c r="BE136" s="46" t="e">
        <v>#REF!</v>
      </c>
      <c r="BF136" s="46" t="s">
        <v>75</v>
      </c>
      <c r="BG136" s="65">
        <v>1</v>
      </c>
      <c r="BH136" s="66"/>
      <c r="BI136" s="63" t="s">
        <v>5769</v>
      </c>
    </row>
    <row r="137" spans="1:61" ht="127.5" x14ac:dyDescent="0.2">
      <c r="A137" s="45" t="s">
        <v>5770</v>
      </c>
      <c r="B137" s="46"/>
      <c r="C137" s="46" t="s">
        <v>5750</v>
      </c>
      <c r="D137" s="46" t="s">
        <v>3438</v>
      </c>
      <c r="E137" s="46" t="s">
        <v>5698</v>
      </c>
      <c r="F137" s="46" t="s">
        <v>68</v>
      </c>
      <c r="G137" s="46" t="s">
        <v>68</v>
      </c>
      <c r="H137" s="46" t="s">
        <v>68</v>
      </c>
      <c r="I137" s="46" t="s">
        <v>5755</v>
      </c>
      <c r="J137" s="46" t="s">
        <v>2996</v>
      </c>
      <c r="K137" s="47">
        <f t="shared" ref="K137:K138" si="27">K136-5</f>
        <v>175</v>
      </c>
      <c r="L137" s="47">
        <f t="shared" ref="L137:L138" si="28">L136</f>
        <v>370</v>
      </c>
      <c r="M137" s="47">
        <v>545</v>
      </c>
      <c r="N137" s="46"/>
      <c r="O137" s="71" t="s">
        <v>68</v>
      </c>
      <c r="P137" s="64"/>
      <c r="Q137" s="46" t="s">
        <v>5504</v>
      </c>
      <c r="R137" s="46" t="s">
        <v>5507</v>
      </c>
      <c r="S137" s="49">
        <v>136.25</v>
      </c>
      <c r="T137" s="49">
        <v>681.25</v>
      </c>
      <c r="U137" s="50">
        <v>0.11284403669724771</v>
      </c>
      <c r="V137" s="50">
        <v>0.15688073394495414</v>
      </c>
      <c r="W137" s="77">
        <v>2.1142857142857143</v>
      </c>
      <c r="X137" s="52">
        <v>68.125</v>
      </c>
      <c r="Y137" s="52">
        <v>30</v>
      </c>
      <c r="Z137" s="52">
        <v>506.25</v>
      </c>
      <c r="AA137" s="52">
        <v>604.375</v>
      </c>
      <c r="AB137" s="53">
        <v>0.88715596330275226</v>
      </c>
      <c r="AC137" s="75">
        <v>76.875</v>
      </c>
      <c r="AD137" s="55">
        <v>0.11284403669724771</v>
      </c>
      <c r="AE137" s="73">
        <v>3</v>
      </c>
      <c r="AF137" s="57" t="s">
        <v>95</v>
      </c>
      <c r="AG137" s="58">
        <v>175</v>
      </c>
      <c r="AH137" s="58">
        <v>370</v>
      </c>
      <c r="AI137" s="58">
        <v>545</v>
      </c>
      <c r="AJ137" s="49">
        <v>136.25</v>
      </c>
      <c r="AK137" s="49">
        <v>681.25</v>
      </c>
      <c r="AL137" s="52">
        <v>68.125</v>
      </c>
      <c r="AM137" s="52">
        <v>506.25</v>
      </c>
      <c r="AN137" s="52">
        <v>574.375</v>
      </c>
      <c r="AO137" s="59">
        <v>0.84311926605504584</v>
      </c>
      <c r="AP137" s="60">
        <v>106.875</v>
      </c>
      <c r="AQ137" s="61">
        <v>0.15688073394495414</v>
      </c>
      <c r="AR137" s="60" t="s">
        <v>73</v>
      </c>
      <c r="AS137" s="62">
        <v>280</v>
      </c>
      <c r="AT137" s="62">
        <v>592</v>
      </c>
      <c r="AU137" s="62">
        <v>872</v>
      </c>
      <c r="AV137" s="62">
        <v>1090</v>
      </c>
      <c r="AW137" s="47" t="s">
        <v>107</v>
      </c>
      <c r="AX137" s="64">
        <v>45325</v>
      </c>
      <c r="AY137" s="64" t="s">
        <v>5771</v>
      </c>
      <c r="BA137" s="64"/>
      <c r="BB137" s="64"/>
      <c r="BC137" s="64"/>
      <c r="BD137" s="46"/>
      <c r="BE137" s="46" t="e">
        <v>#REF!</v>
      </c>
      <c r="BF137" s="46" t="s">
        <v>75</v>
      </c>
      <c r="BG137" s="65">
        <v>1</v>
      </c>
      <c r="BH137" s="66"/>
      <c r="BI137" s="63" t="s">
        <v>5772</v>
      </c>
    </row>
    <row r="138" spans="1:61" ht="114.75" x14ac:dyDescent="0.2">
      <c r="A138" s="45" t="s">
        <v>5773</v>
      </c>
      <c r="B138" s="46"/>
      <c r="C138" s="46" t="s">
        <v>5750</v>
      </c>
      <c r="D138" s="46" t="s">
        <v>3438</v>
      </c>
      <c r="E138" s="46" t="s">
        <v>5698</v>
      </c>
      <c r="F138" s="46" t="s">
        <v>68</v>
      </c>
      <c r="G138" s="46" t="s">
        <v>68</v>
      </c>
      <c r="H138" s="46" t="s">
        <v>68</v>
      </c>
      <c r="I138" s="46" t="s">
        <v>5760</v>
      </c>
      <c r="J138" s="46" t="s">
        <v>2996</v>
      </c>
      <c r="K138" s="47">
        <f t="shared" si="27"/>
        <v>170</v>
      </c>
      <c r="L138" s="47">
        <f t="shared" si="28"/>
        <v>370</v>
      </c>
      <c r="M138" s="47">
        <v>540</v>
      </c>
      <c r="N138" s="46"/>
      <c r="O138" s="71" t="s">
        <v>68</v>
      </c>
      <c r="P138" s="64"/>
      <c r="Q138" s="46" t="s">
        <v>5504</v>
      </c>
      <c r="R138" s="46" t="s">
        <v>5507</v>
      </c>
      <c r="S138" s="49">
        <v>135</v>
      </c>
      <c r="T138" s="49">
        <v>675</v>
      </c>
      <c r="U138" s="50">
        <v>0.10740740740740741</v>
      </c>
      <c r="V138" s="50">
        <v>0.15185185185185185</v>
      </c>
      <c r="W138" s="77">
        <v>2.1764705882352939</v>
      </c>
      <c r="X138" s="52">
        <v>67.5</v>
      </c>
      <c r="Y138" s="52">
        <v>30</v>
      </c>
      <c r="Z138" s="52">
        <v>505</v>
      </c>
      <c r="AA138" s="52">
        <v>602.5</v>
      </c>
      <c r="AB138" s="53">
        <v>0.8925925925925926</v>
      </c>
      <c r="AC138" s="75">
        <v>72.5</v>
      </c>
      <c r="AD138" s="55">
        <v>0.10740740740740741</v>
      </c>
      <c r="AE138" s="73">
        <v>3</v>
      </c>
      <c r="AF138" s="57" t="s">
        <v>95</v>
      </c>
      <c r="AG138" s="58">
        <v>170</v>
      </c>
      <c r="AH138" s="58">
        <v>370</v>
      </c>
      <c r="AI138" s="58">
        <v>540</v>
      </c>
      <c r="AJ138" s="49">
        <v>135</v>
      </c>
      <c r="AK138" s="49">
        <v>675</v>
      </c>
      <c r="AL138" s="52">
        <v>67.5</v>
      </c>
      <c r="AM138" s="52">
        <v>505</v>
      </c>
      <c r="AN138" s="52">
        <v>572.5</v>
      </c>
      <c r="AO138" s="59">
        <v>0.8481481481481481</v>
      </c>
      <c r="AP138" s="60">
        <v>102.5</v>
      </c>
      <c r="AQ138" s="61">
        <v>0.15185185185185185</v>
      </c>
      <c r="AR138" s="60" t="s">
        <v>73</v>
      </c>
      <c r="AS138" s="62">
        <v>272</v>
      </c>
      <c r="AT138" s="62">
        <v>592</v>
      </c>
      <c r="AU138" s="62">
        <v>864</v>
      </c>
      <c r="AV138" s="62">
        <v>1080</v>
      </c>
      <c r="AW138" s="47" t="s">
        <v>107</v>
      </c>
      <c r="AX138" s="64">
        <v>45325</v>
      </c>
      <c r="AY138" s="64" t="s">
        <v>5774</v>
      </c>
      <c r="BA138" s="64"/>
      <c r="BB138" s="64"/>
      <c r="BC138" s="64"/>
      <c r="BD138" s="46"/>
      <c r="BE138" s="46" t="e">
        <v>#REF!</v>
      </c>
      <c r="BF138" s="46" t="s">
        <v>75</v>
      </c>
      <c r="BG138" s="65">
        <v>1</v>
      </c>
      <c r="BH138" s="66"/>
      <c r="BI138" s="63" t="s">
        <v>5775</v>
      </c>
    </row>
    <row r="139" spans="1:61" ht="51" x14ac:dyDescent="0.2">
      <c r="A139" s="45" t="s">
        <v>5776</v>
      </c>
      <c r="B139" s="46"/>
      <c r="C139" s="46" t="s">
        <v>5777</v>
      </c>
      <c r="D139" s="46" t="s">
        <v>5778</v>
      </c>
      <c r="E139" s="46" t="s">
        <v>68</v>
      </c>
      <c r="F139" s="46" t="s">
        <v>68</v>
      </c>
      <c r="G139" s="46" t="s">
        <v>68</v>
      </c>
      <c r="H139" s="46"/>
      <c r="I139" s="46" t="s">
        <v>68</v>
      </c>
      <c r="J139" s="46" t="s">
        <v>2996</v>
      </c>
      <c r="K139" s="47">
        <v>5</v>
      </c>
      <c r="L139" s="47">
        <v>5</v>
      </c>
      <c r="M139" s="47">
        <v>10</v>
      </c>
      <c r="N139" s="46"/>
      <c r="O139" s="71" t="s">
        <v>68</v>
      </c>
      <c r="P139" s="64"/>
      <c r="Q139" s="46" t="s">
        <v>5504</v>
      </c>
      <c r="R139" s="46" t="s">
        <v>5507</v>
      </c>
      <c r="S139" s="49">
        <v>2.5</v>
      </c>
      <c r="T139" s="49">
        <v>12.5</v>
      </c>
      <c r="U139" s="28">
        <v>0.25</v>
      </c>
      <c r="V139" s="67">
        <v>0.3</v>
      </c>
      <c r="W139" s="51">
        <v>1</v>
      </c>
      <c r="X139" s="52">
        <v>1.25</v>
      </c>
      <c r="Y139" s="52">
        <v>30</v>
      </c>
      <c r="Z139" s="52">
        <v>7.5</v>
      </c>
      <c r="AA139" s="52">
        <v>38.75</v>
      </c>
      <c r="AB139" s="53">
        <v>3.1</v>
      </c>
      <c r="AC139" s="75">
        <v>3.125</v>
      </c>
      <c r="AD139" s="55">
        <v>0.25</v>
      </c>
      <c r="AE139" s="73">
        <v>3</v>
      </c>
      <c r="AF139" s="57" t="s">
        <v>95</v>
      </c>
      <c r="AG139" s="58">
        <v>5</v>
      </c>
      <c r="AH139" s="58">
        <v>5</v>
      </c>
      <c r="AI139" s="58">
        <v>10</v>
      </c>
      <c r="AJ139" s="49">
        <v>2.5</v>
      </c>
      <c r="AK139" s="49">
        <v>12.5</v>
      </c>
      <c r="AL139" s="52">
        <v>1.25</v>
      </c>
      <c r="AM139" s="52">
        <v>7.5</v>
      </c>
      <c r="AN139" s="52">
        <v>8.75</v>
      </c>
      <c r="AO139" s="59">
        <v>0.7</v>
      </c>
      <c r="AP139" s="60">
        <v>3.75</v>
      </c>
      <c r="AQ139" s="61">
        <v>0.3</v>
      </c>
      <c r="AR139" s="60" t="s">
        <v>78</v>
      </c>
      <c r="AS139" s="62">
        <v>8</v>
      </c>
      <c r="AT139" s="62">
        <v>8</v>
      </c>
      <c r="AU139" s="62">
        <v>16</v>
      </c>
      <c r="AV139" s="62">
        <v>20</v>
      </c>
      <c r="AW139" s="47" t="s">
        <v>107</v>
      </c>
      <c r="AX139" s="64">
        <v>45325</v>
      </c>
      <c r="AY139" s="64" t="s">
        <v>5779</v>
      </c>
      <c r="BA139" s="64"/>
      <c r="BB139" s="64"/>
      <c r="BC139" s="64"/>
      <c r="BD139" s="46"/>
      <c r="BE139" s="46" t="e">
        <v>#REF!</v>
      </c>
      <c r="BF139" s="46" t="s">
        <v>5780</v>
      </c>
      <c r="BG139" s="65">
        <v>1</v>
      </c>
      <c r="BH139" s="66" t="s">
        <v>5781</v>
      </c>
      <c r="BI139" s="63" t="s">
        <v>5782</v>
      </c>
    </row>
    <row r="140" spans="1:61" ht="153" x14ac:dyDescent="0.2">
      <c r="A140" s="45" t="s">
        <v>5783</v>
      </c>
      <c r="B140" s="46"/>
      <c r="C140" s="46" t="s">
        <v>5784</v>
      </c>
      <c r="D140" s="46" t="s">
        <v>5785</v>
      </c>
      <c r="E140" s="46" t="s">
        <v>454</v>
      </c>
      <c r="F140" s="46" t="s">
        <v>5786</v>
      </c>
      <c r="G140" s="46"/>
      <c r="H140" s="46"/>
      <c r="I140" s="46"/>
      <c r="J140" s="46" t="s">
        <v>2996</v>
      </c>
      <c r="K140" s="47">
        <v>30</v>
      </c>
      <c r="L140" s="47">
        <v>60</v>
      </c>
      <c r="M140" s="47">
        <v>90</v>
      </c>
      <c r="N140" s="46"/>
      <c r="O140" s="71" t="s">
        <v>68</v>
      </c>
      <c r="P140" s="64"/>
      <c r="Q140" s="46" t="s">
        <v>5504</v>
      </c>
      <c r="R140" s="46" t="s">
        <v>5507</v>
      </c>
      <c r="S140" s="49">
        <v>22.5</v>
      </c>
      <c r="T140" s="49">
        <v>112.5</v>
      </c>
      <c r="U140" s="50">
        <v>0.16666666666666666</v>
      </c>
      <c r="V140" s="50">
        <v>0.16666666666666666</v>
      </c>
      <c r="W140" s="77">
        <v>2</v>
      </c>
      <c r="X140" s="52">
        <v>11.25</v>
      </c>
      <c r="Y140" s="52">
        <v>30</v>
      </c>
      <c r="Z140" s="52">
        <v>82.5</v>
      </c>
      <c r="AA140" s="52">
        <v>123.75</v>
      </c>
      <c r="AB140" s="53">
        <v>1.1000000000000001</v>
      </c>
      <c r="AC140" s="75">
        <v>18.75</v>
      </c>
      <c r="AD140" s="55">
        <v>0.16666666666666666</v>
      </c>
      <c r="AE140" s="73">
        <v>3</v>
      </c>
      <c r="AF140" s="57" t="s">
        <v>95</v>
      </c>
      <c r="AG140" s="58">
        <v>30</v>
      </c>
      <c r="AH140" s="58">
        <v>60</v>
      </c>
      <c r="AI140" s="58">
        <v>90</v>
      </c>
      <c r="AJ140" s="49">
        <v>22.5</v>
      </c>
      <c r="AK140" s="49">
        <v>112.5</v>
      </c>
      <c r="AL140" s="52">
        <v>11.25</v>
      </c>
      <c r="AM140" s="52">
        <v>82.5</v>
      </c>
      <c r="AN140" s="52">
        <v>93.75</v>
      </c>
      <c r="AO140" s="59">
        <v>0.83333333333333337</v>
      </c>
      <c r="AP140" s="60">
        <v>18.75</v>
      </c>
      <c r="AQ140" s="61">
        <v>0.16666666666666666</v>
      </c>
      <c r="AR140" s="60" t="s">
        <v>73</v>
      </c>
      <c r="AS140" s="62">
        <v>48</v>
      </c>
      <c r="AT140" s="62">
        <v>96</v>
      </c>
      <c r="AU140" s="62">
        <v>144</v>
      </c>
      <c r="AV140" s="62">
        <v>180</v>
      </c>
      <c r="AW140" s="47" t="s">
        <v>107</v>
      </c>
      <c r="AX140" s="64">
        <v>45325</v>
      </c>
      <c r="AY140" s="64" t="s">
        <v>5787</v>
      </c>
      <c r="BA140" s="64"/>
      <c r="BB140" s="64"/>
      <c r="BC140" s="64"/>
      <c r="BD140" s="70" t="s">
        <v>5788</v>
      </c>
      <c r="BE140" s="46" t="e">
        <v>#REF!</v>
      </c>
      <c r="BF140" s="46" t="s">
        <v>5780</v>
      </c>
      <c r="BG140" s="65">
        <v>1</v>
      </c>
      <c r="BH140" s="66" t="s">
        <v>5789</v>
      </c>
      <c r="BI140" s="63" t="s">
        <v>5790</v>
      </c>
    </row>
    <row r="141" spans="1:61" ht="140.25" x14ac:dyDescent="0.2">
      <c r="A141" s="45" t="s">
        <v>5791</v>
      </c>
      <c r="B141" s="46"/>
      <c r="C141" s="46" t="s">
        <v>5784</v>
      </c>
      <c r="D141" s="46" t="s">
        <v>5785</v>
      </c>
      <c r="E141" s="46" t="s">
        <v>445</v>
      </c>
      <c r="F141" s="46" t="s">
        <v>5786</v>
      </c>
      <c r="G141" s="46"/>
      <c r="H141" s="46"/>
      <c r="I141" s="46"/>
      <c r="J141" s="46" t="s">
        <v>2996</v>
      </c>
      <c r="K141" s="47">
        <v>35</v>
      </c>
      <c r="L141" s="47">
        <f>120+10+5</f>
        <v>135</v>
      </c>
      <c r="M141" s="47">
        <v>170</v>
      </c>
      <c r="N141" s="46"/>
      <c r="O141" s="71" t="s">
        <v>68</v>
      </c>
      <c r="P141" s="64"/>
      <c r="Q141" s="46" t="s">
        <v>5504</v>
      </c>
      <c r="R141" s="46" t="s">
        <v>5507</v>
      </c>
      <c r="S141" s="49">
        <v>42.5</v>
      </c>
      <c r="T141" s="49">
        <v>212.5</v>
      </c>
      <c r="U141" s="50">
        <v>0.10294117647058823</v>
      </c>
      <c r="V141" s="50">
        <v>6.4705882352941183E-2</v>
      </c>
      <c r="W141" s="77">
        <v>3.8571428571428572</v>
      </c>
      <c r="X141" s="52">
        <v>21.25</v>
      </c>
      <c r="Y141" s="52">
        <v>30</v>
      </c>
      <c r="Z141" s="52">
        <v>177.5</v>
      </c>
      <c r="AA141" s="52">
        <v>228.75</v>
      </c>
      <c r="AB141" s="53">
        <v>1.0764705882352941</v>
      </c>
      <c r="AC141" s="75">
        <v>21.875</v>
      </c>
      <c r="AD141" s="55">
        <v>0.10294117647058823</v>
      </c>
      <c r="AE141" s="73">
        <v>3</v>
      </c>
      <c r="AF141" s="57" t="s">
        <v>95</v>
      </c>
      <c r="AG141" s="58">
        <v>35</v>
      </c>
      <c r="AH141" s="58">
        <v>135</v>
      </c>
      <c r="AI141" s="58">
        <v>170</v>
      </c>
      <c r="AJ141" s="49">
        <v>42.5</v>
      </c>
      <c r="AK141" s="49">
        <v>212.5</v>
      </c>
      <c r="AL141" s="52">
        <v>21.25</v>
      </c>
      <c r="AM141" s="52">
        <v>177.5</v>
      </c>
      <c r="AN141" s="52">
        <v>198.75</v>
      </c>
      <c r="AO141" s="59">
        <v>0.93529411764705883</v>
      </c>
      <c r="AP141" s="60">
        <v>13.75</v>
      </c>
      <c r="AQ141" s="61">
        <v>6.4705882352941183E-2</v>
      </c>
      <c r="AR141" s="60" t="s">
        <v>73</v>
      </c>
      <c r="AS141" s="62">
        <v>56</v>
      </c>
      <c r="AT141" s="62">
        <v>216</v>
      </c>
      <c r="AU141" s="62">
        <v>272</v>
      </c>
      <c r="AV141" s="62">
        <v>340</v>
      </c>
      <c r="AW141" s="47" t="s">
        <v>107</v>
      </c>
      <c r="AX141" s="64">
        <v>45325</v>
      </c>
      <c r="AY141" s="64" t="s">
        <v>5792</v>
      </c>
      <c r="BA141" s="64"/>
      <c r="BB141" s="64"/>
      <c r="BC141" s="64"/>
      <c r="BD141" s="70" t="s">
        <v>5793</v>
      </c>
      <c r="BE141" s="46" t="e">
        <v>#REF!</v>
      </c>
      <c r="BF141" s="46" t="s">
        <v>5780</v>
      </c>
      <c r="BG141" s="65">
        <v>1</v>
      </c>
      <c r="BH141" s="66" t="s">
        <v>5794</v>
      </c>
      <c r="BI141" s="63" t="s">
        <v>5795</v>
      </c>
    </row>
    <row r="142" spans="1:61" ht="153" x14ac:dyDescent="0.2">
      <c r="A142" s="45" t="s">
        <v>5796</v>
      </c>
      <c r="B142" s="46"/>
      <c r="C142" s="46" t="s">
        <v>5784</v>
      </c>
      <c r="D142" s="46" t="s">
        <v>5785</v>
      </c>
      <c r="E142" s="46" t="s">
        <v>449</v>
      </c>
      <c r="F142" s="46" t="s">
        <v>5786</v>
      </c>
      <c r="G142" s="46"/>
      <c r="H142" s="46"/>
      <c r="I142" s="46"/>
      <c r="J142" s="46" t="s">
        <v>2996</v>
      </c>
      <c r="K142" s="47">
        <v>40</v>
      </c>
      <c r="L142" s="47">
        <f>185+10+5</f>
        <v>200</v>
      </c>
      <c r="M142" s="47">
        <v>240</v>
      </c>
      <c r="N142" s="46"/>
      <c r="O142" s="71" t="s">
        <v>68</v>
      </c>
      <c r="P142" s="64"/>
      <c r="Q142" s="46" t="s">
        <v>5504</v>
      </c>
      <c r="R142" s="46" t="s">
        <v>5507</v>
      </c>
      <c r="S142" s="49">
        <v>60</v>
      </c>
      <c r="T142" s="49">
        <v>300</v>
      </c>
      <c r="U142" s="50">
        <v>8.3333333333333329E-2</v>
      </c>
      <c r="V142" s="50">
        <v>3.3333333333333333E-2</v>
      </c>
      <c r="W142" s="77">
        <v>5</v>
      </c>
      <c r="X142" s="52">
        <v>30</v>
      </c>
      <c r="Y142" s="52">
        <v>30</v>
      </c>
      <c r="Z142" s="52">
        <v>260</v>
      </c>
      <c r="AA142" s="52">
        <v>320</v>
      </c>
      <c r="AB142" s="53">
        <v>1.0666666666666667</v>
      </c>
      <c r="AC142" s="75">
        <v>25</v>
      </c>
      <c r="AD142" s="55">
        <v>8.3333333333333329E-2</v>
      </c>
      <c r="AE142" s="73">
        <v>3</v>
      </c>
      <c r="AF142" s="57" t="s">
        <v>95</v>
      </c>
      <c r="AG142" s="58">
        <v>40</v>
      </c>
      <c r="AH142" s="58">
        <v>200</v>
      </c>
      <c r="AI142" s="58">
        <v>240</v>
      </c>
      <c r="AJ142" s="49">
        <v>60</v>
      </c>
      <c r="AK142" s="49">
        <v>300</v>
      </c>
      <c r="AL142" s="52">
        <v>30</v>
      </c>
      <c r="AM142" s="52">
        <v>260</v>
      </c>
      <c r="AN142" s="52">
        <v>290</v>
      </c>
      <c r="AO142" s="59">
        <v>0.96666666666666667</v>
      </c>
      <c r="AP142" s="60">
        <v>10</v>
      </c>
      <c r="AQ142" s="61">
        <v>3.3333333333333333E-2</v>
      </c>
      <c r="AR142" s="60" t="s">
        <v>73</v>
      </c>
      <c r="AS142" s="62">
        <v>64</v>
      </c>
      <c r="AT142" s="62">
        <v>320</v>
      </c>
      <c r="AU142" s="62">
        <v>384</v>
      </c>
      <c r="AV142" s="62">
        <v>480</v>
      </c>
      <c r="AW142" s="47" t="s">
        <v>107</v>
      </c>
      <c r="AX142" s="64">
        <v>45325</v>
      </c>
      <c r="AY142" s="64" t="s">
        <v>5797</v>
      </c>
      <c r="BA142" s="64"/>
      <c r="BB142" s="64"/>
      <c r="BC142" s="64"/>
      <c r="BD142" s="70" t="s">
        <v>5798</v>
      </c>
      <c r="BE142" s="46" t="e">
        <v>#REF!</v>
      </c>
      <c r="BF142" s="46" t="s">
        <v>5780</v>
      </c>
      <c r="BG142" s="65">
        <v>1</v>
      </c>
      <c r="BH142" s="66" t="s">
        <v>5799</v>
      </c>
      <c r="BI142" s="63" t="s">
        <v>5800</v>
      </c>
    </row>
    <row r="143" spans="1:61" ht="89.25" x14ac:dyDescent="0.2">
      <c r="A143" s="45" t="s">
        <v>5801</v>
      </c>
      <c r="B143" s="46"/>
      <c r="C143" s="46" t="s">
        <v>5802</v>
      </c>
      <c r="D143" s="46" t="s">
        <v>5803</v>
      </c>
      <c r="E143" s="46"/>
      <c r="F143" s="46"/>
      <c r="G143" s="46"/>
      <c r="H143" s="46"/>
      <c r="I143" s="46"/>
      <c r="J143" s="46" t="s">
        <v>3855</v>
      </c>
      <c r="K143" s="47">
        <v>20</v>
      </c>
      <c r="L143" s="47">
        <v>12</v>
      </c>
      <c r="M143" s="47">
        <v>32</v>
      </c>
      <c r="N143" s="46"/>
      <c r="O143" s="71" t="s">
        <v>68</v>
      </c>
      <c r="P143" s="64"/>
      <c r="Q143" s="46" t="s">
        <v>5504</v>
      </c>
      <c r="R143" s="46" t="s">
        <v>5507</v>
      </c>
      <c r="S143" s="49">
        <v>8</v>
      </c>
      <c r="T143" s="49">
        <v>40</v>
      </c>
      <c r="U143" s="67">
        <v>0.3125</v>
      </c>
      <c r="V143" s="67">
        <v>0.4</v>
      </c>
      <c r="W143" s="51">
        <v>0.6</v>
      </c>
      <c r="X143" s="52">
        <v>4</v>
      </c>
      <c r="Y143" s="52">
        <v>30</v>
      </c>
      <c r="Z143" s="52">
        <v>20</v>
      </c>
      <c r="AA143" s="52">
        <v>54</v>
      </c>
      <c r="AB143" s="53">
        <v>1.35</v>
      </c>
      <c r="AC143" s="75">
        <v>12.5</v>
      </c>
      <c r="AD143" s="55">
        <v>0.3125</v>
      </c>
      <c r="AE143" s="73">
        <v>3</v>
      </c>
      <c r="AF143" s="57" t="s">
        <v>95</v>
      </c>
      <c r="AG143" s="58">
        <v>20</v>
      </c>
      <c r="AH143" s="58">
        <v>12</v>
      </c>
      <c r="AI143" s="58">
        <v>32</v>
      </c>
      <c r="AJ143" s="49">
        <v>8</v>
      </c>
      <c r="AK143" s="49">
        <v>40</v>
      </c>
      <c r="AL143" s="52">
        <v>4</v>
      </c>
      <c r="AM143" s="52">
        <v>20</v>
      </c>
      <c r="AN143" s="52">
        <v>24</v>
      </c>
      <c r="AO143" s="59">
        <v>0.6</v>
      </c>
      <c r="AP143" s="60">
        <v>16</v>
      </c>
      <c r="AQ143" s="61">
        <v>0.4</v>
      </c>
      <c r="AR143" s="60" t="s">
        <v>78</v>
      </c>
      <c r="AS143" s="62">
        <v>32</v>
      </c>
      <c r="AT143" s="62">
        <v>20</v>
      </c>
      <c r="AU143" s="62">
        <v>52</v>
      </c>
      <c r="AV143" s="62">
        <v>65</v>
      </c>
      <c r="AW143" s="47" t="s">
        <v>107</v>
      </c>
      <c r="AX143" s="64">
        <v>45325</v>
      </c>
      <c r="AY143" s="64" t="s">
        <v>5804</v>
      </c>
      <c r="BA143" s="64"/>
      <c r="BB143" s="64"/>
      <c r="BC143" s="64"/>
      <c r="BD143" s="70" t="s">
        <v>5805</v>
      </c>
      <c r="BE143" s="46" t="e">
        <v>#REF!</v>
      </c>
      <c r="BF143" s="46" t="s">
        <v>5780</v>
      </c>
      <c r="BG143" s="65">
        <v>0.25</v>
      </c>
      <c r="BH143" s="66"/>
      <c r="BI143" s="63" t="s">
        <v>5806</v>
      </c>
    </row>
    <row r="144" spans="1:61" ht="89.25" x14ac:dyDescent="0.2">
      <c r="A144" s="45" t="s">
        <v>5807</v>
      </c>
      <c r="B144" s="46"/>
      <c r="C144" s="46" t="s">
        <v>5808</v>
      </c>
      <c r="D144" s="46" t="s">
        <v>5809</v>
      </c>
      <c r="E144" s="46"/>
      <c r="F144" s="46"/>
      <c r="G144" s="46"/>
      <c r="H144" s="46"/>
      <c r="I144" s="46"/>
      <c r="J144" s="46" t="s">
        <v>3855</v>
      </c>
      <c r="K144" s="47">
        <v>25</v>
      </c>
      <c r="L144" s="47">
        <v>25</v>
      </c>
      <c r="M144" s="47">
        <v>50</v>
      </c>
      <c r="N144" s="46"/>
      <c r="O144" s="71" t="s">
        <v>68</v>
      </c>
      <c r="P144" s="64"/>
      <c r="Q144" s="46" t="s">
        <v>5504</v>
      </c>
      <c r="R144" s="46" t="s">
        <v>5507</v>
      </c>
      <c r="S144" s="49">
        <v>12.5</v>
      </c>
      <c r="T144" s="49">
        <v>62.5</v>
      </c>
      <c r="U144" s="28">
        <v>0.25</v>
      </c>
      <c r="V144" s="67">
        <v>0.3</v>
      </c>
      <c r="W144" s="51">
        <v>1</v>
      </c>
      <c r="X144" s="52">
        <v>6.25</v>
      </c>
      <c r="Y144" s="52">
        <v>30</v>
      </c>
      <c r="Z144" s="52">
        <v>37.5</v>
      </c>
      <c r="AA144" s="52">
        <v>73.75</v>
      </c>
      <c r="AB144" s="53">
        <v>1.18</v>
      </c>
      <c r="AC144" s="75">
        <v>15.625</v>
      </c>
      <c r="AD144" s="55">
        <v>0.25</v>
      </c>
      <c r="AE144" s="73">
        <v>3</v>
      </c>
      <c r="AF144" s="57" t="s">
        <v>95</v>
      </c>
      <c r="AG144" s="58">
        <v>25</v>
      </c>
      <c r="AH144" s="58">
        <v>25</v>
      </c>
      <c r="AI144" s="58">
        <v>50</v>
      </c>
      <c r="AJ144" s="49">
        <v>12.5</v>
      </c>
      <c r="AK144" s="49">
        <v>62.5</v>
      </c>
      <c r="AL144" s="52">
        <v>6.25</v>
      </c>
      <c r="AM144" s="52">
        <v>37.5</v>
      </c>
      <c r="AN144" s="52">
        <v>43.75</v>
      </c>
      <c r="AO144" s="59">
        <v>0.7</v>
      </c>
      <c r="AP144" s="60">
        <v>18.75</v>
      </c>
      <c r="AQ144" s="61">
        <v>0.3</v>
      </c>
      <c r="AR144" s="60" t="s">
        <v>78</v>
      </c>
      <c r="AS144" s="62">
        <v>40</v>
      </c>
      <c r="AT144" s="62">
        <v>40</v>
      </c>
      <c r="AU144" s="62">
        <v>80</v>
      </c>
      <c r="AV144" s="62">
        <v>100</v>
      </c>
      <c r="AW144" s="47" t="s">
        <v>107</v>
      </c>
      <c r="AX144" s="64">
        <v>45325</v>
      </c>
      <c r="AY144" s="64" t="s">
        <v>5810</v>
      </c>
      <c r="BA144" s="64"/>
      <c r="BB144" s="64"/>
      <c r="BC144" s="64"/>
      <c r="BD144" s="70" t="s">
        <v>5811</v>
      </c>
      <c r="BE144" s="46" t="e">
        <v>#REF!</v>
      </c>
      <c r="BF144" s="46" t="s">
        <v>79</v>
      </c>
      <c r="BG144" s="65">
        <v>0.25</v>
      </c>
      <c r="BH144" s="66"/>
      <c r="BI144" s="63" t="s">
        <v>5812</v>
      </c>
    </row>
    <row r="145" spans="1:61" ht="76.5" x14ac:dyDescent="0.2">
      <c r="A145" s="45" t="s">
        <v>5813</v>
      </c>
      <c r="B145" s="46"/>
      <c r="C145" s="46" t="s">
        <v>5814</v>
      </c>
      <c r="D145" s="46" t="s">
        <v>5815</v>
      </c>
      <c r="E145" s="46" t="s">
        <v>68</v>
      </c>
      <c r="F145" s="46" t="s">
        <v>68</v>
      </c>
      <c r="G145" s="46" t="s">
        <v>68</v>
      </c>
      <c r="H145" s="46" t="s">
        <v>68</v>
      </c>
      <c r="I145" s="46" t="s">
        <v>68</v>
      </c>
      <c r="J145" s="46" t="s">
        <v>2996</v>
      </c>
      <c r="K145" s="47">
        <v>25</v>
      </c>
      <c r="L145" s="47">
        <v>0</v>
      </c>
      <c r="M145" s="47">
        <v>25</v>
      </c>
      <c r="N145" s="46"/>
      <c r="O145" s="71" t="s">
        <v>68</v>
      </c>
      <c r="P145" s="64"/>
      <c r="Q145" s="46" t="s">
        <v>5504</v>
      </c>
      <c r="R145" s="46" t="s">
        <v>5507</v>
      </c>
      <c r="S145" s="49">
        <v>6.25</v>
      </c>
      <c r="T145" s="49">
        <v>31.25</v>
      </c>
      <c r="U145" s="67">
        <v>0.5</v>
      </c>
      <c r="V145" s="67">
        <v>0.7</v>
      </c>
      <c r="W145" s="51">
        <v>0</v>
      </c>
      <c r="X145" s="52">
        <v>3.125</v>
      </c>
      <c r="Y145" s="52">
        <v>30</v>
      </c>
      <c r="Z145" s="52">
        <v>6.25</v>
      </c>
      <c r="AA145" s="52">
        <v>39.375</v>
      </c>
      <c r="AB145" s="53">
        <v>1.26</v>
      </c>
      <c r="AC145" s="75">
        <v>15.625</v>
      </c>
      <c r="AD145" s="55">
        <v>0.5</v>
      </c>
      <c r="AE145" s="73">
        <v>3</v>
      </c>
      <c r="AF145" s="57" t="s">
        <v>95</v>
      </c>
      <c r="AG145" s="58">
        <v>25</v>
      </c>
      <c r="AH145" s="58">
        <v>0</v>
      </c>
      <c r="AI145" s="58">
        <v>25</v>
      </c>
      <c r="AJ145" s="49">
        <v>6.25</v>
      </c>
      <c r="AK145" s="49">
        <v>31.25</v>
      </c>
      <c r="AL145" s="52">
        <v>3.125</v>
      </c>
      <c r="AM145" s="52">
        <v>6.25</v>
      </c>
      <c r="AN145" s="52">
        <v>9.375</v>
      </c>
      <c r="AO145" s="59">
        <v>0.3</v>
      </c>
      <c r="AP145" s="60">
        <v>21.875</v>
      </c>
      <c r="AQ145" s="61">
        <v>0.7</v>
      </c>
      <c r="AR145" s="60" t="s">
        <v>78</v>
      </c>
      <c r="AS145" s="62">
        <v>40</v>
      </c>
      <c r="AT145" s="62">
        <v>0</v>
      </c>
      <c r="AU145" s="62">
        <v>40</v>
      </c>
      <c r="AV145" s="62">
        <v>50</v>
      </c>
      <c r="AW145" s="47" t="s">
        <v>107</v>
      </c>
      <c r="AX145" s="64">
        <v>45325</v>
      </c>
      <c r="AY145" s="64" t="s">
        <v>5816</v>
      </c>
      <c r="BA145" s="64"/>
      <c r="BB145" s="64"/>
      <c r="BC145" s="64"/>
      <c r="BD145" s="46"/>
      <c r="BE145" s="46" t="e">
        <v>#REF!</v>
      </c>
      <c r="BF145" s="46" t="s">
        <v>5817</v>
      </c>
      <c r="BG145" s="65">
        <v>1</v>
      </c>
      <c r="BH145" s="66"/>
      <c r="BI145" s="63" t="s">
        <v>5818</v>
      </c>
    </row>
    <row r="146" spans="1:61" ht="140.25" x14ac:dyDescent="0.2">
      <c r="A146" s="45" t="s">
        <v>5819</v>
      </c>
      <c r="B146" s="46"/>
      <c r="C146" s="46" t="s">
        <v>5820</v>
      </c>
      <c r="D146" s="46" t="s">
        <v>5821</v>
      </c>
      <c r="E146" s="46" t="s">
        <v>454</v>
      </c>
      <c r="F146" s="46" t="s">
        <v>5822</v>
      </c>
      <c r="G146" s="46"/>
      <c r="H146" s="46"/>
      <c r="I146" s="46"/>
      <c r="J146" s="46" t="s">
        <v>2996</v>
      </c>
      <c r="K146" s="47">
        <v>30</v>
      </c>
      <c r="L146" s="47">
        <v>75</v>
      </c>
      <c r="M146" s="47">
        <v>105</v>
      </c>
      <c r="N146" s="46"/>
      <c r="O146" s="71" t="s">
        <v>68</v>
      </c>
      <c r="P146" s="64"/>
      <c r="Q146" s="46" t="s">
        <v>5504</v>
      </c>
      <c r="R146" s="46" t="s">
        <v>5507</v>
      </c>
      <c r="S146" s="49">
        <v>26.25</v>
      </c>
      <c r="T146" s="49">
        <v>131.25</v>
      </c>
      <c r="U146" s="50">
        <v>0.14285714285714285</v>
      </c>
      <c r="V146" s="50">
        <v>0.12857142857142856</v>
      </c>
      <c r="W146" s="77">
        <v>2.5</v>
      </c>
      <c r="X146" s="52">
        <v>13.125</v>
      </c>
      <c r="Y146" s="52">
        <v>30</v>
      </c>
      <c r="Z146" s="52">
        <v>101.25</v>
      </c>
      <c r="AA146" s="52">
        <v>144.375</v>
      </c>
      <c r="AB146" s="53">
        <v>1.1000000000000001</v>
      </c>
      <c r="AC146" s="75">
        <v>18.75</v>
      </c>
      <c r="AD146" s="55">
        <v>0.14285714285714285</v>
      </c>
      <c r="AE146" s="73">
        <v>3</v>
      </c>
      <c r="AF146" s="57" t="s">
        <v>95</v>
      </c>
      <c r="AG146" s="58">
        <v>30</v>
      </c>
      <c r="AH146" s="58">
        <v>75</v>
      </c>
      <c r="AI146" s="58">
        <v>105</v>
      </c>
      <c r="AJ146" s="49">
        <v>26.25</v>
      </c>
      <c r="AK146" s="49">
        <v>131.25</v>
      </c>
      <c r="AL146" s="52">
        <v>13.125</v>
      </c>
      <c r="AM146" s="52">
        <v>101.25</v>
      </c>
      <c r="AN146" s="52">
        <v>114.375</v>
      </c>
      <c r="AO146" s="59">
        <v>0.87142857142857144</v>
      </c>
      <c r="AP146" s="60">
        <v>16.875</v>
      </c>
      <c r="AQ146" s="61">
        <v>0.12857142857142856</v>
      </c>
      <c r="AR146" s="60" t="s">
        <v>73</v>
      </c>
      <c r="AS146" s="62">
        <v>48</v>
      </c>
      <c r="AT146" s="62">
        <v>120</v>
      </c>
      <c r="AU146" s="62">
        <v>168</v>
      </c>
      <c r="AV146" s="62">
        <v>210</v>
      </c>
      <c r="AW146" s="47" t="s">
        <v>107</v>
      </c>
      <c r="AX146" s="64">
        <v>45091</v>
      </c>
      <c r="AY146" s="64" t="s">
        <v>5823</v>
      </c>
      <c r="BA146" s="64"/>
      <c r="BB146" s="64"/>
      <c r="BC146" s="64"/>
      <c r="BD146" s="70" t="s">
        <v>5824</v>
      </c>
      <c r="BE146" s="46" t="e">
        <v>#REF!</v>
      </c>
      <c r="BF146" s="46" t="s">
        <v>5817</v>
      </c>
      <c r="BG146" s="65">
        <v>1</v>
      </c>
      <c r="BH146" s="66"/>
      <c r="BI146" s="63" t="s">
        <v>5825</v>
      </c>
    </row>
    <row r="147" spans="1:61" ht="127.5" x14ac:dyDescent="0.2">
      <c r="A147" s="45" t="s">
        <v>5826</v>
      </c>
      <c r="B147" s="46"/>
      <c r="C147" s="46" t="s">
        <v>5820</v>
      </c>
      <c r="D147" s="46" t="s">
        <v>5821</v>
      </c>
      <c r="E147" s="46" t="s">
        <v>445</v>
      </c>
      <c r="F147" s="46" t="s">
        <v>5822</v>
      </c>
      <c r="G147" s="46"/>
      <c r="H147" s="46"/>
      <c r="I147" s="46"/>
      <c r="J147" s="46" t="s">
        <v>2996</v>
      </c>
      <c r="K147" s="47">
        <v>35</v>
      </c>
      <c r="L147" s="47">
        <f>120+15+5</f>
        <v>140</v>
      </c>
      <c r="M147" s="47">
        <v>175</v>
      </c>
      <c r="N147" s="46"/>
      <c r="O147" s="71" t="s">
        <v>68</v>
      </c>
      <c r="P147" s="64"/>
      <c r="Q147" s="46" t="s">
        <v>5504</v>
      </c>
      <c r="R147" s="46" t="s">
        <v>5507</v>
      </c>
      <c r="S147" s="49">
        <v>43.75</v>
      </c>
      <c r="T147" s="49">
        <v>218.75</v>
      </c>
      <c r="U147" s="50">
        <v>0.1</v>
      </c>
      <c r="V147" s="50">
        <v>0.06</v>
      </c>
      <c r="W147" s="77">
        <v>4</v>
      </c>
      <c r="X147" s="52">
        <v>21.875</v>
      </c>
      <c r="Y147" s="52">
        <v>30</v>
      </c>
      <c r="Z147" s="52">
        <v>183.75</v>
      </c>
      <c r="AA147" s="52">
        <v>235.625</v>
      </c>
      <c r="AB147" s="53">
        <v>1.0771428571428572</v>
      </c>
      <c r="AC147" s="75">
        <v>21.875</v>
      </c>
      <c r="AD147" s="55">
        <v>0.1</v>
      </c>
      <c r="AE147" s="73">
        <v>3</v>
      </c>
      <c r="AF147" s="57" t="s">
        <v>95</v>
      </c>
      <c r="AG147" s="58">
        <v>35</v>
      </c>
      <c r="AH147" s="58">
        <v>140</v>
      </c>
      <c r="AI147" s="58">
        <v>175</v>
      </c>
      <c r="AJ147" s="49">
        <v>43.75</v>
      </c>
      <c r="AK147" s="49">
        <v>218.75</v>
      </c>
      <c r="AL147" s="52">
        <v>21.875</v>
      </c>
      <c r="AM147" s="52">
        <v>183.75</v>
      </c>
      <c r="AN147" s="52">
        <v>205.625</v>
      </c>
      <c r="AO147" s="59">
        <v>0.94</v>
      </c>
      <c r="AP147" s="60">
        <v>13.125</v>
      </c>
      <c r="AQ147" s="61">
        <v>0.06</v>
      </c>
      <c r="AR147" s="60" t="s">
        <v>73</v>
      </c>
      <c r="AS147" s="62">
        <v>56</v>
      </c>
      <c r="AT147" s="62">
        <v>224</v>
      </c>
      <c r="AU147" s="62">
        <v>280</v>
      </c>
      <c r="AV147" s="62">
        <v>350</v>
      </c>
      <c r="AW147" s="47" t="s">
        <v>107</v>
      </c>
      <c r="AX147" s="64">
        <v>45091</v>
      </c>
      <c r="AY147" s="64" t="s">
        <v>5827</v>
      </c>
      <c r="BA147" s="64"/>
      <c r="BB147" s="64"/>
      <c r="BC147" s="64"/>
      <c r="BD147" s="70" t="s">
        <v>5828</v>
      </c>
      <c r="BE147" s="46" t="e">
        <v>#REF!</v>
      </c>
      <c r="BF147" s="46" t="s">
        <v>5817</v>
      </c>
      <c r="BG147" s="65">
        <v>1</v>
      </c>
      <c r="BH147" s="66"/>
      <c r="BI147" s="63" t="s">
        <v>5829</v>
      </c>
    </row>
    <row r="148" spans="1:61" ht="140.25" x14ac:dyDescent="0.2">
      <c r="A148" s="45" t="s">
        <v>5830</v>
      </c>
      <c r="B148" s="46"/>
      <c r="C148" s="46" t="s">
        <v>5820</v>
      </c>
      <c r="D148" s="46" t="s">
        <v>5821</v>
      </c>
      <c r="E148" s="46" t="s">
        <v>449</v>
      </c>
      <c r="F148" s="46" t="s">
        <v>5822</v>
      </c>
      <c r="G148" s="46"/>
      <c r="H148" s="46"/>
      <c r="I148" s="46"/>
      <c r="J148" s="46" t="s">
        <v>2996</v>
      </c>
      <c r="K148" s="47">
        <v>40</v>
      </c>
      <c r="L148" s="47">
        <f>175+15+5</f>
        <v>195</v>
      </c>
      <c r="M148" s="47">
        <v>235</v>
      </c>
      <c r="N148" s="46"/>
      <c r="O148" s="71" t="s">
        <v>68</v>
      </c>
      <c r="P148" s="64"/>
      <c r="Q148" s="46" t="s">
        <v>5504</v>
      </c>
      <c r="R148" s="46" t="s">
        <v>5507</v>
      </c>
      <c r="S148" s="49">
        <v>58.75</v>
      </c>
      <c r="T148" s="49">
        <v>293.75</v>
      </c>
      <c r="U148" s="50">
        <v>8.5106382978723402E-2</v>
      </c>
      <c r="V148" s="50">
        <v>3.6170212765957444E-2</v>
      </c>
      <c r="W148" s="77">
        <v>4.875</v>
      </c>
      <c r="X148" s="52">
        <v>29.375</v>
      </c>
      <c r="Y148" s="52">
        <v>30</v>
      </c>
      <c r="Z148" s="52">
        <v>253.75</v>
      </c>
      <c r="AA148" s="52">
        <v>313.125</v>
      </c>
      <c r="AB148" s="53">
        <v>1.0659574468085107</v>
      </c>
      <c r="AC148" s="75">
        <v>25</v>
      </c>
      <c r="AD148" s="55">
        <v>8.5106382978723402E-2</v>
      </c>
      <c r="AE148" s="73">
        <v>3</v>
      </c>
      <c r="AF148" s="57" t="s">
        <v>95</v>
      </c>
      <c r="AG148" s="58">
        <v>40</v>
      </c>
      <c r="AH148" s="58">
        <v>195</v>
      </c>
      <c r="AI148" s="58">
        <v>235</v>
      </c>
      <c r="AJ148" s="49">
        <v>58.75</v>
      </c>
      <c r="AK148" s="49">
        <v>293.75</v>
      </c>
      <c r="AL148" s="52">
        <v>29.375</v>
      </c>
      <c r="AM148" s="52">
        <v>253.75</v>
      </c>
      <c r="AN148" s="52">
        <v>283.125</v>
      </c>
      <c r="AO148" s="59">
        <v>0.96382978723404256</v>
      </c>
      <c r="AP148" s="60">
        <v>10.625</v>
      </c>
      <c r="AQ148" s="61">
        <v>3.6170212765957444E-2</v>
      </c>
      <c r="AR148" s="60" t="s">
        <v>73</v>
      </c>
      <c r="AS148" s="62">
        <v>64</v>
      </c>
      <c r="AT148" s="62">
        <v>312</v>
      </c>
      <c r="AU148" s="62">
        <v>376</v>
      </c>
      <c r="AV148" s="62">
        <v>470</v>
      </c>
      <c r="AW148" s="47" t="s">
        <v>107</v>
      </c>
      <c r="AX148" s="64">
        <v>45091</v>
      </c>
      <c r="AY148" s="64" t="s">
        <v>5831</v>
      </c>
      <c r="BA148" s="64"/>
      <c r="BB148" s="64"/>
      <c r="BC148" s="64"/>
      <c r="BD148" s="70" t="s">
        <v>5832</v>
      </c>
      <c r="BE148" s="46" t="e">
        <v>#REF!</v>
      </c>
      <c r="BF148" s="46" t="s">
        <v>5817</v>
      </c>
      <c r="BG148" s="65">
        <v>1</v>
      </c>
      <c r="BH148" s="66"/>
      <c r="BI148" s="63" t="s">
        <v>5833</v>
      </c>
    </row>
    <row r="149" spans="1:61" ht="102" x14ac:dyDescent="0.2">
      <c r="A149" s="45" t="s">
        <v>5834</v>
      </c>
      <c r="B149" s="46"/>
      <c r="C149" s="46" t="s">
        <v>5835</v>
      </c>
      <c r="D149" s="46" t="s">
        <v>5809</v>
      </c>
      <c r="E149" s="46" t="s">
        <v>454</v>
      </c>
      <c r="F149" s="46"/>
      <c r="G149" s="46"/>
      <c r="H149" s="46"/>
      <c r="I149" s="46"/>
      <c r="J149" s="46" t="s">
        <v>3855</v>
      </c>
      <c r="K149" s="47">
        <v>20</v>
      </c>
      <c r="L149" s="47">
        <v>20</v>
      </c>
      <c r="M149" s="47">
        <v>40</v>
      </c>
      <c r="N149" s="46"/>
      <c r="O149" s="71" t="s">
        <v>68</v>
      </c>
      <c r="P149" s="64"/>
      <c r="Q149" s="46" t="s">
        <v>5504</v>
      </c>
      <c r="R149" s="46" t="s">
        <v>5507</v>
      </c>
      <c r="S149" s="49">
        <v>10</v>
      </c>
      <c r="T149" s="49">
        <v>50</v>
      </c>
      <c r="U149" s="28">
        <v>0.25</v>
      </c>
      <c r="V149" s="67">
        <v>0.3</v>
      </c>
      <c r="W149" s="51">
        <v>1</v>
      </c>
      <c r="X149" s="52">
        <v>5</v>
      </c>
      <c r="Y149" s="52">
        <v>30</v>
      </c>
      <c r="Z149" s="52">
        <v>30</v>
      </c>
      <c r="AA149" s="52">
        <v>65</v>
      </c>
      <c r="AB149" s="53">
        <v>1.3</v>
      </c>
      <c r="AC149" s="75">
        <v>12.5</v>
      </c>
      <c r="AD149" s="55">
        <v>0.25</v>
      </c>
      <c r="AE149" s="73">
        <v>3</v>
      </c>
      <c r="AF149" s="57" t="s">
        <v>95</v>
      </c>
      <c r="AG149" s="58">
        <v>20</v>
      </c>
      <c r="AH149" s="58">
        <v>20</v>
      </c>
      <c r="AI149" s="58">
        <v>40</v>
      </c>
      <c r="AJ149" s="49">
        <v>10</v>
      </c>
      <c r="AK149" s="49">
        <v>50</v>
      </c>
      <c r="AL149" s="52">
        <v>5</v>
      </c>
      <c r="AM149" s="52">
        <v>30</v>
      </c>
      <c r="AN149" s="52">
        <v>35</v>
      </c>
      <c r="AO149" s="59">
        <v>0.7</v>
      </c>
      <c r="AP149" s="60">
        <v>15</v>
      </c>
      <c r="AQ149" s="61">
        <v>0.3</v>
      </c>
      <c r="AR149" s="60" t="s">
        <v>78</v>
      </c>
      <c r="AS149" s="62">
        <v>32</v>
      </c>
      <c r="AT149" s="62">
        <v>32</v>
      </c>
      <c r="AU149" s="62">
        <v>64</v>
      </c>
      <c r="AV149" s="62">
        <v>80</v>
      </c>
      <c r="AW149" s="47" t="s">
        <v>107</v>
      </c>
      <c r="AX149" s="64">
        <v>45325</v>
      </c>
      <c r="AY149" s="64" t="s">
        <v>5836</v>
      </c>
      <c r="BA149" s="64"/>
      <c r="BB149" s="64"/>
      <c r="BC149" s="64"/>
      <c r="BD149" s="70" t="s">
        <v>5837</v>
      </c>
      <c r="BE149" s="46" t="e">
        <v>#REF!</v>
      </c>
      <c r="BF149" s="46" t="s">
        <v>5817</v>
      </c>
      <c r="BG149" s="65">
        <v>0.25</v>
      </c>
      <c r="BH149" s="66"/>
      <c r="BI149" s="63" t="s">
        <v>5838</v>
      </c>
    </row>
    <row r="150" spans="1:61" ht="102" x14ac:dyDescent="0.2">
      <c r="A150" s="45" t="s">
        <v>5839</v>
      </c>
      <c r="B150" s="46"/>
      <c r="C150" s="46" t="s">
        <v>5835</v>
      </c>
      <c r="D150" s="46" t="s">
        <v>5809</v>
      </c>
      <c r="E150" s="46" t="s">
        <v>445</v>
      </c>
      <c r="F150" s="46"/>
      <c r="G150" s="46"/>
      <c r="H150" s="46"/>
      <c r="I150" s="46"/>
      <c r="J150" s="46" t="s">
        <v>3855</v>
      </c>
      <c r="K150" s="47">
        <v>25</v>
      </c>
      <c r="L150" s="47">
        <v>30</v>
      </c>
      <c r="M150" s="47">
        <v>55</v>
      </c>
      <c r="N150" s="46"/>
      <c r="O150" s="71" t="s">
        <v>68</v>
      </c>
      <c r="P150" s="64"/>
      <c r="Q150" s="46" t="s">
        <v>5504</v>
      </c>
      <c r="R150" s="46" t="s">
        <v>5507</v>
      </c>
      <c r="S150" s="49">
        <v>13.75</v>
      </c>
      <c r="T150" s="49">
        <v>68.75</v>
      </c>
      <c r="U150" s="28">
        <v>0.22727272727272727</v>
      </c>
      <c r="V150" s="28">
        <v>0.26363636363636361</v>
      </c>
      <c r="W150" s="74">
        <v>1.2</v>
      </c>
      <c r="X150" s="52">
        <v>6.875</v>
      </c>
      <c r="Y150" s="52">
        <v>30</v>
      </c>
      <c r="Z150" s="52">
        <v>43.75</v>
      </c>
      <c r="AA150" s="52">
        <v>80.625</v>
      </c>
      <c r="AB150" s="53">
        <v>1.1727272727272726</v>
      </c>
      <c r="AC150" s="75">
        <v>15.625</v>
      </c>
      <c r="AD150" s="55">
        <v>0.22727272727272727</v>
      </c>
      <c r="AE150" s="73">
        <v>3</v>
      </c>
      <c r="AF150" s="57" t="s">
        <v>95</v>
      </c>
      <c r="AG150" s="58">
        <v>25</v>
      </c>
      <c r="AH150" s="58">
        <v>30</v>
      </c>
      <c r="AI150" s="58">
        <v>55</v>
      </c>
      <c r="AJ150" s="49">
        <v>13.75</v>
      </c>
      <c r="AK150" s="49">
        <v>68.75</v>
      </c>
      <c r="AL150" s="52">
        <v>6.875</v>
      </c>
      <c r="AM150" s="52">
        <v>43.75</v>
      </c>
      <c r="AN150" s="52">
        <v>50.625</v>
      </c>
      <c r="AO150" s="59">
        <v>0.73636363636363633</v>
      </c>
      <c r="AP150" s="60">
        <v>18.125</v>
      </c>
      <c r="AQ150" s="61">
        <v>0.26363636363636361</v>
      </c>
      <c r="AR150" s="60" t="s">
        <v>78</v>
      </c>
      <c r="AS150" s="62">
        <v>40</v>
      </c>
      <c r="AT150" s="62">
        <v>48</v>
      </c>
      <c r="AU150" s="62">
        <v>88</v>
      </c>
      <c r="AV150" s="62">
        <v>110</v>
      </c>
      <c r="AW150" s="47" t="s">
        <v>107</v>
      </c>
      <c r="AX150" s="64">
        <v>45325</v>
      </c>
      <c r="AY150" s="64" t="s">
        <v>5840</v>
      </c>
      <c r="BA150" s="64"/>
      <c r="BB150" s="64"/>
      <c r="BC150" s="64"/>
      <c r="BD150" s="70" t="s">
        <v>5841</v>
      </c>
      <c r="BE150" s="46" t="e">
        <v>#REF!</v>
      </c>
      <c r="BF150" s="46" t="s">
        <v>5817</v>
      </c>
      <c r="BG150" s="65">
        <v>0.25</v>
      </c>
      <c r="BH150" s="66"/>
      <c r="BI150" s="63" t="s">
        <v>5842</v>
      </c>
    </row>
    <row r="151" spans="1:61" ht="102" x14ac:dyDescent="0.2">
      <c r="A151" s="45" t="s">
        <v>5843</v>
      </c>
      <c r="B151" s="46"/>
      <c r="C151" s="46" t="s">
        <v>5835</v>
      </c>
      <c r="D151" s="46" t="s">
        <v>5809</v>
      </c>
      <c r="E151" s="46" t="s">
        <v>449</v>
      </c>
      <c r="F151" s="46"/>
      <c r="G151" s="46"/>
      <c r="H151" s="46"/>
      <c r="I151" s="46"/>
      <c r="J151" s="46" t="s">
        <v>3855</v>
      </c>
      <c r="K151" s="47">
        <v>30</v>
      </c>
      <c r="L151" s="47">
        <v>40</v>
      </c>
      <c r="M151" s="47">
        <v>70</v>
      </c>
      <c r="N151" s="46"/>
      <c r="O151" s="71" t="s">
        <v>68</v>
      </c>
      <c r="P151" s="64"/>
      <c r="Q151" s="46" t="s">
        <v>5504</v>
      </c>
      <c r="R151" s="46" t="s">
        <v>5507</v>
      </c>
      <c r="S151" s="49">
        <v>17.5</v>
      </c>
      <c r="T151" s="49">
        <v>87.5</v>
      </c>
      <c r="U151" s="28">
        <v>0.21428571428571427</v>
      </c>
      <c r="V151" s="28">
        <v>0.24285714285714285</v>
      </c>
      <c r="W151" s="74">
        <v>1.3333333333333333</v>
      </c>
      <c r="X151" s="52">
        <v>8.75</v>
      </c>
      <c r="Y151" s="52">
        <v>30</v>
      </c>
      <c r="Z151" s="52">
        <v>57.5</v>
      </c>
      <c r="AA151" s="52">
        <v>96.25</v>
      </c>
      <c r="AB151" s="53">
        <v>1.1000000000000001</v>
      </c>
      <c r="AC151" s="75">
        <v>18.75</v>
      </c>
      <c r="AD151" s="55">
        <v>0.21428571428571427</v>
      </c>
      <c r="AE151" s="73">
        <v>3</v>
      </c>
      <c r="AF151" s="57" t="s">
        <v>95</v>
      </c>
      <c r="AG151" s="58">
        <v>30</v>
      </c>
      <c r="AH151" s="58">
        <v>40</v>
      </c>
      <c r="AI151" s="58">
        <v>70</v>
      </c>
      <c r="AJ151" s="49">
        <v>17.5</v>
      </c>
      <c r="AK151" s="49">
        <v>87.5</v>
      </c>
      <c r="AL151" s="52">
        <v>8.75</v>
      </c>
      <c r="AM151" s="52">
        <v>57.5</v>
      </c>
      <c r="AN151" s="52">
        <v>66.25</v>
      </c>
      <c r="AO151" s="59">
        <v>0.75714285714285712</v>
      </c>
      <c r="AP151" s="60">
        <v>21.25</v>
      </c>
      <c r="AQ151" s="61">
        <v>0.24285714285714285</v>
      </c>
      <c r="AR151" s="60" t="s">
        <v>78</v>
      </c>
      <c r="AS151" s="62">
        <v>48</v>
      </c>
      <c r="AT151" s="62">
        <v>64</v>
      </c>
      <c r="AU151" s="62">
        <v>112</v>
      </c>
      <c r="AV151" s="62">
        <v>140</v>
      </c>
      <c r="AW151" s="47" t="s">
        <v>107</v>
      </c>
      <c r="AX151" s="64">
        <v>45325</v>
      </c>
      <c r="AY151" s="64" t="s">
        <v>5844</v>
      </c>
      <c r="BA151" s="64"/>
      <c r="BB151" s="64"/>
      <c r="BC151" s="64"/>
      <c r="BD151" s="70" t="s">
        <v>5845</v>
      </c>
      <c r="BE151" s="46" t="e">
        <v>#REF!</v>
      </c>
      <c r="BF151" s="46" t="s">
        <v>5817</v>
      </c>
      <c r="BG151" s="65">
        <v>0.25</v>
      </c>
      <c r="BH151" s="66"/>
      <c r="BI151" s="63" t="s">
        <v>5846</v>
      </c>
    </row>
    <row r="152" spans="1:61" ht="76.5" x14ac:dyDescent="0.2">
      <c r="A152" s="45" t="s">
        <v>5847</v>
      </c>
      <c r="B152" s="46"/>
      <c r="C152" s="46" t="s">
        <v>5848</v>
      </c>
      <c r="D152" s="46" t="s">
        <v>5803</v>
      </c>
      <c r="E152" s="46"/>
      <c r="F152" s="46"/>
      <c r="G152" s="46"/>
      <c r="H152" s="46"/>
      <c r="I152" s="46"/>
      <c r="J152" s="46" t="s">
        <v>3855</v>
      </c>
      <c r="K152" s="47">
        <v>20</v>
      </c>
      <c r="L152" s="47">
        <v>12</v>
      </c>
      <c r="M152" s="47">
        <v>32</v>
      </c>
      <c r="N152" s="46"/>
      <c r="O152" s="71" t="s">
        <v>68</v>
      </c>
      <c r="P152" s="64"/>
      <c r="Q152" s="46" t="s">
        <v>5504</v>
      </c>
      <c r="R152" s="46" t="s">
        <v>5507</v>
      </c>
      <c r="S152" s="49">
        <v>8</v>
      </c>
      <c r="T152" s="49">
        <v>40</v>
      </c>
      <c r="U152" s="67">
        <v>0.3125</v>
      </c>
      <c r="V152" s="67">
        <v>0.4</v>
      </c>
      <c r="W152" s="51">
        <v>0.6</v>
      </c>
      <c r="X152" s="52">
        <v>4</v>
      </c>
      <c r="Y152" s="52">
        <v>30</v>
      </c>
      <c r="Z152" s="52">
        <v>20</v>
      </c>
      <c r="AA152" s="52">
        <v>54</v>
      </c>
      <c r="AB152" s="53">
        <v>1.35</v>
      </c>
      <c r="AC152" s="75">
        <v>12.5</v>
      </c>
      <c r="AD152" s="55">
        <v>0.3125</v>
      </c>
      <c r="AE152" s="73">
        <v>3</v>
      </c>
      <c r="AF152" s="57" t="s">
        <v>95</v>
      </c>
      <c r="AG152" s="58">
        <v>20</v>
      </c>
      <c r="AH152" s="58">
        <v>12</v>
      </c>
      <c r="AI152" s="58">
        <v>32</v>
      </c>
      <c r="AJ152" s="49">
        <v>8</v>
      </c>
      <c r="AK152" s="49">
        <v>40</v>
      </c>
      <c r="AL152" s="52">
        <v>4</v>
      </c>
      <c r="AM152" s="52">
        <v>20</v>
      </c>
      <c r="AN152" s="52">
        <v>24</v>
      </c>
      <c r="AO152" s="59">
        <v>0.6</v>
      </c>
      <c r="AP152" s="60">
        <v>16</v>
      </c>
      <c r="AQ152" s="61">
        <v>0.4</v>
      </c>
      <c r="AR152" s="60" t="s">
        <v>78</v>
      </c>
      <c r="AS152" s="62">
        <v>32</v>
      </c>
      <c r="AT152" s="62">
        <v>20</v>
      </c>
      <c r="AU152" s="62">
        <v>52</v>
      </c>
      <c r="AV152" s="62">
        <v>65</v>
      </c>
      <c r="AW152" s="47" t="s">
        <v>107</v>
      </c>
      <c r="AX152" s="64">
        <v>45325</v>
      </c>
      <c r="AY152" s="64" t="s">
        <v>5849</v>
      </c>
      <c r="BA152" s="64"/>
      <c r="BB152" s="64"/>
      <c r="BC152" s="64"/>
      <c r="BD152" s="70" t="s">
        <v>5805</v>
      </c>
      <c r="BE152" s="46" t="e">
        <v>#REF!</v>
      </c>
      <c r="BF152" s="46" t="s">
        <v>5817</v>
      </c>
      <c r="BG152" s="65">
        <v>0.25</v>
      </c>
      <c r="BH152" s="66"/>
      <c r="BI152" s="63" t="s">
        <v>5850</v>
      </c>
    </row>
    <row r="153" spans="1:61" ht="89.25" x14ac:dyDescent="0.2">
      <c r="A153" s="45" t="s">
        <v>5851</v>
      </c>
      <c r="B153" s="46"/>
      <c r="C153" s="46" t="s">
        <v>5852</v>
      </c>
      <c r="D153" s="46" t="s">
        <v>5815</v>
      </c>
      <c r="E153" s="46" t="s">
        <v>68</v>
      </c>
      <c r="F153" s="46" t="s">
        <v>68</v>
      </c>
      <c r="G153" s="46" t="s">
        <v>68</v>
      </c>
      <c r="H153" s="46" t="s">
        <v>68</v>
      </c>
      <c r="I153" s="46" t="s">
        <v>68</v>
      </c>
      <c r="J153" s="46" t="s">
        <v>2996</v>
      </c>
      <c r="K153" s="47">
        <v>250</v>
      </c>
      <c r="L153" s="47">
        <v>0</v>
      </c>
      <c r="M153" s="47">
        <v>250</v>
      </c>
      <c r="N153" s="46"/>
      <c r="O153" s="71" t="s">
        <v>68</v>
      </c>
      <c r="P153" s="64"/>
      <c r="Q153" s="46" t="s">
        <v>5504</v>
      </c>
      <c r="R153" s="46" t="s">
        <v>5507</v>
      </c>
      <c r="S153" s="49">
        <v>62.5</v>
      </c>
      <c r="T153" s="49">
        <v>312.5</v>
      </c>
      <c r="U153" s="67">
        <v>0.60399999999999998</v>
      </c>
      <c r="V153" s="67">
        <v>0.7</v>
      </c>
      <c r="W153" s="51">
        <v>0</v>
      </c>
      <c r="X153" s="52">
        <v>31.25</v>
      </c>
      <c r="Y153" s="52">
        <v>30</v>
      </c>
      <c r="Z153" s="52">
        <v>62.5</v>
      </c>
      <c r="AA153" s="52">
        <v>123.75</v>
      </c>
      <c r="AB153" s="53">
        <v>0.39600000000000002</v>
      </c>
      <c r="AC153" s="72">
        <v>188.75</v>
      </c>
      <c r="AD153" s="55">
        <v>0.60399999999999998</v>
      </c>
      <c r="AE153" s="73">
        <v>3</v>
      </c>
      <c r="AF153" s="57" t="s">
        <v>95</v>
      </c>
      <c r="AG153" s="58">
        <v>250</v>
      </c>
      <c r="AH153" s="58">
        <v>0</v>
      </c>
      <c r="AI153" s="58">
        <v>250</v>
      </c>
      <c r="AJ153" s="49">
        <v>62.5</v>
      </c>
      <c r="AK153" s="49">
        <v>312.5</v>
      </c>
      <c r="AL153" s="52">
        <v>31.25</v>
      </c>
      <c r="AM153" s="52">
        <v>62.5</v>
      </c>
      <c r="AN153" s="52">
        <v>93.75</v>
      </c>
      <c r="AO153" s="59">
        <v>0.3</v>
      </c>
      <c r="AP153" s="60">
        <v>218.75</v>
      </c>
      <c r="AQ153" s="61">
        <v>0.7</v>
      </c>
      <c r="AR153" s="60" t="s">
        <v>78</v>
      </c>
      <c r="AS153" s="62">
        <v>400</v>
      </c>
      <c r="AT153" s="62">
        <v>0</v>
      </c>
      <c r="AU153" s="62">
        <v>400</v>
      </c>
      <c r="AV153" s="62">
        <v>500</v>
      </c>
      <c r="AW153" s="47" t="s">
        <v>107</v>
      </c>
      <c r="AX153" s="64">
        <v>44985</v>
      </c>
      <c r="AY153" s="64" t="s">
        <v>5853</v>
      </c>
      <c r="BA153" s="64"/>
      <c r="BB153" s="64"/>
      <c r="BC153" s="64"/>
      <c r="BD153" s="46"/>
      <c r="BE153" s="46" t="e">
        <v>#REF!</v>
      </c>
      <c r="BF153" s="46" t="s">
        <v>75</v>
      </c>
      <c r="BG153" s="65">
        <v>1</v>
      </c>
      <c r="BH153" s="66" t="s">
        <v>5854</v>
      </c>
      <c r="BI153" s="63" t="s">
        <v>5855</v>
      </c>
    </row>
    <row r="154" spans="1:61" ht="114.75" x14ac:dyDescent="0.2">
      <c r="A154" s="45" t="s">
        <v>5856</v>
      </c>
      <c r="B154" s="46"/>
      <c r="C154" s="46" t="s">
        <v>5857</v>
      </c>
      <c r="D154" s="46" t="s">
        <v>5858</v>
      </c>
      <c r="E154" s="46" t="s">
        <v>68</v>
      </c>
      <c r="F154" s="46" t="s">
        <v>68</v>
      </c>
      <c r="G154" s="46" t="s">
        <v>68</v>
      </c>
      <c r="H154" s="46" t="s">
        <v>68</v>
      </c>
      <c r="I154" s="46" t="s">
        <v>68</v>
      </c>
      <c r="J154" s="46" t="s">
        <v>2996</v>
      </c>
      <c r="K154" s="47">
        <v>200</v>
      </c>
      <c r="L154" s="47">
        <v>50</v>
      </c>
      <c r="M154" s="47">
        <v>250</v>
      </c>
      <c r="N154" s="46"/>
      <c r="O154" s="71" t="s">
        <v>68</v>
      </c>
      <c r="P154" s="64"/>
      <c r="Q154" s="46" t="s">
        <v>5504</v>
      </c>
      <c r="R154" s="46" t="s">
        <v>5507</v>
      </c>
      <c r="S154" s="49">
        <v>62.5</v>
      </c>
      <c r="T154" s="49">
        <v>312.5</v>
      </c>
      <c r="U154" s="67">
        <v>0.44400000000000001</v>
      </c>
      <c r="V154" s="67">
        <v>0.54</v>
      </c>
      <c r="W154" s="51">
        <v>0.25</v>
      </c>
      <c r="X154" s="52">
        <v>31.25</v>
      </c>
      <c r="Y154" s="52">
        <v>30</v>
      </c>
      <c r="Z154" s="52">
        <v>112.5</v>
      </c>
      <c r="AA154" s="52">
        <v>173.75</v>
      </c>
      <c r="AB154" s="53">
        <v>0.55600000000000005</v>
      </c>
      <c r="AC154" s="72">
        <v>138.75</v>
      </c>
      <c r="AD154" s="55">
        <v>0.44400000000000001</v>
      </c>
      <c r="AE154" s="73">
        <v>3</v>
      </c>
      <c r="AF154" s="57" t="s">
        <v>95</v>
      </c>
      <c r="AG154" s="58">
        <v>200</v>
      </c>
      <c r="AH154" s="58">
        <v>50</v>
      </c>
      <c r="AI154" s="58">
        <v>250</v>
      </c>
      <c r="AJ154" s="49">
        <v>62.5</v>
      </c>
      <c r="AK154" s="49">
        <v>312.5</v>
      </c>
      <c r="AL154" s="52">
        <v>31.25</v>
      </c>
      <c r="AM154" s="52">
        <v>112.5</v>
      </c>
      <c r="AN154" s="52">
        <v>143.75</v>
      </c>
      <c r="AO154" s="59">
        <v>0.46</v>
      </c>
      <c r="AP154" s="60">
        <v>168.75</v>
      </c>
      <c r="AQ154" s="61">
        <v>0.54</v>
      </c>
      <c r="AR154" s="60" t="s">
        <v>78</v>
      </c>
      <c r="AS154" s="62">
        <v>320</v>
      </c>
      <c r="AT154" s="62">
        <v>80</v>
      </c>
      <c r="AU154" s="62">
        <v>400</v>
      </c>
      <c r="AV154" s="62">
        <v>500</v>
      </c>
      <c r="AW154" s="47" t="s">
        <v>107</v>
      </c>
      <c r="AX154" s="76">
        <v>44985</v>
      </c>
      <c r="AY154" s="64" t="s">
        <v>5859</v>
      </c>
      <c r="BA154" s="64"/>
      <c r="BB154" s="64"/>
      <c r="BC154" s="64"/>
      <c r="BD154" s="70" t="s">
        <v>5860</v>
      </c>
      <c r="BE154" s="46" t="e">
        <v>#REF!</v>
      </c>
      <c r="BF154" s="46" t="s">
        <v>75</v>
      </c>
      <c r="BG154" s="65">
        <v>1</v>
      </c>
      <c r="BH154" s="66" t="s">
        <v>5861</v>
      </c>
      <c r="BI154" s="63" t="s">
        <v>5862</v>
      </c>
    </row>
    <row r="155" spans="1:61" ht="51" x14ac:dyDescent="0.2">
      <c r="A155" s="45" t="s">
        <v>5863</v>
      </c>
      <c r="B155" s="46"/>
      <c r="C155" s="46" t="s">
        <v>5864</v>
      </c>
      <c r="D155" s="46" t="s">
        <v>68</v>
      </c>
      <c r="E155" s="46" t="s">
        <v>68</v>
      </c>
      <c r="F155" s="46" t="s">
        <v>68</v>
      </c>
      <c r="G155" s="46" t="s">
        <v>68</v>
      </c>
      <c r="H155" s="46" t="s">
        <v>68</v>
      </c>
      <c r="I155" s="46" t="s">
        <v>68</v>
      </c>
      <c r="J155" s="46" t="s">
        <v>3855</v>
      </c>
      <c r="K155" s="47">
        <v>26</v>
      </c>
      <c r="L155" s="47">
        <v>10</v>
      </c>
      <c r="M155" s="47">
        <v>36</v>
      </c>
      <c r="N155" s="46"/>
      <c r="O155" s="71" t="s">
        <v>68</v>
      </c>
      <c r="P155" s="64"/>
      <c r="Q155" s="46" t="s">
        <v>5504</v>
      </c>
      <c r="R155" s="46" t="s">
        <v>5507</v>
      </c>
      <c r="S155" s="49">
        <v>9</v>
      </c>
      <c r="T155" s="49">
        <v>45</v>
      </c>
      <c r="U155" s="67">
        <v>0.3611111111111111</v>
      </c>
      <c r="V155" s="67">
        <v>0.4777777777777778</v>
      </c>
      <c r="W155" s="51">
        <v>0.38461538461538464</v>
      </c>
      <c r="X155" s="52">
        <v>4.5</v>
      </c>
      <c r="Y155" s="52">
        <v>30</v>
      </c>
      <c r="Z155" s="52">
        <v>19</v>
      </c>
      <c r="AA155" s="52">
        <v>53.5</v>
      </c>
      <c r="AB155" s="53">
        <v>1.1888888888888889</v>
      </c>
      <c r="AC155" s="75">
        <v>16.25</v>
      </c>
      <c r="AD155" s="55">
        <v>0.3611111111111111</v>
      </c>
      <c r="AE155" s="73">
        <v>3</v>
      </c>
      <c r="AF155" s="57" t="s">
        <v>95</v>
      </c>
      <c r="AG155" s="58">
        <v>26</v>
      </c>
      <c r="AH155" s="58">
        <v>10</v>
      </c>
      <c r="AI155" s="58">
        <v>36</v>
      </c>
      <c r="AJ155" s="49">
        <v>9</v>
      </c>
      <c r="AK155" s="49">
        <v>45</v>
      </c>
      <c r="AL155" s="52">
        <v>4.5</v>
      </c>
      <c r="AM155" s="52">
        <v>19</v>
      </c>
      <c r="AN155" s="52">
        <v>23.5</v>
      </c>
      <c r="AO155" s="59">
        <v>0.52222222222222225</v>
      </c>
      <c r="AP155" s="60">
        <v>21.5</v>
      </c>
      <c r="AQ155" s="61">
        <v>0.4777777777777778</v>
      </c>
      <c r="AR155" s="60" t="s">
        <v>78</v>
      </c>
      <c r="AS155" s="62">
        <v>42</v>
      </c>
      <c r="AT155" s="62">
        <v>16</v>
      </c>
      <c r="AU155" s="62">
        <v>58</v>
      </c>
      <c r="AV155" s="62">
        <v>72.5</v>
      </c>
      <c r="AW155" s="47" t="s">
        <v>74</v>
      </c>
      <c r="AX155" s="76">
        <v>45006</v>
      </c>
      <c r="AY155" s="64" t="s">
        <v>5865</v>
      </c>
      <c r="BA155" s="64"/>
      <c r="BB155" s="64"/>
      <c r="BC155" s="64"/>
      <c r="BD155" s="70" t="s">
        <v>5866</v>
      </c>
      <c r="BE155" s="46" t="e">
        <v>#REF!</v>
      </c>
      <c r="BF155" s="46" t="s">
        <v>79</v>
      </c>
      <c r="BG155" s="65">
        <v>0.25</v>
      </c>
      <c r="BH155" s="66" t="s">
        <v>5867</v>
      </c>
      <c r="BI155" s="63" t="s">
        <v>5864</v>
      </c>
    </row>
    <row r="156" spans="1:61" ht="38.25" x14ac:dyDescent="0.2">
      <c r="A156" s="45" t="s">
        <v>5868</v>
      </c>
      <c r="B156" s="46"/>
      <c r="C156" s="46" t="s">
        <v>5869</v>
      </c>
      <c r="D156" s="46"/>
      <c r="E156" s="46" t="s">
        <v>68</v>
      </c>
      <c r="F156" s="46" t="s">
        <v>68</v>
      </c>
      <c r="G156" s="46" t="s">
        <v>68</v>
      </c>
      <c r="H156" s="46"/>
      <c r="I156" s="46" t="s">
        <v>68</v>
      </c>
      <c r="J156" s="46" t="s">
        <v>3855</v>
      </c>
      <c r="K156" s="47">
        <v>20</v>
      </c>
      <c r="L156" s="47">
        <v>80</v>
      </c>
      <c r="M156" s="47">
        <v>100</v>
      </c>
      <c r="N156" s="46"/>
      <c r="O156" s="71" t="s">
        <v>68</v>
      </c>
      <c r="P156" s="64"/>
      <c r="Q156" s="46" t="s">
        <v>5504</v>
      </c>
      <c r="R156" s="46" t="s">
        <v>5507</v>
      </c>
      <c r="S156" s="49">
        <v>25</v>
      </c>
      <c r="T156" s="49">
        <v>125</v>
      </c>
      <c r="U156" s="50">
        <v>0.1</v>
      </c>
      <c r="V156" s="50">
        <v>0.06</v>
      </c>
      <c r="W156" s="77">
        <v>4</v>
      </c>
      <c r="X156" s="52">
        <v>12.5</v>
      </c>
      <c r="Y156" s="52">
        <v>30</v>
      </c>
      <c r="Z156" s="52">
        <v>105</v>
      </c>
      <c r="AA156" s="52">
        <v>147.5</v>
      </c>
      <c r="AB156" s="53">
        <v>1.18</v>
      </c>
      <c r="AC156" s="75">
        <v>12.5</v>
      </c>
      <c r="AD156" s="55">
        <v>0.1</v>
      </c>
      <c r="AE156" s="73">
        <v>3</v>
      </c>
      <c r="AF156" s="57" t="s">
        <v>95</v>
      </c>
      <c r="AG156" s="58">
        <v>20</v>
      </c>
      <c r="AH156" s="58">
        <v>80</v>
      </c>
      <c r="AI156" s="58">
        <v>100</v>
      </c>
      <c r="AJ156" s="49">
        <v>25</v>
      </c>
      <c r="AK156" s="49">
        <v>125</v>
      </c>
      <c r="AL156" s="52">
        <v>12.5</v>
      </c>
      <c r="AM156" s="52">
        <v>105</v>
      </c>
      <c r="AN156" s="52">
        <v>117.5</v>
      </c>
      <c r="AO156" s="59">
        <v>0.94</v>
      </c>
      <c r="AP156" s="60">
        <v>7.5</v>
      </c>
      <c r="AQ156" s="61">
        <v>0.06</v>
      </c>
      <c r="AR156" s="60" t="s">
        <v>73</v>
      </c>
      <c r="AS156" s="62">
        <v>32</v>
      </c>
      <c r="AT156" s="62">
        <v>128</v>
      </c>
      <c r="AU156" s="62">
        <v>160</v>
      </c>
      <c r="AV156" s="62">
        <v>200</v>
      </c>
      <c r="AW156" s="47" t="s">
        <v>107</v>
      </c>
      <c r="AX156" s="64">
        <v>45309</v>
      </c>
      <c r="AY156" s="64" t="s">
        <v>5870</v>
      </c>
      <c r="BA156" s="64"/>
      <c r="BB156" s="64"/>
      <c r="BC156" s="64"/>
      <c r="BD156" s="46"/>
      <c r="BE156" s="46" t="e">
        <v>#REF!</v>
      </c>
      <c r="BF156" s="46" t="s">
        <v>75</v>
      </c>
      <c r="BG156" s="65">
        <v>0.25</v>
      </c>
      <c r="BH156" s="66" t="s">
        <v>5871</v>
      </c>
      <c r="BI156" s="63" t="s">
        <v>5869</v>
      </c>
    </row>
    <row r="157" spans="1:61" ht="191.25" x14ac:dyDescent="0.2">
      <c r="A157" s="45" t="s">
        <v>5872</v>
      </c>
      <c r="B157" s="46"/>
      <c r="C157" s="46" t="s">
        <v>5873</v>
      </c>
      <c r="D157" s="46" t="s">
        <v>727</v>
      </c>
      <c r="E157" s="46" t="s">
        <v>454</v>
      </c>
      <c r="F157" s="46"/>
      <c r="G157" s="46"/>
      <c r="H157" s="46"/>
      <c r="I157" s="46" t="s">
        <v>5874</v>
      </c>
      <c r="J157" s="46" t="s">
        <v>2996</v>
      </c>
      <c r="K157" s="47">
        <v>60</v>
      </c>
      <c r="L157" s="47">
        <f>ROUND((21*1.1)+10,0)</f>
        <v>33</v>
      </c>
      <c r="M157" s="47">
        <v>93</v>
      </c>
      <c r="N157" s="46"/>
      <c r="O157" s="71" t="s">
        <v>68</v>
      </c>
      <c r="P157" s="64"/>
      <c r="Q157" s="46" t="s">
        <v>5504</v>
      </c>
      <c r="R157" s="46" t="s">
        <v>5507</v>
      </c>
      <c r="S157" s="49">
        <v>23.25</v>
      </c>
      <c r="T157" s="49">
        <v>116.25</v>
      </c>
      <c r="U157" s="50">
        <v>0.15806451612903225</v>
      </c>
      <c r="V157" s="67">
        <v>0.41612903225806452</v>
      </c>
      <c r="W157" s="51">
        <v>0.55000000000000004</v>
      </c>
      <c r="X157" s="52">
        <v>11.625</v>
      </c>
      <c r="Y157" s="52">
        <v>30</v>
      </c>
      <c r="Z157" s="52">
        <v>56.25</v>
      </c>
      <c r="AA157" s="52">
        <v>97.875</v>
      </c>
      <c r="AB157" s="53">
        <v>0.84193548387096773</v>
      </c>
      <c r="AC157" s="75">
        <v>18.375</v>
      </c>
      <c r="AD157" s="55">
        <v>0.15806451612903225</v>
      </c>
      <c r="AE157" s="73">
        <v>3</v>
      </c>
      <c r="AF157" s="57" t="s">
        <v>95</v>
      </c>
      <c r="AG157" s="58">
        <v>60</v>
      </c>
      <c r="AH157" s="58">
        <v>33</v>
      </c>
      <c r="AI157" s="58">
        <v>93</v>
      </c>
      <c r="AJ157" s="49">
        <v>23.25</v>
      </c>
      <c r="AK157" s="49">
        <v>116.25</v>
      </c>
      <c r="AL157" s="52">
        <v>11.625</v>
      </c>
      <c r="AM157" s="52">
        <v>56.25</v>
      </c>
      <c r="AN157" s="52">
        <v>67.875</v>
      </c>
      <c r="AO157" s="59">
        <v>0.58387096774193548</v>
      </c>
      <c r="AP157" s="60">
        <v>48.375</v>
      </c>
      <c r="AQ157" s="61">
        <v>0.41612903225806452</v>
      </c>
      <c r="AR157" s="60" t="s">
        <v>78</v>
      </c>
      <c r="AS157" s="62">
        <v>96</v>
      </c>
      <c r="AT157" s="62">
        <v>53</v>
      </c>
      <c r="AU157" s="62">
        <v>149</v>
      </c>
      <c r="AV157" s="62">
        <v>186.25</v>
      </c>
      <c r="AW157" s="47" t="s">
        <v>74</v>
      </c>
      <c r="AX157" s="64">
        <v>45386</v>
      </c>
      <c r="AY157" s="64" t="s">
        <v>5875</v>
      </c>
      <c r="BA157" s="64"/>
      <c r="BB157" s="64"/>
      <c r="BC157" s="64"/>
      <c r="BD157" s="70" t="s">
        <v>5876</v>
      </c>
      <c r="BE157" s="46" t="e">
        <v>#REF!</v>
      </c>
      <c r="BF157" s="46" t="s">
        <v>75</v>
      </c>
      <c r="BG157" s="65">
        <v>2</v>
      </c>
      <c r="BH157" s="66"/>
      <c r="BI157" s="63" t="s">
        <v>5877</v>
      </c>
    </row>
    <row r="158" spans="1:61" ht="191.25" x14ac:dyDescent="0.2">
      <c r="A158" s="45" t="s">
        <v>5878</v>
      </c>
      <c r="B158" s="46"/>
      <c r="C158" s="46" t="s">
        <v>5873</v>
      </c>
      <c r="D158" s="46" t="s">
        <v>727</v>
      </c>
      <c r="E158" s="46" t="s">
        <v>445</v>
      </c>
      <c r="F158" s="46"/>
      <c r="G158" s="46"/>
      <c r="H158" s="46"/>
      <c r="I158" s="46" t="s">
        <v>5874</v>
      </c>
      <c r="J158" s="46" t="s">
        <v>2996</v>
      </c>
      <c r="K158" s="47">
        <v>60</v>
      </c>
      <c r="L158" s="47">
        <f>ROUND((43*1.1)+10,0)</f>
        <v>57</v>
      </c>
      <c r="M158" s="47">
        <v>117</v>
      </c>
      <c r="N158" s="46"/>
      <c r="O158" s="71" t="s">
        <v>68</v>
      </c>
      <c r="P158" s="64"/>
      <c r="Q158" s="46" t="s">
        <v>5504</v>
      </c>
      <c r="R158" s="46" t="s">
        <v>5507</v>
      </c>
      <c r="S158" s="49">
        <v>29.25</v>
      </c>
      <c r="T158" s="49">
        <v>146.25</v>
      </c>
      <c r="U158" s="50">
        <v>0.10512820512820513</v>
      </c>
      <c r="V158" s="67">
        <v>0.31025641025641026</v>
      </c>
      <c r="W158" s="51">
        <v>0.95</v>
      </c>
      <c r="X158" s="52">
        <v>14.625</v>
      </c>
      <c r="Y158" s="52">
        <v>30</v>
      </c>
      <c r="Z158" s="52">
        <v>86.25</v>
      </c>
      <c r="AA158" s="52">
        <v>130.875</v>
      </c>
      <c r="AB158" s="53">
        <v>0.89487179487179491</v>
      </c>
      <c r="AC158" s="75">
        <v>15.375</v>
      </c>
      <c r="AD158" s="55">
        <v>0.10512820512820513</v>
      </c>
      <c r="AE158" s="73">
        <v>3</v>
      </c>
      <c r="AF158" s="57" t="s">
        <v>95</v>
      </c>
      <c r="AG158" s="58">
        <v>60</v>
      </c>
      <c r="AH158" s="58">
        <v>57</v>
      </c>
      <c r="AI158" s="58">
        <v>117</v>
      </c>
      <c r="AJ158" s="49">
        <v>29.25</v>
      </c>
      <c r="AK158" s="49">
        <v>146.25</v>
      </c>
      <c r="AL158" s="52">
        <v>14.625</v>
      </c>
      <c r="AM158" s="52">
        <v>86.25</v>
      </c>
      <c r="AN158" s="52">
        <v>100.875</v>
      </c>
      <c r="AO158" s="59">
        <v>0.68974358974358974</v>
      </c>
      <c r="AP158" s="60">
        <v>45.375</v>
      </c>
      <c r="AQ158" s="61">
        <v>0.31025641025641026</v>
      </c>
      <c r="AR158" s="60" t="s">
        <v>78</v>
      </c>
      <c r="AS158" s="62">
        <v>96</v>
      </c>
      <c r="AT158" s="62">
        <v>92</v>
      </c>
      <c r="AU158" s="62">
        <v>188</v>
      </c>
      <c r="AV158" s="62">
        <v>235</v>
      </c>
      <c r="AW158" s="47" t="s">
        <v>74</v>
      </c>
      <c r="AX158" s="64">
        <v>45386</v>
      </c>
      <c r="AY158" s="64" t="s">
        <v>5879</v>
      </c>
      <c r="BA158" s="64"/>
      <c r="BB158" s="64"/>
      <c r="BC158" s="64"/>
      <c r="BD158" s="70" t="s">
        <v>5880</v>
      </c>
      <c r="BE158" s="46" t="e">
        <v>#REF!</v>
      </c>
      <c r="BF158" s="46" t="s">
        <v>75</v>
      </c>
      <c r="BG158" s="65">
        <v>2</v>
      </c>
      <c r="BH158" s="66"/>
      <c r="BI158" s="63" t="s">
        <v>5881</v>
      </c>
    </row>
    <row r="159" spans="1:61" ht="178.5" x14ac:dyDescent="0.2">
      <c r="A159" s="45" t="s">
        <v>5882</v>
      </c>
      <c r="B159" s="46"/>
      <c r="C159" s="46" t="s">
        <v>5873</v>
      </c>
      <c r="D159" s="46" t="s">
        <v>5883</v>
      </c>
      <c r="E159" s="46"/>
      <c r="F159" s="46"/>
      <c r="G159" s="46"/>
      <c r="H159" s="46"/>
      <c r="I159" s="46" t="s">
        <v>5874</v>
      </c>
      <c r="J159" s="46" t="s">
        <v>2996</v>
      </c>
      <c r="K159" s="47">
        <v>60</v>
      </c>
      <c r="L159" s="47">
        <f>ROUND((70*1.1)+10,0)</f>
        <v>87</v>
      </c>
      <c r="M159" s="47">
        <v>147</v>
      </c>
      <c r="N159" s="46"/>
      <c r="O159" s="71" t="s">
        <v>68</v>
      </c>
      <c r="P159" s="64"/>
      <c r="Q159" s="46" t="s">
        <v>5504</v>
      </c>
      <c r="R159" s="46" t="s">
        <v>5507</v>
      </c>
      <c r="S159" s="49">
        <v>36.75</v>
      </c>
      <c r="T159" s="49">
        <v>183.75</v>
      </c>
      <c r="U159" s="50">
        <v>6.3265306122448975E-2</v>
      </c>
      <c r="V159" s="28">
        <v>0.22653061224489796</v>
      </c>
      <c r="W159" s="74">
        <v>1.45</v>
      </c>
      <c r="X159" s="52">
        <v>18.375</v>
      </c>
      <c r="Y159" s="52">
        <v>30</v>
      </c>
      <c r="Z159" s="52">
        <v>123.75</v>
      </c>
      <c r="AA159" s="52">
        <v>172.125</v>
      </c>
      <c r="AB159" s="53">
        <v>0.93673469387755104</v>
      </c>
      <c r="AC159" s="75">
        <v>11.625</v>
      </c>
      <c r="AD159" s="55">
        <v>6.3265306122448975E-2</v>
      </c>
      <c r="AE159" s="73">
        <v>3</v>
      </c>
      <c r="AF159" s="57" t="s">
        <v>95</v>
      </c>
      <c r="AG159" s="58">
        <v>60</v>
      </c>
      <c r="AH159" s="58">
        <v>87</v>
      </c>
      <c r="AI159" s="58">
        <v>147</v>
      </c>
      <c r="AJ159" s="49">
        <v>36.75</v>
      </c>
      <c r="AK159" s="49">
        <v>183.75</v>
      </c>
      <c r="AL159" s="52">
        <v>18.375</v>
      </c>
      <c r="AM159" s="52">
        <v>123.75</v>
      </c>
      <c r="AN159" s="52">
        <v>142.125</v>
      </c>
      <c r="AO159" s="59">
        <v>0.77346938775510199</v>
      </c>
      <c r="AP159" s="60">
        <v>41.625</v>
      </c>
      <c r="AQ159" s="61">
        <v>0.22653061224489796</v>
      </c>
      <c r="AR159" s="60" t="s">
        <v>78</v>
      </c>
      <c r="AS159" s="62">
        <v>96</v>
      </c>
      <c r="AT159" s="62">
        <v>140</v>
      </c>
      <c r="AU159" s="62">
        <v>236</v>
      </c>
      <c r="AV159" s="62">
        <v>295</v>
      </c>
      <c r="AW159" s="47" t="s">
        <v>74</v>
      </c>
      <c r="AX159" s="64">
        <v>45386</v>
      </c>
      <c r="AY159" s="64" t="s">
        <v>5884</v>
      </c>
      <c r="BA159" s="64"/>
      <c r="BB159" s="64"/>
      <c r="BC159" s="64"/>
      <c r="BD159" s="70" t="s">
        <v>5885</v>
      </c>
      <c r="BE159" s="46" t="e">
        <v>#REF!</v>
      </c>
      <c r="BF159" s="46" t="s">
        <v>75</v>
      </c>
      <c r="BG159" s="65">
        <v>2</v>
      </c>
      <c r="BH159" s="66"/>
      <c r="BI159" s="63" t="s">
        <v>5886</v>
      </c>
    </row>
    <row r="160" spans="1:61" ht="178.5" x14ac:dyDescent="0.2">
      <c r="A160" s="45" t="s">
        <v>5887</v>
      </c>
      <c r="B160" s="46"/>
      <c r="C160" s="46" t="s">
        <v>5873</v>
      </c>
      <c r="D160" s="46" t="s">
        <v>5888</v>
      </c>
      <c r="E160" s="46"/>
      <c r="F160" s="46"/>
      <c r="G160" s="46"/>
      <c r="H160" s="46"/>
      <c r="I160" s="46" t="s">
        <v>5874</v>
      </c>
      <c r="J160" s="46" t="s">
        <v>2996</v>
      </c>
      <c r="K160" s="47">
        <v>60</v>
      </c>
      <c r="L160" s="47">
        <f>ROUND((100*1.1)+10,0)</f>
        <v>120</v>
      </c>
      <c r="M160" s="47">
        <v>180</v>
      </c>
      <c r="N160" s="46"/>
      <c r="O160" s="71" t="s">
        <v>68</v>
      </c>
      <c r="P160" s="64"/>
      <c r="Q160" s="46" t="s">
        <v>5504</v>
      </c>
      <c r="R160" s="46" t="s">
        <v>5507</v>
      </c>
      <c r="S160" s="49">
        <v>45</v>
      </c>
      <c r="T160" s="49">
        <v>225</v>
      </c>
      <c r="U160" s="50">
        <v>3.3333333333333333E-2</v>
      </c>
      <c r="V160" s="50">
        <v>0.16666666666666666</v>
      </c>
      <c r="W160" s="77">
        <v>2</v>
      </c>
      <c r="X160" s="52">
        <v>22.5</v>
      </c>
      <c r="Y160" s="52">
        <v>30</v>
      </c>
      <c r="Z160" s="52">
        <v>165</v>
      </c>
      <c r="AA160" s="52">
        <v>217.5</v>
      </c>
      <c r="AB160" s="53">
        <v>0.96666666666666667</v>
      </c>
      <c r="AC160" s="75">
        <v>7.5</v>
      </c>
      <c r="AD160" s="55">
        <v>3.3333333333333333E-2</v>
      </c>
      <c r="AE160" s="73">
        <v>3</v>
      </c>
      <c r="AF160" s="57" t="s">
        <v>95</v>
      </c>
      <c r="AG160" s="58">
        <v>60</v>
      </c>
      <c r="AH160" s="58">
        <v>120</v>
      </c>
      <c r="AI160" s="58">
        <v>180</v>
      </c>
      <c r="AJ160" s="49">
        <v>45</v>
      </c>
      <c r="AK160" s="49">
        <v>225</v>
      </c>
      <c r="AL160" s="52">
        <v>22.5</v>
      </c>
      <c r="AM160" s="52">
        <v>165</v>
      </c>
      <c r="AN160" s="52">
        <v>187.5</v>
      </c>
      <c r="AO160" s="59">
        <v>0.83333333333333337</v>
      </c>
      <c r="AP160" s="60">
        <v>37.5</v>
      </c>
      <c r="AQ160" s="61">
        <v>0.16666666666666666</v>
      </c>
      <c r="AR160" s="60" t="s">
        <v>73</v>
      </c>
      <c r="AS160" s="62">
        <v>96</v>
      </c>
      <c r="AT160" s="62">
        <v>192</v>
      </c>
      <c r="AU160" s="62">
        <v>288</v>
      </c>
      <c r="AV160" s="62">
        <v>360</v>
      </c>
      <c r="AW160" s="47" t="s">
        <v>74</v>
      </c>
      <c r="AX160" s="64">
        <v>45386</v>
      </c>
      <c r="AY160" s="64" t="s">
        <v>5889</v>
      </c>
      <c r="BA160" s="64"/>
      <c r="BB160" s="64"/>
      <c r="BC160" s="64"/>
      <c r="BD160" s="70" t="s">
        <v>5890</v>
      </c>
      <c r="BE160" s="46" t="e">
        <v>#REF!</v>
      </c>
      <c r="BF160" s="46" t="s">
        <v>75</v>
      </c>
      <c r="BG160" s="65">
        <v>2</v>
      </c>
      <c r="BH160" s="66"/>
      <c r="BI160" s="63" t="s">
        <v>5891</v>
      </c>
    </row>
    <row r="161" spans="1:61" ht="25.5" x14ac:dyDescent="0.2">
      <c r="A161" s="34" t="s">
        <v>5892</v>
      </c>
      <c r="B161" s="35"/>
      <c r="C161" s="35"/>
      <c r="D161" s="35"/>
      <c r="E161" s="35"/>
      <c r="F161" s="35"/>
      <c r="G161" s="35"/>
      <c r="H161" s="35"/>
      <c r="I161" s="35"/>
      <c r="J161" s="35"/>
      <c r="K161" s="36"/>
      <c r="L161" s="36"/>
      <c r="M161" s="36" t="s">
        <v>68</v>
      </c>
      <c r="N161" s="35"/>
      <c r="O161" s="35" t="s">
        <v>68</v>
      </c>
      <c r="P161" s="37"/>
      <c r="Q161" s="38" t="s">
        <v>5504</v>
      </c>
      <c r="R161" s="38" t="s">
        <v>5346</v>
      </c>
      <c r="S161" s="36" t="s">
        <v>68</v>
      </c>
      <c r="T161" s="36" t="s">
        <v>68</v>
      </c>
      <c r="U161" s="39" t="s">
        <v>68</v>
      </c>
      <c r="V161" s="39" t="s">
        <v>68</v>
      </c>
      <c r="W161" s="40" t="s">
        <v>68</v>
      </c>
      <c r="X161" s="36" t="s">
        <v>68</v>
      </c>
      <c r="Y161" s="36" t="s">
        <v>68</v>
      </c>
      <c r="Z161" s="36" t="s">
        <v>68</v>
      </c>
      <c r="AA161" s="36" t="s">
        <v>68</v>
      </c>
      <c r="AB161" s="39" t="s">
        <v>68</v>
      </c>
      <c r="AC161" s="36" t="s">
        <v>68</v>
      </c>
      <c r="AD161" s="39" t="s">
        <v>68</v>
      </c>
      <c r="AE161" s="41"/>
      <c r="AF161" s="42" t="s">
        <v>68</v>
      </c>
      <c r="AG161" s="36" t="s">
        <v>68</v>
      </c>
      <c r="AH161" s="36" t="s">
        <v>68</v>
      </c>
      <c r="AI161" s="36" t="s">
        <v>68</v>
      </c>
      <c r="AJ161" s="36" t="s">
        <v>68</v>
      </c>
      <c r="AK161" s="36" t="s">
        <v>68</v>
      </c>
      <c r="AL161" s="36" t="s">
        <v>68</v>
      </c>
      <c r="AM161" s="36" t="s">
        <v>68</v>
      </c>
      <c r="AN161" s="36" t="s">
        <v>68</v>
      </c>
      <c r="AO161" s="43" t="s">
        <v>68</v>
      </c>
      <c r="AP161" s="36" t="s">
        <v>68</v>
      </c>
      <c r="AQ161" s="39" t="s">
        <v>68</v>
      </c>
      <c r="AR161" s="36" t="s">
        <v>68</v>
      </c>
      <c r="AS161" s="36" t="s">
        <v>68</v>
      </c>
      <c r="AT161" s="36" t="s">
        <v>68</v>
      </c>
      <c r="AU161" s="36" t="s">
        <v>68</v>
      </c>
      <c r="AV161" s="36" t="s">
        <v>68</v>
      </c>
      <c r="AW161" s="35"/>
      <c r="AX161" s="37"/>
      <c r="AY161" s="37" t="s">
        <v>68</v>
      </c>
      <c r="BA161" s="37"/>
      <c r="BB161" s="37"/>
      <c r="BC161" s="37"/>
      <c r="BD161" s="35"/>
      <c r="BE161" s="35" t="e">
        <v>#REF!</v>
      </c>
      <c r="BF161" s="35"/>
      <c r="BG161" s="44"/>
      <c r="BH161" s="35"/>
      <c r="BI161" s="35" t="s">
        <v>68</v>
      </c>
    </row>
    <row r="162" spans="1:61" ht="51" x14ac:dyDescent="0.2">
      <c r="A162" s="45" t="s">
        <v>5893</v>
      </c>
      <c r="B162" s="46"/>
      <c r="C162" s="46" t="s">
        <v>5894</v>
      </c>
      <c r="D162" s="46" t="s">
        <v>5895</v>
      </c>
      <c r="E162" s="46"/>
      <c r="F162" s="46"/>
      <c r="G162" s="46"/>
      <c r="H162" s="46"/>
      <c r="I162" s="46"/>
      <c r="J162" s="46" t="s">
        <v>2996</v>
      </c>
      <c r="K162" s="47">
        <v>40</v>
      </c>
      <c r="L162" s="47">
        <v>50</v>
      </c>
      <c r="M162" s="47">
        <v>90</v>
      </c>
      <c r="N162" s="46"/>
      <c r="O162" s="71" t="s">
        <v>68</v>
      </c>
      <c r="P162" s="64"/>
      <c r="Q162" s="46" t="s">
        <v>5504</v>
      </c>
      <c r="R162" s="46" t="s">
        <v>5346</v>
      </c>
      <c r="S162" s="49">
        <v>22.5</v>
      </c>
      <c r="T162" s="49">
        <v>112.5</v>
      </c>
      <c r="U162" s="28">
        <v>0.22222222222222221</v>
      </c>
      <c r="V162" s="28">
        <v>0.25555555555555554</v>
      </c>
      <c r="W162" s="74">
        <v>1.25</v>
      </c>
      <c r="X162" s="52">
        <v>11.25</v>
      </c>
      <c r="Y162" s="52">
        <v>30</v>
      </c>
      <c r="Z162" s="52">
        <v>72.5</v>
      </c>
      <c r="AA162" s="52">
        <v>113.75</v>
      </c>
      <c r="AB162" s="53">
        <v>1.0111111111111111</v>
      </c>
      <c r="AC162" s="75">
        <v>25</v>
      </c>
      <c r="AD162" s="55">
        <v>0.22222222222222221</v>
      </c>
      <c r="AE162" s="73">
        <v>3</v>
      </c>
      <c r="AF162" s="57" t="s">
        <v>95</v>
      </c>
      <c r="AG162" s="58">
        <v>40</v>
      </c>
      <c r="AH162" s="58">
        <v>50</v>
      </c>
      <c r="AI162" s="58">
        <v>90</v>
      </c>
      <c r="AJ162" s="49">
        <v>22.5</v>
      </c>
      <c r="AK162" s="49">
        <v>112.5</v>
      </c>
      <c r="AL162" s="52">
        <v>11.25</v>
      </c>
      <c r="AM162" s="52">
        <v>72.5</v>
      </c>
      <c r="AN162" s="52">
        <v>83.75</v>
      </c>
      <c r="AO162" s="59">
        <v>0.74444444444444446</v>
      </c>
      <c r="AP162" s="60">
        <v>28.75</v>
      </c>
      <c r="AQ162" s="61">
        <v>0.25555555555555554</v>
      </c>
      <c r="AR162" s="60" t="s">
        <v>78</v>
      </c>
      <c r="AS162" s="62">
        <v>64</v>
      </c>
      <c r="AT162" s="62">
        <v>80</v>
      </c>
      <c r="AU162" s="62">
        <v>144</v>
      </c>
      <c r="AV162" s="62">
        <v>180</v>
      </c>
      <c r="AW162" s="47" t="s">
        <v>74</v>
      </c>
      <c r="AX162" s="64">
        <v>45325</v>
      </c>
      <c r="AY162" s="64" t="s">
        <v>5896</v>
      </c>
      <c r="BA162" s="64"/>
      <c r="BB162" s="64"/>
      <c r="BC162" s="64"/>
      <c r="BD162" s="46"/>
      <c r="BE162" s="46" t="e">
        <v>#REF!</v>
      </c>
      <c r="BF162" s="46" t="s">
        <v>5325</v>
      </c>
      <c r="BG162" s="65">
        <v>0.5</v>
      </c>
      <c r="BH162" s="66"/>
      <c r="BI162" s="63" t="s">
        <v>5897</v>
      </c>
    </row>
    <row r="163" spans="1:61" ht="114.75" x14ac:dyDescent="0.2">
      <c r="A163" s="45" t="s">
        <v>5898</v>
      </c>
      <c r="B163" s="46"/>
      <c r="C163" s="46" t="s">
        <v>5894</v>
      </c>
      <c r="D163" s="46" t="s">
        <v>5899</v>
      </c>
      <c r="E163" s="46"/>
      <c r="F163" s="46"/>
      <c r="G163" s="46"/>
      <c r="H163" s="46"/>
      <c r="I163" s="46"/>
      <c r="J163" s="46" t="s">
        <v>2996</v>
      </c>
      <c r="K163" s="47">
        <f>K162+40</f>
        <v>80</v>
      </c>
      <c r="L163" s="47">
        <f>L162+6</f>
        <v>56</v>
      </c>
      <c r="M163" s="47">
        <v>136</v>
      </c>
      <c r="N163" s="46"/>
      <c r="O163" s="71" t="s">
        <v>68</v>
      </c>
      <c r="P163" s="64"/>
      <c r="Q163" s="46" t="s">
        <v>5504</v>
      </c>
      <c r="R163" s="46" t="s">
        <v>5346</v>
      </c>
      <c r="S163" s="49">
        <v>34</v>
      </c>
      <c r="T163" s="49">
        <v>170</v>
      </c>
      <c r="U163" s="50">
        <v>0.19411764705882353</v>
      </c>
      <c r="V163" s="67">
        <v>0.37058823529411766</v>
      </c>
      <c r="W163" s="51">
        <v>0.7</v>
      </c>
      <c r="X163" s="52">
        <v>17</v>
      </c>
      <c r="Y163" s="52">
        <v>30</v>
      </c>
      <c r="Z163" s="52">
        <v>90</v>
      </c>
      <c r="AA163" s="52">
        <v>137</v>
      </c>
      <c r="AB163" s="53">
        <v>0.80588235294117649</v>
      </c>
      <c r="AC163" s="75">
        <v>33</v>
      </c>
      <c r="AD163" s="55">
        <v>0.19411764705882353</v>
      </c>
      <c r="AE163" s="73">
        <v>3</v>
      </c>
      <c r="AF163" s="57" t="s">
        <v>95</v>
      </c>
      <c r="AG163" s="58">
        <v>80</v>
      </c>
      <c r="AH163" s="58">
        <v>56</v>
      </c>
      <c r="AI163" s="58">
        <v>136</v>
      </c>
      <c r="AJ163" s="49">
        <v>34</v>
      </c>
      <c r="AK163" s="49">
        <v>170</v>
      </c>
      <c r="AL163" s="52">
        <v>17</v>
      </c>
      <c r="AM163" s="52">
        <v>90</v>
      </c>
      <c r="AN163" s="52">
        <v>107</v>
      </c>
      <c r="AO163" s="59">
        <v>0.62941176470588234</v>
      </c>
      <c r="AP163" s="60">
        <v>63</v>
      </c>
      <c r="AQ163" s="61">
        <v>0.37058823529411766</v>
      </c>
      <c r="AR163" s="60" t="s">
        <v>78</v>
      </c>
      <c r="AS163" s="62">
        <v>128</v>
      </c>
      <c r="AT163" s="62">
        <v>90</v>
      </c>
      <c r="AU163" s="62">
        <v>218</v>
      </c>
      <c r="AV163" s="62">
        <v>272.5</v>
      </c>
      <c r="AW163" s="47" t="s">
        <v>74</v>
      </c>
      <c r="AX163" s="64">
        <v>45325</v>
      </c>
      <c r="AY163" s="64" t="s">
        <v>5900</v>
      </c>
      <c r="BA163" s="64"/>
      <c r="BB163" s="64"/>
      <c r="BC163" s="64"/>
      <c r="BD163" s="46"/>
      <c r="BE163" s="46" t="e">
        <v>#REF!</v>
      </c>
      <c r="BF163" s="46" t="s">
        <v>5325</v>
      </c>
      <c r="BG163" s="65">
        <v>0.5</v>
      </c>
      <c r="BH163" s="66"/>
      <c r="BI163" s="63" t="s">
        <v>5901</v>
      </c>
    </row>
    <row r="164" spans="1:61" ht="51" x14ac:dyDescent="0.2">
      <c r="A164" s="45" t="s">
        <v>5902</v>
      </c>
      <c r="B164" s="46"/>
      <c r="C164" s="46" t="s">
        <v>5903</v>
      </c>
      <c r="D164" s="46" t="s">
        <v>5895</v>
      </c>
      <c r="E164" s="46"/>
      <c r="F164" s="46"/>
      <c r="G164" s="46"/>
      <c r="H164" s="46"/>
      <c r="I164" s="46"/>
      <c r="J164" s="46" t="s">
        <v>2996</v>
      </c>
      <c r="K164" s="47">
        <v>50</v>
      </c>
      <c r="L164" s="47">
        <v>60</v>
      </c>
      <c r="M164" s="47">
        <v>110</v>
      </c>
      <c r="N164" s="46"/>
      <c r="O164" s="71" t="s">
        <v>68</v>
      </c>
      <c r="P164" s="64"/>
      <c r="Q164" s="46" t="s">
        <v>5504</v>
      </c>
      <c r="R164" s="46" t="s">
        <v>5346</v>
      </c>
      <c r="S164" s="49">
        <v>27.5</v>
      </c>
      <c r="T164" s="49">
        <v>137.5</v>
      </c>
      <c r="U164" s="50">
        <v>4.5454545454545456E-2</v>
      </c>
      <c r="V164" s="28">
        <v>0.26363636363636361</v>
      </c>
      <c r="W164" s="74">
        <v>1.2</v>
      </c>
      <c r="X164" s="52">
        <v>13.75</v>
      </c>
      <c r="Y164" s="52">
        <v>30</v>
      </c>
      <c r="Z164" s="52">
        <v>87.5</v>
      </c>
      <c r="AA164" s="52">
        <v>131.25</v>
      </c>
      <c r="AB164" s="53">
        <v>0.95454545454545459</v>
      </c>
      <c r="AC164" s="75">
        <v>6.25</v>
      </c>
      <c r="AD164" s="55">
        <v>4.5454545454545456E-2</v>
      </c>
      <c r="AE164" s="73">
        <v>3</v>
      </c>
      <c r="AF164" s="57" t="s">
        <v>95</v>
      </c>
      <c r="AG164" s="58">
        <v>50</v>
      </c>
      <c r="AH164" s="58">
        <v>60</v>
      </c>
      <c r="AI164" s="58">
        <v>110</v>
      </c>
      <c r="AJ164" s="49">
        <v>27.5</v>
      </c>
      <c r="AK164" s="49">
        <v>137.5</v>
      </c>
      <c r="AL164" s="52">
        <v>13.75</v>
      </c>
      <c r="AM164" s="52">
        <v>87.5</v>
      </c>
      <c r="AN164" s="52">
        <v>101.25</v>
      </c>
      <c r="AO164" s="59">
        <v>0.73636363636363633</v>
      </c>
      <c r="AP164" s="60">
        <v>36.25</v>
      </c>
      <c r="AQ164" s="61">
        <v>0.26363636363636361</v>
      </c>
      <c r="AR164" s="60" t="s">
        <v>78</v>
      </c>
      <c r="AS164" s="62">
        <v>80</v>
      </c>
      <c r="AT164" s="62">
        <v>96</v>
      </c>
      <c r="AU164" s="62">
        <v>176</v>
      </c>
      <c r="AV164" s="62">
        <v>220</v>
      </c>
      <c r="AW164" s="47" t="s">
        <v>74</v>
      </c>
      <c r="AX164" s="64">
        <v>45325</v>
      </c>
      <c r="AY164" s="64" t="s">
        <v>5904</v>
      </c>
      <c r="BA164" s="64"/>
      <c r="BB164" s="64"/>
      <c r="BC164" s="64"/>
      <c r="BD164" s="46"/>
      <c r="BE164" s="46" t="e">
        <v>#REF!</v>
      </c>
      <c r="BF164" s="46" t="s">
        <v>5325</v>
      </c>
      <c r="BG164" s="65">
        <v>1</v>
      </c>
      <c r="BH164" s="66"/>
      <c r="BI164" s="63" t="s">
        <v>5905</v>
      </c>
    </row>
    <row r="165" spans="1:61" ht="114.75" x14ac:dyDescent="0.2">
      <c r="A165" s="45" t="s">
        <v>5906</v>
      </c>
      <c r="B165" s="46"/>
      <c r="C165" s="46" t="s">
        <v>5903</v>
      </c>
      <c r="D165" s="46" t="s">
        <v>5899</v>
      </c>
      <c r="E165" s="46"/>
      <c r="F165" s="46"/>
      <c r="G165" s="46"/>
      <c r="H165" s="46"/>
      <c r="I165" s="46"/>
      <c r="J165" s="46" t="s">
        <v>2996</v>
      </c>
      <c r="K165" s="47">
        <f>K164+40</f>
        <v>90</v>
      </c>
      <c r="L165" s="47">
        <f>L164+6</f>
        <v>66</v>
      </c>
      <c r="M165" s="47">
        <v>156</v>
      </c>
      <c r="N165" s="46"/>
      <c r="O165" s="71" t="s">
        <v>68</v>
      </c>
      <c r="P165" s="64"/>
      <c r="Q165" s="46" t="s">
        <v>5504</v>
      </c>
      <c r="R165" s="46" t="s">
        <v>5346</v>
      </c>
      <c r="S165" s="49">
        <v>39</v>
      </c>
      <c r="T165" s="49">
        <v>195</v>
      </c>
      <c r="U165" s="28">
        <v>0.2076923076923077</v>
      </c>
      <c r="V165" s="67">
        <v>0.36153846153846153</v>
      </c>
      <c r="W165" s="51">
        <v>0.73333333333333328</v>
      </c>
      <c r="X165" s="52">
        <v>19.5</v>
      </c>
      <c r="Y165" s="52">
        <v>30</v>
      </c>
      <c r="Z165" s="52">
        <v>105</v>
      </c>
      <c r="AA165" s="52">
        <v>154.5</v>
      </c>
      <c r="AB165" s="53">
        <v>0.79230769230769227</v>
      </c>
      <c r="AC165" s="75">
        <v>40.5</v>
      </c>
      <c r="AD165" s="55">
        <v>0.2076923076923077</v>
      </c>
      <c r="AE165" s="73">
        <v>3</v>
      </c>
      <c r="AF165" s="57" t="s">
        <v>95</v>
      </c>
      <c r="AG165" s="58">
        <v>90</v>
      </c>
      <c r="AH165" s="58">
        <v>66</v>
      </c>
      <c r="AI165" s="58">
        <v>156</v>
      </c>
      <c r="AJ165" s="49">
        <v>39</v>
      </c>
      <c r="AK165" s="49">
        <v>195</v>
      </c>
      <c r="AL165" s="52">
        <v>19.5</v>
      </c>
      <c r="AM165" s="52">
        <v>105</v>
      </c>
      <c r="AN165" s="52">
        <v>124.5</v>
      </c>
      <c r="AO165" s="59">
        <v>0.63846153846153841</v>
      </c>
      <c r="AP165" s="60">
        <v>70.5</v>
      </c>
      <c r="AQ165" s="61">
        <v>0.36153846153846153</v>
      </c>
      <c r="AR165" s="60" t="s">
        <v>78</v>
      </c>
      <c r="AS165" s="62">
        <v>144</v>
      </c>
      <c r="AT165" s="62">
        <v>106</v>
      </c>
      <c r="AU165" s="62">
        <v>250</v>
      </c>
      <c r="AV165" s="62">
        <v>312.5</v>
      </c>
      <c r="AW165" s="47" t="s">
        <v>74</v>
      </c>
      <c r="AX165" s="64">
        <v>45325</v>
      </c>
      <c r="AY165" s="64" t="s">
        <v>5907</v>
      </c>
      <c r="BA165" s="64"/>
      <c r="BB165" s="64"/>
      <c r="BC165" s="64"/>
      <c r="BD165" s="46"/>
      <c r="BE165" s="46" t="e">
        <v>#REF!</v>
      </c>
      <c r="BF165" s="46" t="s">
        <v>5325</v>
      </c>
      <c r="BG165" s="65">
        <v>1</v>
      </c>
      <c r="BH165" s="66"/>
      <c r="BI165" s="63" t="s">
        <v>5908</v>
      </c>
    </row>
    <row r="166" spans="1:61" ht="76.5" x14ac:dyDescent="0.2">
      <c r="A166" s="45" t="s">
        <v>5909</v>
      </c>
      <c r="B166" s="46"/>
      <c r="C166" s="46" t="s">
        <v>5910</v>
      </c>
      <c r="D166" s="46" t="s">
        <v>5895</v>
      </c>
      <c r="E166" s="46"/>
      <c r="F166" s="46"/>
      <c r="G166" s="46"/>
      <c r="H166" s="46"/>
      <c r="I166" s="46"/>
      <c r="J166" s="46" t="s">
        <v>2996</v>
      </c>
      <c r="K166" s="47">
        <v>70</v>
      </c>
      <c r="L166" s="47">
        <v>35</v>
      </c>
      <c r="M166" s="47">
        <v>105</v>
      </c>
      <c r="N166" s="46"/>
      <c r="O166" s="71" t="s">
        <v>68</v>
      </c>
      <c r="P166" s="64"/>
      <c r="Q166" s="46" t="s">
        <v>5504</v>
      </c>
      <c r="R166" s="46" t="s">
        <v>5346</v>
      </c>
      <c r="S166" s="49">
        <v>26.25</v>
      </c>
      <c r="T166" s="49">
        <v>131.25</v>
      </c>
      <c r="U166" s="28">
        <v>0.20476190476190476</v>
      </c>
      <c r="V166" s="67">
        <v>0.43333333333333335</v>
      </c>
      <c r="W166" s="51">
        <v>0.5</v>
      </c>
      <c r="X166" s="52">
        <v>13.125</v>
      </c>
      <c r="Y166" s="52">
        <v>30</v>
      </c>
      <c r="Z166" s="52">
        <v>61.25</v>
      </c>
      <c r="AA166" s="52">
        <v>104.375</v>
      </c>
      <c r="AB166" s="53">
        <v>0.79523809523809519</v>
      </c>
      <c r="AC166" s="75">
        <v>26.875</v>
      </c>
      <c r="AD166" s="55">
        <v>0.20476190476190476</v>
      </c>
      <c r="AE166" s="73">
        <v>3</v>
      </c>
      <c r="AF166" s="57" t="s">
        <v>95</v>
      </c>
      <c r="AG166" s="58">
        <v>70</v>
      </c>
      <c r="AH166" s="58">
        <v>35</v>
      </c>
      <c r="AI166" s="58">
        <v>105</v>
      </c>
      <c r="AJ166" s="49">
        <v>26.25</v>
      </c>
      <c r="AK166" s="49">
        <v>131.25</v>
      </c>
      <c r="AL166" s="52">
        <v>13.125</v>
      </c>
      <c r="AM166" s="52">
        <v>61.25</v>
      </c>
      <c r="AN166" s="52">
        <v>74.375</v>
      </c>
      <c r="AO166" s="59">
        <v>0.56666666666666665</v>
      </c>
      <c r="AP166" s="60">
        <v>56.875</v>
      </c>
      <c r="AQ166" s="61">
        <v>0.43333333333333335</v>
      </c>
      <c r="AR166" s="60" t="s">
        <v>78</v>
      </c>
      <c r="AS166" s="62">
        <v>112</v>
      </c>
      <c r="AT166" s="62">
        <v>56</v>
      </c>
      <c r="AU166" s="62">
        <v>168</v>
      </c>
      <c r="AV166" s="62">
        <v>210</v>
      </c>
      <c r="AW166" s="47" t="s">
        <v>74</v>
      </c>
      <c r="AX166" s="64">
        <v>45325</v>
      </c>
      <c r="AY166" s="64" t="s">
        <v>5911</v>
      </c>
      <c r="BA166" s="64"/>
      <c r="BB166" s="64"/>
      <c r="BC166" s="64"/>
      <c r="BD166" s="46"/>
      <c r="BE166" s="46" t="e">
        <v>#REF!</v>
      </c>
      <c r="BF166" s="46" t="s">
        <v>5346</v>
      </c>
      <c r="BG166" s="65">
        <v>1</v>
      </c>
      <c r="BH166" s="66"/>
      <c r="BI166" s="63" t="s">
        <v>5912</v>
      </c>
    </row>
    <row r="167" spans="1:61" ht="140.25" x14ac:dyDescent="0.2">
      <c r="A167" s="45" t="s">
        <v>5913</v>
      </c>
      <c r="B167" s="46"/>
      <c r="C167" s="46" t="s">
        <v>5910</v>
      </c>
      <c r="D167" s="46" t="s">
        <v>5899</v>
      </c>
      <c r="E167" s="46"/>
      <c r="F167" s="46"/>
      <c r="G167" s="46"/>
      <c r="H167" s="46"/>
      <c r="I167" s="46"/>
      <c r="J167" s="46" t="s">
        <v>2996</v>
      </c>
      <c r="K167" s="47">
        <f>K166+40</f>
        <v>110</v>
      </c>
      <c r="L167" s="47">
        <f>L166+6</f>
        <v>41</v>
      </c>
      <c r="M167" s="47">
        <v>151</v>
      </c>
      <c r="N167" s="46"/>
      <c r="O167" s="71" t="s">
        <v>68</v>
      </c>
      <c r="P167" s="64"/>
      <c r="Q167" s="46" t="s">
        <v>5504</v>
      </c>
      <c r="R167" s="46" t="s">
        <v>5346</v>
      </c>
      <c r="S167" s="49">
        <v>37.75</v>
      </c>
      <c r="T167" s="49">
        <v>188.75</v>
      </c>
      <c r="U167" s="67">
        <v>0.32384105960264903</v>
      </c>
      <c r="V167" s="67">
        <v>0.48278145695364238</v>
      </c>
      <c r="W167" s="51">
        <v>0.37272727272727274</v>
      </c>
      <c r="X167" s="52">
        <v>18.875</v>
      </c>
      <c r="Y167" s="52">
        <v>30</v>
      </c>
      <c r="Z167" s="52">
        <v>78.75</v>
      </c>
      <c r="AA167" s="52">
        <v>127.625</v>
      </c>
      <c r="AB167" s="53">
        <v>0.67615894039735103</v>
      </c>
      <c r="AC167" s="75">
        <v>61.125</v>
      </c>
      <c r="AD167" s="55">
        <v>0.32384105960264903</v>
      </c>
      <c r="AE167" s="73">
        <v>3</v>
      </c>
      <c r="AF167" s="57" t="s">
        <v>95</v>
      </c>
      <c r="AG167" s="58">
        <v>110</v>
      </c>
      <c r="AH167" s="58">
        <v>41</v>
      </c>
      <c r="AI167" s="58">
        <v>151</v>
      </c>
      <c r="AJ167" s="49">
        <v>37.75</v>
      </c>
      <c r="AK167" s="49">
        <v>188.75</v>
      </c>
      <c r="AL167" s="52">
        <v>18.875</v>
      </c>
      <c r="AM167" s="52">
        <v>78.75</v>
      </c>
      <c r="AN167" s="52">
        <v>97.625</v>
      </c>
      <c r="AO167" s="59">
        <v>0.51721854304635762</v>
      </c>
      <c r="AP167" s="60">
        <v>91.125</v>
      </c>
      <c r="AQ167" s="61">
        <v>0.48278145695364238</v>
      </c>
      <c r="AR167" s="60" t="s">
        <v>78</v>
      </c>
      <c r="AS167" s="62">
        <v>176</v>
      </c>
      <c r="AT167" s="62">
        <v>66</v>
      </c>
      <c r="AU167" s="62">
        <v>242</v>
      </c>
      <c r="AV167" s="62">
        <v>302.5</v>
      </c>
      <c r="AW167" s="47" t="s">
        <v>74</v>
      </c>
      <c r="AX167" s="64">
        <v>45325</v>
      </c>
      <c r="AY167" s="64" t="s">
        <v>5914</v>
      </c>
      <c r="BA167" s="64"/>
      <c r="BB167" s="64"/>
      <c r="BC167" s="64"/>
      <c r="BD167" s="46"/>
      <c r="BE167" s="46" t="e">
        <v>#REF!</v>
      </c>
      <c r="BF167" s="46" t="s">
        <v>5346</v>
      </c>
      <c r="BG167" s="65">
        <v>1.5</v>
      </c>
      <c r="BH167" s="66"/>
      <c r="BI167" s="63" t="s">
        <v>5915</v>
      </c>
    </row>
    <row r="168" spans="1:61" ht="76.5" x14ac:dyDescent="0.2">
      <c r="A168" s="45" t="s">
        <v>5916</v>
      </c>
      <c r="B168" s="46"/>
      <c r="C168" s="46" t="s">
        <v>5917</v>
      </c>
      <c r="D168" s="46" t="s">
        <v>5895</v>
      </c>
      <c r="E168" s="46"/>
      <c r="F168" s="46"/>
      <c r="G168" s="46"/>
      <c r="H168" s="46"/>
      <c r="I168" s="46"/>
      <c r="J168" s="46" t="s">
        <v>2996</v>
      </c>
      <c r="K168" s="47">
        <v>120</v>
      </c>
      <c r="L168" s="47">
        <v>60</v>
      </c>
      <c r="M168" s="47">
        <v>180</v>
      </c>
      <c r="N168" s="46"/>
      <c r="O168" s="71" t="s">
        <v>68</v>
      </c>
      <c r="P168" s="64"/>
      <c r="Q168" s="46" t="s">
        <v>5504</v>
      </c>
      <c r="R168" s="46" t="s">
        <v>5346</v>
      </c>
      <c r="S168" s="49">
        <v>45</v>
      </c>
      <c r="T168" s="49">
        <v>225</v>
      </c>
      <c r="U168" s="67">
        <v>0.3</v>
      </c>
      <c r="V168" s="67">
        <v>0.43333333333333335</v>
      </c>
      <c r="W168" s="51">
        <v>0.5</v>
      </c>
      <c r="X168" s="52">
        <v>22.5</v>
      </c>
      <c r="Y168" s="52">
        <v>30</v>
      </c>
      <c r="Z168" s="52">
        <v>105</v>
      </c>
      <c r="AA168" s="52">
        <v>157.5</v>
      </c>
      <c r="AB168" s="53">
        <v>0.7</v>
      </c>
      <c r="AC168" s="75">
        <v>67.5</v>
      </c>
      <c r="AD168" s="55">
        <v>0.3</v>
      </c>
      <c r="AE168" s="73">
        <v>3</v>
      </c>
      <c r="AF168" s="57" t="s">
        <v>95</v>
      </c>
      <c r="AG168" s="58">
        <v>120</v>
      </c>
      <c r="AH168" s="58">
        <v>60</v>
      </c>
      <c r="AI168" s="58">
        <v>180</v>
      </c>
      <c r="AJ168" s="49">
        <v>45</v>
      </c>
      <c r="AK168" s="49">
        <v>225</v>
      </c>
      <c r="AL168" s="52">
        <v>22.5</v>
      </c>
      <c r="AM168" s="52">
        <v>105</v>
      </c>
      <c r="AN168" s="52">
        <v>127.5</v>
      </c>
      <c r="AO168" s="59">
        <v>0.56666666666666665</v>
      </c>
      <c r="AP168" s="60">
        <v>97.5</v>
      </c>
      <c r="AQ168" s="61">
        <v>0.43333333333333335</v>
      </c>
      <c r="AR168" s="60" t="s">
        <v>78</v>
      </c>
      <c r="AS168" s="62">
        <v>192</v>
      </c>
      <c r="AT168" s="62">
        <v>96</v>
      </c>
      <c r="AU168" s="62">
        <v>288</v>
      </c>
      <c r="AV168" s="62">
        <v>360</v>
      </c>
      <c r="AW168" s="47" t="s">
        <v>74</v>
      </c>
      <c r="AX168" s="64">
        <v>45325</v>
      </c>
      <c r="AY168" s="64" t="s">
        <v>5918</v>
      </c>
      <c r="BA168" s="64"/>
      <c r="BB168" s="64"/>
      <c r="BC168" s="64"/>
      <c r="BD168" s="70" t="s">
        <v>5919</v>
      </c>
      <c r="BE168" s="46" t="e">
        <v>#REF!</v>
      </c>
      <c r="BF168" s="46" t="s">
        <v>5346</v>
      </c>
      <c r="BG168" s="65">
        <v>2</v>
      </c>
      <c r="BH168" s="66"/>
      <c r="BI168" s="63" t="s">
        <v>5920</v>
      </c>
    </row>
    <row r="169" spans="1:61" ht="140.25" x14ac:dyDescent="0.2">
      <c r="A169" s="45" t="s">
        <v>5921</v>
      </c>
      <c r="B169" s="46"/>
      <c r="C169" s="46" t="s">
        <v>5917</v>
      </c>
      <c r="D169" s="46" t="s">
        <v>5899</v>
      </c>
      <c r="E169" s="46"/>
      <c r="F169" s="46"/>
      <c r="G169" s="46"/>
      <c r="H169" s="46"/>
      <c r="I169" s="46"/>
      <c r="J169" s="46" t="s">
        <v>2996</v>
      </c>
      <c r="K169" s="47">
        <f>K168+40</f>
        <v>160</v>
      </c>
      <c r="L169" s="47">
        <f>L168+6</f>
        <v>66</v>
      </c>
      <c r="M169" s="47">
        <v>226</v>
      </c>
      <c r="N169" s="46"/>
      <c r="O169" s="71" t="s">
        <v>68</v>
      </c>
      <c r="P169" s="64"/>
      <c r="Q169" s="46" t="s">
        <v>5504</v>
      </c>
      <c r="R169" s="46" t="s">
        <v>5346</v>
      </c>
      <c r="S169" s="49">
        <v>56.5</v>
      </c>
      <c r="T169" s="49">
        <v>282.5</v>
      </c>
      <c r="U169" s="67">
        <v>0.36017699115044249</v>
      </c>
      <c r="V169" s="67">
        <v>0.46637168141592922</v>
      </c>
      <c r="W169" s="51">
        <v>0.41249999999999998</v>
      </c>
      <c r="X169" s="52">
        <v>28.25</v>
      </c>
      <c r="Y169" s="52">
        <v>30</v>
      </c>
      <c r="Z169" s="52">
        <v>122.5</v>
      </c>
      <c r="AA169" s="52">
        <v>180.75</v>
      </c>
      <c r="AB169" s="53">
        <v>0.63982300884955756</v>
      </c>
      <c r="AC169" s="54">
        <v>101.75</v>
      </c>
      <c r="AD169" s="55">
        <v>0.36017699115044249</v>
      </c>
      <c r="AE169" s="73">
        <v>3</v>
      </c>
      <c r="AF169" s="57" t="s">
        <v>95</v>
      </c>
      <c r="AG169" s="58">
        <v>160</v>
      </c>
      <c r="AH169" s="58">
        <v>66</v>
      </c>
      <c r="AI169" s="58">
        <v>226</v>
      </c>
      <c r="AJ169" s="49">
        <v>56.5</v>
      </c>
      <c r="AK169" s="49">
        <v>282.5</v>
      </c>
      <c r="AL169" s="52">
        <v>28.25</v>
      </c>
      <c r="AM169" s="52">
        <v>122.5</v>
      </c>
      <c r="AN169" s="52">
        <v>150.75</v>
      </c>
      <c r="AO169" s="59">
        <v>0.53362831858407078</v>
      </c>
      <c r="AP169" s="60">
        <v>131.75</v>
      </c>
      <c r="AQ169" s="61">
        <v>0.46637168141592922</v>
      </c>
      <c r="AR169" s="60" t="s">
        <v>78</v>
      </c>
      <c r="AS169" s="62">
        <v>256</v>
      </c>
      <c r="AT169" s="62">
        <v>106</v>
      </c>
      <c r="AU169" s="62">
        <v>362</v>
      </c>
      <c r="AV169" s="62">
        <v>452.5</v>
      </c>
      <c r="AW169" s="47" t="s">
        <v>74</v>
      </c>
      <c r="AX169" s="64">
        <v>45325</v>
      </c>
      <c r="AY169" s="64" t="s">
        <v>5922</v>
      </c>
      <c r="BA169" s="64"/>
      <c r="BB169" s="64"/>
      <c r="BC169" s="64"/>
      <c r="BD169" s="70" t="s">
        <v>5919</v>
      </c>
      <c r="BE169" s="46" t="e">
        <v>#REF!</v>
      </c>
      <c r="BF169" s="46" t="s">
        <v>5346</v>
      </c>
      <c r="BG169" s="65">
        <v>1.5</v>
      </c>
      <c r="BH169" s="66"/>
      <c r="BI169" s="63" t="s">
        <v>5923</v>
      </c>
    </row>
    <row r="170" spans="1:61" ht="89.25" x14ac:dyDescent="0.2">
      <c r="A170" s="45" t="s">
        <v>5924</v>
      </c>
      <c r="B170" s="46"/>
      <c r="C170" s="46" t="s">
        <v>5925</v>
      </c>
      <c r="D170" s="46" t="s">
        <v>5926</v>
      </c>
      <c r="E170" s="46" t="s">
        <v>5895</v>
      </c>
      <c r="F170" s="46"/>
      <c r="G170" s="46"/>
      <c r="H170" s="46"/>
      <c r="I170" s="46"/>
      <c r="J170" s="46" t="s">
        <v>71</v>
      </c>
      <c r="K170" s="47">
        <v>200</v>
      </c>
      <c r="L170" s="47">
        <v>100</v>
      </c>
      <c r="M170" s="47">
        <v>300</v>
      </c>
      <c r="N170" s="46"/>
      <c r="O170" s="71" t="s">
        <v>68</v>
      </c>
      <c r="P170" s="64"/>
      <c r="Q170" s="46" t="s">
        <v>5504</v>
      </c>
      <c r="R170" s="46" t="s">
        <v>5346</v>
      </c>
      <c r="S170" s="49">
        <v>75</v>
      </c>
      <c r="T170" s="49">
        <v>375</v>
      </c>
      <c r="U170" s="67">
        <v>0.35333333333333333</v>
      </c>
      <c r="V170" s="67">
        <v>0.3</v>
      </c>
      <c r="W170" s="51">
        <v>0.5</v>
      </c>
      <c r="X170" s="52">
        <v>37.5</v>
      </c>
      <c r="Y170" s="52">
        <v>30</v>
      </c>
      <c r="Z170" s="52">
        <v>175</v>
      </c>
      <c r="AA170" s="52">
        <v>242.5</v>
      </c>
      <c r="AB170" s="53">
        <v>0.64666666666666661</v>
      </c>
      <c r="AC170" s="72">
        <v>132.5</v>
      </c>
      <c r="AD170" s="55">
        <v>0.35333333333333333</v>
      </c>
      <c r="AE170" s="56">
        <v>2</v>
      </c>
      <c r="AF170" s="57" t="s">
        <v>72</v>
      </c>
      <c r="AG170" s="58">
        <v>100</v>
      </c>
      <c r="AH170" s="58">
        <v>100</v>
      </c>
      <c r="AI170" s="58">
        <v>200</v>
      </c>
      <c r="AJ170" s="49">
        <v>50</v>
      </c>
      <c r="AK170" s="49">
        <v>250</v>
      </c>
      <c r="AL170" s="52">
        <v>25</v>
      </c>
      <c r="AM170" s="52">
        <v>150</v>
      </c>
      <c r="AN170" s="52">
        <v>175</v>
      </c>
      <c r="AO170" s="59">
        <v>0.7</v>
      </c>
      <c r="AP170" s="60">
        <v>75</v>
      </c>
      <c r="AQ170" s="61">
        <v>0.3</v>
      </c>
      <c r="AR170" s="60" t="s">
        <v>78</v>
      </c>
      <c r="AS170" s="62">
        <v>300</v>
      </c>
      <c r="AT170" s="62">
        <v>150</v>
      </c>
      <c r="AU170" s="62">
        <v>450</v>
      </c>
      <c r="AV170" s="62">
        <v>562.5</v>
      </c>
      <c r="AW170" s="47" t="s">
        <v>74</v>
      </c>
      <c r="AX170" s="64">
        <v>45325</v>
      </c>
      <c r="AY170" s="64" t="s">
        <v>5927</v>
      </c>
      <c r="BA170" s="64"/>
      <c r="BB170" s="64"/>
      <c r="BC170" s="64"/>
      <c r="BD170" s="46"/>
      <c r="BE170" s="46" t="e">
        <v>#REF!</v>
      </c>
      <c r="BF170" s="46" t="s">
        <v>5346</v>
      </c>
      <c r="BG170" s="65">
        <v>0.5</v>
      </c>
      <c r="BH170" s="66"/>
      <c r="BI170" s="63" t="s">
        <v>5928</v>
      </c>
    </row>
    <row r="171" spans="1:61" ht="89.25" x14ac:dyDescent="0.2">
      <c r="A171" s="45" t="s">
        <v>5929</v>
      </c>
      <c r="B171" s="46"/>
      <c r="C171" s="46" t="s">
        <v>5930</v>
      </c>
      <c r="D171" s="46" t="s">
        <v>5931</v>
      </c>
      <c r="E171" s="46" t="s">
        <v>5932</v>
      </c>
      <c r="F171" s="46" t="s">
        <v>5895</v>
      </c>
      <c r="G171" s="46"/>
      <c r="H171" s="46"/>
      <c r="I171" s="46"/>
      <c r="J171" s="46" t="s">
        <v>3855</v>
      </c>
      <c r="K171" s="47">
        <v>70</v>
      </c>
      <c r="L171" s="47">
        <v>20</v>
      </c>
      <c r="M171" s="47">
        <v>90</v>
      </c>
      <c r="N171" s="46"/>
      <c r="O171" s="71" t="s">
        <v>68</v>
      </c>
      <c r="P171" s="64"/>
      <c r="Q171" s="46" t="s">
        <v>5504</v>
      </c>
      <c r="R171" s="46" t="s">
        <v>5346</v>
      </c>
      <c r="S171" s="49">
        <v>22.5</v>
      </c>
      <c r="T171" s="49">
        <v>112.5</v>
      </c>
      <c r="U171" s="28">
        <v>0.25555555555555554</v>
      </c>
      <c r="V171" s="67">
        <v>0.52222222222222225</v>
      </c>
      <c r="W171" s="51">
        <v>0.2857142857142857</v>
      </c>
      <c r="X171" s="52">
        <v>11.25</v>
      </c>
      <c r="Y171" s="52">
        <v>30</v>
      </c>
      <c r="Z171" s="52">
        <v>42.5</v>
      </c>
      <c r="AA171" s="52">
        <v>83.75</v>
      </c>
      <c r="AB171" s="53">
        <v>0.74444444444444446</v>
      </c>
      <c r="AC171" s="75">
        <v>28.75</v>
      </c>
      <c r="AD171" s="55">
        <v>0.25555555555555554</v>
      </c>
      <c r="AE171" s="73">
        <v>3</v>
      </c>
      <c r="AF171" s="57" t="s">
        <v>95</v>
      </c>
      <c r="AG171" s="58">
        <v>70</v>
      </c>
      <c r="AH171" s="58">
        <v>20</v>
      </c>
      <c r="AI171" s="58">
        <v>90</v>
      </c>
      <c r="AJ171" s="49">
        <v>22.5</v>
      </c>
      <c r="AK171" s="49">
        <v>112.5</v>
      </c>
      <c r="AL171" s="52">
        <v>11.25</v>
      </c>
      <c r="AM171" s="52">
        <v>42.5</v>
      </c>
      <c r="AN171" s="52">
        <v>53.75</v>
      </c>
      <c r="AO171" s="59">
        <v>0.4777777777777778</v>
      </c>
      <c r="AP171" s="60">
        <v>58.75</v>
      </c>
      <c r="AQ171" s="61">
        <v>0.52222222222222225</v>
      </c>
      <c r="AR171" s="60" t="s">
        <v>78</v>
      </c>
      <c r="AS171" s="62">
        <v>112</v>
      </c>
      <c r="AT171" s="62">
        <v>32</v>
      </c>
      <c r="AU171" s="62">
        <v>144</v>
      </c>
      <c r="AV171" s="62">
        <v>180</v>
      </c>
      <c r="AW171" s="47" t="s">
        <v>74</v>
      </c>
      <c r="AX171" s="64">
        <v>45325</v>
      </c>
      <c r="AY171" s="64" t="s">
        <v>5933</v>
      </c>
      <c r="BA171" s="64"/>
      <c r="BB171" s="64"/>
      <c r="BC171" s="64"/>
      <c r="BD171" s="46"/>
      <c r="BE171" s="46" t="e">
        <v>#REF!</v>
      </c>
      <c r="BF171" s="46" t="s">
        <v>5346</v>
      </c>
      <c r="BG171" s="65">
        <v>2</v>
      </c>
      <c r="BH171" s="66"/>
      <c r="BI171" s="63" t="s">
        <v>5934</v>
      </c>
    </row>
    <row r="172" spans="1:61" ht="153" x14ac:dyDescent="0.2">
      <c r="A172" s="45" t="s">
        <v>5935</v>
      </c>
      <c r="B172" s="46"/>
      <c r="C172" s="46" t="s">
        <v>5930</v>
      </c>
      <c r="D172" s="46" t="s">
        <v>5931</v>
      </c>
      <c r="E172" s="46" t="s">
        <v>5932</v>
      </c>
      <c r="F172" s="46" t="s">
        <v>5899</v>
      </c>
      <c r="G172" s="46"/>
      <c r="H172" s="46"/>
      <c r="I172" s="46"/>
      <c r="J172" s="46" t="s">
        <v>3855</v>
      </c>
      <c r="K172" s="47">
        <f>K171+20</f>
        <v>90</v>
      </c>
      <c r="L172" s="47">
        <f>L171+3</f>
        <v>23</v>
      </c>
      <c r="M172" s="47">
        <v>113</v>
      </c>
      <c r="N172" s="46"/>
      <c r="O172" s="71" t="s">
        <v>68</v>
      </c>
      <c r="P172" s="64"/>
      <c r="Q172" s="46" t="s">
        <v>5504</v>
      </c>
      <c r="R172" s="46" t="s">
        <v>5346</v>
      </c>
      <c r="S172" s="49">
        <v>28.25</v>
      </c>
      <c r="T172" s="49">
        <v>141.25</v>
      </c>
      <c r="U172" s="67">
        <v>0.32477876106194692</v>
      </c>
      <c r="V172" s="67">
        <v>0.53716814159292037</v>
      </c>
      <c r="W172" s="51">
        <v>0.25555555555555554</v>
      </c>
      <c r="X172" s="52">
        <v>14.125</v>
      </c>
      <c r="Y172" s="52">
        <v>30</v>
      </c>
      <c r="Z172" s="52">
        <v>51.25</v>
      </c>
      <c r="AA172" s="52">
        <v>95.375</v>
      </c>
      <c r="AB172" s="53">
        <v>0.67522123893805308</v>
      </c>
      <c r="AC172" s="75">
        <v>45.875</v>
      </c>
      <c r="AD172" s="55">
        <v>0.32477876106194692</v>
      </c>
      <c r="AE172" s="73">
        <v>3</v>
      </c>
      <c r="AF172" s="57" t="s">
        <v>95</v>
      </c>
      <c r="AG172" s="58">
        <v>90</v>
      </c>
      <c r="AH172" s="58">
        <v>23</v>
      </c>
      <c r="AI172" s="58">
        <v>113</v>
      </c>
      <c r="AJ172" s="49">
        <v>28.25</v>
      </c>
      <c r="AK172" s="49">
        <v>141.25</v>
      </c>
      <c r="AL172" s="52">
        <v>14.125</v>
      </c>
      <c r="AM172" s="52">
        <v>51.25</v>
      </c>
      <c r="AN172" s="52">
        <v>65.375</v>
      </c>
      <c r="AO172" s="59">
        <v>0.46283185840707963</v>
      </c>
      <c r="AP172" s="60">
        <v>75.875</v>
      </c>
      <c r="AQ172" s="61">
        <v>0.53716814159292037</v>
      </c>
      <c r="AR172" s="60" t="s">
        <v>78</v>
      </c>
      <c r="AS172" s="62">
        <v>144</v>
      </c>
      <c r="AT172" s="62">
        <v>37</v>
      </c>
      <c r="AU172" s="62">
        <v>181</v>
      </c>
      <c r="AV172" s="62">
        <v>226.25</v>
      </c>
      <c r="AW172" s="47" t="s">
        <v>74</v>
      </c>
      <c r="AX172" s="64">
        <v>45325</v>
      </c>
      <c r="AY172" s="64" t="s">
        <v>5936</v>
      </c>
      <c r="BA172" s="64"/>
      <c r="BB172" s="64"/>
      <c r="BC172" s="64"/>
      <c r="BD172" s="46"/>
      <c r="BE172" s="46" t="e">
        <v>#REF!</v>
      </c>
      <c r="BF172" s="46" t="s">
        <v>5346</v>
      </c>
      <c r="BG172" s="65">
        <v>2</v>
      </c>
      <c r="BH172" s="66"/>
      <c r="BI172" s="63" t="s">
        <v>5937</v>
      </c>
    </row>
    <row r="173" spans="1:61" ht="102" x14ac:dyDescent="0.2">
      <c r="A173" s="45" t="s">
        <v>5938</v>
      </c>
      <c r="B173" s="46"/>
      <c r="C173" s="46" t="s">
        <v>5930</v>
      </c>
      <c r="D173" s="46" t="s">
        <v>5939</v>
      </c>
      <c r="E173" s="46" t="s">
        <v>5932</v>
      </c>
      <c r="F173" s="46" t="s">
        <v>5895</v>
      </c>
      <c r="G173" s="46"/>
      <c r="H173" s="46"/>
      <c r="I173" s="46"/>
      <c r="J173" s="46" t="s">
        <v>3855</v>
      </c>
      <c r="K173" s="47">
        <v>80</v>
      </c>
      <c r="L173" s="47">
        <v>40</v>
      </c>
      <c r="M173" s="47">
        <v>120</v>
      </c>
      <c r="N173" s="46"/>
      <c r="O173" s="71" t="s">
        <v>68</v>
      </c>
      <c r="P173" s="64"/>
      <c r="Q173" s="46" t="s">
        <v>5504</v>
      </c>
      <c r="R173" s="46" t="s">
        <v>5346</v>
      </c>
      <c r="S173" s="49">
        <v>30</v>
      </c>
      <c r="T173" s="49">
        <v>150</v>
      </c>
      <c r="U173" s="28">
        <v>0.23333333333333334</v>
      </c>
      <c r="V173" s="67">
        <v>0.43333333333333335</v>
      </c>
      <c r="W173" s="51">
        <v>0.5</v>
      </c>
      <c r="X173" s="52">
        <v>15</v>
      </c>
      <c r="Y173" s="52">
        <v>30</v>
      </c>
      <c r="Z173" s="52">
        <v>70</v>
      </c>
      <c r="AA173" s="52">
        <v>115</v>
      </c>
      <c r="AB173" s="53">
        <v>0.76666666666666672</v>
      </c>
      <c r="AC173" s="75">
        <v>35</v>
      </c>
      <c r="AD173" s="55">
        <v>0.23333333333333334</v>
      </c>
      <c r="AE173" s="73">
        <v>3</v>
      </c>
      <c r="AF173" s="57" t="s">
        <v>95</v>
      </c>
      <c r="AG173" s="58">
        <v>80</v>
      </c>
      <c r="AH173" s="58">
        <v>40</v>
      </c>
      <c r="AI173" s="58">
        <v>120</v>
      </c>
      <c r="AJ173" s="49">
        <v>30</v>
      </c>
      <c r="AK173" s="49">
        <v>150</v>
      </c>
      <c r="AL173" s="52">
        <v>15</v>
      </c>
      <c r="AM173" s="52">
        <v>70</v>
      </c>
      <c r="AN173" s="52">
        <v>85</v>
      </c>
      <c r="AO173" s="59">
        <v>0.56666666666666665</v>
      </c>
      <c r="AP173" s="60">
        <v>65</v>
      </c>
      <c r="AQ173" s="61">
        <v>0.43333333333333335</v>
      </c>
      <c r="AR173" s="60" t="s">
        <v>78</v>
      </c>
      <c r="AS173" s="62">
        <v>128</v>
      </c>
      <c r="AT173" s="62">
        <v>64</v>
      </c>
      <c r="AU173" s="62">
        <v>192</v>
      </c>
      <c r="AV173" s="62">
        <v>240</v>
      </c>
      <c r="AW173" s="47" t="s">
        <v>74</v>
      </c>
      <c r="AX173" s="64">
        <v>45325</v>
      </c>
      <c r="AY173" s="64" t="s">
        <v>5940</v>
      </c>
      <c r="BA173" s="64"/>
      <c r="BB173" s="64"/>
      <c r="BC173" s="64"/>
      <c r="BD173" s="46"/>
      <c r="BE173" s="46" t="e">
        <v>#REF!</v>
      </c>
      <c r="BF173" s="46" t="s">
        <v>5346</v>
      </c>
      <c r="BG173" s="65">
        <v>2</v>
      </c>
      <c r="BH173" s="66"/>
      <c r="BI173" s="63" t="s">
        <v>5941</v>
      </c>
    </row>
    <row r="174" spans="1:61" ht="165.75" x14ac:dyDescent="0.2">
      <c r="A174" s="45" t="s">
        <v>5942</v>
      </c>
      <c r="B174" s="46"/>
      <c r="C174" s="46" t="s">
        <v>5930</v>
      </c>
      <c r="D174" s="46" t="s">
        <v>5939</v>
      </c>
      <c r="E174" s="46" t="s">
        <v>5932</v>
      </c>
      <c r="F174" s="46" t="s">
        <v>5899</v>
      </c>
      <c r="G174" s="46"/>
      <c r="H174" s="46"/>
      <c r="I174" s="46"/>
      <c r="J174" s="46" t="s">
        <v>3855</v>
      </c>
      <c r="K174" s="47">
        <f>K173+20</f>
        <v>100</v>
      </c>
      <c r="L174" s="47">
        <f>L173+3</f>
        <v>43</v>
      </c>
      <c r="M174" s="47">
        <v>143</v>
      </c>
      <c r="N174" s="46"/>
      <c r="O174" s="71" t="s">
        <v>68</v>
      </c>
      <c r="P174" s="64"/>
      <c r="Q174" s="46" t="s">
        <v>5504</v>
      </c>
      <c r="R174" s="46" t="s">
        <v>5346</v>
      </c>
      <c r="S174" s="49">
        <v>35.75</v>
      </c>
      <c r="T174" s="49">
        <v>178.75</v>
      </c>
      <c r="U174" s="28">
        <v>0.29160839160839158</v>
      </c>
      <c r="V174" s="67">
        <v>0.45944055944055945</v>
      </c>
      <c r="W174" s="51">
        <v>0.43</v>
      </c>
      <c r="X174" s="52">
        <v>17.875</v>
      </c>
      <c r="Y174" s="52">
        <v>30</v>
      </c>
      <c r="Z174" s="52">
        <v>78.75</v>
      </c>
      <c r="AA174" s="52">
        <v>126.625</v>
      </c>
      <c r="AB174" s="53">
        <v>0.70839160839160842</v>
      </c>
      <c r="AC174" s="75">
        <v>52.125</v>
      </c>
      <c r="AD174" s="55">
        <v>0.29160839160839158</v>
      </c>
      <c r="AE174" s="73">
        <v>3</v>
      </c>
      <c r="AF174" s="57" t="s">
        <v>95</v>
      </c>
      <c r="AG174" s="58">
        <v>100</v>
      </c>
      <c r="AH174" s="58">
        <v>43</v>
      </c>
      <c r="AI174" s="58">
        <v>143</v>
      </c>
      <c r="AJ174" s="49">
        <v>35.75</v>
      </c>
      <c r="AK174" s="49">
        <v>178.75</v>
      </c>
      <c r="AL174" s="52">
        <v>17.875</v>
      </c>
      <c r="AM174" s="52">
        <v>78.75</v>
      </c>
      <c r="AN174" s="52">
        <v>96.625</v>
      </c>
      <c r="AO174" s="59">
        <v>0.54055944055944061</v>
      </c>
      <c r="AP174" s="60">
        <v>82.125</v>
      </c>
      <c r="AQ174" s="61">
        <v>0.45944055944055945</v>
      </c>
      <c r="AR174" s="60" t="s">
        <v>78</v>
      </c>
      <c r="AS174" s="62">
        <v>160</v>
      </c>
      <c r="AT174" s="62">
        <v>69</v>
      </c>
      <c r="AU174" s="62">
        <v>229</v>
      </c>
      <c r="AV174" s="62">
        <v>286.25</v>
      </c>
      <c r="AW174" s="47" t="s">
        <v>74</v>
      </c>
      <c r="AX174" s="64">
        <v>45325</v>
      </c>
      <c r="AY174" s="64" t="s">
        <v>5943</v>
      </c>
      <c r="BA174" s="64"/>
      <c r="BB174" s="64"/>
      <c r="BC174" s="64"/>
      <c r="BD174" s="46"/>
      <c r="BE174" s="46" t="e">
        <v>#REF!</v>
      </c>
      <c r="BF174" s="46" t="s">
        <v>5346</v>
      </c>
      <c r="BG174" s="65">
        <v>2</v>
      </c>
      <c r="BH174" s="66"/>
      <c r="BI174" s="63" t="s">
        <v>5944</v>
      </c>
    </row>
    <row r="175" spans="1:61" ht="102" x14ac:dyDescent="0.2">
      <c r="A175" s="45" t="s">
        <v>5945</v>
      </c>
      <c r="B175" s="46"/>
      <c r="C175" s="46" t="s">
        <v>5930</v>
      </c>
      <c r="D175" s="46" t="s">
        <v>5946</v>
      </c>
      <c r="E175" s="46" t="s">
        <v>5932</v>
      </c>
      <c r="F175" s="46" t="s">
        <v>5895</v>
      </c>
      <c r="G175" s="46"/>
      <c r="H175" s="46"/>
      <c r="I175" s="46"/>
      <c r="J175" s="46" t="s">
        <v>2996</v>
      </c>
      <c r="K175" s="47">
        <f>K168*2</f>
        <v>240</v>
      </c>
      <c r="L175" s="47">
        <f>L168</f>
        <v>60</v>
      </c>
      <c r="M175" s="47">
        <v>300</v>
      </c>
      <c r="N175" s="46"/>
      <c r="O175" s="71" t="s">
        <v>68</v>
      </c>
      <c r="P175" s="64"/>
      <c r="Q175" s="46" t="s">
        <v>5504</v>
      </c>
      <c r="R175" s="46" t="s">
        <v>5346</v>
      </c>
      <c r="S175" s="49">
        <v>75</v>
      </c>
      <c r="T175" s="49">
        <v>375</v>
      </c>
      <c r="U175" s="67">
        <v>0.46</v>
      </c>
      <c r="V175" s="67">
        <v>0.54</v>
      </c>
      <c r="W175" s="51">
        <v>0.25</v>
      </c>
      <c r="X175" s="52">
        <v>37.5</v>
      </c>
      <c r="Y175" s="52">
        <v>30</v>
      </c>
      <c r="Z175" s="52">
        <v>135</v>
      </c>
      <c r="AA175" s="52">
        <v>202.5</v>
      </c>
      <c r="AB175" s="53">
        <v>0.54</v>
      </c>
      <c r="AC175" s="72">
        <v>172.5</v>
      </c>
      <c r="AD175" s="55">
        <v>0.46</v>
      </c>
      <c r="AE175" s="73">
        <v>3</v>
      </c>
      <c r="AF175" s="57" t="s">
        <v>95</v>
      </c>
      <c r="AG175" s="58">
        <v>240</v>
      </c>
      <c r="AH175" s="58">
        <v>60</v>
      </c>
      <c r="AI175" s="58">
        <v>300</v>
      </c>
      <c r="AJ175" s="49">
        <v>75</v>
      </c>
      <c r="AK175" s="49">
        <v>375</v>
      </c>
      <c r="AL175" s="52">
        <v>37.5</v>
      </c>
      <c r="AM175" s="52">
        <v>135</v>
      </c>
      <c r="AN175" s="52">
        <v>172.5</v>
      </c>
      <c r="AO175" s="59">
        <v>0.46</v>
      </c>
      <c r="AP175" s="60">
        <v>202.5</v>
      </c>
      <c r="AQ175" s="61">
        <v>0.54</v>
      </c>
      <c r="AR175" s="60" t="s">
        <v>78</v>
      </c>
      <c r="AS175" s="62">
        <v>384</v>
      </c>
      <c r="AT175" s="62">
        <v>96</v>
      </c>
      <c r="AU175" s="62">
        <v>480</v>
      </c>
      <c r="AV175" s="62">
        <v>600</v>
      </c>
      <c r="AW175" s="47" t="s">
        <v>74</v>
      </c>
      <c r="AX175" s="64">
        <v>45325</v>
      </c>
      <c r="AY175" s="64" t="s">
        <v>5947</v>
      </c>
      <c r="BA175" s="64"/>
      <c r="BB175" s="64"/>
      <c r="BC175" s="64"/>
      <c r="BD175" s="46"/>
      <c r="BE175" s="46" t="e">
        <v>#REF!</v>
      </c>
      <c r="BF175" s="46" t="s">
        <v>5346</v>
      </c>
      <c r="BG175" s="65">
        <v>2</v>
      </c>
      <c r="BH175" s="66"/>
      <c r="BI175" s="63" t="s">
        <v>5948</v>
      </c>
    </row>
    <row r="176" spans="1:61" ht="165.75" x14ac:dyDescent="0.2">
      <c r="A176" s="45" t="s">
        <v>5949</v>
      </c>
      <c r="B176" s="46"/>
      <c r="C176" s="46" t="s">
        <v>5930</v>
      </c>
      <c r="D176" s="46" t="s">
        <v>5946</v>
      </c>
      <c r="E176" s="46" t="s">
        <v>5932</v>
      </c>
      <c r="F176" s="46" t="s">
        <v>5899</v>
      </c>
      <c r="G176" s="46"/>
      <c r="H176" s="46"/>
      <c r="I176" s="46"/>
      <c r="J176" s="46" t="s">
        <v>2996</v>
      </c>
      <c r="K176" s="47">
        <v>100</v>
      </c>
      <c r="L176" s="47">
        <v>86</v>
      </c>
      <c r="M176" s="47">
        <v>186</v>
      </c>
      <c r="N176" s="46"/>
      <c r="O176" s="71" t="s">
        <v>68</v>
      </c>
      <c r="P176" s="64"/>
      <c r="Q176" s="46" t="s">
        <v>5504</v>
      </c>
      <c r="R176" s="46" t="s">
        <v>5346</v>
      </c>
      <c r="S176" s="49">
        <v>46.5</v>
      </c>
      <c r="T176" s="49">
        <v>232.5</v>
      </c>
      <c r="U176" s="28">
        <v>0.20107526881720431</v>
      </c>
      <c r="V176" s="67">
        <v>0.3301075268817204</v>
      </c>
      <c r="W176" s="51">
        <v>0.86</v>
      </c>
      <c r="X176" s="52">
        <v>23.25</v>
      </c>
      <c r="Y176" s="52">
        <v>30</v>
      </c>
      <c r="Z176" s="52">
        <v>132.5</v>
      </c>
      <c r="AA176" s="52">
        <v>185.75</v>
      </c>
      <c r="AB176" s="53">
        <v>0.79892473118279572</v>
      </c>
      <c r="AC176" s="75">
        <v>46.75</v>
      </c>
      <c r="AD176" s="55">
        <v>0.20107526881720431</v>
      </c>
      <c r="AE176" s="73">
        <v>3</v>
      </c>
      <c r="AF176" s="57" t="s">
        <v>95</v>
      </c>
      <c r="AG176" s="58">
        <v>100</v>
      </c>
      <c r="AH176" s="58">
        <v>86</v>
      </c>
      <c r="AI176" s="58">
        <v>186</v>
      </c>
      <c r="AJ176" s="49">
        <v>46.5</v>
      </c>
      <c r="AK176" s="49">
        <v>232.5</v>
      </c>
      <c r="AL176" s="52">
        <v>23.25</v>
      </c>
      <c r="AM176" s="52">
        <v>132.5</v>
      </c>
      <c r="AN176" s="52">
        <v>155.75</v>
      </c>
      <c r="AO176" s="59">
        <v>0.6698924731182796</v>
      </c>
      <c r="AP176" s="60">
        <v>76.75</v>
      </c>
      <c r="AQ176" s="61">
        <v>0.3301075268817204</v>
      </c>
      <c r="AR176" s="60" t="s">
        <v>78</v>
      </c>
      <c r="AS176" s="62">
        <v>160</v>
      </c>
      <c r="AT176" s="62">
        <v>138</v>
      </c>
      <c r="AU176" s="62">
        <v>298</v>
      </c>
      <c r="AV176" s="62">
        <v>372.5</v>
      </c>
      <c r="AW176" s="47" t="s">
        <v>74</v>
      </c>
      <c r="AX176" s="64">
        <v>45325</v>
      </c>
      <c r="AY176" s="64" t="s">
        <v>5950</v>
      </c>
      <c r="BA176" s="64"/>
      <c r="BB176" s="64"/>
      <c r="BC176" s="64"/>
      <c r="BD176" s="46"/>
      <c r="BE176" s="46" t="e">
        <v>#REF!</v>
      </c>
      <c r="BF176" s="46" t="s">
        <v>5346</v>
      </c>
      <c r="BG176" s="65">
        <v>2</v>
      </c>
      <c r="BH176" s="66"/>
      <c r="BI176" s="63" t="s">
        <v>5951</v>
      </c>
    </row>
    <row r="177" spans="1:61" ht="51" x14ac:dyDescent="0.2">
      <c r="A177" s="45" t="s">
        <v>5952</v>
      </c>
      <c r="B177" s="46"/>
      <c r="C177" s="46" t="s">
        <v>5953</v>
      </c>
      <c r="D177" s="46" t="s">
        <v>5895</v>
      </c>
      <c r="E177" s="46"/>
      <c r="F177" s="46"/>
      <c r="G177" s="46"/>
      <c r="H177" s="46"/>
      <c r="I177" s="46"/>
      <c r="J177" s="46" t="s">
        <v>3855</v>
      </c>
      <c r="K177" s="47">
        <v>15</v>
      </c>
      <c r="L177" s="47">
        <v>5</v>
      </c>
      <c r="M177" s="47">
        <v>20</v>
      </c>
      <c r="N177" s="46"/>
      <c r="O177" s="71" t="s">
        <v>68</v>
      </c>
      <c r="P177" s="64"/>
      <c r="Q177" s="46" t="s">
        <v>5504</v>
      </c>
      <c r="R177" s="46" t="s">
        <v>5346</v>
      </c>
      <c r="S177" s="49">
        <v>5</v>
      </c>
      <c r="T177" s="49">
        <v>25</v>
      </c>
      <c r="U177" s="67">
        <v>0.375</v>
      </c>
      <c r="V177" s="67">
        <v>0.5</v>
      </c>
      <c r="W177" s="51">
        <v>0.33333333333333331</v>
      </c>
      <c r="X177" s="52">
        <v>2.5</v>
      </c>
      <c r="Y177" s="52">
        <v>30</v>
      </c>
      <c r="Z177" s="52">
        <v>10</v>
      </c>
      <c r="AA177" s="52">
        <v>42.5</v>
      </c>
      <c r="AB177" s="53">
        <v>1.7</v>
      </c>
      <c r="AC177" s="75">
        <v>9.375</v>
      </c>
      <c r="AD177" s="55">
        <v>0.375</v>
      </c>
      <c r="AE177" s="73">
        <v>3</v>
      </c>
      <c r="AF177" s="57" t="s">
        <v>95</v>
      </c>
      <c r="AG177" s="58">
        <v>15</v>
      </c>
      <c r="AH177" s="58">
        <v>5</v>
      </c>
      <c r="AI177" s="58">
        <v>20</v>
      </c>
      <c r="AJ177" s="49">
        <v>5</v>
      </c>
      <c r="AK177" s="49">
        <v>25</v>
      </c>
      <c r="AL177" s="52">
        <v>2.5</v>
      </c>
      <c r="AM177" s="52">
        <v>10</v>
      </c>
      <c r="AN177" s="52">
        <v>12.5</v>
      </c>
      <c r="AO177" s="59">
        <v>0.5</v>
      </c>
      <c r="AP177" s="60">
        <v>12.5</v>
      </c>
      <c r="AQ177" s="61">
        <v>0.5</v>
      </c>
      <c r="AR177" s="60" t="s">
        <v>78</v>
      </c>
      <c r="AS177" s="62">
        <v>24</v>
      </c>
      <c r="AT177" s="62">
        <v>8</v>
      </c>
      <c r="AU177" s="62">
        <v>32</v>
      </c>
      <c r="AV177" s="62">
        <v>40</v>
      </c>
      <c r="AW177" s="47" t="s">
        <v>74</v>
      </c>
      <c r="AX177" s="64">
        <v>45325</v>
      </c>
      <c r="AY177" s="64" t="s">
        <v>5954</v>
      </c>
      <c r="BA177" s="64"/>
      <c r="BB177" s="64"/>
      <c r="BC177" s="64"/>
      <c r="BD177" s="46"/>
      <c r="BE177" s="46" t="e">
        <v>#REF!</v>
      </c>
      <c r="BF177" s="46" t="s">
        <v>5346</v>
      </c>
      <c r="BG177" s="65">
        <v>0.5</v>
      </c>
      <c r="BH177" s="66"/>
      <c r="BI177" s="63" t="s">
        <v>5955</v>
      </c>
    </row>
    <row r="178" spans="1:61" ht="114.75" x14ac:dyDescent="0.2">
      <c r="A178" s="45" t="s">
        <v>5956</v>
      </c>
      <c r="B178" s="46"/>
      <c r="C178" s="46" t="s">
        <v>5953</v>
      </c>
      <c r="D178" s="46" t="s">
        <v>5899</v>
      </c>
      <c r="E178" s="46"/>
      <c r="F178" s="46"/>
      <c r="G178" s="46"/>
      <c r="H178" s="46"/>
      <c r="I178" s="46"/>
      <c r="J178" s="46" t="s">
        <v>3855</v>
      </c>
      <c r="K178" s="47">
        <f>K177+20</f>
        <v>35</v>
      </c>
      <c r="L178" s="47">
        <f>L177+3</f>
        <v>8</v>
      </c>
      <c r="M178" s="47">
        <v>43</v>
      </c>
      <c r="N178" s="46"/>
      <c r="O178" s="71" t="s">
        <v>68</v>
      </c>
      <c r="P178" s="64"/>
      <c r="Q178" s="46" t="s">
        <v>5504</v>
      </c>
      <c r="R178" s="46" t="s">
        <v>5346</v>
      </c>
      <c r="S178" s="49">
        <v>10.75</v>
      </c>
      <c r="T178" s="49">
        <v>53.75</v>
      </c>
      <c r="U178" s="67">
        <v>0.40697674418604651</v>
      </c>
      <c r="V178" s="67">
        <v>0.55116279069767438</v>
      </c>
      <c r="W178" s="51">
        <v>0.22857142857142856</v>
      </c>
      <c r="X178" s="52">
        <v>5.375</v>
      </c>
      <c r="Y178" s="52">
        <v>30</v>
      </c>
      <c r="Z178" s="52">
        <v>18.75</v>
      </c>
      <c r="AA178" s="52">
        <v>54.125</v>
      </c>
      <c r="AB178" s="53">
        <v>1.0069767441860464</v>
      </c>
      <c r="AC178" s="75">
        <v>21.875</v>
      </c>
      <c r="AD178" s="55">
        <v>0.40697674418604651</v>
      </c>
      <c r="AE178" s="73">
        <v>3</v>
      </c>
      <c r="AF178" s="57" t="s">
        <v>95</v>
      </c>
      <c r="AG178" s="58">
        <v>35</v>
      </c>
      <c r="AH178" s="58">
        <v>8</v>
      </c>
      <c r="AI178" s="58">
        <v>43</v>
      </c>
      <c r="AJ178" s="49">
        <v>10.75</v>
      </c>
      <c r="AK178" s="49">
        <v>53.75</v>
      </c>
      <c r="AL178" s="52">
        <v>5.375</v>
      </c>
      <c r="AM178" s="52">
        <v>18.75</v>
      </c>
      <c r="AN178" s="52">
        <v>24.125</v>
      </c>
      <c r="AO178" s="59">
        <v>0.44883720930232557</v>
      </c>
      <c r="AP178" s="60">
        <v>29.625</v>
      </c>
      <c r="AQ178" s="61">
        <v>0.55116279069767438</v>
      </c>
      <c r="AR178" s="60" t="s">
        <v>78</v>
      </c>
      <c r="AS178" s="62">
        <v>56</v>
      </c>
      <c r="AT178" s="62">
        <v>13</v>
      </c>
      <c r="AU178" s="62">
        <v>69</v>
      </c>
      <c r="AV178" s="62">
        <v>86.25</v>
      </c>
      <c r="AW178" s="47" t="s">
        <v>74</v>
      </c>
      <c r="AX178" s="64">
        <v>45325</v>
      </c>
      <c r="AY178" s="64" t="s">
        <v>5957</v>
      </c>
      <c r="BA178" s="64"/>
      <c r="BB178" s="64"/>
      <c r="BC178" s="64"/>
      <c r="BD178" s="46"/>
      <c r="BE178" s="46" t="e">
        <v>#REF!</v>
      </c>
      <c r="BF178" s="46" t="s">
        <v>5346</v>
      </c>
      <c r="BG178" s="65">
        <v>1</v>
      </c>
      <c r="BH178" s="66"/>
      <c r="BI178" s="63" t="s">
        <v>5958</v>
      </c>
    </row>
    <row r="179" spans="1:61" ht="25.5" x14ac:dyDescent="0.2">
      <c r="A179" s="34" t="s">
        <v>5959</v>
      </c>
      <c r="B179" s="35"/>
      <c r="C179" s="35"/>
      <c r="D179" s="35"/>
      <c r="E179" s="35"/>
      <c r="F179" s="35"/>
      <c r="G179" s="35"/>
      <c r="H179" s="35"/>
      <c r="I179" s="35"/>
      <c r="J179" s="35"/>
      <c r="K179" s="36"/>
      <c r="L179" s="36"/>
      <c r="M179" s="36" t="s">
        <v>68</v>
      </c>
      <c r="N179" s="35"/>
      <c r="O179" s="35" t="s">
        <v>68</v>
      </c>
      <c r="P179" s="37"/>
      <c r="Q179" s="38" t="s">
        <v>5504</v>
      </c>
      <c r="R179" s="38" t="s">
        <v>5960</v>
      </c>
      <c r="S179" s="36" t="s">
        <v>68</v>
      </c>
      <c r="T179" s="36" t="s">
        <v>68</v>
      </c>
      <c r="U179" s="39" t="s">
        <v>68</v>
      </c>
      <c r="V179" s="39" t="s">
        <v>68</v>
      </c>
      <c r="W179" s="40" t="s">
        <v>68</v>
      </c>
      <c r="X179" s="36" t="s">
        <v>68</v>
      </c>
      <c r="Y179" s="36" t="s">
        <v>68</v>
      </c>
      <c r="Z179" s="36" t="s">
        <v>68</v>
      </c>
      <c r="AA179" s="36" t="s">
        <v>68</v>
      </c>
      <c r="AB179" s="39" t="s">
        <v>68</v>
      </c>
      <c r="AC179" s="36" t="s">
        <v>68</v>
      </c>
      <c r="AD179" s="39" t="s">
        <v>68</v>
      </c>
      <c r="AE179" s="41"/>
      <c r="AF179" s="42" t="s">
        <v>68</v>
      </c>
      <c r="AG179" s="36" t="s">
        <v>68</v>
      </c>
      <c r="AH179" s="36" t="s">
        <v>68</v>
      </c>
      <c r="AI179" s="36" t="s">
        <v>68</v>
      </c>
      <c r="AJ179" s="36" t="s">
        <v>68</v>
      </c>
      <c r="AK179" s="36" t="s">
        <v>68</v>
      </c>
      <c r="AL179" s="36" t="s">
        <v>68</v>
      </c>
      <c r="AM179" s="36" t="s">
        <v>68</v>
      </c>
      <c r="AN179" s="36" t="s">
        <v>68</v>
      </c>
      <c r="AO179" s="43" t="s">
        <v>68</v>
      </c>
      <c r="AP179" s="36" t="s">
        <v>68</v>
      </c>
      <c r="AQ179" s="39" t="s">
        <v>68</v>
      </c>
      <c r="AR179" s="36" t="s">
        <v>68</v>
      </c>
      <c r="AS179" s="36" t="s">
        <v>68</v>
      </c>
      <c r="AT179" s="36" t="s">
        <v>68</v>
      </c>
      <c r="AU179" s="36" t="s">
        <v>68</v>
      </c>
      <c r="AV179" s="36" t="s">
        <v>68</v>
      </c>
      <c r="AW179" s="35"/>
      <c r="AX179" s="37"/>
      <c r="AY179" s="37" t="s">
        <v>68</v>
      </c>
      <c r="BA179" s="37"/>
      <c r="BB179" s="37"/>
      <c r="BC179" s="37"/>
      <c r="BD179" s="35"/>
      <c r="BE179" s="35" t="e">
        <v>#REF!</v>
      </c>
      <c r="BF179" s="35"/>
      <c r="BG179" s="44"/>
      <c r="BH179" s="35"/>
      <c r="BI179" s="35" t="s">
        <v>68</v>
      </c>
    </row>
    <row r="180" spans="1:61" ht="51" x14ac:dyDescent="0.2">
      <c r="A180" s="45" t="s">
        <v>5961</v>
      </c>
      <c r="B180" s="46"/>
      <c r="C180" s="46" t="s">
        <v>5962</v>
      </c>
      <c r="D180" s="46" t="s">
        <v>5963</v>
      </c>
      <c r="E180" s="46"/>
      <c r="F180" s="46"/>
      <c r="G180" s="46"/>
      <c r="H180" s="46" t="s">
        <v>5146</v>
      </c>
      <c r="I180" s="46"/>
      <c r="J180" s="46" t="s">
        <v>71</v>
      </c>
      <c r="K180" s="47">
        <f>40*5</f>
        <v>200</v>
      </c>
      <c r="L180" s="47">
        <f>70*5</f>
        <v>350</v>
      </c>
      <c r="M180" s="47">
        <v>550</v>
      </c>
      <c r="N180" s="46"/>
      <c r="O180" s="71" t="s">
        <v>68</v>
      </c>
      <c r="P180" s="64"/>
      <c r="Q180" s="46" t="s">
        <v>5504</v>
      </c>
      <c r="R180" s="46" t="s">
        <v>5960</v>
      </c>
      <c r="S180" s="49">
        <v>137.5</v>
      </c>
      <c r="T180" s="49">
        <v>687.5</v>
      </c>
      <c r="U180" s="50">
        <v>0.14727272727272728</v>
      </c>
      <c r="V180" s="50">
        <v>0.19090909090909092</v>
      </c>
      <c r="W180" s="77">
        <v>1.75</v>
      </c>
      <c r="X180" s="52">
        <v>68.75</v>
      </c>
      <c r="Y180" s="52">
        <v>30</v>
      </c>
      <c r="Z180" s="52">
        <v>487.5</v>
      </c>
      <c r="AA180" s="52">
        <v>586.25</v>
      </c>
      <c r="AB180" s="53">
        <v>0.85272727272727278</v>
      </c>
      <c r="AC180" s="54">
        <v>101.25</v>
      </c>
      <c r="AD180" s="55">
        <v>0.14727272727272728</v>
      </c>
      <c r="AE180" s="73">
        <v>3</v>
      </c>
      <c r="AF180" s="57" t="s">
        <v>95</v>
      </c>
      <c r="AG180" s="58">
        <v>200</v>
      </c>
      <c r="AH180" s="58">
        <v>350</v>
      </c>
      <c r="AI180" s="58">
        <v>550</v>
      </c>
      <c r="AJ180" s="49">
        <v>137.5</v>
      </c>
      <c r="AK180" s="49">
        <v>687.5</v>
      </c>
      <c r="AL180" s="52">
        <v>68.75</v>
      </c>
      <c r="AM180" s="52">
        <v>487.5</v>
      </c>
      <c r="AN180" s="52">
        <v>556.25</v>
      </c>
      <c r="AO180" s="59">
        <v>0.80909090909090908</v>
      </c>
      <c r="AP180" s="60">
        <v>131.25</v>
      </c>
      <c r="AQ180" s="61">
        <v>0.19090909090909092</v>
      </c>
      <c r="AR180" s="60" t="s">
        <v>73</v>
      </c>
      <c r="AS180" s="62">
        <v>320</v>
      </c>
      <c r="AT180" s="62">
        <v>560</v>
      </c>
      <c r="AU180" s="62">
        <v>880</v>
      </c>
      <c r="AV180" s="62">
        <v>1100</v>
      </c>
      <c r="AW180" s="47" t="s">
        <v>74</v>
      </c>
      <c r="AX180" s="64">
        <v>45364</v>
      </c>
      <c r="AY180" s="64" t="s">
        <v>5964</v>
      </c>
      <c r="BA180" s="64"/>
      <c r="BB180" s="64"/>
      <c r="BC180" s="64"/>
      <c r="BD180" s="46"/>
      <c r="BE180" s="46" t="e">
        <v>#REF!</v>
      </c>
      <c r="BF180" s="46" t="s">
        <v>79</v>
      </c>
      <c r="BG180" s="65">
        <v>2</v>
      </c>
      <c r="BH180" s="66"/>
      <c r="BI180" s="63" t="s">
        <v>5965</v>
      </c>
    </row>
    <row r="181" spans="1:61" ht="63.75" x14ac:dyDescent="0.2">
      <c r="A181" s="45" t="s">
        <v>5966</v>
      </c>
      <c r="B181" s="46"/>
      <c r="C181" s="46" t="s">
        <v>5384</v>
      </c>
      <c r="D181" s="46" t="s">
        <v>5963</v>
      </c>
      <c r="E181" s="46"/>
      <c r="F181" s="46"/>
      <c r="G181" s="46"/>
      <c r="H181" s="46" t="s">
        <v>5967</v>
      </c>
      <c r="I181" s="46"/>
      <c r="J181" s="46" t="s">
        <v>71</v>
      </c>
      <c r="K181" s="47">
        <f>40*10</f>
        <v>400</v>
      </c>
      <c r="L181" s="47">
        <f>60*10</f>
        <v>600</v>
      </c>
      <c r="M181" s="47">
        <v>1000</v>
      </c>
      <c r="N181" s="46"/>
      <c r="O181" s="71" t="s">
        <v>68</v>
      </c>
      <c r="P181" s="64"/>
      <c r="Q181" s="46" t="s">
        <v>5504</v>
      </c>
      <c r="R181" s="46" t="s">
        <v>5960</v>
      </c>
      <c r="S181" s="49">
        <v>250</v>
      </c>
      <c r="T181" s="49">
        <v>1250</v>
      </c>
      <c r="U181" s="50">
        <v>0.19600000000000001</v>
      </c>
      <c r="V181" s="28">
        <v>0.22</v>
      </c>
      <c r="W181" s="74">
        <v>1.5</v>
      </c>
      <c r="X181" s="52">
        <v>125</v>
      </c>
      <c r="Y181" s="52">
        <v>30</v>
      </c>
      <c r="Z181" s="52">
        <v>850</v>
      </c>
      <c r="AA181" s="52">
        <v>1005</v>
      </c>
      <c r="AB181" s="53">
        <v>0.80400000000000005</v>
      </c>
      <c r="AC181" s="72">
        <v>245</v>
      </c>
      <c r="AD181" s="55">
        <v>0.19600000000000001</v>
      </c>
      <c r="AE181" s="73">
        <v>3</v>
      </c>
      <c r="AF181" s="57" t="s">
        <v>95</v>
      </c>
      <c r="AG181" s="58">
        <v>400</v>
      </c>
      <c r="AH181" s="58">
        <v>600</v>
      </c>
      <c r="AI181" s="58">
        <v>1000</v>
      </c>
      <c r="AJ181" s="49">
        <v>250</v>
      </c>
      <c r="AK181" s="49">
        <v>1250</v>
      </c>
      <c r="AL181" s="52">
        <v>125</v>
      </c>
      <c r="AM181" s="52">
        <v>850</v>
      </c>
      <c r="AN181" s="52">
        <v>975</v>
      </c>
      <c r="AO181" s="59">
        <v>0.78</v>
      </c>
      <c r="AP181" s="60">
        <v>275</v>
      </c>
      <c r="AQ181" s="61">
        <v>0.22</v>
      </c>
      <c r="AR181" s="60" t="s">
        <v>78</v>
      </c>
      <c r="AS181" s="62">
        <v>640</v>
      </c>
      <c r="AT181" s="62">
        <v>960</v>
      </c>
      <c r="AU181" s="62">
        <v>1600</v>
      </c>
      <c r="AV181" s="62">
        <v>2000</v>
      </c>
      <c r="AW181" s="47" t="s">
        <v>74</v>
      </c>
      <c r="AX181" s="64">
        <v>45364</v>
      </c>
      <c r="AY181" s="64" t="s">
        <v>5968</v>
      </c>
      <c r="BA181" s="64"/>
      <c r="BB181" s="64"/>
      <c r="BC181" s="64"/>
      <c r="BD181" s="46"/>
      <c r="BE181" s="46" t="e">
        <v>#REF!</v>
      </c>
      <c r="BF181" s="46" t="s">
        <v>79</v>
      </c>
      <c r="BG181" s="65">
        <v>4</v>
      </c>
      <c r="BH181" s="66"/>
      <c r="BI181" s="63" t="s">
        <v>5969</v>
      </c>
    </row>
    <row r="182" spans="1:61" ht="63.75" x14ac:dyDescent="0.2">
      <c r="A182" s="45" t="s">
        <v>5970</v>
      </c>
      <c r="B182" s="46"/>
      <c r="C182" s="46" t="s">
        <v>5384</v>
      </c>
      <c r="D182" s="46" t="s">
        <v>5963</v>
      </c>
      <c r="E182" s="46"/>
      <c r="F182" s="46"/>
      <c r="G182" s="46"/>
      <c r="H182" s="46" t="s">
        <v>5971</v>
      </c>
      <c r="I182" s="46"/>
      <c r="J182" s="46" t="s">
        <v>2996</v>
      </c>
      <c r="K182" s="47">
        <v>40</v>
      </c>
      <c r="L182" s="47">
        <v>50</v>
      </c>
      <c r="M182" s="47">
        <v>90</v>
      </c>
      <c r="N182" s="46"/>
      <c r="O182" s="71" t="s">
        <v>68</v>
      </c>
      <c r="P182" s="64"/>
      <c r="Q182" s="46" t="s">
        <v>5504</v>
      </c>
      <c r="R182" s="46" t="s">
        <v>5960</v>
      </c>
      <c r="S182" s="49">
        <v>22.5</v>
      </c>
      <c r="T182" s="49">
        <v>112.5</v>
      </c>
      <c r="U182" s="28">
        <v>0.22222222222222221</v>
      </c>
      <c r="V182" s="28">
        <v>0.25555555555555554</v>
      </c>
      <c r="W182" s="74">
        <v>1.25</v>
      </c>
      <c r="X182" s="52">
        <v>11.25</v>
      </c>
      <c r="Y182" s="52">
        <v>30</v>
      </c>
      <c r="Z182" s="52">
        <v>72.5</v>
      </c>
      <c r="AA182" s="52">
        <v>113.75</v>
      </c>
      <c r="AB182" s="53">
        <v>1.0111111111111111</v>
      </c>
      <c r="AC182" s="75">
        <v>25</v>
      </c>
      <c r="AD182" s="55">
        <v>0.22222222222222221</v>
      </c>
      <c r="AE182" s="73">
        <v>3</v>
      </c>
      <c r="AF182" s="57" t="s">
        <v>95</v>
      </c>
      <c r="AG182" s="58">
        <v>40</v>
      </c>
      <c r="AH182" s="58">
        <v>50</v>
      </c>
      <c r="AI182" s="58">
        <v>90</v>
      </c>
      <c r="AJ182" s="49">
        <v>22.5</v>
      </c>
      <c r="AK182" s="49">
        <v>112.5</v>
      </c>
      <c r="AL182" s="52">
        <v>11.25</v>
      </c>
      <c r="AM182" s="52">
        <v>72.5</v>
      </c>
      <c r="AN182" s="52">
        <v>83.75</v>
      </c>
      <c r="AO182" s="59">
        <v>0.74444444444444446</v>
      </c>
      <c r="AP182" s="60">
        <v>28.75</v>
      </c>
      <c r="AQ182" s="61">
        <v>0.25555555555555554</v>
      </c>
      <c r="AR182" s="60" t="s">
        <v>78</v>
      </c>
      <c r="AS182" s="62">
        <v>64</v>
      </c>
      <c r="AT182" s="62">
        <v>80</v>
      </c>
      <c r="AU182" s="62">
        <v>144</v>
      </c>
      <c r="AV182" s="62">
        <v>180</v>
      </c>
      <c r="AW182" s="47" t="s">
        <v>74</v>
      </c>
      <c r="AX182" s="64">
        <v>45364</v>
      </c>
      <c r="AY182" s="64" t="s">
        <v>5972</v>
      </c>
      <c r="BA182" s="64"/>
      <c r="BB182" s="64"/>
      <c r="BC182" s="64"/>
      <c r="BD182" s="46"/>
      <c r="BE182" s="46" t="e">
        <v>#REF!</v>
      </c>
      <c r="BF182" s="46" t="s">
        <v>79</v>
      </c>
      <c r="BG182" s="65">
        <v>8</v>
      </c>
      <c r="BH182" s="66"/>
      <c r="BI182" s="63" t="s">
        <v>5973</v>
      </c>
    </row>
    <row r="183" spans="1:61" ht="63.75" x14ac:dyDescent="0.2">
      <c r="A183" s="45" t="s">
        <v>5974</v>
      </c>
      <c r="B183" s="46"/>
      <c r="C183" s="46" t="s">
        <v>5384</v>
      </c>
      <c r="D183" s="46" t="s">
        <v>5975</v>
      </c>
      <c r="E183" s="46"/>
      <c r="F183" s="46"/>
      <c r="G183" s="46"/>
      <c r="H183" s="46" t="s">
        <v>5146</v>
      </c>
      <c r="I183" s="46"/>
      <c r="J183" s="46" t="s">
        <v>71</v>
      </c>
      <c r="K183" s="47">
        <f t="shared" ref="K183:L183" si="29">40*5</f>
        <v>200</v>
      </c>
      <c r="L183" s="47">
        <f t="shared" si="29"/>
        <v>200</v>
      </c>
      <c r="M183" s="47">
        <v>400</v>
      </c>
      <c r="N183" s="46"/>
      <c r="O183" s="71" t="s">
        <v>68</v>
      </c>
      <c r="P183" s="64"/>
      <c r="Q183" s="46" t="s">
        <v>5504</v>
      </c>
      <c r="R183" s="46" t="s">
        <v>5960</v>
      </c>
      <c r="S183" s="49">
        <v>100</v>
      </c>
      <c r="T183" s="49">
        <v>500</v>
      </c>
      <c r="U183" s="28">
        <v>0.24</v>
      </c>
      <c r="V183" s="67">
        <v>0.3</v>
      </c>
      <c r="W183" s="51">
        <v>1</v>
      </c>
      <c r="X183" s="52">
        <v>50</v>
      </c>
      <c r="Y183" s="52">
        <v>30</v>
      </c>
      <c r="Z183" s="52">
        <v>300</v>
      </c>
      <c r="AA183" s="52">
        <v>380</v>
      </c>
      <c r="AB183" s="53">
        <v>0.76</v>
      </c>
      <c r="AC183" s="54">
        <v>120</v>
      </c>
      <c r="AD183" s="55">
        <v>0.24</v>
      </c>
      <c r="AE183" s="73">
        <v>3</v>
      </c>
      <c r="AF183" s="57" t="s">
        <v>95</v>
      </c>
      <c r="AG183" s="58">
        <v>200</v>
      </c>
      <c r="AH183" s="58">
        <v>200</v>
      </c>
      <c r="AI183" s="58">
        <v>400</v>
      </c>
      <c r="AJ183" s="49">
        <v>100</v>
      </c>
      <c r="AK183" s="49">
        <v>500</v>
      </c>
      <c r="AL183" s="52">
        <v>50</v>
      </c>
      <c r="AM183" s="52">
        <v>300</v>
      </c>
      <c r="AN183" s="52">
        <v>350</v>
      </c>
      <c r="AO183" s="59">
        <v>0.7</v>
      </c>
      <c r="AP183" s="60">
        <v>150</v>
      </c>
      <c r="AQ183" s="61">
        <v>0.3</v>
      </c>
      <c r="AR183" s="60" t="s">
        <v>78</v>
      </c>
      <c r="AS183" s="62">
        <v>320</v>
      </c>
      <c r="AT183" s="62">
        <v>320</v>
      </c>
      <c r="AU183" s="62">
        <v>640</v>
      </c>
      <c r="AV183" s="62">
        <v>800</v>
      </c>
      <c r="AW183" s="47" t="s">
        <v>74</v>
      </c>
      <c r="AX183" s="64">
        <v>45364</v>
      </c>
      <c r="AY183" s="64" t="s">
        <v>5976</v>
      </c>
      <c r="BA183" s="64"/>
      <c r="BB183" s="64"/>
      <c r="BC183" s="64"/>
      <c r="BD183" s="46"/>
      <c r="BE183" s="46" t="e">
        <v>#REF!</v>
      </c>
      <c r="BF183" s="46" t="s">
        <v>79</v>
      </c>
      <c r="BG183" s="65">
        <v>2</v>
      </c>
      <c r="BH183" s="66"/>
      <c r="BI183" s="63" t="s">
        <v>5977</v>
      </c>
    </row>
    <row r="184" spans="1:61" ht="63.75" x14ac:dyDescent="0.2">
      <c r="A184" s="45" t="s">
        <v>5978</v>
      </c>
      <c r="B184" s="46"/>
      <c r="C184" s="46" t="s">
        <v>5384</v>
      </c>
      <c r="D184" s="46" t="s">
        <v>5975</v>
      </c>
      <c r="E184" s="46"/>
      <c r="F184" s="46"/>
      <c r="G184" s="46"/>
      <c r="H184" s="46" t="s">
        <v>5967</v>
      </c>
      <c r="I184" s="46"/>
      <c r="J184" s="46" t="s">
        <v>71</v>
      </c>
      <c r="K184" s="47">
        <f>40*10</f>
        <v>400</v>
      </c>
      <c r="L184" s="47">
        <f>30*10</f>
        <v>300</v>
      </c>
      <c r="M184" s="47">
        <v>700</v>
      </c>
      <c r="N184" s="46"/>
      <c r="O184" s="71" t="s">
        <v>68</v>
      </c>
      <c r="P184" s="64"/>
      <c r="Q184" s="46" t="s">
        <v>5504</v>
      </c>
      <c r="R184" s="46" t="s">
        <v>5960</v>
      </c>
      <c r="S184" s="49">
        <v>175</v>
      </c>
      <c r="T184" s="49">
        <v>875</v>
      </c>
      <c r="U184" s="67">
        <v>0.32285714285714284</v>
      </c>
      <c r="V184" s="67">
        <v>0.35714285714285715</v>
      </c>
      <c r="W184" s="51">
        <v>0.75</v>
      </c>
      <c r="X184" s="52">
        <v>87.5</v>
      </c>
      <c r="Y184" s="52">
        <v>30</v>
      </c>
      <c r="Z184" s="52">
        <v>475</v>
      </c>
      <c r="AA184" s="52">
        <v>592.5</v>
      </c>
      <c r="AB184" s="53">
        <v>0.67714285714285716</v>
      </c>
      <c r="AC184" s="72">
        <v>282.5</v>
      </c>
      <c r="AD184" s="55">
        <v>0.32285714285714284</v>
      </c>
      <c r="AE184" s="73">
        <v>3</v>
      </c>
      <c r="AF184" s="57" t="s">
        <v>95</v>
      </c>
      <c r="AG184" s="58">
        <v>400</v>
      </c>
      <c r="AH184" s="58">
        <v>300</v>
      </c>
      <c r="AI184" s="58">
        <v>700</v>
      </c>
      <c r="AJ184" s="49">
        <v>175</v>
      </c>
      <c r="AK184" s="49">
        <v>875</v>
      </c>
      <c r="AL184" s="52">
        <v>87.5</v>
      </c>
      <c r="AM184" s="52">
        <v>475</v>
      </c>
      <c r="AN184" s="52">
        <v>562.5</v>
      </c>
      <c r="AO184" s="59">
        <v>0.6428571428571429</v>
      </c>
      <c r="AP184" s="60">
        <v>312.5</v>
      </c>
      <c r="AQ184" s="61">
        <v>0.35714285714285715</v>
      </c>
      <c r="AR184" s="60" t="s">
        <v>78</v>
      </c>
      <c r="AS184" s="62">
        <v>640</v>
      </c>
      <c r="AT184" s="62">
        <v>480</v>
      </c>
      <c r="AU184" s="62">
        <v>1120</v>
      </c>
      <c r="AV184" s="62">
        <v>1400</v>
      </c>
      <c r="AW184" s="47" t="s">
        <v>74</v>
      </c>
      <c r="AX184" s="64">
        <v>45364</v>
      </c>
      <c r="AY184" s="64" t="s">
        <v>5979</v>
      </c>
      <c r="BA184" s="64"/>
      <c r="BB184" s="64"/>
      <c r="BC184" s="64"/>
      <c r="BD184" s="46"/>
      <c r="BE184" s="46" t="e">
        <v>#REF!</v>
      </c>
      <c r="BF184" s="46" t="s">
        <v>79</v>
      </c>
      <c r="BG184" s="65">
        <v>4</v>
      </c>
      <c r="BH184" s="66"/>
      <c r="BI184" s="63" t="s">
        <v>5980</v>
      </c>
    </row>
    <row r="185" spans="1:61" ht="63.75" x14ac:dyDescent="0.2">
      <c r="A185" s="45" t="s">
        <v>5981</v>
      </c>
      <c r="B185" s="46"/>
      <c r="C185" s="46" t="s">
        <v>5384</v>
      </c>
      <c r="D185" s="46" t="s">
        <v>5975</v>
      </c>
      <c r="E185" s="46"/>
      <c r="F185" s="46"/>
      <c r="G185" s="46"/>
      <c r="H185" s="46" t="s">
        <v>5971</v>
      </c>
      <c r="I185" s="46"/>
      <c r="J185" s="46" t="s">
        <v>2996</v>
      </c>
      <c r="K185" s="47">
        <v>40</v>
      </c>
      <c r="L185" s="47">
        <v>20</v>
      </c>
      <c r="M185" s="47">
        <v>60</v>
      </c>
      <c r="N185" s="46"/>
      <c r="O185" s="71" t="s">
        <v>68</v>
      </c>
      <c r="P185" s="64"/>
      <c r="Q185" s="46" t="s">
        <v>5504</v>
      </c>
      <c r="R185" s="46" t="s">
        <v>5960</v>
      </c>
      <c r="S185" s="49">
        <v>15</v>
      </c>
      <c r="T185" s="49">
        <v>75</v>
      </c>
      <c r="U185" s="50">
        <v>3.3333333333333333E-2</v>
      </c>
      <c r="V185" s="67">
        <v>0.43333333333333335</v>
      </c>
      <c r="W185" s="51">
        <v>0.5</v>
      </c>
      <c r="X185" s="52">
        <v>7.5</v>
      </c>
      <c r="Y185" s="52">
        <v>30</v>
      </c>
      <c r="Z185" s="52">
        <v>35</v>
      </c>
      <c r="AA185" s="52">
        <v>72.5</v>
      </c>
      <c r="AB185" s="53">
        <v>0.96666666666666667</v>
      </c>
      <c r="AC185" s="75">
        <v>2.5</v>
      </c>
      <c r="AD185" s="55">
        <v>3.3333333333333333E-2</v>
      </c>
      <c r="AE185" s="73">
        <v>3</v>
      </c>
      <c r="AF185" s="57" t="s">
        <v>95</v>
      </c>
      <c r="AG185" s="58">
        <v>40</v>
      </c>
      <c r="AH185" s="58">
        <v>20</v>
      </c>
      <c r="AI185" s="58">
        <v>60</v>
      </c>
      <c r="AJ185" s="49">
        <v>15</v>
      </c>
      <c r="AK185" s="49">
        <v>75</v>
      </c>
      <c r="AL185" s="52">
        <v>7.5</v>
      </c>
      <c r="AM185" s="52">
        <v>35</v>
      </c>
      <c r="AN185" s="52">
        <v>42.5</v>
      </c>
      <c r="AO185" s="59">
        <v>0.56666666666666665</v>
      </c>
      <c r="AP185" s="60">
        <v>32.5</v>
      </c>
      <c r="AQ185" s="61">
        <v>0.43333333333333335</v>
      </c>
      <c r="AR185" s="60" t="s">
        <v>78</v>
      </c>
      <c r="AS185" s="62">
        <v>64</v>
      </c>
      <c r="AT185" s="62">
        <v>32</v>
      </c>
      <c r="AU185" s="62">
        <v>96</v>
      </c>
      <c r="AV185" s="62">
        <v>120</v>
      </c>
      <c r="AW185" s="47" t="s">
        <v>74</v>
      </c>
      <c r="AX185" s="64">
        <v>45364</v>
      </c>
      <c r="AY185" s="64" t="s">
        <v>5982</v>
      </c>
      <c r="BA185" s="64"/>
      <c r="BB185" s="64"/>
      <c r="BC185" s="64"/>
      <c r="BD185" s="46"/>
      <c r="BE185" s="46" t="e">
        <v>#REF!</v>
      </c>
      <c r="BF185" s="46" t="s">
        <v>79</v>
      </c>
      <c r="BG185" s="65">
        <v>8</v>
      </c>
      <c r="BH185" s="66"/>
      <c r="BI185" s="63" t="s">
        <v>5983</v>
      </c>
    </row>
    <row r="186" spans="1:61" ht="38.25" x14ac:dyDescent="0.2">
      <c r="A186" s="45" t="s">
        <v>5984</v>
      </c>
      <c r="B186" s="82"/>
      <c r="C186" s="82" t="s">
        <v>5985</v>
      </c>
      <c r="D186" s="46" t="s">
        <v>5986</v>
      </c>
      <c r="E186" s="46"/>
      <c r="F186" s="46"/>
      <c r="G186" s="46"/>
      <c r="H186" s="46"/>
      <c r="I186" s="46"/>
      <c r="J186" s="46" t="s">
        <v>2996</v>
      </c>
      <c r="K186" s="47">
        <v>80</v>
      </c>
      <c r="L186" s="47">
        <v>60</v>
      </c>
      <c r="M186" s="47">
        <v>140</v>
      </c>
      <c r="N186" s="46"/>
      <c r="O186" s="71"/>
      <c r="P186" s="64"/>
      <c r="Q186" s="46" t="s">
        <v>5504</v>
      </c>
      <c r="R186" s="46" t="s">
        <v>5960</v>
      </c>
      <c r="S186" s="49">
        <v>35</v>
      </c>
      <c r="T186" s="49">
        <v>175</v>
      </c>
      <c r="U186" s="50">
        <v>0.18571428571428572</v>
      </c>
      <c r="V186" s="67">
        <v>0.35714285714285715</v>
      </c>
      <c r="W186" s="51">
        <v>0.75</v>
      </c>
      <c r="X186" s="52">
        <v>17.5</v>
      </c>
      <c r="Y186" s="52">
        <v>30</v>
      </c>
      <c r="Z186" s="52">
        <v>95</v>
      </c>
      <c r="AA186" s="52">
        <v>142.5</v>
      </c>
      <c r="AB186" s="53">
        <v>0.81428571428571428</v>
      </c>
      <c r="AC186" s="75">
        <v>32.5</v>
      </c>
      <c r="AD186" s="55">
        <v>0.18571428571428572</v>
      </c>
      <c r="AE186" s="73">
        <v>4</v>
      </c>
      <c r="AF186" s="57" t="s">
        <v>95</v>
      </c>
      <c r="AG186" s="58">
        <v>80</v>
      </c>
      <c r="AH186" s="58">
        <v>60</v>
      </c>
      <c r="AI186" s="58">
        <v>140</v>
      </c>
      <c r="AJ186" s="49">
        <v>35</v>
      </c>
      <c r="AK186" s="49">
        <v>175</v>
      </c>
      <c r="AL186" s="52">
        <v>17.5</v>
      </c>
      <c r="AM186" s="52">
        <v>95</v>
      </c>
      <c r="AN186" s="52">
        <v>112.5</v>
      </c>
      <c r="AO186" s="59">
        <v>0.6428571428571429</v>
      </c>
      <c r="AP186" s="60">
        <v>62.5</v>
      </c>
      <c r="AQ186" s="61">
        <v>0.35714285714285715</v>
      </c>
      <c r="AR186" s="60" t="s">
        <v>78</v>
      </c>
      <c r="AS186" s="62">
        <v>136</v>
      </c>
      <c r="AT186" s="62">
        <v>102</v>
      </c>
      <c r="AU186" s="62">
        <v>238</v>
      </c>
      <c r="AV186" s="62">
        <v>297.5</v>
      </c>
      <c r="AW186" s="47" t="s">
        <v>107</v>
      </c>
      <c r="AX186" s="64">
        <v>45512</v>
      </c>
      <c r="AY186" s="64" t="s">
        <v>5987</v>
      </c>
      <c r="BA186" s="64"/>
      <c r="BB186" s="64"/>
      <c r="BC186" s="64"/>
      <c r="BD186" s="46"/>
      <c r="BE186" s="46" t="e">
        <v>#REF!</v>
      </c>
      <c r="BF186" s="46" t="s">
        <v>79</v>
      </c>
      <c r="BG186" s="65">
        <v>2</v>
      </c>
      <c r="BH186" s="66"/>
      <c r="BI186" s="63" t="s">
        <v>5988</v>
      </c>
    </row>
    <row r="187" spans="1:61" ht="38.25" x14ac:dyDescent="0.2">
      <c r="A187" s="45" t="s">
        <v>5989</v>
      </c>
      <c r="B187" s="46"/>
      <c r="C187" s="46" t="s">
        <v>5985</v>
      </c>
      <c r="D187" s="46" t="s">
        <v>5990</v>
      </c>
      <c r="E187" s="46"/>
      <c r="F187" s="46"/>
      <c r="G187" s="46"/>
      <c r="H187" s="46"/>
      <c r="I187" s="46"/>
      <c r="J187" s="46" t="s">
        <v>2996</v>
      </c>
      <c r="K187" s="47">
        <v>80</v>
      </c>
      <c r="L187" s="47">
        <v>120</v>
      </c>
      <c r="M187" s="47">
        <v>200</v>
      </c>
      <c r="N187" s="46"/>
      <c r="O187" s="71"/>
      <c r="P187" s="64"/>
      <c r="Q187" s="46" t="s">
        <v>5504</v>
      </c>
      <c r="R187" s="46" t="s">
        <v>5960</v>
      </c>
      <c r="S187" s="49">
        <v>50</v>
      </c>
      <c r="T187" s="49">
        <v>250</v>
      </c>
      <c r="U187" s="50">
        <v>0.1</v>
      </c>
      <c r="V187" s="28">
        <v>0.22</v>
      </c>
      <c r="W187" s="74">
        <v>1.5</v>
      </c>
      <c r="X187" s="52">
        <v>25</v>
      </c>
      <c r="Y187" s="52">
        <v>30</v>
      </c>
      <c r="Z187" s="52">
        <v>170</v>
      </c>
      <c r="AA187" s="52">
        <v>225</v>
      </c>
      <c r="AB187" s="53">
        <v>0.9</v>
      </c>
      <c r="AC187" s="75">
        <v>25</v>
      </c>
      <c r="AD187" s="55">
        <v>0.1</v>
      </c>
      <c r="AE187" s="73">
        <v>4</v>
      </c>
      <c r="AF187" s="57" t="s">
        <v>95</v>
      </c>
      <c r="AG187" s="58">
        <v>80</v>
      </c>
      <c r="AH187" s="58">
        <v>120</v>
      </c>
      <c r="AI187" s="58">
        <v>200</v>
      </c>
      <c r="AJ187" s="49">
        <v>50</v>
      </c>
      <c r="AK187" s="49">
        <v>250</v>
      </c>
      <c r="AL187" s="52">
        <v>25</v>
      </c>
      <c r="AM187" s="52">
        <v>170</v>
      </c>
      <c r="AN187" s="52">
        <v>195</v>
      </c>
      <c r="AO187" s="59">
        <v>0.78</v>
      </c>
      <c r="AP187" s="60">
        <v>55</v>
      </c>
      <c r="AQ187" s="61">
        <v>0.22</v>
      </c>
      <c r="AR187" s="60" t="s">
        <v>78</v>
      </c>
      <c r="AS187" s="62">
        <v>136</v>
      </c>
      <c r="AT187" s="62">
        <v>204</v>
      </c>
      <c r="AU187" s="62">
        <v>340</v>
      </c>
      <c r="AV187" s="62">
        <v>425</v>
      </c>
      <c r="AW187" s="47" t="s">
        <v>107</v>
      </c>
      <c r="AX187" s="64">
        <v>45512</v>
      </c>
      <c r="AY187" s="64" t="s">
        <v>5991</v>
      </c>
      <c r="BA187" s="64"/>
      <c r="BB187" s="64"/>
      <c r="BC187" s="64"/>
      <c r="BD187" s="46"/>
      <c r="BE187" s="46" t="e">
        <v>#REF!</v>
      </c>
      <c r="BF187" s="46" t="s">
        <v>79</v>
      </c>
      <c r="BG187" s="65">
        <v>2</v>
      </c>
      <c r="BH187" s="66"/>
      <c r="BI187" s="63" t="s">
        <v>5992</v>
      </c>
    </row>
    <row r="188" spans="1:61" ht="25.5" x14ac:dyDescent="0.2">
      <c r="A188" s="34" t="s">
        <v>5993</v>
      </c>
      <c r="B188" s="35"/>
      <c r="C188" s="35"/>
      <c r="D188" s="35"/>
      <c r="E188" s="35"/>
      <c r="F188" s="35"/>
      <c r="G188" s="35"/>
      <c r="H188" s="35"/>
      <c r="I188" s="35"/>
      <c r="J188" s="35"/>
      <c r="K188" s="36"/>
      <c r="L188" s="36"/>
      <c r="M188" s="36" t="s">
        <v>68</v>
      </c>
      <c r="N188" s="35"/>
      <c r="O188" s="35" t="s">
        <v>68</v>
      </c>
      <c r="P188" s="37"/>
      <c r="Q188" s="38" t="s">
        <v>5504</v>
      </c>
      <c r="R188" s="38" t="s">
        <v>5994</v>
      </c>
      <c r="S188" s="36" t="s">
        <v>68</v>
      </c>
      <c r="T188" s="36" t="s">
        <v>68</v>
      </c>
      <c r="U188" s="39" t="s">
        <v>68</v>
      </c>
      <c r="V188" s="39" t="s">
        <v>68</v>
      </c>
      <c r="W188" s="40" t="s">
        <v>68</v>
      </c>
      <c r="X188" s="36" t="s">
        <v>68</v>
      </c>
      <c r="Y188" s="36" t="s">
        <v>68</v>
      </c>
      <c r="Z188" s="36" t="s">
        <v>68</v>
      </c>
      <c r="AA188" s="36" t="s">
        <v>68</v>
      </c>
      <c r="AB188" s="39" t="s">
        <v>68</v>
      </c>
      <c r="AC188" s="36" t="s">
        <v>68</v>
      </c>
      <c r="AD188" s="39" t="s">
        <v>68</v>
      </c>
      <c r="AE188" s="41"/>
      <c r="AF188" s="42" t="s">
        <v>68</v>
      </c>
      <c r="AG188" s="36" t="s">
        <v>68</v>
      </c>
      <c r="AH188" s="36" t="s">
        <v>68</v>
      </c>
      <c r="AI188" s="36" t="s">
        <v>68</v>
      </c>
      <c r="AJ188" s="36" t="s">
        <v>68</v>
      </c>
      <c r="AK188" s="36" t="s">
        <v>68</v>
      </c>
      <c r="AL188" s="36" t="s">
        <v>68</v>
      </c>
      <c r="AM188" s="36" t="s">
        <v>68</v>
      </c>
      <c r="AN188" s="36" t="s">
        <v>68</v>
      </c>
      <c r="AO188" s="43" t="s">
        <v>68</v>
      </c>
      <c r="AP188" s="36" t="s">
        <v>68</v>
      </c>
      <c r="AQ188" s="39" t="s">
        <v>68</v>
      </c>
      <c r="AR188" s="36" t="s">
        <v>68</v>
      </c>
      <c r="AS188" s="36" t="s">
        <v>68</v>
      </c>
      <c r="AT188" s="36" t="s">
        <v>68</v>
      </c>
      <c r="AU188" s="36" t="s">
        <v>68</v>
      </c>
      <c r="AV188" s="36" t="s">
        <v>68</v>
      </c>
      <c r="AW188" s="36"/>
      <c r="AX188" s="37"/>
      <c r="AY188" s="37" t="s">
        <v>68</v>
      </c>
      <c r="BA188" s="37"/>
      <c r="BB188" s="37"/>
      <c r="BC188" s="37"/>
      <c r="BD188" s="35"/>
      <c r="BE188" s="35" t="e">
        <v>#REF!</v>
      </c>
      <c r="BF188" s="35"/>
      <c r="BG188" s="44"/>
      <c r="BH188" s="35"/>
      <c r="BI188" s="35" t="s">
        <v>68</v>
      </c>
    </row>
    <row r="189" spans="1:61" ht="76.5" x14ac:dyDescent="0.2">
      <c r="A189" s="45" t="s">
        <v>5995</v>
      </c>
      <c r="B189" s="46"/>
      <c r="C189" s="46" t="s">
        <v>5996</v>
      </c>
      <c r="D189" s="46" t="s">
        <v>5997</v>
      </c>
      <c r="E189" s="46" t="s">
        <v>5998</v>
      </c>
      <c r="F189" s="46" t="s">
        <v>5999</v>
      </c>
      <c r="G189" s="46"/>
      <c r="H189" s="46"/>
      <c r="I189" s="46"/>
      <c r="J189" s="46" t="s">
        <v>3855</v>
      </c>
      <c r="K189" s="47">
        <v>100</v>
      </c>
      <c r="L189" s="47">
        <v>100</v>
      </c>
      <c r="M189" s="47">
        <v>200</v>
      </c>
      <c r="N189" s="46"/>
      <c r="O189" s="71" t="s">
        <v>68</v>
      </c>
      <c r="P189" s="64"/>
      <c r="Q189" s="46" t="s">
        <v>5504</v>
      </c>
      <c r="R189" s="46" t="s">
        <v>5994</v>
      </c>
      <c r="S189" s="49">
        <v>50</v>
      </c>
      <c r="T189" s="49">
        <v>250</v>
      </c>
      <c r="U189" s="50">
        <v>0.18</v>
      </c>
      <c r="V189" s="50">
        <v>0.16666666666666666</v>
      </c>
      <c r="W189" s="51">
        <v>1</v>
      </c>
      <c r="X189" s="52">
        <v>25</v>
      </c>
      <c r="Y189" s="52">
        <v>30</v>
      </c>
      <c r="Z189" s="52">
        <v>150</v>
      </c>
      <c r="AA189" s="52">
        <v>205</v>
      </c>
      <c r="AB189" s="53">
        <v>0.82</v>
      </c>
      <c r="AC189" s="75">
        <v>45</v>
      </c>
      <c r="AD189" s="55">
        <v>0.18</v>
      </c>
      <c r="AE189" s="56">
        <v>2</v>
      </c>
      <c r="AF189" s="57" t="s">
        <v>72</v>
      </c>
      <c r="AG189" s="58">
        <v>50</v>
      </c>
      <c r="AH189" s="58">
        <v>100</v>
      </c>
      <c r="AI189" s="58">
        <v>150</v>
      </c>
      <c r="AJ189" s="49">
        <v>37.5</v>
      </c>
      <c r="AK189" s="49">
        <v>187.5</v>
      </c>
      <c r="AL189" s="52">
        <v>18.75</v>
      </c>
      <c r="AM189" s="52">
        <v>137.5</v>
      </c>
      <c r="AN189" s="52">
        <v>156.25</v>
      </c>
      <c r="AO189" s="59">
        <v>0.83333333333333337</v>
      </c>
      <c r="AP189" s="60">
        <v>31.25</v>
      </c>
      <c r="AQ189" s="61">
        <v>0.16666666666666666</v>
      </c>
      <c r="AR189" s="60" t="s">
        <v>73</v>
      </c>
      <c r="AS189" s="62">
        <v>150</v>
      </c>
      <c r="AT189" s="62">
        <v>150</v>
      </c>
      <c r="AU189" s="62">
        <v>300</v>
      </c>
      <c r="AV189" s="62">
        <v>375</v>
      </c>
      <c r="AW189" s="47" t="s">
        <v>74</v>
      </c>
      <c r="AX189" s="64">
        <v>45366</v>
      </c>
      <c r="AY189" s="64" t="s">
        <v>6000</v>
      </c>
      <c r="BA189" s="64"/>
      <c r="BB189" s="64"/>
      <c r="BC189" s="64"/>
      <c r="BD189" s="46"/>
      <c r="BE189" s="46" t="e">
        <v>#REF!</v>
      </c>
      <c r="BF189" s="46" t="s">
        <v>75</v>
      </c>
      <c r="BG189" s="65">
        <v>2</v>
      </c>
      <c r="BH189" s="66"/>
      <c r="BI189" s="63" t="s">
        <v>6001</v>
      </c>
    </row>
    <row r="190" spans="1:61" ht="25.5" x14ac:dyDescent="0.2">
      <c r="A190" s="34" t="s">
        <v>6002</v>
      </c>
      <c r="B190" s="35"/>
      <c r="C190" s="35"/>
      <c r="D190" s="35"/>
      <c r="E190" s="35"/>
      <c r="F190" s="35"/>
      <c r="G190" s="35"/>
      <c r="H190" s="35"/>
      <c r="I190" s="35"/>
      <c r="J190" s="35"/>
      <c r="K190" s="36"/>
      <c r="L190" s="36"/>
      <c r="M190" s="36" t="s">
        <v>68</v>
      </c>
      <c r="N190" s="35"/>
      <c r="O190" s="35"/>
      <c r="P190" s="37"/>
      <c r="Q190" s="38" t="s">
        <v>5504</v>
      </c>
      <c r="R190" s="38" t="s">
        <v>6003</v>
      </c>
      <c r="S190" s="36" t="s">
        <v>68</v>
      </c>
      <c r="T190" s="36" t="s">
        <v>68</v>
      </c>
      <c r="U190" s="39" t="s">
        <v>68</v>
      </c>
      <c r="V190" s="39" t="s">
        <v>68</v>
      </c>
      <c r="W190" s="40" t="s">
        <v>68</v>
      </c>
      <c r="X190" s="36" t="s">
        <v>68</v>
      </c>
      <c r="Y190" s="36" t="s">
        <v>68</v>
      </c>
      <c r="Z190" s="36" t="s">
        <v>68</v>
      </c>
      <c r="AA190" s="36" t="s">
        <v>68</v>
      </c>
      <c r="AB190" s="39" t="s">
        <v>68</v>
      </c>
      <c r="AC190" s="36" t="s">
        <v>68</v>
      </c>
      <c r="AD190" s="39" t="s">
        <v>68</v>
      </c>
      <c r="AE190" s="41"/>
      <c r="AF190" s="42" t="s">
        <v>68</v>
      </c>
      <c r="AG190" s="36" t="s">
        <v>68</v>
      </c>
      <c r="AH190" s="36" t="s">
        <v>68</v>
      </c>
      <c r="AI190" s="36" t="s">
        <v>68</v>
      </c>
      <c r="AJ190" s="36" t="s">
        <v>68</v>
      </c>
      <c r="AK190" s="36" t="s">
        <v>68</v>
      </c>
      <c r="AL190" s="36" t="s">
        <v>68</v>
      </c>
      <c r="AM190" s="36" t="s">
        <v>68</v>
      </c>
      <c r="AN190" s="36" t="s">
        <v>68</v>
      </c>
      <c r="AO190" s="43" t="s">
        <v>68</v>
      </c>
      <c r="AP190" s="36" t="s">
        <v>68</v>
      </c>
      <c r="AQ190" s="39" t="s">
        <v>68</v>
      </c>
      <c r="AR190" s="36" t="s">
        <v>68</v>
      </c>
      <c r="AS190" s="36" t="s">
        <v>68</v>
      </c>
      <c r="AT190" s="36" t="s">
        <v>68</v>
      </c>
      <c r="AU190" s="36" t="s">
        <v>68</v>
      </c>
      <c r="AV190" s="36" t="s">
        <v>68</v>
      </c>
      <c r="AW190" s="35"/>
      <c r="AX190" s="37"/>
      <c r="AY190" s="37" t="s">
        <v>68</v>
      </c>
      <c r="BA190" s="37"/>
      <c r="BB190" s="37"/>
      <c r="BC190" s="37"/>
      <c r="BD190" s="35"/>
      <c r="BE190" s="35" t="e">
        <v>#REF!</v>
      </c>
      <c r="BF190" s="35"/>
      <c r="BG190" s="44"/>
      <c r="BH190" s="35"/>
      <c r="BI190" s="35" t="s">
        <v>68</v>
      </c>
    </row>
    <row r="191" spans="1:61" ht="63.75" x14ac:dyDescent="0.2">
      <c r="A191" s="45" t="s">
        <v>6004</v>
      </c>
      <c r="B191" s="46"/>
      <c r="C191" s="46" t="s">
        <v>6005</v>
      </c>
      <c r="D191" s="46"/>
      <c r="E191" s="46"/>
      <c r="F191" s="46"/>
      <c r="G191" s="46"/>
      <c r="H191" s="46"/>
      <c r="I191" s="46"/>
      <c r="J191" s="46" t="s">
        <v>2996</v>
      </c>
      <c r="K191" s="47">
        <v>20</v>
      </c>
      <c r="L191" s="47">
        <v>25</v>
      </c>
      <c r="M191" s="47">
        <v>45</v>
      </c>
      <c r="N191" s="46"/>
      <c r="O191" s="71"/>
      <c r="P191" s="64"/>
      <c r="Q191" s="46" t="s">
        <v>5504</v>
      </c>
      <c r="R191" s="46" t="s">
        <v>6003</v>
      </c>
      <c r="S191" s="49">
        <v>11.25</v>
      </c>
      <c r="T191" s="49">
        <v>56.25</v>
      </c>
      <c r="U191" s="28">
        <v>0.22222222222222221</v>
      </c>
      <c r="V191" s="28">
        <v>0.25555555555555554</v>
      </c>
      <c r="W191" s="74">
        <v>1.25</v>
      </c>
      <c r="X191" s="52">
        <v>5.625</v>
      </c>
      <c r="Y191" s="52">
        <v>30</v>
      </c>
      <c r="Z191" s="52">
        <v>36.25</v>
      </c>
      <c r="AA191" s="52">
        <v>71.875</v>
      </c>
      <c r="AB191" s="53">
        <v>1.2777777777777777</v>
      </c>
      <c r="AC191" s="75">
        <v>12.5</v>
      </c>
      <c r="AD191" s="55">
        <v>0.22222222222222221</v>
      </c>
      <c r="AE191" s="73">
        <v>3</v>
      </c>
      <c r="AF191" s="57" t="s">
        <v>95</v>
      </c>
      <c r="AG191" s="58">
        <v>20</v>
      </c>
      <c r="AH191" s="58">
        <v>25</v>
      </c>
      <c r="AI191" s="58">
        <v>45</v>
      </c>
      <c r="AJ191" s="49">
        <v>11.25</v>
      </c>
      <c r="AK191" s="49">
        <v>56.25</v>
      </c>
      <c r="AL191" s="52">
        <v>5.625</v>
      </c>
      <c r="AM191" s="52">
        <v>36.25</v>
      </c>
      <c r="AN191" s="52">
        <v>41.875</v>
      </c>
      <c r="AO191" s="59">
        <v>0.74444444444444446</v>
      </c>
      <c r="AP191" s="60">
        <v>14.375</v>
      </c>
      <c r="AQ191" s="61">
        <v>0.25555555555555554</v>
      </c>
      <c r="AR191" s="60" t="s">
        <v>78</v>
      </c>
      <c r="AS191" s="62">
        <v>32</v>
      </c>
      <c r="AT191" s="62">
        <v>40</v>
      </c>
      <c r="AU191" s="62">
        <v>72</v>
      </c>
      <c r="AV191" s="62">
        <v>90</v>
      </c>
      <c r="AW191" s="63" t="s">
        <v>107</v>
      </c>
      <c r="AX191" s="64">
        <v>45524</v>
      </c>
      <c r="AY191" s="64" t="s">
        <v>6006</v>
      </c>
      <c r="BA191" s="64"/>
      <c r="BB191" s="64"/>
      <c r="BC191" s="64"/>
      <c r="BD191" s="46"/>
      <c r="BE191" s="46" t="e">
        <v>#REF!</v>
      </c>
      <c r="BF191" s="46" t="s">
        <v>75</v>
      </c>
      <c r="BG191" s="65">
        <v>1</v>
      </c>
      <c r="BH191" s="66"/>
      <c r="BI191" s="63" t="s">
        <v>6005</v>
      </c>
    </row>
    <row r="192" spans="1:61" ht="76.5" x14ac:dyDescent="0.2">
      <c r="A192" s="45" t="s">
        <v>6007</v>
      </c>
      <c r="B192" s="46"/>
      <c r="C192" s="46" t="s">
        <v>6008</v>
      </c>
      <c r="D192" s="46"/>
      <c r="E192" s="46"/>
      <c r="F192" s="46"/>
      <c r="G192" s="46"/>
      <c r="H192" s="46"/>
      <c r="I192" s="46"/>
      <c r="J192" s="46" t="s">
        <v>2996</v>
      </c>
      <c r="K192" s="47">
        <v>40</v>
      </c>
      <c r="L192" s="47">
        <v>55</v>
      </c>
      <c r="M192" s="47">
        <v>95</v>
      </c>
      <c r="N192" s="46"/>
      <c r="O192" s="71"/>
      <c r="P192" s="64"/>
      <c r="Q192" s="46" t="s">
        <v>5504</v>
      </c>
      <c r="R192" s="46" t="s">
        <v>6003</v>
      </c>
      <c r="S192" s="49">
        <v>23.75</v>
      </c>
      <c r="T192" s="49">
        <v>118.75</v>
      </c>
      <c r="U192" s="28">
        <v>0.21052631578947367</v>
      </c>
      <c r="V192" s="28">
        <v>0.23684210526315788</v>
      </c>
      <c r="W192" s="74">
        <v>1.375</v>
      </c>
      <c r="X192" s="52">
        <v>11.875</v>
      </c>
      <c r="Y192" s="52">
        <v>30</v>
      </c>
      <c r="Z192" s="52">
        <v>78.75</v>
      </c>
      <c r="AA192" s="52">
        <v>120.625</v>
      </c>
      <c r="AB192" s="53">
        <v>1.0157894736842106</v>
      </c>
      <c r="AC192" s="75">
        <v>25</v>
      </c>
      <c r="AD192" s="55">
        <v>0.21052631578947367</v>
      </c>
      <c r="AE192" s="73">
        <v>4</v>
      </c>
      <c r="AF192" s="57" t="s">
        <v>95</v>
      </c>
      <c r="AG192" s="58">
        <v>40</v>
      </c>
      <c r="AH192" s="58">
        <v>55</v>
      </c>
      <c r="AI192" s="58">
        <v>95</v>
      </c>
      <c r="AJ192" s="49">
        <v>23.75</v>
      </c>
      <c r="AK192" s="49">
        <v>118.75</v>
      </c>
      <c r="AL192" s="52">
        <v>11.875</v>
      </c>
      <c r="AM192" s="52">
        <v>78.75</v>
      </c>
      <c r="AN192" s="52">
        <v>90.625</v>
      </c>
      <c r="AO192" s="59">
        <v>0.76315789473684215</v>
      </c>
      <c r="AP192" s="60">
        <v>28.125</v>
      </c>
      <c r="AQ192" s="61">
        <v>0.23684210526315788</v>
      </c>
      <c r="AR192" s="60" t="s">
        <v>78</v>
      </c>
      <c r="AS192" s="62">
        <v>68</v>
      </c>
      <c r="AT192" s="62">
        <v>94</v>
      </c>
      <c r="AU192" s="62">
        <v>162</v>
      </c>
      <c r="AV192" s="62">
        <v>202.5</v>
      </c>
      <c r="AW192" s="63" t="s">
        <v>107</v>
      </c>
      <c r="AX192" s="64">
        <v>45524</v>
      </c>
      <c r="AY192" s="64" t="s">
        <v>6009</v>
      </c>
      <c r="BA192" s="64"/>
      <c r="BB192" s="64"/>
      <c r="BC192" s="64"/>
      <c r="BD192" s="46"/>
      <c r="BE192" s="46" t="e">
        <v>#REF!</v>
      </c>
      <c r="BF192" s="46" t="s">
        <v>75</v>
      </c>
      <c r="BG192" s="65">
        <v>1</v>
      </c>
      <c r="BH192" s="66"/>
      <c r="BI192" s="63" t="s">
        <v>6008</v>
      </c>
    </row>
    <row r="193" spans="1:61" ht="102" x14ac:dyDescent="0.2">
      <c r="A193" s="45" t="s">
        <v>6010</v>
      </c>
      <c r="B193" s="46"/>
      <c r="C193" s="46" t="s">
        <v>6008</v>
      </c>
      <c r="D193" s="46" t="s">
        <v>6011</v>
      </c>
      <c r="E193" s="46"/>
      <c r="F193" s="46"/>
      <c r="G193" s="46"/>
      <c r="H193" s="46"/>
      <c r="I193" s="46"/>
      <c r="J193" s="46" t="s">
        <v>6012</v>
      </c>
      <c r="K193" s="47">
        <f t="shared" ref="K193:L193" si="30">K192*(20*1.25)</f>
        <v>1000</v>
      </c>
      <c r="L193" s="47">
        <f t="shared" si="30"/>
        <v>1375</v>
      </c>
      <c r="M193" s="47">
        <v>2375</v>
      </c>
      <c r="N193" s="46"/>
      <c r="O193" s="71"/>
      <c r="P193" s="64"/>
      <c r="Q193" s="46" t="s">
        <v>5504</v>
      </c>
      <c r="R193" s="46" t="s">
        <v>6003</v>
      </c>
      <c r="S193" s="49">
        <v>593.75</v>
      </c>
      <c r="T193" s="49">
        <v>2968.75</v>
      </c>
      <c r="U193" s="28">
        <v>0.22673684210526315</v>
      </c>
      <c r="V193" s="28">
        <v>0.23684210526315788</v>
      </c>
      <c r="W193" s="74">
        <v>1.375</v>
      </c>
      <c r="X193" s="52">
        <v>296.875</v>
      </c>
      <c r="Y193" s="52">
        <v>30</v>
      </c>
      <c r="Z193" s="52">
        <v>1968.75</v>
      </c>
      <c r="AA193" s="52">
        <v>2295.625</v>
      </c>
      <c r="AB193" s="53">
        <v>0.77326315789473687</v>
      </c>
      <c r="AC193" s="72">
        <v>673.125</v>
      </c>
      <c r="AD193" s="55">
        <v>0.22673684210526315</v>
      </c>
      <c r="AE193" s="73">
        <v>4</v>
      </c>
      <c r="AF193" s="57" t="s">
        <v>95</v>
      </c>
      <c r="AG193" s="58">
        <v>1000</v>
      </c>
      <c r="AH193" s="58">
        <v>1375</v>
      </c>
      <c r="AI193" s="58">
        <v>2375</v>
      </c>
      <c r="AJ193" s="49">
        <v>593.75</v>
      </c>
      <c r="AK193" s="49">
        <v>2968.75</v>
      </c>
      <c r="AL193" s="52">
        <v>296.875</v>
      </c>
      <c r="AM193" s="52">
        <v>1968.75</v>
      </c>
      <c r="AN193" s="52">
        <v>2265.625</v>
      </c>
      <c r="AO193" s="59">
        <v>0.76315789473684215</v>
      </c>
      <c r="AP193" s="60">
        <v>703.125</v>
      </c>
      <c r="AQ193" s="61">
        <v>0.23684210526315788</v>
      </c>
      <c r="AR193" s="60" t="s">
        <v>78</v>
      </c>
      <c r="AS193" s="62">
        <v>1700</v>
      </c>
      <c r="AT193" s="62">
        <v>2338</v>
      </c>
      <c r="AU193" s="62">
        <v>4038</v>
      </c>
      <c r="AV193" s="62">
        <v>5047.5</v>
      </c>
      <c r="AW193" s="63" t="s">
        <v>107</v>
      </c>
      <c r="AX193" s="64">
        <v>45524</v>
      </c>
      <c r="AY193" s="64" t="s">
        <v>6013</v>
      </c>
      <c r="BA193" s="64"/>
      <c r="BB193" s="64"/>
      <c r="BC193" s="64"/>
      <c r="BD193" s="46"/>
      <c r="BE193" s="46" t="e">
        <v>#REF!</v>
      </c>
      <c r="BF193" s="46" t="s">
        <v>75</v>
      </c>
      <c r="BG193" s="65">
        <v>8</v>
      </c>
      <c r="BH193" s="66"/>
      <c r="BI193" s="63" t="s">
        <v>6014</v>
      </c>
    </row>
    <row r="194" spans="1:61" ht="89.25" x14ac:dyDescent="0.2">
      <c r="A194" s="45" t="s">
        <v>6015</v>
      </c>
      <c r="B194" s="46"/>
      <c r="C194" s="46" t="s">
        <v>6016</v>
      </c>
      <c r="D194" s="46" t="s">
        <v>6017</v>
      </c>
      <c r="E194" s="46"/>
      <c r="F194" s="46"/>
      <c r="G194" s="46"/>
      <c r="H194" s="46"/>
      <c r="I194" s="46"/>
      <c r="J194" s="46" t="s">
        <v>2996</v>
      </c>
      <c r="K194" s="47">
        <v>60</v>
      </c>
      <c r="L194" s="47">
        <v>100</v>
      </c>
      <c r="M194" s="47">
        <v>160</v>
      </c>
      <c r="N194" s="46"/>
      <c r="O194" s="71"/>
      <c r="P194" s="64"/>
      <c r="Q194" s="46" t="s">
        <v>5504</v>
      </c>
      <c r="R194" s="46" t="s">
        <v>6003</v>
      </c>
      <c r="S194" s="49">
        <v>40</v>
      </c>
      <c r="T194" s="49">
        <v>200</v>
      </c>
      <c r="U194" s="50">
        <v>0.05</v>
      </c>
      <c r="V194" s="28">
        <v>0.2</v>
      </c>
      <c r="W194" s="77">
        <v>1.6666666666666667</v>
      </c>
      <c r="X194" s="52">
        <v>20</v>
      </c>
      <c r="Y194" s="52">
        <v>30</v>
      </c>
      <c r="Z194" s="52">
        <v>140</v>
      </c>
      <c r="AA194" s="52">
        <v>190</v>
      </c>
      <c r="AB194" s="53">
        <v>0.95</v>
      </c>
      <c r="AC194" s="75">
        <v>10</v>
      </c>
      <c r="AD194" s="55">
        <v>0.05</v>
      </c>
      <c r="AE194" s="73">
        <v>4</v>
      </c>
      <c r="AF194" s="57" t="s">
        <v>95</v>
      </c>
      <c r="AG194" s="58">
        <v>60</v>
      </c>
      <c r="AH194" s="58">
        <v>100</v>
      </c>
      <c r="AI194" s="58">
        <v>160</v>
      </c>
      <c r="AJ194" s="49">
        <v>40</v>
      </c>
      <c r="AK194" s="49">
        <v>200</v>
      </c>
      <c r="AL194" s="52">
        <v>20</v>
      </c>
      <c r="AM194" s="52">
        <v>140</v>
      </c>
      <c r="AN194" s="52">
        <v>160</v>
      </c>
      <c r="AO194" s="59">
        <v>0.8</v>
      </c>
      <c r="AP194" s="60">
        <v>40</v>
      </c>
      <c r="AQ194" s="61">
        <v>0.2</v>
      </c>
      <c r="AR194" s="60" t="s">
        <v>78</v>
      </c>
      <c r="AS194" s="62">
        <v>102</v>
      </c>
      <c r="AT194" s="62">
        <v>170</v>
      </c>
      <c r="AU194" s="62">
        <v>272</v>
      </c>
      <c r="AV194" s="62">
        <v>340</v>
      </c>
      <c r="AW194" s="63" t="s">
        <v>107</v>
      </c>
      <c r="AX194" s="64">
        <v>45524</v>
      </c>
      <c r="AY194" s="64" t="s">
        <v>6018</v>
      </c>
      <c r="BA194" s="64"/>
      <c r="BB194" s="64"/>
      <c r="BC194" s="64"/>
      <c r="BD194" s="46"/>
      <c r="BE194" s="46" t="e">
        <v>#REF!</v>
      </c>
      <c r="BF194" s="46" t="s">
        <v>75</v>
      </c>
      <c r="BG194" s="65">
        <v>1</v>
      </c>
      <c r="BH194" s="66"/>
      <c r="BI194" s="63" t="s">
        <v>6019</v>
      </c>
    </row>
    <row r="195" spans="1:61" ht="102" x14ac:dyDescent="0.2">
      <c r="A195" s="45" t="s">
        <v>6020</v>
      </c>
      <c r="B195" s="46"/>
      <c r="C195" s="46" t="s">
        <v>6016</v>
      </c>
      <c r="D195" s="46" t="s">
        <v>6017</v>
      </c>
      <c r="E195" s="46" t="s">
        <v>6011</v>
      </c>
      <c r="F195" s="46"/>
      <c r="G195" s="46"/>
      <c r="H195" s="46"/>
      <c r="I195" s="46"/>
      <c r="J195" s="46" t="s">
        <v>6012</v>
      </c>
      <c r="K195" s="47">
        <f t="shared" ref="K195:L195" si="31">K194*(20*1.25)</f>
        <v>1500</v>
      </c>
      <c r="L195" s="47">
        <f t="shared" si="31"/>
        <v>2500</v>
      </c>
      <c r="M195" s="47">
        <v>4000</v>
      </c>
      <c r="N195" s="46"/>
      <c r="O195" s="71"/>
      <c r="P195" s="64"/>
      <c r="Q195" s="46" t="s">
        <v>5504</v>
      </c>
      <c r="R195" s="46" t="s">
        <v>6003</v>
      </c>
      <c r="S195" s="49">
        <v>1000</v>
      </c>
      <c r="T195" s="49">
        <v>5000</v>
      </c>
      <c r="U195" s="50">
        <v>0.19400000000000001</v>
      </c>
      <c r="V195" s="28">
        <v>0.2</v>
      </c>
      <c r="W195" s="77">
        <v>1.6666666666666667</v>
      </c>
      <c r="X195" s="52">
        <v>500</v>
      </c>
      <c r="Y195" s="52">
        <v>30</v>
      </c>
      <c r="Z195" s="52">
        <v>3500</v>
      </c>
      <c r="AA195" s="52">
        <v>4030</v>
      </c>
      <c r="AB195" s="53">
        <v>0.80600000000000005</v>
      </c>
      <c r="AC195" s="72">
        <v>970</v>
      </c>
      <c r="AD195" s="55">
        <v>0.19400000000000001</v>
      </c>
      <c r="AE195" s="73">
        <v>4</v>
      </c>
      <c r="AF195" s="57" t="s">
        <v>95</v>
      </c>
      <c r="AG195" s="58">
        <v>1500</v>
      </c>
      <c r="AH195" s="58">
        <v>2500</v>
      </c>
      <c r="AI195" s="58">
        <v>4000</v>
      </c>
      <c r="AJ195" s="49">
        <v>1000</v>
      </c>
      <c r="AK195" s="49">
        <v>5000</v>
      </c>
      <c r="AL195" s="52">
        <v>500</v>
      </c>
      <c r="AM195" s="52">
        <v>3500</v>
      </c>
      <c r="AN195" s="52">
        <v>4000</v>
      </c>
      <c r="AO195" s="59">
        <v>0.8</v>
      </c>
      <c r="AP195" s="60">
        <v>1000</v>
      </c>
      <c r="AQ195" s="61">
        <v>0.2</v>
      </c>
      <c r="AR195" s="60" t="s">
        <v>78</v>
      </c>
      <c r="AS195" s="62">
        <v>2550</v>
      </c>
      <c r="AT195" s="62">
        <v>4250</v>
      </c>
      <c r="AU195" s="62">
        <v>6800</v>
      </c>
      <c r="AV195" s="62">
        <v>8500</v>
      </c>
      <c r="AW195" s="63" t="s">
        <v>107</v>
      </c>
      <c r="AX195" s="64">
        <v>45524</v>
      </c>
      <c r="AY195" s="64" t="s">
        <v>6021</v>
      </c>
      <c r="BA195" s="64"/>
      <c r="BB195" s="64"/>
      <c r="BC195" s="64"/>
      <c r="BD195" s="46"/>
      <c r="BE195" s="46" t="e">
        <v>#REF!</v>
      </c>
      <c r="BF195" s="46" t="s">
        <v>75</v>
      </c>
      <c r="BG195" s="65">
        <v>8</v>
      </c>
      <c r="BH195" s="66"/>
      <c r="BI195" s="63" t="s">
        <v>6022</v>
      </c>
    </row>
    <row r="196" spans="1:61" ht="89.25" x14ac:dyDescent="0.2">
      <c r="A196" s="45" t="s">
        <v>6023</v>
      </c>
      <c r="B196" s="46"/>
      <c r="C196" s="46" t="s">
        <v>6016</v>
      </c>
      <c r="D196" s="46" t="s">
        <v>6024</v>
      </c>
      <c r="E196" s="46"/>
      <c r="F196" s="46"/>
      <c r="G196" s="46"/>
      <c r="H196" s="46"/>
      <c r="I196" s="46"/>
      <c r="J196" s="46" t="s">
        <v>2996</v>
      </c>
      <c r="K196" s="47">
        <v>120</v>
      </c>
      <c r="L196" s="47">
        <v>200</v>
      </c>
      <c r="M196" s="47">
        <v>320</v>
      </c>
      <c r="N196" s="46"/>
      <c r="O196" s="71"/>
      <c r="P196" s="64"/>
      <c r="Q196" s="46" t="s">
        <v>5504</v>
      </c>
      <c r="R196" s="46" t="s">
        <v>6003</v>
      </c>
      <c r="S196" s="49">
        <v>80</v>
      </c>
      <c r="T196" s="49">
        <v>400</v>
      </c>
      <c r="U196" s="50">
        <v>0.125</v>
      </c>
      <c r="V196" s="28">
        <v>0.2</v>
      </c>
      <c r="W196" s="77">
        <v>1.6666666666666667</v>
      </c>
      <c r="X196" s="52">
        <v>40</v>
      </c>
      <c r="Y196" s="52">
        <v>30</v>
      </c>
      <c r="Z196" s="52">
        <v>280</v>
      </c>
      <c r="AA196" s="52">
        <v>350</v>
      </c>
      <c r="AB196" s="53">
        <v>0.875</v>
      </c>
      <c r="AC196" s="75">
        <v>50</v>
      </c>
      <c r="AD196" s="55">
        <v>0.125</v>
      </c>
      <c r="AE196" s="73">
        <v>4</v>
      </c>
      <c r="AF196" s="57" t="s">
        <v>95</v>
      </c>
      <c r="AG196" s="58">
        <v>120</v>
      </c>
      <c r="AH196" s="58">
        <v>200</v>
      </c>
      <c r="AI196" s="58">
        <v>320</v>
      </c>
      <c r="AJ196" s="49">
        <v>80</v>
      </c>
      <c r="AK196" s="49">
        <v>400</v>
      </c>
      <c r="AL196" s="52">
        <v>40</v>
      </c>
      <c r="AM196" s="52">
        <v>280</v>
      </c>
      <c r="AN196" s="52">
        <v>320</v>
      </c>
      <c r="AO196" s="59">
        <v>0.8</v>
      </c>
      <c r="AP196" s="60">
        <v>80</v>
      </c>
      <c r="AQ196" s="61">
        <v>0.2</v>
      </c>
      <c r="AR196" s="60" t="s">
        <v>78</v>
      </c>
      <c r="AS196" s="62">
        <v>204</v>
      </c>
      <c r="AT196" s="62">
        <v>340</v>
      </c>
      <c r="AU196" s="62">
        <v>544</v>
      </c>
      <c r="AV196" s="62">
        <v>680</v>
      </c>
      <c r="AW196" s="63" t="s">
        <v>107</v>
      </c>
      <c r="AX196" s="64">
        <v>45524</v>
      </c>
      <c r="AY196" s="64" t="s">
        <v>6025</v>
      </c>
      <c r="BA196" s="64"/>
      <c r="BB196" s="64"/>
      <c r="BC196" s="64"/>
      <c r="BD196" s="46"/>
      <c r="BE196" s="46" t="e">
        <v>#REF!</v>
      </c>
      <c r="BF196" s="46" t="s">
        <v>75</v>
      </c>
      <c r="BG196" s="65">
        <v>1</v>
      </c>
      <c r="BH196" s="66"/>
      <c r="BI196" s="63" t="s">
        <v>6026</v>
      </c>
    </row>
    <row r="197" spans="1:61" ht="114.75" x14ac:dyDescent="0.2">
      <c r="A197" s="45" t="s">
        <v>6027</v>
      </c>
      <c r="B197" s="46"/>
      <c r="C197" s="46" t="s">
        <v>6016</v>
      </c>
      <c r="D197" s="46" t="s">
        <v>6024</v>
      </c>
      <c r="E197" s="46" t="s">
        <v>6011</v>
      </c>
      <c r="F197" s="46"/>
      <c r="G197" s="46"/>
      <c r="H197" s="46"/>
      <c r="I197" s="46"/>
      <c r="J197" s="46" t="s">
        <v>6012</v>
      </c>
      <c r="K197" s="47">
        <f t="shared" ref="K197:L197" si="32">K196*(20*1.25)</f>
        <v>3000</v>
      </c>
      <c r="L197" s="47">
        <f t="shared" si="32"/>
        <v>5000</v>
      </c>
      <c r="M197" s="47">
        <v>8000</v>
      </c>
      <c r="N197" s="46"/>
      <c r="O197" s="71"/>
      <c r="P197" s="64"/>
      <c r="Q197" s="46" t="s">
        <v>5504</v>
      </c>
      <c r="R197" s="46" t="s">
        <v>6003</v>
      </c>
      <c r="S197" s="49">
        <v>2000</v>
      </c>
      <c r="T197" s="49">
        <v>10000</v>
      </c>
      <c r="U197" s="50">
        <v>0.19700000000000001</v>
      </c>
      <c r="V197" s="28">
        <v>0.2</v>
      </c>
      <c r="W197" s="77">
        <v>1.6666666666666667</v>
      </c>
      <c r="X197" s="52">
        <v>1000</v>
      </c>
      <c r="Y197" s="52">
        <v>30</v>
      </c>
      <c r="Z197" s="52">
        <v>7000</v>
      </c>
      <c r="AA197" s="52">
        <v>8030</v>
      </c>
      <c r="AB197" s="53">
        <v>0.80300000000000005</v>
      </c>
      <c r="AC197" s="72">
        <v>1970</v>
      </c>
      <c r="AD197" s="55">
        <v>0.19700000000000001</v>
      </c>
      <c r="AE197" s="73">
        <v>4</v>
      </c>
      <c r="AF197" s="57" t="s">
        <v>95</v>
      </c>
      <c r="AG197" s="58">
        <v>3000</v>
      </c>
      <c r="AH197" s="58">
        <v>5000</v>
      </c>
      <c r="AI197" s="58">
        <v>8000</v>
      </c>
      <c r="AJ197" s="49">
        <v>2000</v>
      </c>
      <c r="AK197" s="49">
        <v>10000</v>
      </c>
      <c r="AL197" s="52">
        <v>1000</v>
      </c>
      <c r="AM197" s="52">
        <v>7000</v>
      </c>
      <c r="AN197" s="52">
        <v>8000</v>
      </c>
      <c r="AO197" s="59">
        <v>0.8</v>
      </c>
      <c r="AP197" s="60">
        <v>2000</v>
      </c>
      <c r="AQ197" s="61">
        <v>0.2</v>
      </c>
      <c r="AR197" s="60" t="s">
        <v>78</v>
      </c>
      <c r="AS197" s="62">
        <v>5100</v>
      </c>
      <c r="AT197" s="62">
        <v>8500</v>
      </c>
      <c r="AU197" s="62">
        <v>13600</v>
      </c>
      <c r="AV197" s="62">
        <v>17000</v>
      </c>
      <c r="AW197" s="63" t="s">
        <v>107</v>
      </c>
      <c r="AX197" s="64">
        <v>45524</v>
      </c>
      <c r="AY197" s="64" t="s">
        <v>6028</v>
      </c>
      <c r="BA197" s="64"/>
      <c r="BB197" s="64"/>
      <c r="BC197" s="64"/>
      <c r="BD197" s="46"/>
      <c r="BE197" s="46" t="e">
        <v>#REF!</v>
      </c>
      <c r="BF197" s="46" t="s">
        <v>75</v>
      </c>
      <c r="BG197" s="65">
        <v>8</v>
      </c>
      <c r="BH197" s="66"/>
      <c r="BI197" s="63" t="s">
        <v>6029</v>
      </c>
    </row>
    <row r="198" spans="1:61" ht="25.5" x14ac:dyDescent="0.2">
      <c r="A198" s="23" t="s">
        <v>6030</v>
      </c>
      <c r="B198" s="24"/>
      <c r="C198" s="24" t="s">
        <v>68</v>
      </c>
      <c r="D198" s="24" t="s">
        <v>68</v>
      </c>
      <c r="E198" s="24" t="s">
        <v>68</v>
      </c>
      <c r="F198" s="24" t="s">
        <v>68</v>
      </c>
      <c r="G198" s="24" t="s">
        <v>68</v>
      </c>
      <c r="H198" s="24" t="s">
        <v>68</v>
      </c>
      <c r="I198" s="24" t="s">
        <v>68</v>
      </c>
      <c r="J198" s="24" t="s">
        <v>68</v>
      </c>
      <c r="K198" s="25" t="s">
        <v>68</v>
      </c>
      <c r="L198" s="25" t="s">
        <v>68</v>
      </c>
      <c r="M198" s="25" t="s">
        <v>68</v>
      </c>
      <c r="N198" s="24"/>
      <c r="O198" s="24" t="s">
        <v>68</v>
      </c>
      <c r="P198" s="26"/>
      <c r="Q198" s="27" t="s">
        <v>5325</v>
      </c>
      <c r="R198" s="24" t="s">
        <v>68</v>
      </c>
      <c r="S198" s="25" t="s">
        <v>68</v>
      </c>
      <c r="T198" s="25" t="s">
        <v>68</v>
      </c>
      <c r="U198" s="28" t="s">
        <v>68</v>
      </c>
      <c r="V198" s="28" t="s">
        <v>68</v>
      </c>
      <c r="W198" s="29" t="s">
        <v>68</v>
      </c>
      <c r="X198" s="25" t="s">
        <v>68</v>
      </c>
      <c r="Y198" s="25" t="s">
        <v>68</v>
      </c>
      <c r="Z198" s="25" t="s">
        <v>68</v>
      </c>
      <c r="AA198" s="25" t="s">
        <v>68</v>
      </c>
      <c r="AB198" s="28" t="s">
        <v>68</v>
      </c>
      <c r="AC198" s="25" t="s">
        <v>68</v>
      </c>
      <c r="AD198" s="28" t="s">
        <v>68</v>
      </c>
      <c r="AE198" s="30"/>
      <c r="AF198" s="31" t="s">
        <v>68</v>
      </c>
      <c r="AG198" s="25" t="s">
        <v>68</v>
      </c>
      <c r="AH198" s="25" t="s">
        <v>68</v>
      </c>
      <c r="AI198" s="25" t="s">
        <v>68</v>
      </c>
      <c r="AJ198" s="25" t="s">
        <v>68</v>
      </c>
      <c r="AK198" s="25" t="s">
        <v>68</v>
      </c>
      <c r="AL198" s="25" t="s">
        <v>68</v>
      </c>
      <c r="AM198" s="25" t="s">
        <v>68</v>
      </c>
      <c r="AN198" s="25" t="s">
        <v>68</v>
      </c>
      <c r="AO198" s="32" t="s">
        <v>68</v>
      </c>
      <c r="AP198" s="25" t="s">
        <v>68</v>
      </c>
      <c r="AQ198" s="28" t="s">
        <v>68</v>
      </c>
      <c r="AR198" s="25" t="s">
        <v>68</v>
      </c>
      <c r="AS198" s="25" t="s">
        <v>68</v>
      </c>
      <c r="AT198" s="25" t="s">
        <v>68</v>
      </c>
      <c r="AU198" s="25" t="s">
        <v>68</v>
      </c>
      <c r="AV198" s="25" t="s">
        <v>68</v>
      </c>
      <c r="AW198" s="24"/>
      <c r="AX198" s="26"/>
      <c r="AY198" s="26" t="s">
        <v>68</v>
      </c>
      <c r="BA198" s="26"/>
      <c r="BB198" s="26"/>
      <c r="BC198" s="26"/>
      <c r="BD198" s="24"/>
      <c r="BE198" s="27" t="s">
        <v>6030</v>
      </c>
      <c r="BF198" s="24"/>
      <c r="BG198" s="33"/>
      <c r="BH198" s="27" t="s">
        <v>6031</v>
      </c>
      <c r="BI198" s="24" t="s">
        <v>68</v>
      </c>
    </row>
    <row r="199" spans="1:61" ht="25.5" x14ac:dyDescent="0.2">
      <c r="A199" s="34" t="s">
        <v>6032</v>
      </c>
      <c r="B199" s="35"/>
      <c r="C199" s="35" t="s">
        <v>68</v>
      </c>
      <c r="D199" s="35" t="s">
        <v>68</v>
      </c>
      <c r="E199" s="35" t="s">
        <v>68</v>
      </c>
      <c r="F199" s="35" t="s">
        <v>68</v>
      </c>
      <c r="G199" s="35" t="s">
        <v>68</v>
      </c>
      <c r="H199" s="35" t="s">
        <v>68</v>
      </c>
      <c r="I199" s="35" t="s">
        <v>68</v>
      </c>
      <c r="J199" s="35" t="s">
        <v>68</v>
      </c>
      <c r="K199" s="36" t="s">
        <v>68</v>
      </c>
      <c r="L199" s="36" t="s">
        <v>68</v>
      </c>
      <c r="M199" s="36" t="s">
        <v>68</v>
      </c>
      <c r="N199" s="35"/>
      <c r="O199" s="35" t="s">
        <v>68</v>
      </c>
      <c r="P199" s="37"/>
      <c r="Q199" s="38" t="s">
        <v>5325</v>
      </c>
      <c r="R199" s="38" t="s">
        <v>6033</v>
      </c>
      <c r="S199" s="36" t="s">
        <v>68</v>
      </c>
      <c r="T199" s="36" t="s">
        <v>68</v>
      </c>
      <c r="U199" s="39" t="s">
        <v>68</v>
      </c>
      <c r="V199" s="39" t="s">
        <v>68</v>
      </c>
      <c r="W199" s="40" t="s">
        <v>68</v>
      </c>
      <c r="X199" s="36" t="s">
        <v>68</v>
      </c>
      <c r="Y199" s="36" t="s">
        <v>68</v>
      </c>
      <c r="Z199" s="36" t="s">
        <v>68</v>
      </c>
      <c r="AA199" s="36" t="s">
        <v>68</v>
      </c>
      <c r="AB199" s="39" t="s">
        <v>68</v>
      </c>
      <c r="AC199" s="36" t="s">
        <v>68</v>
      </c>
      <c r="AD199" s="39" t="s">
        <v>68</v>
      </c>
      <c r="AE199" s="41"/>
      <c r="AF199" s="42" t="s">
        <v>68</v>
      </c>
      <c r="AG199" s="36" t="s">
        <v>68</v>
      </c>
      <c r="AH199" s="36" t="s">
        <v>68</v>
      </c>
      <c r="AI199" s="36" t="s">
        <v>68</v>
      </c>
      <c r="AJ199" s="36" t="s">
        <v>68</v>
      </c>
      <c r="AK199" s="36" t="s">
        <v>68</v>
      </c>
      <c r="AL199" s="36" t="s">
        <v>68</v>
      </c>
      <c r="AM199" s="36" t="s">
        <v>68</v>
      </c>
      <c r="AN199" s="36" t="s">
        <v>68</v>
      </c>
      <c r="AO199" s="43" t="s">
        <v>68</v>
      </c>
      <c r="AP199" s="36" t="s">
        <v>68</v>
      </c>
      <c r="AQ199" s="39" t="s">
        <v>68</v>
      </c>
      <c r="AR199" s="36" t="s">
        <v>68</v>
      </c>
      <c r="AS199" s="36" t="s">
        <v>68</v>
      </c>
      <c r="AT199" s="36" t="s">
        <v>68</v>
      </c>
      <c r="AU199" s="36" t="s">
        <v>68</v>
      </c>
      <c r="AV199" s="36" t="s">
        <v>68</v>
      </c>
      <c r="AW199" s="35"/>
      <c r="AX199" s="37"/>
      <c r="AY199" s="37" t="s">
        <v>68</v>
      </c>
      <c r="BA199" s="37"/>
      <c r="BB199" s="37"/>
      <c r="BC199" s="37"/>
      <c r="BD199" s="35"/>
      <c r="BE199" s="35" t="e">
        <v>#REF!</v>
      </c>
      <c r="BF199" s="35"/>
      <c r="BG199" s="44"/>
      <c r="BH199" s="38" t="s">
        <v>6034</v>
      </c>
      <c r="BI199" s="35" t="s">
        <v>68</v>
      </c>
    </row>
    <row r="200" spans="1:61" ht="51" x14ac:dyDescent="0.2">
      <c r="A200" s="45" t="s">
        <v>6035</v>
      </c>
      <c r="B200" s="46"/>
      <c r="C200" s="46" t="s">
        <v>6036</v>
      </c>
      <c r="D200" s="46" t="s">
        <v>5323</v>
      </c>
      <c r="E200" s="46" t="s">
        <v>68</v>
      </c>
      <c r="F200" s="46" t="s">
        <v>68</v>
      </c>
      <c r="G200" s="46" t="s">
        <v>68</v>
      </c>
      <c r="H200" s="46" t="s">
        <v>6037</v>
      </c>
      <c r="I200" s="46" t="s">
        <v>68</v>
      </c>
      <c r="J200" s="46" t="s">
        <v>2996</v>
      </c>
      <c r="K200" s="47">
        <v>100</v>
      </c>
      <c r="L200" s="47">
        <v>150</v>
      </c>
      <c r="M200" s="47">
        <v>250</v>
      </c>
      <c r="N200" s="46"/>
      <c r="O200" s="71" t="s">
        <v>68</v>
      </c>
      <c r="P200" s="64"/>
      <c r="Q200" s="46" t="s">
        <v>5325</v>
      </c>
      <c r="R200" s="46" t="s">
        <v>6033</v>
      </c>
      <c r="S200" s="49">
        <v>62.5</v>
      </c>
      <c r="T200" s="49">
        <v>312.5</v>
      </c>
      <c r="U200" s="50">
        <v>0.124</v>
      </c>
      <c r="V200" s="50">
        <v>0.1</v>
      </c>
      <c r="W200" s="74">
        <v>1.5</v>
      </c>
      <c r="X200" s="52">
        <v>31.25</v>
      </c>
      <c r="Y200" s="52">
        <v>30</v>
      </c>
      <c r="Z200" s="52">
        <v>212.5</v>
      </c>
      <c r="AA200" s="52">
        <v>273.75</v>
      </c>
      <c r="AB200" s="53">
        <v>0.876</v>
      </c>
      <c r="AC200" s="75">
        <v>38.75</v>
      </c>
      <c r="AD200" s="55">
        <v>0.124</v>
      </c>
      <c r="AE200" s="56">
        <v>2</v>
      </c>
      <c r="AF200" s="57" t="s">
        <v>72</v>
      </c>
      <c r="AG200" s="58">
        <v>50</v>
      </c>
      <c r="AH200" s="58">
        <v>150</v>
      </c>
      <c r="AI200" s="58">
        <v>200</v>
      </c>
      <c r="AJ200" s="49">
        <v>50</v>
      </c>
      <c r="AK200" s="49">
        <v>250</v>
      </c>
      <c r="AL200" s="52">
        <v>25</v>
      </c>
      <c r="AM200" s="52">
        <v>200</v>
      </c>
      <c r="AN200" s="52">
        <v>225</v>
      </c>
      <c r="AO200" s="59">
        <v>0.9</v>
      </c>
      <c r="AP200" s="60">
        <v>25</v>
      </c>
      <c r="AQ200" s="61">
        <v>0.1</v>
      </c>
      <c r="AR200" s="60" t="s">
        <v>73</v>
      </c>
      <c r="AS200" s="62">
        <v>150</v>
      </c>
      <c r="AT200" s="62">
        <v>225</v>
      </c>
      <c r="AU200" s="62">
        <v>375</v>
      </c>
      <c r="AV200" s="62">
        <v>468.75</v>
      </c>
      <c r="AW200" s="47" t="s">
        <v>74</v>
      </c>
      <c r="AX200" s="64">
        <v>45325</v>
      </c>
      <c r="AY200" s="64" t="s">
        <v>6038</v>
      </c>
      <c r="BA200" s="64"/>
      <c r="BB200" s="64"/>
      <c r="BC200" s="64"/>
      <c r="BD200" s="46"/>
      <c r="BE200" s="46" t="e">
        <v>#REF!</v>
      </c>
      <c r="BF200" s="46" t="s">
        <v>5325</v>
      </c>
      <c r="BG200" s="65">
        <v>4</v>
      </c>
      <c r="BH200" s="66" t="s">
        <v>6039</v>
      </c>
      <c r="BI200" s="63" t="s">
        <v>6040</v>
      </c>
    </row>
    <row r="201" spans="1:61" ht="51" x14ac:dyDescent="0.2">
      <c r="A201" s="45" t="s">
        <v>6041</v>
      </c>
      <c r="B201" s="46"/>
      <c r="C201" s="46" t="s">
        <v>6036</v>
      </c>
      <c r="D201" s="46" t="s">
        <v>5323</v>
      </c>
      <c r="E201" s="46" t="s">
        <v>68</v>
      </c>
      <c r="F201" s="46" t="s">
        <v>68</v>
      </c>
      <c r="G201" s="46" t="s">
        <v>68</v>
      </c>
      <c r="H201" s="46" t="s">
        <v>6042</v>
      </c>
      <c r="I201" s="46" t="s">
        <v>68</v>
      </c>
      <c r="J201" s="46" t="s">
        <v>2996</v>
      </c>
      <c r="K201" s="47">
        <v>80</v>
      </c>
      <c r="L201" s="47">
        <v>120</v>
      </c>
      <c r="M201" s="47">
        <v>200</v>
      </c>
      <c r="N201" s="46"/>
      <c r="O201" s="71" t="s">
        <v>68</v>
      </c>
      <c r="P201" s="64"/>
      <c r="Q201" s="46" t="s">
        <v>5325</v>
      </c>
      <c r="R201" s="46" t="s">
        <v>6033</v>
      </c>
      <c r="S201" s="49">
        <v>50</v>
      </c>
      <c r="T201" s="49">
        <v>250</v>
      </c>
      <c r="U201" s="50">
        <v>0.1</v>
      </c>
      <c r="V201" s="50">
        <v>0.1</v>
      </c>
      <c r="W201" s="74">
        <v>1.5</v>
      </c>
      <c r="X201" s="52">
        <v>25</v>
      </c>
      <c r="Y201" s="52">
        <v>30</v>
      </c>
      <c r="Z201" s="52">
        <v>170</v>
      </c>
      <c r="AA201" s="52">
        <v>225</v>
      </c>
      <c r="AB201" s="53">
        <v>0.9</v>
      </c>
      <c r="AC201" s="75">
        <v>25</v>
      </c>
      <c r="AD201" s="55">
        <v>0.1</v>
      </c>
      <c r="AE201" s="56">
        <v>2</v>
      </c>
      <c r="AF201" s="57" t="s">
        <v>72</v>
      </c>
      <c r="AG201" s="58">
        <v>40</v>
      </c>
      <c r="AH201" s="58">
        <v>120</v>
      </c>
      <c r="AI201" s="58">
        <v>160</v>
      </c>
      <c r="AJ201" s="49">
        <v>40</v>
      </c>
      <c r="AK201" s="49">
        <v>200</v>
      </c>
      <c r="AL201" s="52">
        <v>20</v>
      </c>
      <c r="AM201" s="52">
        <v>160</v>
      </c>
      <c r="AN201" s="52">
        <v>180</v>
      </c>
      <c r="AO201" s="59">
        <v>0.9</v>
      </c>
      <c r="AP201" s="60">
        <v>20</v>
      </c>
      <c r="AQ201" s="61">
        <v>0.1</v>
      </c>
      <c r="AR201" s="60" t="s">
        <v>73</v>
      </c>
      <c r="AS201" s="62">
        <v>120</v>
      </c>
      <c r="AT201" s="62">
        <v>180</v>
      </c>
      <c r="AU201" s="62">
        <v>300</v>
      </c>
      <c r="AV201" s="62">
        <v>375</v>
      </c>
      <c r="AW201" s="47" t="s">
        <v>74</v>
      </c>
      <c r="AX201" s="64">
        <v>45325</v>
      </c>
      <c r="AY201" s="64" t="s">
        <v>6043</v>
      </c>
      <c r="BA201" s="64"/>
      <c r="BB201" s="64"/>
      <c r="BC201" s="64"/>
      <c r="BD201" s="46"/>
      <c r="BE201" s="46" t="e">
        <v>#REF!</v>
      </c>
      <c r="BF201" s="46" t="s">
        <v>5325</v>
      </c>
      <c r="BG201" s="65">
        <v>8</v>
      </c>
      <c r="BH201" s="66" t="s">
        <v>6044</v>
      </c>
      <c r="BI201" s="63" t="s">
        <v>6045</v>
      </c>
    </row>
    <row r="202" spans="1:61" ht="51" x14ac:dyDescent="0.2">
      <c r="A202" s="45" t="s">
        <v>6046</v>
      </c>
      <c r="B202" s="46"/>
      <c r="C202" s="46" t="s">
        <v>6036</v>
      </c>
      <c r="D202" s="46" t="s">
        <v>5329</v>
      </c>
      <c r="E202" s="46" t="s">
        <v>68</v>
      </c>
      <c r="F202" s="46" t="s">
        <v>68</v>
      </c>
      <c r="G202" s="46" t="s">
        <v>68</v>
      </c>
      <c r="H202" s="46" t="s">
        <v>6037</v>
      </c>
      <c r="I202" s="46" t="s">
        <v>68</v>
      </c>
      <c r="J202" s="46" t="s">
        <v>2996</v>
      </c>
      <c r="K202" s="47">
        <v>150</v>
      </c>
      <c r="L202" s="47">
        <v>200</v>
      </c>
      <c r="M202" s="47">
        <v>350</v>
      </c>
      <c r="N202" s="46"/>
      <c r="O202" s="71" t="s">
        <v>68</v>
      </c>
      <c r="P202" s="64"/>
      <c r="Q202" s="46" t="s">
        <v>5325</v>
      </c>
      <c r="R202" s="46" t="s">
        <v>6033</v>
      </c>
      <c r="S202" s="49">
        <v>87.5</v>
      </c>
      <c r="T202" s="49">
        <v>437.5</v>
      </c>
      <c r="U202" s="50">
        <v>0.17428571428571429</v>
      </c>
      <c r="V202" s="50">
        <v>0.11818181818181818</v>
      </c>
      <c r="W202" s="74">
        <v>1.3333333333333333</v>
      </c>
      <c r="X202" s="52">
        <v>43.75</v>
      </c>
      <c r="Y202" s="52">
        <v>30</v>
      </c>
      <c r="Z202" s="52">
        <v>287.5</v>
      </c>
      <c r="AA202" s="52">
        <v>361.25</v>
      </c>
      <c r="AB202" s="53">
        <v>0.82571428571428573</v>
      </c>
      <c r="AC202" s="75">
        <v>76.25</v>
      </c>
      <c r="AD202" s="55">
        <v>0.17428571428571429</v>
      </c>
      <c r="AE202" s="56">
        <v>2</v>
      </c>
      <c r="AF202" s="57" t="s">
        <v>72</v>
      </c>
      <c r="AG202" s="58">
        <v>75</v>
      </c>
      <c r="AH202" s="58">
        <v>200</v>
      </c>
      <c r="AI202" s="58">
        <v>275</v>
      </c>
      <c r="AJ202" s="49">
        <v>68.75</v>
      </c>
      <c r="AK202" s="49">
        <v>343.75</v>
      </c>
      <c r="AL202" s="52">
        <v>34.375</v>
      </c>
      <c r="AM202" s="52">
        <v>268.75</v>
      </c>
      <c r="AN202" s="52">
        <v>303.125</v>
      </c>
      <c r="AO202" s="59">
        <v>0.88181818181818183</v>
      </c>
      <c r="AP202" s="60">
        <v>40.625</v>
      </c>
      <c r="AQ202" s="61">
        <v>0.11818181818181818</v>
      </c>
      <c r="AR202" s="60" t="s">
        <v>73</v>
      </c>
      <c r="AS202" s="62">
        <v>225</v>
      </c>
      <c r="AT202" s="62">
        <v>300</v>
      </c>
      <c r="AU202" s="62">
        <v>525</v>
      </c>
      <c r="AV202" s="62">
        <v>656.25</v>
      </c>
      <c r="AW202" s="47" t="s">
        <v>74</v>
      </c>
      <c r="AX202" s="64">
        <v>45325</v>
      </c>
      <c r="AY202" s="64" t="s">
        <v>6047</v>
      </c>
      <c r="BA202" s="64"/>
      <c r="BB202" s="64"/>
      <c r="BC202" s="64"/>
      <c r="BD202" s="46"/>
      <c r="BE202" s="46" t="e">
        <v>#REF!</v>
      </c>
      <c r="BF202" s="46" t="s">
        <v>5325</v>
      </c>
      <c r="BG202" s="65">
        <v>8</v>
      </c>
      <c r="BH202" s="66" t="s">
        <v>6048</v>
      </c>
      <c r="BI202" s="63" t="s">
        <v>6049</v>
      </c>
    </row>
    <row r="203" spans="1:61" ht="63.75" x14ac:dyDescent="0.2">
      <c r="A203" s="45" t="s">
        <v>6050</v>
      </c>
      <c r="B203" s="46"/>
      <c r="C203" s="46" t="s">
        <v>6036</v>
      </c>
      <c r="D203" s="46" t="s">
        <v>5329</v>
      </c>
      <c r="E203" s="46" t="s">
        <v>68</v>
      </c>
      <c r="F203" s="46" t="s">
        <v>68</v>
      </c>
      <c r="G203" s="46" t="s">
        <v>68</v>
      </c>
      <c r="H203" s="46" t="s">
        <v>6042</v>
      </c>
      <c r="I203" s="46" t="s">
        <v>68</v>
      </c>
      <c r="J203" s="46" t="s">
        <v>2996</v>
      </c>
      <c r="K203" s="47">
        <v>120</v>
      </c>
      <c r="L203" s="47">
        <v>180</v>
      </c>
      <c r="M203" s="47">
        <v>300</v>
      </c>
      <c r="N203" s="46"/>
      <c r="O203" s="71" t="s">
        <v>68</v>
      </c>
      <c r="P203" s="64"/>
      <c r="Q203" s="46" t="s">
        <v>5325</v>
      </c>
      <c r="R203" s="46" t="s">
        <v>6033</v>
      </c>
      <c r="S203" s="49">
        <v>75</v>
      </c>
      <c r="T203" s="49">
        <v>375</v>
      </c>
      <c r="U203" s="50">
        <v>0.14000000000000001</v>
      </c>
      <c r="V203" s="50">
        <v>0.1</v>
      </c>
      <c r="W203" s="74">
        <v>1.5</v>
      </c>
      <c r="X203" s="52">
        <v>37.5</v>
      </c>
      <c r="Y203" s="52">
        <v>30</v>
      </c>
      <c r="Z203" s="52">
        <v>255</v>
      </c>
      <c r="AA203" s="52">
        <v>322.5</v>
      </c>
      <c r="AB203" s="53">
        <v>0.86</v>
      </c>
      <c r="AC203" s="75">
        <v>52.5</v>
      </c>
      <c r="AD203" s="55">
        <v>0.14000000000000001</v>
      </c>
      <c r="AE203" s="56">
        <v>2</v>
      </c>
      <c r="AF203" s="57" t="s">
        <v>72</v>
      </c>
      <c r="AG203" s="58">
        <v>60</v>
      </c>
      <c r="AH203" s="58">
        <v>180</v>
      </c>
      <c r="AI203" s="58">
        <v>240</v>
      </c>
      <c r="AJ203" s="49">
        <v>60</v>
      </c>
      <c r="AK203" s="49">
        <v>300</v>
      </c>
      <c r="AL203" s="52">
        <v>30</v>
      </c>
      <c r="AM203" s="52">
        <v>240</v>
      </c>
      <c r="AN203" s="52">
        <v>270</v>
      </c>
      <c r="AO203" s="59">
        <v>0.9</v>
      </c>
      <c r="AP203" s="60">
        <v>30</v>
      </c>
      <c r="AQ203" s="61">
        <v>0.1</v>
      </c>
      <c r="AR203" s="60" t="s">
        <v>73</v>
      </c>
      <c r="AS203" s="62">
        <v>180</v>
      </c>
      <c r="AT203" s="62">
        <v>270</v>
      </c>
      <c r="AU203" s="62">
        <v>450</v>
      </c>
      <c r="AV203" s="62">
        <v>562.5</v>
      </c>
      <c r="AW203" s="47" t="s">
        <v>74</v>
      </c>
      <c r="AX203" s="64">
        <v>45325</v>
      </c>
      <c r="AY203" s="64" t="s">
        <v>6051</v>
      </c>
      <c r="BA203" s="64"/>
      <c r="BB203" s="64"/>
      <c r="BC203" s="64"/>
      <c r="BD203" s="46"/>
      <c r="BE203" s="46" t="e">
        <v>#REF!</v>
      </c>
      <c r="BF203" s="46" t="s">
        <v>5325</v>
      </c>
      <c r="BG203" s="65">
        <v>16</v>
      </c>
      <c r="BH203" s="66" t="s">
        <v>6052</v>
      </c>
      <c r="BI203" s="63" t="s">
        <v>6053</v>
      </c>
    </row>
    <row r="204" spans="1:61" ht="25.5" x14ac:dyDescent="0.2">
      <c r="A204" s="45" t="s">
        <v>6054</v>
      </c>
      <c r="B204" s="46"/>
      <c r="C204" s="46" t="s">
        <v>6055</v>
      </c>
      <c r="D204" s="46" t="s">
        <v>68</v>
      </c>
      <c r="E204" s="46" t="s">
        <v>68</v>
      </c>
      <c r="F204" s="46" t="s">
        <v>68</v>
      </c>
      <c r="G204" s="46" t="s">
        <v>68</v>
      </c>
      <c r="H204" s="46" t="s">
        <v>68</v>
      </c>
      <c r="I204" s="46" t="s">
        <v>68</v>
      </c>
      <c r="J204" s="46" t="s">
        <v>2996</v>
      </c>
      <c r="K204" s="47">
        <v>180</v>
      </c>
      <c r="L204" s="47">
        <v>0</v>
      </c>
      <c r="M204" s="47">
        <v>180</v>
      </c>
      <c r="N204" s="46"/>
      <c r="O204" s="71" t="s">
        <v>68</v>
      </c>
      <c r="P204" s="64"/>
      <c r="Q204" s="46" t="s">
        <v>5325</v>
      </c>
      <c r="R204" s="46" t="s">
        <v>6033</v>
      </c>
      <c r="S204" s="49">
        <v>45</v>
      </c>
      <c r="T204" s="49">
        <v>225</v>
      </c>
      <c r="U204" s="67">
        <v>0.56666666666666665</v>
      </c>
      <c r="V204" s="67">
        <v>0.7</v>
      </c>
      <c r="W204" s="51">
        <v>0</v>
      </c>
      <c r="X204" s="52">
        <v>22.5</v>
      </c>
      <c r="Y204" s="52">
        <v>30</v>
      </c>
      <c r="Z204" s="52">
        <v>45</v>
      </c>
      <c r="AA204" s="52">
        <v>97.5</v>
      </c>
      <c r="AB204" s="53">
        <v>0.43333333333333335</v>
      </c>
      <c r="AC204" s="72">
        <v>127.5</v>
      </c>
      <c r="AD204" s="55">
        <v>0.56666666666666665</v>
      </c>
      <c r="AE204" s="56">
        <v>2</v>
      </c>
      <c r="AF204" s="57" t="s">
        <v>72</v>
      </c>
      <c r="AG204" s="58">
        <v>90</v>
      </c>
      <c r="AH204" s="58">
        <v>0</v>
      </c>
      <c r="AI204" s="58">
        <v>90</v>
      </c>
      <c r="AJ204" s="49">
        <v>22.5</v>
      </c>
      <c r="AK204" s="49">
        <v>112.5</v>
      </c>
      <c r="AL204" s="52">
        <v>11.25</v>
      </c>
      <c r="AM204" s="52">
        <v>22.5</v>
      </c>
      <c r="AN204" s="52">
        <v>33.75</v>
      </c>
      <c r="AO204" s="59">
        <v>0.3</v>
      </c>
      <c r="AP204" s="60">
        <v>78.75</v>
      </c>
      <c r="AQ204" s="61">
        <v>0.7</v>
      </c>
      <c r="AR204" s="60" t="s">
        <v>78</v>
      </c>
      <c r="AS204" s="62">
        <v>270</v>
      </c>
      <c r="AT204" s="62">
        <v>0</v>
      </c>
      <c r="AU204" s="62">
        <v>270</v>
      </c>
      <c r="AV204" s="62">
        <v>337.5</v>
      </c>
      <c r="AW204" s="47" t="s">
        <v>74</v>
      </c>
      <c r="AX204" s="64">
        <v>45325</v>
      </c>
      <c r="AY204" s="64" t="s">
        <v>6056</v>
      </c>
      <c r="BA204" s="64"/>
      <c r="BB204" s="64"/>
      <c r="BC204" s="64"/>
      <c r="BD204" s="46"/>
      <c r="BE204" s="46" t="e">
        <v>#REF!</v>
      </c>
      <c r="BF204" s="46" t="s">
        <v>75</v>
      </c>
      <c r="BG204" s="65">
        <v>1</v>
      </c>
      <c r="BH204" s="66" t="s">
        <v>6057</v>
      </c>
      <c r="BI204" s="63" t="s">
        <v>6055</v>
      </c>
    </row>
    <row r="205" spans="1:61" ht="25.5" x14ac:dyDescent="0.2">
      <c r="A205" s="34" t="s">
        <v>6058</v>
      </c>
      <c r="B205" s="35"/>
      <c r="C205" s="35" t="s">
        <v>68</v>
      </c>
      <c r="D205" s="35" t="s">
        <v>68</v>
      </c>
      <c r="E205" s="35" t="s">
        <v>68</v>
      </c>
      <c r="F205" s="35" t="s">
        <v>68</v>
      </c>
      <c r="G205" s="35" t="s">
        <v>68</v>
      </c>
      <c r="H205" s="35" t="s">
        <v>68</v>
      </c>
      <c r="I205" s="35" t="s">
        <v>68</v>
      </c>
      <c r="J205" s="35" t="s">
        <v>68</v>
      </c>
      <c r="K205" s="36" t="s">
        <v>68</v>
      </c>
      <c r="L205" s="36" t="s">
        <v>68</v>
      </c>
      <c r="M205" s="36" t="s">
        <v>68</v>
      </c>
      <c r="N205" s="35"/>
      <c r="O205" s="35" t="s">
        <v>68</v>
      </c>
      <c r="P205" s="37"/>
      <c r="Q205" s="38" t="s">
        <v>5325</v>
      </c>
      <c r="R205" s="38" t="s">
        <v>6059</v>
      </c>
      <c r="S205" s="36" t="s">
        <v>68</v>
      </c>
      <c r="T205" s="36" t="s">
        <v>68</v>
      </c>
      <c r="U205" s="39" t="s">
        <v>68</v>
      </c>
      <c r="V205" s="39" t="s">
        <v>68</v>
      </c>
      <c r="W205" s="40" t="s">
        <v>68</v>
      </c>
      <c r="X205" s="36" t="s">
        <v>68</v>
      </c>
      <c r="Y205" s="36" t="s">
        <v>68</v>
      </c>
      <c r="Z205" s="36" t="s">
        <v>68</v>
      </c>
      <c r="AA205" s="36" t="s">
        <v>68</v>
      </c>
      <c r="AB205" s="39" t="s">
        <v>68</v>
      </c>
      <c r="AC205" s="36" t="s">
        <v>68</v>
      </c>
      <c r="AD205" s="39" t="s">
        <v>68</v>
      </c>
      <c r="AE205" s="41"/>
      <c r="AF205" s="42" t="s">
        <v>68</v>
      </c>
      <c r="AG205" s="36" t="s">
        <v>68</v>
      </c>
      <c r="AH205" s="36" t="s">
        <v>68</v>
      </c>
      <c r="AI205" s="36" t="s">
        <v>68</v>
      </c>
      <c r="AJ205" s="36" t="s">
        <v>68</v>
      </c>
      <c r="AK205" s="36" t="s">
        <v>68</v>
      </c>
      <c r="AL205" s="36" t="s">
        <v>68</v>
      </c>
      <c r="AM205" s="36" t="s">
        <v>68</v>
      </c>
      <c r="AN205" s="36" t="s">
        <v>68</v>
      </c>
      <c r="AO205" s="43" t="s">
        <v>68</v>
      </c>
      <c r="AP205" s="36" t="s">
        <v>68</v>
      </c>
      <c r="AQ205" s="39" t="s">
        <v>68</v>
      </c>
      <c r="AR205" s="36" t="s">
        <v>68</v>
      </c>
      <c r="AS205" s="36" t="s">
        <v>68</v>
      </c>
      <c r="AT205" s="36" t="s">
        <v>68</v>
      </c>
      <c r="AU205" s="36" t="s">
        <v>68</v>
      </c>
      <c r="AV205" s="36" t="s">
        <v>68</v>
      </c>
      <c r="AW205" s="35"/>
      <c r="AX205" s="37"/>
      <c r="AY205" s="37" t="s">
        <v>68</v>
      </c>
      <c r="BA205" s="37"/>
      <c r="BB205" s="37"/>
      <c r="BC205" s="37"/>
      <c r="BD205" s="35"/>
      <c r="BE205" s="35" t="e">
        <v>#REF!</v>
      </c>
      <c r="BF205" s="35"/>
      <c r="BG205" s="44"/>
      <c r="BH205" s="38" t="s">
        <v>6060</v>
      </c>
      <c r="BI205" s="35" t="s">
        <v>68</v>
      </c>
    </row>
    <row r="206" spans="1:61" ht="102" x14ac:dyDescent="0.2">
      <c r="A206" s="45" t="s">
        <v>6061</v>
      </c>
      <c r="B206" s="46"/>
      <c r="C206" s="46" t="s">
        <v>6062</v>
      </c>
      <c r="D206" s="46"/>
      <c r="E206" s="46"/>
      <c r="F206" s="46"/>
      <c r="G206" s="46"/>
      <c r="H206" s="46"/>
      <c r="I206" s="46"/>
      <c r="J206" s="46" t="s">
        <v>2996</v>
      </c>
      <c r="K206" s="47">
        <v>25</v>
      </c>
      <c r="L206" s="47">
        <f>(100/50)*2</f>
        <v>4</v>
      </c>
      <c r="M206" s="47">
        <v>29</v>
      </c>
      <c r="N206" s="46"/>
      <c r="O206" s="71" t="s">
        <v>68</v>
      </c>
      <c r="P206" s="46" t="s">
        <v>6063</v>
      </c>
      <c r="Q206" s="46" t="s">
        <v>5325</v>
      </c>
      <c r="R206" s="46" t="s">
        <v>6059</v>
      </c>
      <c r="S206" s="49">
        <v>7.25</v>
      </c>
      <c r="T206" s="49">
        <v>36.25</v>
      </c>
      <c r="U206" s="67">
        <v>0.43103448275862066</v>
      </c>
      <c r="V206" s="67">
        <v>0.5060606060606061</v>
      </c>
      <c r="W206" s="51">
        <v>0.16</v>
      </c>
      <c r="X206" s="52">
        <v>3.625</v>
      </c>
      <c r="Y206" s="52">
        <v>30</v>
      </c>
      <c r="Z206" s="52">
        <v>11.25</v>
      </c>
      <c r="AA206" s="52">
        <v>44.875</v>
      </c>
      <c r="AB206" s="53">
        <v>1.2379310344827585</v>
      </c>
      <c r="AC206" s="75">
        <v>15.625</v>
      </c>
      <c r="AD206" s="55">
        <v>0.43103448275862066</v>
      </c>
      <c r="AE206" s="56">
        <v>2</v>
      </c>
      <c r="AF206" s="57" t="s">
        <v>72</v>
      </c>
      <c r="AG206" s="58">
        <v>12.5</v>
      </c>
      <c r="AH206" s="58">
        <v>4</v>
      </c>
      <c r="AI206" s="58">
        <v>16.5</v>
      </c>
      <c r="AJ206" s="49">
        <v>4.125</v>
      </c>
      <c r="AK206" s="49">
        <v>20.625</v>
      </c>
      <c r="AL206" s="52">
        <v>2.0625</v>
      </c>
      <c r="AM206" s="52">
        <v>8.125</v>
      </c>
      <c r="AN206" s="52">
        <v>10.1875</v>
      </c>
      <c r="AO206" s="59">
        <v>0.49393939393939396</v>
      </c>
      <c r="AP206" s="60">
        <v>10.4375</v>
      </c>
      <c r="AQ206" s="61">
        <v>0.5060606060606061</v>
      </c>
      <c r="AR206" s="60" t="s">
        <v>78</v>
      </c>
      <c r="AS206" s="62">
        <v>38</v>
      </c>
      <c r="AT206" s="62">
        <v>6</v>
      </c>
      <c r="AU206" s="62">
        <v>44</v>
      </c>
      <c r="AV206" s="62">
        <v>55</v>
      </c>
      <c r="AW206" s="47" t="s">
        <v>74</v>
      </c>
      <c r="AX206" s="64">
        <v>45325</v>
      </c>
      <c r="AY206" s="64" t="s">
        <v>6064</v>
      </c>
      <c r="BA206" s="64"/>
      <c r="BB206" s="64"/>
      <c r="BC206" s="64"/>
      <c r="BD206" s="70" t="s">
        <v>6065</v>
      </c>
      <c r="BE206" s="46" t="e">
        <v>#REF!</v>
      </c>
      <c r="BF206" s="46" t="s">
        <v>5325</v>
      </c>
      <c r="BG206" s="65"/>
      <c r="BH206" s="66"/>
      <c r="BI206" s="63" t="s">
        <v>6062</v>
      </c>
    </row>
    <row r="207" spans="1:61" ht="140.25" x14ac:dyDescent="0.2">
      <c r="A207" s="45" t="s">
        <v>6066</v>
      </c>
      <c r="B207" s="46"/>
      <c r="C207" s="46" t="s">
        <v>6062</v>
      </c>
      <c r="D207" s="46" t="s">
        <v>6067</v>
      </c>
      <c r="E207" s="46"/>
      <c r="F207" s="46"/>
      <c r="G207" s="46"/>
      <c r="H207" s="46"/>
      <c r="I207" s="46"/>
      <c r="J207" s="46" t="s">
        <v>2996</v>
      </c>
      <c r="K207" s="47">
        <v>30</v>
      </c>
      <c r="L207" s="47">
        <f>L206+2</f>
        <v>6</v>
      </c>
      <c r="M207" s="47">
        <v>36</v>
      </c>
      <c r="N207" s="46"/>
      <c r="O207" s="71" t="s">
        <v>68</v>
      </c>
      <c r="P207" s="46" t="s">
        <v>6063</v>
      </c>
      <c r="Q207" s="46" t="s">
        <v>5325</v>
      </c>
      <c r="R207" s="46" t="s">
        <v>6059</v>
      </c>
      <c r="S207" s="49">
        <v>9</v>
      </c>
      <c r="T207" s="49">
        <v>45</v>
      </c>
      <c r="U207" s="67">
        <v>0.41666666666666669</v>
      </c>
      <c r="V207" s="67">
        <v>0.47142857142857142</v>
      </c>
      <c r="W207" s="51">
        <v>0.2</v>
      </c>
      <c r="X207" s="52">
        <v>4.5</v>
      </c>
      <c r="Y207" s="52">
        <v>30</v>
      </c>
      <c r="Z207" s="52">
        <v>15</v>
      </c>
      <c r="AA207" s="52">
        <v>49.5</v>
      </c>
      <c r="AB207" s="53">
        <v>1.1000000000000001</v>
      </c>
      <c r="AC207" s="75">
        <v>18.75</v>
      </c>
      <c r="AD207" s="55">
        <v>0.41666666666666669</v>
      </c>
      <c r="AE207" s="56">
        <v>2</v>
      </c>
      <c r="AF207" s="57" t="s">
        <v>72</v>
      </c>
      <c r="AG207" s="58">
        <v>15</v>
      </c>
      <c r="AH207" s="58">
        <v>6</v>
      </c>
      <c r="AI207" s="58">
        <v>21</v>
      </c>
      <c r="AJ207" s="49">
        <v>5.25</v>
      </c>
      <c r="AK207" s="49">
        <v>26.25</v>
      </c>
      <c r="AL207" s="52">
        <v>2.625</v>
      </c>
      <c r="AM207" s="52">
        <v>11.25</v>
      </c>
      <c r="AN207" s="52">
        <v>13.875</v>
      </c>
      <c r="AO207" s="59">
        <v>0.52857142857142858</v>
      </c>
      <c r="AP207" s="60">
        <v>12.375</v>
      </c>
      <c r="AQ207" s="61">
        <v>0.47142857142857142</v>
      </c>
      <c r="AR207" s="60" t="s">
        <v>78</v>
      </c>
      <c r="AS207" s="62">
        <v>45</v>
      </c>
      <c r="AT207" s="62">
        <v>9</v>
      </c>
      <c r="AU207" s="62">
        <v>54</v>
      </c>
      <c r="AV207" s="62">
        <v>67.5</v>
      </c>
      <c r="AW207" s="47" t="s">
        <v>74</v>
      </c>
      <c r="AX207" s="64">
        <v>45325</v>
      </c>
      <c r="AY207" s="64" t="s">
        <v>6068</v>
      </c>
      <c r="BA207" s="64"/>
      <c r="BB207" s="64"/>
      <c r="BC207" s="64"/>
      <c r="BD207" s="70" t="s">
        <v>6065</v>
      </c>
      <c r="BE207" s="46" t="e">
        <v>#REF!</v>
      </c>
      <c r="BF207" s="46" t="s">
        <v>5325</v>
      </c>
      <c r="BG207" s="65"/>
      <c r="BH207" s="66"/>
      <c r="BI207" s="63" t="s">
        <v>6069</v>
      </c>
    </row>
    <row r="208" spans="1:61" ht="140.25" x14ac:dyDescent="0.2">
      <c r="A208" s="45" t="s">
        <v>6070</v>
      </c>
      <c r="B208" s="46"/>
      <c r="C208" s="46" t="s">
        <v>6062</v>
      </c>
      <c r="D208" s="46" t="s">
        <v>6071</v>
      </c>
      <c r="E208" s="46"/>
      <c r="F208" s="46"/>
      <c r="G208" s="46"/>
      <c r="H208" s="46"/>
      <c r="I208" s="46"/>
      <c r="J208" s="46" t="s">
        <v>2996</v>
      </c>
      <c r="K208" s="47">
        <v>30</v>
      </c>
      <c r="L208" s="47">
        <f>L206*2</f>
        <v>8</v>
      </c>
      <c r="M208" s="47">
        <v>38</v>
      </c>
      <c r="N208" s="46"/>
      <c r="O208" s="71" t="s">
        <v>68</v>
      </c>
      <c r="P208" s="46" t="s">
        <v>6063</v>
      </c>
      <c r="Q208" s="46" t="s">
        <v>5325</v>
      </c>
      <c r="R208" s="46" t="s">
        <v>6059</v>
      </c>
      <c r="S208" s="49">
        <v>9.5</v>
      </c>
      <c r="T208" s="49">
        <v>47.5</v>
      </c>
      <c r="U208" s="67">
        <v>0.39473684210526316</v>
      </c>
      <c r="V208" s="67">
        <v>0.42173913043478262</v>
      </c>
      <c r="W208" s="51">
        <v>0.26666666666666666</v>
      </c>
      <c r="X208" s="52">
        <v>4.75</v>
      </c>
      <c r="Y208" s="52">
        <v>30</v>
      </c>
      <c r="Z208" s="52">
        <v>17.5</v>
      </c>
      <c r="AA208" s="52">
        <v>52.25</v>
      </c>
      <c r="AB208" s="53">
        <v>1.1000000000000001</v>
      </c>
      <c r="AC208" s="75">
        <v>18.75</v>
      </c>
      <c r="AD208" s="55">
        <v>0.39473684210526316</v>
      </c>
      <c r="AE208" s="56">
        <v>2</v>
      </c>
      <c r="AF208" s="57" t="s">
        <v>72</v>
      </c>
      <c r="AG208" s="58">
        <v>15</v>
      </c>
      <c r="AH208" s="58">
        <v>8</v>
      </c>
      <c r="AI208" s="58">
        <v>23</v>
      </c>
      <c r="AJ208" s="49">
        <v>5.75</v>
      </c>
      <c r="AK208" s="49">
        <v>28.75</v>
      </c>
      <c r="AL208" s="52">
        <v>2.875</v>
      </c>
      <c r="AM208" s="52">
        <v>13.75</v>
      </c>
      <c r="AN208" s="52">
        <v>16.625</v>
      </c>
      <c r="AO208" s="59">
        <v>0.57826086956521738</v>
      </c>
      <c r="AP208" s="60">
        <v>12.125</v>
      </c>
      <c r="AQ208" s="61">
        <v>0.42173913043478262</v>
      </c>
      <c r="AR208" s="60" t="s">
        <v>78</v>
      </c>
      <c r="AS208" s="62">
        <v>45</v>
      </c>
      <c r="AT208" s="62">
        <v>12</v>
      </c>
      <c r="AU208" s="62">
        <v>57</v>
      </c>
      <c r="AV208" s="62">
        <v>71.25</v>
      </c>
      <c r="AW208" s="47" t="s">
        <v>74</v>
      </c>
      <c r="AX208" s="64">
        <v>45325</v>
      </c>
      <c r="AY208" s="64" t="s">
        <v>6072</v>
      </c>
      <c r="BA208" s="64"/>
      <c r="BB208" s="64"/>
      <c r="BC208" s="64"/>
      <c r="BD208" s="70" t="s">
        <v>6065</v>
      </c>
      <c r="BE208" s="46" t="e">
        <v>#REF!</v>
      </c>
      <c r="BF208" s="46" t="s">
        <v>5325</v>
      </c>
      <c r="BG208" s="65"/>
      <c r="BH208" s="66"/>
      <c r="BI208" s="63" t="s">
        <v>6073</v>
      </c>
    </row>
    <row r="209" spans="1:61" ht="165.75" x14ac:dyDescent="0.2">
      <c r="A209" s="45" t="s">
        <v>6074</v>
      </c>
      <c r="B209" s="46"/>
      <c r="C209" s="46" t="s">
        <v>6062</v>
      </c>
      <c r="D209" s="46" t="s">
        <v>6075</v>
      </c>
      <c r="E209" s="46"/>
      <c r="F209" s="46"/>
      <c r="G209" s="46"/>
      <c r="H209" s="46"/>
      <c r="I209" s="46"/>
      <c r="J209" s="46" t="s">
        <v>2996</v>
      </c>
      <c r="K209" s="47">
        <v>35</v>
      </c>
      <c r="L209" s="47">
        <f>L208+2</f>
        <v>10</v>
      </c>
      <c r="M209" s="47">
        <v>45</v>
      </c>
      <c r="N209" s="46"/>
      <c r="O209" s="71" t="s">
        <v>68</v>
      </c>
      <c r="P209" s="46" t="s">
        <v>6063</v>
      </c>
      <c r="Q209" s="46" t="s">
        <v>5325</v>
      </c>
      <c r="R209" s="46" t="s">
        <v>6059</v>
      </c>
      <c r="S209" s="49">
        <v>11.25</v>
      </c>
      <c r="T209" s="49">
        <v>56.25</v>
      </c>
      <c r="U209" s="67">
        <v>0.3888888888888889</v>
      </c>
      <c r="V209" s="67">
        <v>0.40909090909090912</v>
      </c>
      <c r="W209" s="51">
        <v>0.2857142857142857</v>
      </c>
      <c r="X209" s="52">
        <v>5.625</v>
      </c>
      <c r="Y209" s="52">
        <v>30</v>
      </c>
      <c r="Z209" s="52">
        <v>21.25</v>
      </c>
      <c r="AA209" s="52">
        <v>56.875</v>
      </c>
      <c r="AB209" s="53">
        <v>1.0111111111111111</v>
      </c>
      <c r="AC209" s="75">
        <v>21.875</v>
      </c>
      <c r="AD209" s="55">
        <v>0.3888888888888889</v>
      </c>
      <c r="AE209" s="56">
        <v>2</v>
      </c>
      <c r="AF209" s="57" t="s">
        <v>72</v>
      </c>
      <c r="AG209" s="58">
        <v>17.5</v>
      </c>
      <c r="AH209" s="58">
        <v>10</v>
      </c>
      <c r="AI209" s="58">
        <v>27.5</v>
      </c>
      <c r="AJ209" s="49">
        <v>6.875</v>
      </c>
      <c r="AK209" s="49">
        <v>34.375</v>
      </c>
      <c r="AL209" s="52">
        <v>3.4375</v>
      </c>
      <c r="AM209" s="52">
        <v>16.875</v>
      </c>
      <c r="AN209" s="52">
        <v>20.3125</v>
      </c>
      <c r="AO209" s="59">
        <v>0.59090909090909094</v>
      </c>
      <c r="AP209" s="60">
        <v>14.0625</v>
      </c>
      <c r="AQ209" s="61">
        <v>0.40909090909090912</v>
      </c>
      <c r="AR209" s="60" t="s">
        <v>78</v>
      </c>
      <c r="AS209" s="62">
        <v>53</v>
      </c>
      <c r="AT209" s="62">
        <v>15</v>
      </c>
      <c r="AU209" s="62">
        <v>68</v>
      </c>
      <c r="AV209" s="62">
        <v>85</v>
      </c>
      <c r="AW209" s="47" t="s">
        <v>74</v>
      </c>
      <c r="AX209" s="64">
        <v>45325</v>
      </c>
      <c r="AY209" s="64" t="s">
        <v>6076</v>
      </c>
      <c r="BA209" s="64"/>
      <c r="BB209" s="64"/>
      <c r="BC209" s="64"/>
      <c r="BD209" s="70" t="s">
        <v>6065</v>
      </c>
      <c r="BE209" s="46" t="e">
        <v>#REF!</v>
      </c>
      <c r="BF209" s="46" t="s">
        <v>5325</v>
      </c>
      <c r="BG209" s="65"/>
      <c r="BH209" s="66"/>
      <c r="BI209" s="63" t="s">
        <v>6077</v>
      </c>
    </row>
    <row r="210" spans="1:61" ht="89.25" x14ac:dyDescent="0.2">
      <c r="A210" s="45" t="s">
        <v>6078</v>
      </c>
      <c r="B210" s="46"/>
      <c r="C210" s="46" t="s">
        <v>6079</v>
      </c>
      <c r="D210" s="46"/>
      <c r="E210" s="46"/>
      <c r="F210" s="46"/>
      <c r="G210" s="46"/>
      <c r="H210" s="46"/>
      <c r="I210" s="46"/>
      <c r="J210" s="46" t="s">
        <v>2996</v>
      </c>
      <c r="K210" s="47">
        <v>15</v>
      </c>
      <c r="L210" s="47">
        <f>(200/100)*2</f>
        <v>4</v>
      </c>
      <c r="M210" s="47">
        <v>19</v>
      </c>
      <c r="N210" s="46"/>
      <c r="O210" s="71" t="s">
        <v>68</v>
      </c>
      <c r="P210" s="46" t="s">
        <v>6063</v>
      </c>
      <c r="Q210" s="46" t="s">
        <v>5325</v>
      </c>
      <c r="R210" s="46" t="s">
        <v>6059</v>
      </c>
      <c r="S210" s="49">
        <v>4.75</v>
      </c>
      <c r="T210" s="49">
        <v>23.75</v>
      </c>
      <c r="U210" s="67">
        <v>0.39473684210526316</v>
      </c>
      <c r="V210" s="67">
        <v>0.42173913043478262</v>
      </c>
      <c r="W210" s="51">
        <v>0.26666666666666666</v>
      </c>
      <c r="X210" s="52">
        <v>2.375</v>
      </c>
      <c r="Y210" s="52">
        <v>30</v>
      </c>
      <c r="Z210" s="52">
        <v>8.75</v>
      </c>
      <c r="AA210" s="52">
        <v>41.125</v>
      </c>
      <c r="AB210" s="53">
        <v>1.7315789473684211</v>
      </c>
      <c r="AC210" s="75">
        <v>9.375</v>
      </c>
      <c r="AD210" s="55">
        <v>0.39473684210526316</v>
      </c>
      <c r="AE210" s="56">
        <v>2</v>
      </c>
      <c r="AF210" s="57" t="s">
        <v>72</v>
      </c>
      <c r="AG210" s="58">
        <v>7.5</v>
      </c>
      <c r="AH210" s="58">
        <v>4</v>
      </c>
      <c r="AI210" s="58">
        <v>11.5</v>
      </c>
      <c r="AJ210" s="49">
        <v>2.875</v>
      </c>
      <c r="AK210" s="49">
        <v>14.375</v>
      </c>
      <c r="AL210" s="52">
        <v>1.4375</v>
      </c>
      <c r="AM210" s="52">
        <v>6.875</v>
      </c>
      <c r="AN210" s="52">
        <v>8.3125</v>
      </c>
      <c r="AO210" s="59">
        <v>0.57826086956521738</v>
      </c>
      <c r="AP210" s="60">
        <v>6.0625</v>
      </c>
      <c r="AQ210" s="61">
        <v>0.42173913043478262</v>
      </c>
      <c r="AR210" s="60" t="s">
        <v>78</v>
      </c>
      <c r="AS210" s="62">
        <v>23</v>
      </c>
      <c r="AT210" s="62">
        <v>6</v>
      </c>
      <c r="AU210" s="62">
        <v>29</v>
      </c>
      <c r="AV210" s="62">
        <v>36.25</v>
      </c>
      <c r="AW210" s="47" t="s">
        <v>74</v>
      </c>
      <c r="AX210" s="64">
        <v>45325</v>
      </c>
      <c r="AY210" s="64" t="s">
        <v>6080</v>
      </c>
      <c r="BA210" s="64"/>
      <c r="BB210" s="64"/>
      <c r="BC210" s="64"/>
      <c r="BD210" s="70" t="s">
        <v>6081</v>
      </c>
      <c r="BE210" s="46" t="e">
        <v>#REF!</v>
      </c>
      <c r="BF210" s="46" t="s">
        <v>5325</v>
      </c>
      <c r="BG210" s="65"/>
      <c r="BH210" s="66"/>
      <c r="BI210" s="63" t="s">
        <v>6079</v>
      </c>
    </row>
    <row r="211" spans="1:61" ht="153" x14ac:dyDescent="0.2">
      <c r="A211" s="45" t="s">
        <v>6082</v>
      </c>
      <c r="B211" s="46"/>
      <c r="C211" s="46" t="s">
        <v>6083</v>
      </c>
      <c r="D211" s="46" t="s">
        <v>6084</v>
      </c>
      <c r="E211" s="46" t="s">
        <v>6085</v>
      </c>
      <c r="F211" s="46" t="s">
        <v>6086</v>
      </c>
      <c r="G211" s="46" t="s">
        <v>6087</v>
      </c>
      <c r="H211" s="46" t="s">
        <v>68</v>
      </c>
      <c r="I211" s="46" t="s">
        <v>68</v>
      </c>
      <c r="J211" s="46" t="s">
        <v>2996</v>
      </c>
      <c r="K211" s="47">
        <v>36</v>
      </c>
      <c r="L211" s="47">
        <v>6</v>
      </c>
      <c r="M211" s="47">
        <v>42</v>
      </c>
      <c r="N211" s="46"/>
      <c r="O211" s="71" t="s">
        <v>68</v>
      </c>
      <c r="P211" s="46" t="s">
        <v>6063</v>
      </c>
      <c r="Q211" s="46" t="s">
        <v>5325</v>
      </c>
      <c r="R211" s="46" t="s">
        <v>6059</v>
      </c>
      <c r="S211" s="49">
        <v>10.5</v>
      </c>
      <c r="T211" s="49">
        <v>52.5</v>
      </c>
      <c r="U211" s="50">
        <v>1.4285714285714285E-2</v>
      </c>
      <c r="V211" s="67">
        <v>0.5</v>
      </c>
      <c r="W211" s="51">
        <v>0.16666666666666666</v>
      </c>
      <c r="X211" s="52">
        <v>5.25</v>
      </c>
      <c r="Y211" s="52">
        <v>30</v>
      </c>
      <c r="Z211" s="52">
        <v>16.5</v>
      </c>
      <c r="AA211" s="52">
        <v>51.75</v>
      </c>
      <c r="AB211" s="53">
        <v>0.98571428571428577</v>
      </c>
      <c r="AC211" s="75">
        <v>0.75</v>
      </c>
      <c r="AD211" s="55">
        <v>1.4285714285714285E-2</v>
      </c>
      <c r="AE211" s="56">
        <v>2</v>
      </c>
      <c r="AF211" s="57" t="s">
        <v>72</v>
      </c>
      <c r="AG211" s="58">
        <v>18</v>
      </c>
      <c r="AH211" s="58">
        <v>6</v>
      </c>
      <c r="AI211" s="58">
        <v>24</v>
      </c>
      <c r="AJ211" s="49">
        <v>6</v>
      </c>
      <c r="AK211" s="49">
        <v>30</v>
      </c>
      <c r="AL211" s="52">
        <v>3</v>
      </c>
      <c r="AM211" s="52">
        <v>12</v>
      </c>
      <c r="AN211" s="52">
        <v>15</v>
      </c>
      <c r="AO211" s="59">
        <v>0.5</v>
      </c>
      <c r="AP211" s="60">
        <v>15</v>
      </c>
      <c r="AQ211" s="61">
        <v>0.5</v>
      </c>
      <c r="AR211" s="60" t="s">
        <v>78</v>
      </c>
      <c r="AS211" s="62">
        <v>54</v>
      </c>
      <c r="AT211" s="62">
        <v>9</v>
      </c>
      <c r="AU211" s="62">
        <v>63</v>
      </c>
      <c r="AV211" s="62">
        <v>78.75</v>
      </c>
      <c r="AW211" s="47" t="s">
        <v>74</v>
      </c>
      <c r="AX211" s="64">
        <v>45325</v>
      </c>
      <c r="AY211" s="64" t="s">
        <v>6088</v>
      </c>
      <c r="BA211" s="64"/>
      <c r="BB211" s="64"/>
      <c r="BC211" s="64"/>
      <c r="BD211" s="70" t="s">
        <v>6089</v>
      </c>
      <c r="BE211" s="46" t="e">
        <v>#REF!</v>
      </c>
      <c r="BF211" s="46" t="s">
        <v>5325</v>
      </c>
      <c r="BG211" s="65"/>
      <c r="BH211" s="66" t="s">
        <v>6090</v>
      </c>
      <c r="BI211" s="63" t="s">
        <v>6091</v>
      </c>
    </row>
    <row r="212" spans="1:61" ht="140.25" x14ac:dyDescent="0.2">
      <c r="A212" s="45" t="s">
        <v>6092</v>
      </c>
      <c r="B212" s="46"/>
      <c r="C212" s="46" t="s">
        <v>6083</v>
      </c>
      <c r="D212" s="46" t="s">
        <v>6084</v>
      </c>
      <c r="E212" s="46" t="s">
        <v>6085</v>
      </c>
      <c r="F212" s="46" t="s">
        <v>6093</v>
      </c>
      <c r="G212" s="46" t="s">
        <v>6087</v>
      </c>
      <c r="H212" s="46" t="s">
        <v>68</v>
      </c>
      <c r="I212" s="46" t="s">
        <v>68</v>
      </c>
      <c r="J212" s="46" t="s">
        <v>2996</v>
      </c>
      <c r="K212" s="47">
        <v>38</v>
      </c>
      <c r="L212" s="47">
        <f>L211*2</f>
        <v>12</v>
      </c>
      <c r="M212" s="47">
        <v>50</v>
      </c>
      <c r="N212" s="46"/>
      <c r="O212" s="71" t="s">
        <v>68</v>
      </c>
      <c r="P212" s="46" t="s">
        <v>6063</v>
      </c>
      <c r="Q212" s="46" t="s">
        <v>5325</v>
      </c>
      <c r="R212" s="46" t="s">
        <v>6059</v>
      </c>
      <c r="S212" s="49">
        <v>12.5</v>
      </c>
      <c r="T212" s="49">
        <v>62.5</v>
      </c>
      <c r="U212" s="50">
        <v>2.8000000000000001E-2</v>
      </c>
      <c r="V212" s="67">
        <v>0.39032258064516129</v>
      </c>
      <c r="W212" s="51">
        <v>0.31578947368421051</v>
      </c>
      <c r="X212" s="52">
        <v>6.25</v>
      </c>
      <c r="Y212" s="52">
        <v>30</v>
      </c>
      <c r="Z212" s="52">
        <v>24.5</v>
      </c>
      <c r="AA212" s="52">
        <v>60.75</v>
      </c>
      <c r="AB212" s="53">
        <v>0.97199999999999998</v>
      </c>
      <c r="AC212" s="75">
        <v>1.75</v>
      </c>
      <c r="AD212" s="55">
        <v>2.8000000000000001E-2</v>
      </c>
      <c r="AE212" s="56">
        <v>2</v>
      </c>
      <c r="AF212" s="57" t="s">
        <v>72</v>
      </c>
      <c r="AG212" s="58">
        <v>19</v>
      </c>
      <c r="AH212" s="58">
        <v>12</v>
      </c>
      <c r="AI212" s="58">
        <v>31</v>
      </c>
      <c r="AJ212" s="49">
        <v>7.75</v>
      </c>
      <c r="AK212" s="49">
        <v>38.75</v>
      </c>
      <c r="AL212" s="52">
        <v>3.875</v>
      </c>
      <c r="AM212" s="52">
        <v>19.75</v>
      </c>
      <c r="AN212" s="52">
        <v>23.625</v>
      </c>
      <c r="AO212" s="59">
        <v>0.60967741935483866</v>
      </c>
      <c r="AP212" s="60">
        <v>15.125</v>
      </c>
      <c r="AQ212" s="61">
        <v>0.39032258064516129</v>
      </c>
      <c r="AR212" s="60" t="s">
        <v>78</v>
      </c>
      <c r="AS212" s="62">
        <v>57</v>
      </c>
      <c r="AT212" s="62">
        <v>18</v>
      </c>
      <c r="AU212" s="62">
        <v>75</v>
      </c>
      <c r="AV212" s="62">
        <v>93.75</v>
      </c>
      <c r="AW212" s="47" t="s">
        <v>74</v>
      </c>
      <c r="AX212" s="64">
        <v>45325</v>
      </c>
      <c r="AY212" s="64" t="s">
        <v>6094</v>
      </c>
      <c r="BA212" s="64"/>
      <c r="BB212" s="64"/>
      <c r="BC212" s="64"/>
      <c r="BD212" s="46"/>
      <c r="BE212" s="46" t="e">
        <v>#REF!</v>
      </c>
      <c r="BF212" s="46" t="s">
        <v>5325</v>
      </c>
      <c r="BG212" s="65"/>
      <c r="BH212" s="66" t="s">
        <v>6095</v>
      </c>
      <c r="BI212" s="63" t="s">
        <v>6096</v>
      </c>
    </row>
    <row r="213" spans="1:61" ht="153" x14ac:dyDescent="0.2">
      <c r="A213" s="45" t="s">
        <v>6097</v>
      </c>
      <c r="B213" s="46"/>
      <c r="C213" s="46" t="s">
        <v>6083</v>
      </c>
      <c r="D213" s="46" t="s">
        <v>6084</v>
      </c>
      <c r="E213" s="46" t="s">
        <v>6098</v>
      </c>
      <c r="F213" s="46" t="s">
        <v>6086</v>
      </c>
      <c r="G213" s="46" t="s">
        <v>6087</v>
      </c>
      <c r="H213" s="46" t="s">
        <v>68</v>
      </c>
      <c r="I213" s="46" t="s">
        <v>68</v>
      </c>
      <c r="J213" s="46" t="s">
        <v>2996</v>
      </c>
      <c r="K213" s="47">
        <v>56</v>
      </c>
      <c r="L213" s="47">
        <v>10</v>
      </c>
      <c r="M213" s="47">
        <v>66</v>
      </c>
      <c r="N213" s="46"/>
      <c r="O213" s="71" t="s">
        <v>68</v>
      </c>
      <c r="P213" s="46" t="s">
        <v>6063</v>
      </c>
      <c r="Q213" s="46" t="s">
        <v>5325</v>
      </c>
      <c r="R213" s="46" t="s">
        <v>6059</v>
      </c>
      <c r="S213" s="49">
        <v>16.5</v>
      </c>
      <c r="T213" s="49">
        <v>82.5</v>
      </c>
      <c r="U213" s="28">
        <v>0.21515151515151515</v>
      </c>
      <c r="V213" s="67">
        <v>0.48947368421052634</v>
      </c>
      <c r="W213" s="51">
        <v>0.17857142857142858</v>
      </c>
      <c r="X213" s="52">
        <v>8.25</v>
      </c>
      <c r="Y213" s="52">
        <v>30</v>
      </c>
      <c r="Z213" s="52">
        <v>26.5</v>
      </c>
      <c r="AA213" s="52">
        <v>64.75</v>
      </c>
      <c r="AB213" s="53">
        <v>0.7848484848484848</v>
      </c>
      <c r="AC213" s="75">
        <v>17.75</v>
      </c>
      <c r="AD213" s="55">
        <v>0.21515151515151515</v>
      </c>
      <c r="AE213" s="56">
        <v>2</v>
      </c>
      <c r="AF213" s="57" t="s">
        <v>72</v>
      </c>
      <c r="AG213" s="58">
        <v>28</v>
      </c>
      <c r="AH213" s="58">
        <v>10</v>
      </c>
      <c r="AI213" s="58">
        <v>38</v>
      </c>
      <c r="AJ213" s="49">
        <v>9.5</v>
      </c>
      <c r="AK213" s="49">
        <v>47.5</v>
      </c>
      <c r="AL213" s="52">
        <v>4.75</v>
      </c>
      <c r="AM213" s="52">
        <v>19.5</v>
      </c>
      <c r="AN213" s="52">
        <v>24.25</v>
      </c>
      <c r="AO213" s="59">
        <v>0.51052631578947372</v>
      </c>
      <c r="AP213" s="60">
        <v>23.25</v>
      </c>
      <c r="AQ213" s="61">
        <v>0.48947368421052634</v>
      </c>
      <c r="AR213" s="60" t="s">
        <v>78</v>
      </c>
      <c r="AS213" s="62">
        <v>84</v>
      </c>
      <c r="AT213" s="62">
        <v>15</v>
      </c>
      <c r="AU213" s="62">
        <v>99</v>
      </c>
      <c r="AV213" s="62">
        <v>123.75</v>
      </c>
      <c r="AW213" s="47" t="s">
        <v>74</v>
      </c>
      <c r="AX213" s="64">
        <v>45325</v>
      </c>
      <c r="AY213" s="64" t="s">
        <v>6099</v>
      </c>
      <c r="BA213" s="64"/>
      <c r="BB213" s="64"/>
      <c r="BC213" s="64"/>
      <c r="BD213" s="70" t="s">
        <v>6100</v>
      </c>
      <c r="BE213" s="46" t="e">
        <v>#REF!</v>
      </c>
      <c r="BF213" s="46" t="s">
        <v>5325</v>
      </c>
      <c r="BG213" s="65"/>
      <c r="BH213" s="66" t="s">
        <v>6101</v>
      </c>
      <c r="BI213" s="63" t="s">
        <v>6102</v>
      </c>
    </row>
    <row r="214" spans="1:61" ht="153" x14ac:dyDescent="0.2">
      <c r="A214" s="45" t="s">
        <v>6103</v>
      </c>
      <c r="B214" s="46"/>
      <c r="C214" s="46" t="s">
        <v>6083</v>
      </c>
      <c r="D214" s="46" t="s">
        <v>6084</v>
      </c>
      <c r="E214" s="46" t="s">
        <v>6098</v>
      </c>
      <c r="F214" s="46" t="s">
        <v>6093</v>
      </c>
      <c r="G214" s="46" t="s">
        <v>6087</v>
      </c>
      <c r="H214" s="46" t="s">
        <v>68</v>
      </c>
      <c r="I214" s="46" t="s">
        <v>68</v>
      </c>
      <c r="J214" s="46" t="s">
        <v>2996</v>
      </c>
      <c r="K214" s="47">
        <v>58</v>
      </c>
      <c r="L214" s="47">
        <f>L213*2</f>
        <v>20</v>
      </c>
      <c r="M214" s="47">
        <v>78</v>
      </c>
      <c r="N214" s="46"/>
      <c r="O214" s="71" t="s">
        <v>68</v>
      </c>
      <c r="P214" s="46" t="s">
        <v>6063</v>
      </c>
      <c r="Q214" s="46" t="s">
        <v>5325</v>
      </c>
      <c r="R214" s="46" t="s">
        <v>6059</v>
      </c>
      <c r="S214" s="49">
        <v>19.5</v>
      </c>
      <c r="T214" s="49">
        <v>97.5</v>
      </c>
      <c r="U214" s="50">
        <v>0.18717948717948718</v>
      </c>
      <c r="V214" s="67">
        <v>0.37346938775510202</v>
      </c>
      <c r="W214" s="51">
        <v>0.34482758620689657</v>
      </c>
      <c r="X214" s="52">
        <v>9.75</v>
      </c>
      <c r="Y214" s="52">
        <v>30</v>
      </c>
      <c r="Z214" s="52">
        <v>39.5</v>
      </c>
      <c r="AA214" s="52">
        <v>79.25</v>
      </c>
      <c r="AB214" s="53">
        <v>0.81282051282051282</v>
      </c>
      <c r="AC214" s="75">
        <v>18.25</v>
      </c>
      <c r="AD214" s="55">
        <v>0.18717948717948718</v>
      </c>
      <c r="AE214" s="56">
        <v>2</v>
      </c>
      <c r="AF214" s="57" t="s">
        <v>72</v>
      </c>
      <c r="AG214" s="58">
        <v>29</v>
      </c>
      <c r="AH214" s="58">
        <v>20</v>
      </c>
      <c r="AI214" s="58">
        <v>49</v>
      </c>
      <c r="AJ214" s="49">
        <v>12.25</v>
      </c>
      <c r="AK214" s="49">
        <v>61.25</v>
      </c>
      <c r="AL214" s="52">
        <v>6.125</v>
      </c>
      <c r="AM214" s="52">
        <v>32.25</v>
      </c>
      <c r="AN214" s="52">
        <v>38.375</v>
      </c>
      <c r="AO214" s="59">
        <v>0.62653061224489792</v>
      </c>
      <c r="AP214" s="60">
        <v>22.875</v>
      </c>
      <c r="AQ214" s="61">
        <v>0.37346938775510202</v>
      </c>
      <c r="AR214" s="60" t="s">
        <v>78</v>
      </c>
      <c r="AS214" s="62">
        <v>87</v>
      </c>
      <c r="AT214" s="62">
        <v>30</v>
      </c>
      <c r="AU214" s="62">
        <v>117</v>
      </c>
      <c r="AV214" s="62">
        <v>146.25</v>
      </c>
      <c r="AW214" s="47" t="s">
        <v>74</v>
      </c>
      <c r="AX214" s="64">
        <v>45325</v>
      </c>
      <c r="AY214" s="64" t="s">
        <v>6104</v>
      </c>
      <c r="BA214" s="64"/>
      <c r="BB214" s="64"/>
      <c r="BC214" s="64"/>
      <c r="BD214" s="46"/>
      <c r="BE214" s="46" t="e">
        <v>#REF!</v>
      </c>
      <c r="BF214" s="46" t="s">
        <v>5325</v>
      </c>
      <c r="BG214" s="65"/>
      <c r="BH214" s="66" t="s">
        <v>6105</v>
      </c>
      <c r="BI214" s="63" t="s">
        <v>6106</v>
      </c>
    </row>
    <row r="215" spans="1:61" ht="140.25" x14ac:dyDescent="0.2">
      <c r="A215" s="45" t="s">
        <v>6107</v>
      </c>
      <c r="B215" s="46"/>
      <c r="C215" s="46" t="s">
        <v>6083</v>
      </c>
      <c r="D215" s="46" t="s">
        <v>6084</v>
      </c>
      <c r="E215" s="46" t="s">
        <v>6085</v>
      </c>
      <c r="F215" s="46" t="s">
        <v>6086</v>
      </c>
      <c r="G215" s="46" t="s">
        <v>6108</v>
      </c>
      <c r="H215" s="46"/>
      <c r="I215" s="46"/>
      <c r="J215" s="46" t="s">
        <v>6109</v>
      </c>
      <c r="K215" s="47">
        <v>0</v>
      </c>
      <c r="L215" s="47">
        <v>450</v>
      </c>
      <c r="M215" s="47">
        <v>450</v>
      </c>
      <c r="N215" s="46"/>
      <c r="O215" s="71" t="s">
        <v>68</v>
      </c>
      <c r="P215" s="46" t="s">
        <v>6063</v>
      </c>
      <c r="Q215" s="46" t="s">
        <v>5325</v>
      </c>
      <c r="R215" s="46" t="s">
        <v>6059</v>
      </c>
      <c r="S215" s="49">
        <v>112.5</v>
      </c>
      <c r="T215" s="49">
        <v>562.5</v>
      </c>
      <c r="U215" s="50">
        <v>0</v>
      </c>
      <c r="V215" s="78">
        <v>-0.1</v>
      </c>
      <c r="W215" s="29" t="e">
        <v>#DIV/0!</v>
      </c>
      <c r="X215" s="52">
        <v>56.25</v>
      </c>
      <c r="Y215" s="52">
        <v>30</v>
      </c>
      <c r="Z215" s="52">
        <v>562.5</v>
      </c>
      <c r="AA215" s="52">
        <v>648.75</v>
      </c>
      <c r="AB215" s="53">
        <v>1.1533333333333333</v>
      </c>
      <c r="AC215" s="75">
        <v>0</v>
      </c>
      <c r="AD215" s="55">
        <v>0</v>
      </c>
      <c r="AE215" s="69">
        <v>1</v>
      </c>
      <c r="AF215" s="57" t="s">
        <v>77</v>
      </c>
      <c r="AG215" s="58">
        <v>0</v>
      </c>
      <c r="AH215" s="58">
        <v>450</v>
      </c>
      <c r="AI215" s="58">
        <v>450</v>
      </c>
      <c r="AJ215" s="49">
        <v>112.5</v>
      </c>
      <c r="AK215" s="49">
        <v>562.5</v>
      </c>
      <c r="AL215" s="52">
        <v>56.25</v>
      </c>
      <c r="AM215" s="52">
        <v>562.5</v>
      </c>
      <c r="AN215" s="52">
        <v>618.75</v>
      </c>
      <c r="AO215" s="59">
        <v>1.1000000000000001</v>
      </c>
      <c r="AP215" s="79">
        <v>-56.25</v>
      </c>
      <c r="AQ215" s="80">
        <v>-0.1</v>
      </c>
      <c r="AR215" s="60" t="s">
        <v>73</v>
      </c>
      <c r="AS215" s="62">
        <v>0</v>
      </c>
      <c r="AT215" s="62">
        <v>585</v>
      </c>
      <c r="AU215" s="62">
        <v>585</v>
      </c>
      <c r="AV215" s="62">
        <v>731.25</v>
      </c>
      <c r="AW215" s="47" t="s">
        <v>107</v>
      </c>
      <c r="AX215" s="64">
        <v>45339</v>
      </c>
      <c r="AY215" s="64" t="s">
        <v>6110</v>
      </c>
      <c r="BA215" s="64"/>
      <c r="BB215" s="64"/>
      <c r="BC215" s="64"/>
      <c r="BD215" s="70" t="s">
        <v>6089</v>
      </c>
      <c r="BE215" s="46" t="e">
        <v>#REF!</v>
      </c>
      <c r="BF215" s="46" t="s">
        <v>5325</v>
      </c>
      <c r="BG215" s="65">
        <v>16</v>
      </c>
      <c r="BH215" s="66"/>
      <c r="BI215" s="63" t="s">
        <v>6111</v>
      </c>
    </row>
    <row r="216" spans="1:61" ht="140.25" x14ac:dyDescent="0.2">
      <c r="A216" s="45" t="s">
        <v>6112</v>
      </c>
      <c r="B216" s="46"/>
      <c r="C216" s="46" t="s">
        <v>6083</v>
      </c>
      <c r="D216" s="46" t="s">
        <v>6084</v>
      </c>
      <c r="E216" s="46" t="s">
        <v>6085</v>
      </c>
      <c r="F216" s="46" t="s">
        <v>6093</v>
      </c>
      <c r="G216" s="46" t="s">
        <v>6108</v>
      </c>
      <c r="H216" s="46"/>
      <c r="I216" s="46"/>
      <c r="J216" s="46" t="s">
        <v>6109</v>
      </c>
      <c r="K216" s="47">
        <v>0</v>
      </c>
      <c r="L216" s="47">
        <f>L215*2</f>
        <v>900</v>
      </c>
      <c r="M216" s="47">
        <v>900</v>
      </c>
      <c r="N216" s="46"/>
      <c r="O216" s="71" t="s">
        <v>68</v>
      </c>
      <c r="P216" s="46" t="s">
        <v>6063</v>
      </c>
      <c r="Q216" s="46" t="s">
        <v>5325</v>
      </c>
      <c r="R216" s="46" t="s">
        <v>6059</v>
      </c>
      <c r="S216" s="49">
        <v>225</v>
      </c>
      <c r="T216" s="49">
        <v>1125</v>
      </c>
      <c r="U216" s="50">
        <v>0</v>
      </c>
      <c r="V216" s="78">
        <v>-0.1</v>
      </c>
      <c r="W216" s="29" t="e">
        <v>#DIV/0!</v>
      </c>
      <c r="X216" s="52">
        <v>112.5</v>
      </c>
      <c r="Y216" s="52">
        <v>30</v>
      </c>
      <c r="Z216" s="52">
        <v>1125</v>
      </c>
      <c r="AA216" s="52">
        <v>1267.5</v>
      </c>
      <c r="AB216" s="53">
        <v>1.1266666666666667</v>
      </c>
      <c r="AC216" s="75">
        <v>0</v>
      </c>
      <c r="AD216" s="55">
        <v>0</v>
      </c>
      <c r="AE216" s="69">
        <v>1</v>
      </c>
      <c r="AF216" s="57" t="s">
        <v>77</v>
      </c>
      <c r="AG216" s="58">
        <v>0</v>
      </c>
      <c r="AH216" s="58">
        <v>900</v>
      </c>
      <c r="AI216" s="58">
        <v>900</v>
      </c>
      <c r="AJ216" s="49">
        <v>225</v>
      </c>
      <c r="AK216" s="49">
        <v>1125</v>
      </c>
      <c r="AL216" s="52">
        <v>112.5</v>
      </c>
      <c r="AM216" s="52">
        <v>1125</v>
      </c>
      <c r="AN216" s="52">
        <v>1237.5</v>
      </c>
      <c r="AO216" s="59">
        <v>1.1000000000000001</v>
      </c>
      <c r="AP216" s="79">
        <v>-112.5</v>
      </c>
      <c r="AQ216" s="80">
        <v>-0.1</v>
      </c>
      <c r="AR216" s="60" t="s">
        <v>73</v>
      </c>
      <c r="AS216" s="62">
        <v>0</v>
      </c>
      <c r="AT216" s="62">
        <v>1170</v>
      </c>
      <c r="AU216" s="62">
        <v>1170</v>
      </c>
      <c r="AV216" s="62">
        <v>1462.5</v>
      </c>
      <c r="AW216" s="47" t="s">
        <v>107</v>
      </c>
      <c r="AX216" s="64">
        <v>45339</v>
      </c>
      <c r="AY216" s="64" t="s">
        <v>6113</v>
      </c>
      <c r="BA216" s="64"/>
      <c r="BB216" s="64"/>
      <c r="BC216" s="64"/>
      <c r="BD216" s="70" t="s">
        <v>6114</v>
      </c>
      <c r="BE216" s="46" t="e">
        <v>#REF!</v>
      </c>
      <c r="BF216" s="46" t="s">
        <v>5325</v>
      </c>
      <c r="BG216" s="65">
        <v>16</v>
      </c>
      <c r="BH216" s="66"/>
      <c r="BI216" s="63" t="s">
        <v>6115</v>
      </c>
    </row>
    <row r="217" spans="1:61" ht="140.25" x14ac:dyDescent="0.2">
      <c r="A217" s="45" t="s">
        <v>6116</v>
      </c>
      <c r="B217" s="46"/>
      <c r="C217" s="46" t="s">
        <v>6083</v>
      </c>
      <c r="D217" s="46" t="s">
        <v>6084</v>
      </c>
      <c r="E217" s="46" t="s">
        <v>6098</v>
      </c>
      <c r="F217" s="46" t="s">
        <v>6086</v>
      </c>
      <c r="G217" s="46" t="s">
        <v>6108</v>
      </c>
      <c r="H217" s="46"/>
      <c r="I217" s="46"/>
      <c r="J217" s="46" t="s">
        <v>6109</v>
      </c>
      <c r="K217" s="47">
        <v>0</v>
      </c>
      <c r="L217" s="47">
        <v>650</v>
      </c>
      <c r="M217" s="47">
        <v>650</v>
      </c>
      <c r="N217" s="46"/>
      <c r="O217" s="71" t="s">
        <v>68</v>
      </c>
      <c r="P217" s="46" t="s">
        <v>6063</v>
      </c>
      <c r="Q217" s="46" t="s">
        <v>5325</v>
      </c>
      <c r="R217" s="46" t="s">
        <v>6059</v>
      </c>
      <c r="S217" s="49">
        <v>162.5</v>
      </c>
      <c r="T217" s="49">
        <v>812.5</v>
      </c>
      <c r="U217" s="50">
        <v>0</v>
      </c>
      <c r="V217" s="78">
        <v>-0.1</v>
      </c>
      <c r="W217" s="29" t="e">
        <v>#DIV/0!</v>
      </c>
      <c r="X217" s="52">
        <v>81.25</v>
      </c>
      <c r="Y217" s="52">
        <v>30</v>
      </c>
      <c r="Z217" s="52">
        <v>812.5</v>
      </c>
      <c r="AA217" s="52">
        <v>923.75</v>
      </c>
      <c r="AB217" s="53">
        <v>1.1369230769230769</v>
      </c>
      <c r="AC217" s="75">
        <v>0</v>
      </c>
      <c r="AD217" s="55">
        <v>0</v>
      </c>
      <c r="AE217" s="69">
        <v>1</v>
      </c>
      <c r="AF217" s="57" t="s">
        <v>77</v>
      </c>
      <c r="AG217" s="58">
        <v>0</v>
      </c>
      <c r="AH217" s="58">
        <v>650</v>
      </c>
      <c r="AI217" s="58">
        <v>650</v>
      </c>
      <c r="AJ217" s="49">
        <v>162.5</v>
      </c>
      <c r="AK217" s="49">
        <v>812.5</v>
      </c>
      <c r="AL217" s="52">
        <v>81.25</v>
      </c>
      <c r="AM217" s="52">
        <v>812.5</v>
      </c>
      <c r="AN217" s="52">
        <v>893.75</v>
      </c>
      <c r="AO217" s="59">
        <v>1.1000000000000001</v>
      </c>
      <c r="AP217" s="79">
        <v>-81.25</v>
      </c>
      <c r="AQ217" s="80">
        <v>-0.1</v>
      </c>
      <c r="AR217" s="60" t="s">
        <v>73</v>
      </c>
      <c r="AS217" s="62">
        <v>0</v>
      </c>
      <c r="AT217" s="62">
        <v>845</v>
      </c>
      <c r="AU217" s="62">
        <v>845</v>
      </c>
      <c r="AV217" s="62">
        <v>1056.25</v>
      </c>
      <c r="AW217" s="47" t="s">
        <v>107</v>
      </c>
      <c r="AX217" s="64">
        <v>45339</v>
      </c>
      <c r="AY217" s="64" t="s">
        <v>6117</v>
      </c>
      <c r="BA217" s="64"/>
      <c r="BB217" s="64"/>
      <c r="BC217" s="64"/>
      <c r="BD217" s="70" t="s">
        <v>6100</v>
      </c>
      <c r="BE217" s="46" t="e">
        <v>#REF!</v>
      </c>
      <c r="BF217" s="46" t="s">
        <v>5325</v>
      </c>
      <c r="BG217" s="65">
        <v>16</v>
      </c>
      <c r="BH217" s="66"/>
      <c r="BI217" s="63" t="s">
        <v>6118</v>
      </c>
    </row>
    <row r="218" spans="1:61" ht="153" x14ac:dyDescent="0.2">
      <c r="A218" s="45" t="s">
        <v>6119</v>
      </c>
      <c r="B218" s="46"/>
      <c r="C218" s="46" t="s">
        <v>6083</v>
      </c>
      <c r="D218" s="46" t="s">
        <v>6084</v>
      </c>
      <c r="E218" s="46" t="s">
        <v>6098</v>
      </c>
      <c r="F218" s="46" t="s">
        <v>6093</v>
      </c>
      <c r="G218" s="46" t="s">
        <v>6108</v>
      </c>
      <c r="H218" s="46"/>
      <c r="I218" s="46"/>
      <c r="J218" s="46" t="s">
        <v>6109</v>
      </c>
      <c r="K218" s="47">
        <v>0</v>
      </c>
      <c r="L218" s="47">
        <f>L217*2</f>
        <v>1300</v>
      </c>
      <c r="M218" s="47">
        <v>1300</v>
      </c>
      <c r="N218" s="46"/>
      <c r="O218" s="71" t="s">
        <v>68</v>
      </c>
      <c r="P218" s="46" t="s">
        <v>6063</v>
      </c>
      <c r="Q218" s="46" t="s">
        <v>5325</v>
      </c>
      <c r="R218" s="46" t="s">
        <v>6059</v>
      </c>
      <c r="S218" s="49">
        <v>325</v>
      </c>
      <c r="T218" s="49">
        <v>1625</v>
      </c>
      <c r="U218" s="50">
        <v>0</v>
      </c>
      <c r="V218" s="78">
        <v>-0.1</v>
      </c>
      <c r="W218" s="29" t="e">
        <v>#DIV/0!</v>
      </c>
      <c r="X218" s="52">
        <v>162.5</v>
      </c>
      <c r="Y218" s="52">
        <v>30</v>
      </c>
      <c r="Z218" s="52">
        <v>1625</v>
      </c>
      <c r="AA218" s="52">
        <v>1817.5</v>
      </c>
      <c r="AB218" s="53">
        <v>1.1184615384615384</v>
      </c>
      <c r="AC218" s="75">
        <v>0</v>
      </c>
      <c r="AD218" s="55">
        <v>0</v>
      </c>
      <c r="AE218" s="69">
        <v>1</v>
      </c>
      <c r="AF218" s="57" t="s">
        <v>77</v>
      </c>
      <c r="AG218" s="58">
        <v>0</v>
      </c>
      <c r="AH218" s="58">
        <v>1300</v>
      </c>
      <c r="AI218" s="58">
        <v>1300</v>
      </c>
      <c r="AJ218" s="49">
        <v>325</v>
      </c>
      <c r="AK218" s="49">
        <v>1625</v>
      </c>
      <c r="AL218" s="52">
        <v>162.5</v>
      </c>
      <c r="AM218" s="52">
        <v>1625</v>
      </c>
      <c r="AN218" s="52">
        <v>1787.5</v>
      </c>
      <c r="AO218" s="59">
        <v>1.1000000000000001</v>
      </c>
      <c r="AP218" s="79">
        <v>-162.5</v>
      </c>
      <c r="AQ218" s="80">
        <v>-0.1</v>
      </c>
      <c r="AR218" s="60" t="s">
        <v>73</v>
      </c>
      <c r="AS218" s="62">
        <v>0</v>
      </c>
      <c r="AT218" s="62">
        <v>1690</v>
      </c>
      <c r="AU218" s="62">
        <v>1690</v>
      </c>
      <c r="AV218" s="62">
        <v>2112.5</v>
      </c>
      <c r="AW218" s="47" t="s">
        <v>107</v>
      </c>
      <c r="AX218" s="64">
        <v>45339</v>
      </c>
      <c r="AY218" s="64" t="s">
        <v>6120</v>
      </c>
      <c r="BA218" s="64"/>
      <c r="BB218" s="64"/>
      <c r="BC218" s="64"/>
      <c r="BD218" s="46"/>
      <c r="BE218" s="46" t="e">
        <v>#REF!</v>
      </c>
      <c r="BF218" s="46" t="s">
        <v>5325</v>
      </c>
      <c r="BG218" s="65">
        <v>16</v>
      </c>
      <c r="BH218" s="66"/>
      <c r="BI218" s="63" t="s">
        <v>6121</v>
      </c>
    </row>
    <row r="219" spans="1:61" ht="140.25" x14ac:dyDescent="0.2">
      <c r="A219" s="45" t="s">
        <v>6122</v>
      </c>
      <c r="B219" s="46"/>
      <c r="C219" s="46" t="s">
        <v>6083</v>
      </c>
      <c r="D219" s="46" t="s">
        <v>6084</v>
      </c>
      <c r="E219" s="46" t="s">
        <v>6085</v>
      </c>
      <c r="F219" s="46" t="s">
        <v>6086</v>
      </c>
      <c r="G219" s="46" t="s">
        <v>6108</v>
      </c>
      <c r="H219" s="46"/>
      <c r="I219" s="46"/>
      <c r="J219" s="46" t="s">
        <v>6123</v>
      </c>
      <c r="K219" s="47">
        <v>0</v>
      </c>
      <c r="L219" s="47">
        <v>120</v>
      </c>
      <c r="M219" s="47">
        <v>120</v>
      </c>
      <c r="N219" s="46"/>
      <c r="O219" s="71" t="s">
        <v>68</v>
      </c>
      <c r="P219" s="46" t="s">
        <v>6063</v>
      </c>
      <c r="Q219" s="46" t="s">
        <v>5325</v>
      </c>
      <c r="R219" s="46" t="s">
        <v>6059</v>
      </c>
      <c r="S219" s="49">
        <v>30</v>
      </c>
      <c r="T219" s="49">
        <v>150</v>
      </c>
      <c r="U219" s="50">
        <v>0</v>
      </c>
      <c r="V219" s="78">
        <v>-0.1</v>
      </c>
      <c r="W219" s="29" t="e">
        <v>#DIV/0!</v>
      </c>
      <c r="X219" s="52">
        <v>15</v>
      </c>
      <c r="Y219" s="52">
        <v>30</v>
      </c>
      <c r="Z219" s="52">
        <v>150</v>
      </c>
      <c r="AA219" s="52">
        <v>195</v>
      </c>
      <c r="AB219" s="53">
        <v>1.3</v>
      </c>
      <c r="AC219" s="75">
        <v>0</v>
      </c>
      <c r="AD219" s="55">
        <v>0</v>
      </c>
      <c r="AE219" s="69">
        <v>1</v>
      </c>
      <c r="AF219" s="57" t="s">
        <v>77</v>
      </c>
      <c r="AG219" s="58">
        <v>0</v>
      </c>
      <c r="AH219" s="58">
        <v>120</v>
      </c>
      <c r="AI219" s="58">
        <v>120</v>
      </c>
      <c r="AJ219" s="49">
        <v>30</v>
      </c>
      <c r="AK219" s="49">
        <v>150</v>
      </c>
      <c r="AL219" s="52">
        <v>15</v>
      </c>
      <c r="AM219" s="52">
        <v>150</v>
      </c>
      <c r="AN219" s="52">
        <v>165</v>
      </c>
      <c r="AO219" s="59">
        <v>1.1000000000000001</v>
      </c>
      <c r="AP219" s="79">
        <v>-15</v>
      </c>
      <c r="AQ219" s="80">
        <v>-0.1</v>
      </c>
      <c r="AR219" s="60" t="s">
        <v>73</v>
      </c>
      <c r="AS219" s="62">
        <v>0</v>
      </c>
      <c r="AT219" s="62">
        <v>156</v>
      </c>
      <c r="AU219" s="62">
        <v>156</v>
      </c>
      <c r="AV219" s="62">
        <v>195</v>
      </c>
      <c r="AW219" s="47" t="s">
        <v>107</v>
      </c>
      <c r="AX219" s="64">
        <v>45339</v>
      </c>
      <c r="AY219" s="64" t="s">
        <v>6110</v>
      </c>
      <c r="BA219" s="64"/>
      <c r="BB219" s="64"/>
      <c r="BC219" s="64"/>
      <c r="BD219" s="46"/>
      <c r="BE219" s="46" t="e">
        <v>#REF!</v>
      </c>
      <c r="BF219" s="46" t="s">
        <v>5325</v>
      </c>
      <c r="BG219" s="65">
        <v>4</v>
      </c>
      <c r="BH219" s="66"/>
      <c r="BI219" s="63" t="s">
        <v>6111</v>
      </c>
    </row>
    <row r="220" spans="1:61" ht="140.25" x14ac:dyDescent="0.2">
      <c r="A220" s="45" t="s">
        <v>6124</v>
      </c>
      <c r="B220" s="46"/>
      <c r="C220" s="46" t="s">
        <v>6083</v>
      </c>
      <c r="D220" s="46" t="s">
        <v>6084</v>
      </c>
      <c r="E220" s="46" t="s">
        <v>6085</v>
      </c>
      <c r="F220" s="46" t="s">
        <v>6093</v>
      </c>
      <c r="G220" s="46" t="s">
        <v>6108</v>
      </c>
      <c r="H220" s="46"/>
      <c r="I220" s="46"/>
      <c r="J220" s="46" t="s">
        <v>6123</v>
      </c>
      <c r="K220" s="47">
        <v>0</v>
      </c>
      <c r="L220" s="47">
        <f>L219*2</f>
        <v>240</v>
      </c>
      <c r="M220" s="47">
        <v>240</v>
      </c>
      <c r="N220" s="46"/>
      <c r="O220" s="71" t="s">
        <v>68</v>
      </c>
      <c r="P220" s="46" t="s">
        <v>6063</v>
      </c>
      <c r="Q220" s="46" t="s">
        <v>5325</v>
      </c>
      <c r="R220" s="46" t="s">
        <v>6059</v>
      </c>
      <c r="S220" s="49">
        <v>60</v>
      </c>
      <c r="T220" s="49">
        <v>300</v>
      </c>
      <c r="U220" s="50">
        <v>0</v>
      </c>
      <c r="V220" s="78">
        <v>-0.1</v>
      </c>
      <c r="W220" s="29" t="e">
        <v>#DIV/0!</v>
      </c>
      <c r="X220" s="52">
        <v>30</v>
      </c>
      <c r="Y220" s="52">
        <v>30</v>
      </c>
      <c r="Z220" s="52">
        <v>300</v>
      </c>
      <c r="AA220" s="52">
        <v>360</v>
      </c>
      <c r="AB220" s="53">
        <v>1.2</v>
      </c>
      <c r="AC220" s="75">
        <v>0</v>
      </c>
      <c r="AD220" s="55">
        <v>0</v>
      </c>
      <c r="AE220" s="69">
        <v>1</v>
      </c>
      <c r="AF220" s="57" t="s">
        <v>77</v>
      </c>
      <c r="AG220" s="58">
        <v>0</v>
      </c>
      <c r="AH220" s="58">
        <v>240</v>
      </c>
      <c r="AI220" s="58">
        <v>240</v>
      </c>
      <c r="AJ220" s="49">
        <v>60</v>
      </c>
      <c r="AK220" s="49">
        <v>300</v>
      </c>
      <c r="AL220" s="52">
        <v>30</v>
      </c>
      <c r="AM220" s="52">
        <v>300</v>
      </c>
      <c r="AN220" s="52">
        <v>330</v>
      </c>
      <c r="AO220" s="59">
        <v>1.1000000000000001</v>
      </c>
      <c r="AP220" s="79">
        <v>-30</v>
      </c>
      <c r="AQ220" s="80">
        <v>-0.1</v>
      </c>
      <c r="AR220" s="60" t="s">
        <v>73</v>
      </c>
      <c r="AS220" s="62">
        <v>0</v>
      </c>
      <c r="AT220" s="62">
        <v>312</v>
      </c>
      <c r="AU220" s="62">
        <v>312</v>
      </c>
      <c r="AV220" s="62">
        <v>390</v>
      </c>
      <c r="AW220" s="47" t="s">
        <v>107</v>
      </c>
      <c r="AX220" s="64">
        <v>45339</v>
      </c>
      <c r="AY220" s="64" t="s">
        <v>6113</v>
      </c>
      <c r="BA220" s="64"/>
      <c r="BB220" s="64"/>
      <c r="BC220" s="64"/>
      <c r="BD220" s="46"/>
      <c r="BE220" s="46" t="e">
        <v>#REF!</v>
      </c>
      <c r="BF220" s="46" t="s">
        <v>5325</v>
      </c>
      <c r="BG220" s="65">
        <v>4</v>
      </c>
      <c r="BH220" s="66"/>
      <c r="BI220" s="63" t="s">
        <v>6115</v>
      </c>
    </row>
    <row r="221" spans="1:61" ht="140.25" x14ac:dyDescent="0.2">
      <c r="A221" s="45" t="s">
        <v>6125</v>
      </c>
      <c r="B221" s="46"/>
      <c r="C221" s="46" t="s">
        <v>6083</v>
      </c>
      <c r="D221" s="46" t="s">
        <v>6084</v>
      </c>
      <c r="E221" s="46" t="s">
        <v>6098</v>
      </c>
      <c r="F221" s="46" t="s">
        <v>6086</v>
      </c>
      <c r="G221" s="46" t="s">
        <v>6108</v>
      </c>
      <c r="H221" s="46"/>
      <c r="I221" s="46"/>
      <c r="J221" s="46" t="s">
        <v>6123</v>
      </c>
      <c r="K221" s="47">
        <v>0</v>
      </c>
      <c r="L221" s="47">
        <v>200</v>
      </c>
      <c r="M221" s="47">
        <v>200</v>
      </c>
      <c r="N221" s="46"/>
      <c r="O221" s="71" t="s">
        <v>68</v>
      </c>
      <c r="P221" s="46" t="s">
        <v>6063</v>
      </c>
      <c r="Q221" s="46" t="s">
        <v>5325</v>
      </c>
      <c r="R221" s="46" t="s">
        <v>6059</v>
      </c>
      <c r="S221" s="49">
        <v>50</v>
      </c>
      <c r="T221" s="49">
        <v>250</v>
      </c>
      <c r="U221" s="50">
        <v>0</v>
      </c>
      <c r="V221" s="78">
        <v>-0.1</v>
      </c>
      <c r="W221" s="29" t="e">
        <v>#DIV/0!</v>
      </c>
      <c r="X221" s="52">
        <v>25</v>
      </c>
      <c r="Y221" s="52">
        <v>30</v>
      </c>
      <c r="Z221" s="52">
        <v>250</v>
      </c>
      <c r="AA221" s="52">
        <v>305</v>
      </c>
      <c r="AB221" s="53">
        <v>1.22</v>
      </c>
      <c r="AC221" s="75">
        <v>0</v>
      </c>
      <c r="AD221" s="55">
        <v>0</v>
      </c>
      <c r="AE221" s="69">
        <v>1</v>
      </c>
      <c r="AF221" s="57" t="s">
        <v>77</v>
      </c>
      <c r="AG221" s="58">
        <v>0</v>
      </c>
      <c r="AH221" s="58">
        <v>200</v>
      </c>
      <c r="AI221" s="58">
        <v>200</v>
      </c>
      <c r="AJ221" s="49">
        <v>50</v>
      </c>
      <c r="AK221" s="49">
        <v>250</v>
      </c>
      <c r="AL221" s="52">
        <v>25</v>
      </c>
      <c r="AM221" s="52">
        <v>250</v>
      </c>
      <c r="AN221" s="52">
        <v>275</v>
      </c>
      <c r="AO221" s="59">
        <v>1.1000000000000001</v>
      </c>
      <c r="AP221" s="79">
        <v>-25</v>
      </c>
      <c r="AQ221" s="80">
        <v>-0.1</v>
      </c>
      <c r="AR221" s="60" t="s">
        <v>73</v>
      </c>
      <c r="AS221" s="62">
        <v>0</v>
      </c>
      <c r="AT221" s="62">
        <v>260</v>
      </c>
      <c r="AU221" s="62">
        <v>260</v>
      </c>
      <c r="AV221" s="62">
        <v>325</v>
      </c>
      <c r="AW221" s="47" t="s">
        <v>107</v>
      </c>
      <c r="AX221" s="64">
        <v>45339</v>
      </c>
      <c r="AY221" s="64" t="s">
        <v>6117</v>
      </c>
      <c r="BA221" s="64"/>
      <c r="BB221" s="64"/>
      <c r="BC221" s="64"/>
      <c r="BD221" s="70" t="s">
        <v>6126</v>
      </c>
      <c r="BE221" s="46" t="e">
        <v>#REF!</v>
      </c>
      <c r="BF221" s="46" t="s">
        <v>5325</v>
      </c>
      <c r="BG221" s="65">
        <v>4</v>
      </c>
      <c r="BH221" s="66"/>
      <c r="BI221" s="63" t="s">
        <v>6118</v>
      </c>
    </row>
    <row r="222" spans="1:61" ht="153" x14ac:dyDescent="0.2">
      <c r="A222" s="45" t="s">
        <v>6127</v>
      </c>
      <c r="B222" s="46"/>
      <c r="C222" s="46" t="s">
        <v>6083</v>
      </c>
      <c r="D222" s="46" t="s">
        <v>6084</v>
      </c>
      <c r="E222" s="46" t="s">
        <v>6098</v>
      </c>
      <c r="F222" s="46" t="s">
        <v>6093</v>
      </c>
      <c r="G222" s="46" t="s">
        <v>6108</v>
      </c>
      <c r="H222" s="46"/>
      <c r="I222" s="46"/>
      <c r="J222" s="46" t="s">
        <v>6123</v>
      </c>
      <c r="K222" s="47">
        <v>0</v>
      </c>
      <c r="L222" s="47">
        <f>L221*2</f>
        <v>400</v>
      </c>
      <c r="M222" s="47">
        <v>400</v>
      </c>
      <c r="N222" s="46"/>
      <c r="O222" s="71" t="s">
        <v>68</v>
      </c>
      <c r="P222" s="46" t="s">
        <v>6063</v>
      </c>
      <c r="Q222" s="46" t="s">
        <v>5325</v>
      </c>
      <c r="R222" s="46" t="s">
        <v>6059</v>
      </c>
      <c r="S222" s="49">
        <v>100</v>
      </c>
      <c r="T222" s="49">
        <v>500</v>
      </c>
      <c r="U222" s="50">
        <v>0</v>
      </c>
      <c r="V222" s="78">
        <v>-0.1</v>
      </c>
      <c r="W222" s="29" t="e">
        <v>#DIV/0!</v>
      </c>
      <c r="X222" s="52">
        <v>50</v>
      </c>
      <c r="Y222" s="52">
        <v>30</v>
      </c>
      <c r="Z222" s="52">
        <v>500</v>
      </c>
      <c r="AA222" s="52">
        <v>580</v>
      </c>
      <c r="AB222" s="53">
        <v>1.1599999999999999</v>
      </c>
      <c r="AC222" s="75">
        <v>0</v>
      </c>
      <c r="AD222" s="55">
        <v>0</v>
      </c>
      <c r="AE222" s="69">
        <v>1</v>
      </c>
      <c r="AF222" s="57" t="s">
        <v>77</v>
      </c>
      <c r="AG222" s="58">
        <v>0</v>
      </c>
      <c r="AH222" s="58">
        <v>400</v>
      </c>
      <c r="AI222" s="58">
        <v>400</v>
      </c>
      <c r="AJ222" s="49">
        <v>100</v>
      </c>
      <c r="AK222" s="49">
        <v>500</v>
      </c>
      <c r="AL222" s="52">
        <v>50</v>
      </c>
      <c r="AM222" s="52">
        <v>500</v>
      </c>
      <c r="AN222" s="52">
        <v>550</v>
      </c>
      <c r="AO222" s="59">
        <v>1.1000000000000001</v>
      </c>
      <c r="AP222" s="79">
        <v>-50</v>
      </c>
      <c r="AQ222" s="80">
        <v>-0.1</v>
      </c>
      <c r="AR222" s="60" t="s">
        <v>73</v>
      </c>
      <c r="AS222" s="62">
        <v>0</v>
      </c>
      <c r="AT222" s="62">
        <v>520</v>
      </c>
      <c r="AU222" s="62">
        <v>520</v>
      </c>
      <c r="AV222" s="62">
        <v>650</v>
      </c>
      <c r="AW222" s="47" t="s">
        <v>107</v>
      </c>
      <c r="AX222" s="64">
        <v>45339</v>
      </c>
      <c r="AY222" s="64" t="s">
        <v>6120</v>
      </c>
      <c r="BA222" s="64"/>
      <c r="BB222" s="64"/>
      <c r="BC222" s="64"/>
      <c r="BD222" s="46"/>
      <c r="BE222" s="46" t="e">
        <v>#REF!</v>
      </c>
      <c r="BF222" s="46" t="s">
        <v>5325</v>
      </c>
      <c r="BG222" s="65">
        <v>4</v>
      </c>
      <c r="BH222" s="66"/>
      <c r="BI222" s="63" t="s">
        <v>6121</v>
      </c>
    </row>
    <row r="223" spans="1:61" ht="140.25" x14ac:dyDescent="0.2">
      <c r="A223" s="45" t="s">
        <v>6128</v>
      </c>
      <c r="B223" s="46"/>
      <c r="C223" s="46" t="s">
        <v>6083</v>
      </c>
      <c r="D223" s="46" t="s">
        <v>6129</v>
      </c>
      <c r="E223" s="46" t="s">
        <v>6085</v>
      </c>
      <c r="F223" s="46" t="s">
        <v>6086</v>
      </c>
      <c r="G223" s="46" t="s">
        <v>6108</v>
      </c>
      <c r="H223" s="46"/>
      <c r="I223" s="46"/>
      <c r="J223" s="46" t="s">
        <v>6109</v>
      </c>
      <c r="K223" s="47">
        <v>0</v>
      </c>
      <c r="L223" s="47">
        <f>180*1.2</f>
        <v>216</v>
      </c>
      <c r="M223" s="47">
        <v>216</v>
      </c>
      <c r="N223" s="46"/>
      <c r="O223" s="71" t="s">
        <v>68</v>
      </c>
      <c r="P223" s="46" t="s">
        <v>6063</v>
      </c>
      <c r="Q223" s="46" t="s">
        <v>5325</v>
      </c>
      <c r="R223" s="46" t="s">
        <v>6059</v>
      </c>
      <c r="S223" s="49">
        <v>54</v>
      </c>
      <c r="T223" s="49">
        <v>270</v>
      </c>
      <c r="U223" s="50">
        <v>0</v>
      </c>
      <c r="V223" s="78">
        <v>-0.1</v>
      </c>
      <c r="W223" s="29" t="e">
        <v>#DIV/0!</v>
      </c>
      <c r="X223" s="52">
        <v>27</v>
      </c>
      <c r="Y223" s="52">
        <v>30</v>
      </c>
      <c r="Z223" s="52">
        <v>270</v>
      </c>
      <c r="AA223" s="52">
        <v>327</v>
      </c>
      <c r="AB223" s="53">
        <v>1.211111111111111</v>
      </c>
      <c r="AC223" s="75">
        <v>0</v>
      </c>
      <c r="AD223" s="55">
        <v>0</v>
      </c>
      <c r="AE223" s="69">
        <v>1</v>
      </c>
      <c r="AF223" s="57" t="s">
        <v>77</v>
      </c>
      <c r="AG223" s="58">
        <v>0</v>
      </c>
      <c r="AH223" s="58">
        <v>216</v>
      </c>
      <c r="AI223" s="58">
        <v>216</v>
      </c>
      <c r="AJ223" s="49">
        <v>54</v>
      </c>
      <c r="AK223" s="49">
        <v>270</v>
      </c>
      <c r="AL223" s="52">
        <v>27</v>
      </c>
      <c r="AM223" s="52">
        <v>270</v>
      </c>
      <c r="AN223" s="52">
        <v>297</v>
      </c>
      <c r="AO223" s="59">
        <v>1.1000000000000001</v>
      </c>
      <c r="AP223" s="79">
        <v>-27</v>
      </c>
      <c r="AQ223" s="80">
        <v>-0.1</v>
      </c>
      <c r="AR223" s="60" t="s">
        <v>73</v>
      </c>
      <c r="AS223" s="62">
        <v>0</v>
      </c>
      <c r="AT223" s="62">
        <v>281</v>
      </c>
      <c r="AU223" s="62">
        <v>281</v>
      </c>
      <c r="AV223" s="62">
        <v>351.25</v>
      </c>
      <c r="AW223" s="47" t="s">
        <v>107</v>
      </c>
      <c r="AX223" s="64">
        <v>45358</v>
      </c>
      <c r="AY223" s="64" t="s">
        <v>6130</v>
      </c>
      <c r="BA223" s="64"/>
      <c r="BB223" s="64"/>
      <c r="BC223" s="64"/>
      <c r="BD223" s="70" t="s">
        <v>6131</v>
      </c>
      <c r="BE223" s="46" t="e">
        <v>#REF!</v>
      </c>
      <c r="BF223" s="46" t="s">
        <v>5325</v>
      </c>
      <c r="BG223" s="65">
        <v>16</v>
      </c>
      <c r="BH223" s="66"/>
      <c r="BI223" s="63" t="s">
        <v>6132</v>
      </c>
    </row>
    <row r="224" spans="1:61" ht="140.25" x14ac:dyDescent="0.2">
      <c r="A224" s="45" t="s">
        <v>6133</v>
      </c>
      <c r="B224" s="46"/>
      <c r="C224" s="46" t="s">
        <v>6083</v>
      </c>
      <c r="D224" s="46" t="s">
        <v>6129</v>
      </c>
      <c r="E224" s="46" t="s">
        <v>6085</v>
      </c>
      <c r="F224" s="46" t="s">
        <v>6093</v>
      </c>
      <c r="G224" s="46" t="s">
        <v>6108</v>
      </c>
      <c r="H224" s="46"/>
      <c r="I224" s="46"/>
      <c r="J224" s="46" t="s">
        <v>6109</v>
      </c>
      <c r="K224" s="47">
        <v>0</v>
      </c>
      <c r="L224" s="47">
        <f>L223*2</f>
        <v>432</v>
      </c>
      <c r="M224" s="47">
        <v>432</v>
      </c>
      <c r="N224" s="46"/>
      <c r="O224" s="71" t="s">
        <v>68</v>
      </c>
      <c r="P224" s="46" t="s">
        <v>6063</v>
      </c>
      <c r="Q224" s="46" t="s">
        <v>5325</v>
      </c>
      <c r="R224" s="46" t="s">
        <v>6059</v>
      </c>
      <c r="S224" s="49">
        <v>108</v>
      </c>
      <c r="T224" s="49">
        <v>540</v>
      </c>
      <c r="U224" s="50">
        <v>0</v>
      </c>
      <c r="V224" s="78">
        <v>-0.1</v>
      </c>
      <c r="W224" s="29" t="e">
        <v>#DIV/0!</v>
      </c>
      <c r="X224" s="52">
        <v>54</v>
      </c>
      <c r="Y224" s="52">
        <v>30</v>
      </c>
      <c r="Z224" s="52">
        <v>540</v>
      </c>
      <c r="AA224" s="52">
        <v>624</v>
      </c>
      <c r="AB224" s="53">
        <v>1.1555555555555554</v>
      </c>
      <c r="AC224" s="75">
        <v>0</v>
      </c>
      <c r="AD224" s="55">
        <v>0</v>
      </c>
      <c r="AE224" s="69">
        <v>1</v>
      </c>
      <c r="AF224" s="57" t="s">
        <v>77</v>
      </c>
      <c r="AG224" s="58">
        <v>0</v>
      </c>
      <c r="AH224" s="58">
        <v>432</v>
      </c>
      <c r="AI224" s="58">
        <v>432</v>
      </c>
      <c r="AJ224" s="49">
        <v>108</v>
      </c>
      <c r="AK224" s="49">
        <v>540</v>
      </c>
      <c r="AL224" s="52">
        <v>54</v>
      </c>
      <c r="AM224" s="52">
        <v>540</v>
      </c>
      <c r="AN224" s="52">
        <v>594</v>
      </c>
      <c r="AO224" s="59">
        <v>1.1000000000000001</v>
      </c>
      <c r="AP224" s="79">
        <v>-54</v>
      </c>
      <c r="AQ224" s="80">
        <v>-0.1</v>
      </c>
      <c r="AR224" s="60" t="s">
        <v>73</v>
      </c>
      <c r="AS224" s="62">
        <v>0</v>
      </c>
      <c r="AT224" s="62">
        <v>562</v>
      </c>
      <c r="AU224" s="62">
        <v>562</v>
      </c>
      <c r="AV224" s="62">
        <v>702.5</v>
      </c>
      <c r="AW224" s="47" t="s">
        <v>107</v>
      </c>
      <c r="AX224" s="64">
        <v>45358</v>
      </c>
      <c r="AY224" s="64" t="s">
        <v>6134</v>
      </c>
      <c r="BA224" s="64"/>
      <c r="BB224" s="64"/>
      <c r="BC224" s="64"/>
      <c r="BD224" s="46"/>
      <c r="BE224" s="46" t="e">
        <v>#REF!</v>
      </c>
      <c r="BF224" s="46" t="s">
        <v>5325</v>
      </c>
      <c r="BG224" s="65">
        <v>16</v>
      </c>
      <c r="BH224" s="66"/>
      <c r="BI224" s="63" t="s">
        <v>6135</v>
      </c>
    </row>
    <row r="225" spans="1:61" ht="140.25" x14ac:dyDescent="0.2">
      <c r="A225" s="45" t="s">
        <v>6136</v>
      </c>
      <c r="B225" s="46"/>
      <c r="C225" s="46" t="s">
        <v>6083</v>
      </c>
      <c r="D225" s="46" t="s">
        <v>6129</v>
      </c>
      <c r="E225" s="46" t="s">
        <v>6098</v>
      </c>
      <c r="F225" s="46" t="s">
        <v>6086</v>
      </c>
      <c r="G225" s="46" t="s">
        <v>6108</v>
      </c>
      <c r="H225" s="46"/>
      <c r="I225" s="46"/>
      <c r="J225" s="46" t="s">
        <v>6109</v>
      </c>
      <c r="K225" s="47">
        <v>0</v>
      </c>
      <c r="L225" s="47">
        <f>L223+200</f>
        <v>416</v>
      </c>
      <c r="M225" s="47">
        <v>416</v>
      </c>
      <c r="N225" s="46"/>
      <c r="O225" s="71" t="s">
        <v>68</v>
      </c>
      <c r="P225" s="46" t="s">
        <v>6063</v>
      </c>
      <c r="Q225" s="46" t="s">
        <v>5325</v>
      </c>
      <c r="R225" s="46" t="s">
        <v>6059</v>
      </c>
      <c r="S225" s="49">
        <v>104</v>
      </c>
      <c r="T225" s="49">
        <v>520</v>
      </c>
      <c r="U225" s="50">
        <v>0</v>
      </c>
      <c r="V225" s="78">
        <v>-0.1</v>
      </c>
      <c r="W225" s="29" t="e">
        <v>#DIV/0!</v>
      </c>
      <c r="X225" s="52">
        <v>52</v>
      </c>
      <c r="Y225" s="52">
        <v>30</v>
      </c>
      <c r="Z225" s="52">
        <v>520</v>
      </c>
      <c r="AA225" s="52">
        <v>602</v>
      </c>
      <c r="AB225" s="53">
        <v>1.1576923076923078</v>
      </c>
      <c r="AC225" s="75">
        <v>0</v>
      </c>
      <c r="AD225" s="55">
        <v>0</v>
      </c>
      <c r="AE225" s="69">
        <v>1</v>
      </c>
      <c r="AF225" s="57" t="s">
        <v>77</v>
      </c>
      <c r="AG225" s="58">
        <v>0</v>
      </c>
      <c r="AH225" s="58">
        <v>416</v>
      </c>
      <c r="AI225" s="58">
        <v>416</v>
      </c>
      <c r="AJ225" s="49">
        <v>104</v>
      </c>
      <c r="AK225" s="49">
        <v>520</v>
      </c>
      <c r="AL225" s="52">
        <v>52</v>
      </c>
      <c r="AM225" s="52">
        <v>520</v>
      </c>
      <c r="AN225" s="52">
        <v>572</v>
      </c>
      <c r="AO225" s="59">
        <v>1.1000000000000001</v>
      </c>
      <c r="AP225" s="79">
        <v>-52</v>
      </c>
      <c r="AQ225" s="80">
        <v>-0.1</v>
      </c>
      <c r="AR225" s="60" t="s">
        <v>73</v>
      </c>
      <c r="AS225" s="62">
        <v>0</v>
      </c>
      <c r="AT225" s="62">
        <v>541</v>
      </c>
      <c r="AU225" s="62">
        <v>541</v>
      </c>
      <c r="AV225" s="62">
        <v>676.25</v>
      </c>
      <c r="AW225" s="47" t="s">
        <v>107</v>
      </c>
      <c r="AX225" s="64">
        <v>45358</v>
      </c>
      <c r="AY225" s="64" t="s">
        <v>6137</v>
      </c>
      <c r="BA225" s="64"/>
      <c r="BB225" s="64"/>
      <c r="BC225" s="64"/>
      <c r="BD225" s="46"/>
      <c r="BE225" s="46" t="e">
        <v>#REF!</v>
      </c>
      <c r="BF225" s="46" t="s">
        <v>5325</v>
      </c>
      <c r="BG225" s="65">
        <v>16</v>
      </c>
      <c r="BH225" s="66"/>
      <c r="BI225" s="63" t="s">
        <v>6138</v>
      </c>
    </row>
    <row r="226" spans="1:61" ht="153" x14ac:dyDescent="0.2">
      <c r="A226" s="45" t="s">
        <v>6139</v>
      </c>
      <c r="B226" s="46"/>
      <c r="C226" s="46" t="s">
        <v>6083</v>
      </c>
      <c r="D226" s="46" t="s">
        <v>6129</v>
      </c>
      <c r="E226" s="46" t="s">
        <v>6098</v>
      </c>
      <c r="F226" s="46" t="s">
        <v>6093</v>
      </c>
      <c r="G226" s="46" t="s">
        <v>6108</v>
      </c>
      <c r="H226" s="46"/>
      <c r="I226" s="46"/>
      <c r="J226" s="46" t="s">
        <v>6109</v>
      </c>
      <c r="K226" s="47">
        <v>0</v>
      </c>
      <c r="L226" s="47">
        <f>L225*2</f>
        <v>832</v>
      </c>
      <c r="M226" s="47">
        <v>832</v>
      </c>
      <c r="N226" s="46"/>
      <c r="O226" s="71" t="s">
        <v>68</v>
      </c>
      <c r="P226" s="46" t="s">
        <v>6063</v>
      </c>
      <c r="Q226" s="46" t="s">
        <v>5325</v>
      </c>
      <c r="R226" s="46" t="s">
        <v>6059</v>
      </c>
      <c r="S226" s="49">
        <v>208</v>
      </c>
      <c r="T226" s="49">
        <v>1040</v>
      </c>
      <c r="U226" s="50">
        <v>0</v>
      </c>
      <c r="V226" s="78">
        <v>-0.1</v>
      </c>
      <c r="W226" s="29" t="e">
        <v>#DIV/0!</v>
      </c>
      <c r="X226" s="52">
        <v>104</v>
      </c>
      <c r="Y226" s="52">
        <v>30</v>
      </c>
      <c r="Z226" s="52">
        <v>1040</v>
      </c>
      <c r="AA226" s="52">
        <v>1174</v>
      </c>
      <c r="AB226" s="53">
        <v>1.1288461538461538</v>
      </c>
      <c r="AC226" s="75">
        <v>0</v>
      </c>
      <c r="AD226" s="55">
        <v>0</v>
      </c>
      <c r="AE226" s="69">
        <v>1</v>
      </c>
      <c r="AF226" s="57" t="s">
        <v>77</v>
      </c>
      <c r="AG226" s="58">
        <v>0</v>
      </c>
      <c r="AH226" s="58">
        <v>832</v>
      </c>
      <c r="AI226" s="58">
        <v>832</v>
      </c>
      <c r="AJ226" s="49">
        <v>208</v>
      </c>
      <c r="AK226" s="49">
        <v>1040</v>
      </c>
      <c r="AL226" s="52">
        <v>104</v>
      </c>
      <c r="AM226" s="52">
        <v>1040</v>
      </c>
      <c r="AN226" s="52">
        <v>1144</v>
      </c>
      <c r="AO226" s="59">
        <v>1.1000000000000001</v>
      </c>
      <c r="AP226" s="79">
        <v>-104</v>
      </c>
      <c r="AQ226" s="80">
        <v>-0.1</v>
      </c>
      <c r="AR226" s="60" t="s">
        <v>73</v>
      </c>
      <c r="AS226" s="62">
        <v>0</v>
      </c>
      <c r="AT226" s="62">
        <v>1082</v>
      </c>
      <c r="AU226" s="62">
        <v>1082</v>
      </c>
      <c r="AV226" s="62">
        <v>1352.5</v>
      </c>
      <c r="AW226" s="47" t="s">
        <v>107</v>
      </c>
      <c r="AX226" s="64">
        <v>45358</v>
      </c>
      <c r="AY226" s="64" t="s">
        <v>6140</v>
      </c>
      <c r="BA226" s="64"/>
      <c r="BB226" s="64"/>
      <c r="BC226" s="64"/>
      <c r="BD226" s="46"/>
      <c r="BE226" s="46" t="e">
        <v>#REF!</v>
      </c>
      <c r="BF226" s="46" t="s">
        <v>5325</v>
      </c>
      <c r="BG226" s="65">
        <v>16</v>
      </c>
      <c r="BH226" s="66"/>
      <c r="BI226" s="63" t="s">
        <v>6141</v>
      </c>
    </row>
    <row r="227" spans="1:61" ht="140.25" x14ac:dyDescent="0.2">
      <c r="A227" s="45" t="s">
        <v>6142</v>
      </c>
      <c r="B227" s="46"/>
      <c r="C227" s="46" t="s">
        <v>6083</v>
      </c>
      <c r="D227" s="46" t="s">
        <v>6129</v>
      </c>
      <c r="E227" s="46" t="s">
        <v>6085</v>
      </c>
      <c r="F227" s="46" t="s">
        <v>6086</v>
      </c>
      <c r="G227" s="46" t="s">
        <v>6108</v>
      </c>
      <c r="H227" s="46"/>
      <c r="I227" s="46"/>
      <c r="J227" s="46" t="s">
        <v>6123</v>
      </c>
      <c r="K227" s="47">
        <v>0</v>
      </c>
      <c r="L227" s="47">
        <f>60*1.2</f>
        <v>72</v>
      </c>
      <c r="M227" s="47">
        <v>72</v>
      </c>
      <c r="N227" s="46"/>
      <c r="O227" s="71" t="s">
        <v>68</v>
      </c>
      <c r="P227" s="46" t="s">
        <v>6063</v>
      </c>
      <c r="Q227" s="46" t="s">
        <v>5325</v>
      </c>
      <c r="R227" s="46" t="s">
        <v>6059</v>
      </c>
      <c r="S227" s="49">
        <v>18</v>
      </c>
      <c r="T227" s="49">
        <v>90</v>
      </c>
      <c r="U227" s="50">
        <v>0</v>
      </c>
      <c r="V227" s="78">
        <v>-0.1</v>
      </c>
      <c r="W227" s="29" t="e">
        <v>#DIV/0!</v>
      </c>
      <c r="X227" s="52">
        <v>9</v>
      </c>
      <c r="Y227" s="52">
        <v>30</v>
      </c>
      <c r="Z227" s="52">
        <v>90</v>
      </c>
      <c r="AA227" s="52">
        <v>129</v>
      </c>
      <c r="AB227" s="53">
        <v>1.4333333333333333</v>
      </c>
      <c r="AC227" s="75">
        <v>0</v>
      </c>
      <c r="AD227" s="55">
        <v>0</v>
      </c>
      <c r="AE227" s="69">
        <v>1</v>
      </c>
      <c r="AF227" s="57" t="s">
        <v>77</v>
      </c>
      <c r="AG227" s="58">
        <v>0</v>
      </c>
      <c r="AH227" s="58">
        <v>72</v>
      </c>
      <c r="AI227" s="58">
        <v>72</v>
      </c>
      <c r="AJ227" s="49">
        <v>18</v>
      </c>
      <c r="AK227" s="49">
        <v>90</v>
      </c>
      <c r="AL227" s="52">
        <v>9</v>
      </c>
      <c r="AM227" s="52">
        <v>90</v>
      </c>
      <c r="AN227" s="52">
        <v>99</v>
      </c>
      <c r="AO227" s="59">
        <v>1.1000000000000001</v>
      </c>
      <c r="AP227" s="79">
        <v>-9</v>
      </c>
      <c r="AQ227" s="80">
        <v>-0.1</v>
      </c>
      <c r="AR227" s="60" t="s">
        <v>73</v>
      </c>
      <c r="AS227" s="62">
        <v>0</v>
      </c>
      <c r="AT227" s="62">
        <v>94</v>
      </c>
      <c r="AU227" s="62">
        <v>94</v>
      </c>
      <c r="AV227" s="62">
        <v>117.5</v>
      </c>
      <c r="AW227" s="47" t="s">
        <v>107</v>
      </c>
      <c r="AX227" s="64">
        <v>45358</v>
      </c>
      <c r="AY227" s="64" t="s">
        <v>6130</v>
      </c>
      <c r="BA227" s="64"/>
      <c r="BB227" s="64"/>
      <c r="BC227" s="64"/>
      <c r="BD227" s="70" t="s">
        <v>6143</v>
      </c>
      <c r="BE227" s="46" t="e">
        <v>#REF!</v>
      </c>
      <c r="BF227" s="46" t="s">
        <v>5325</v>
      </c>
      <c r="BG227" s="65">
        <v>4</v>
      </c>
      <c r="BH227" s="66"/>
      <c r="BI227" s="63" t="s">
        <v>6132</v>
      </c>
    </row>
    <row r="228" spans="1:61" ht="140.25" x14ac:dyDescent="0.2">
      <c r="A228" s="45" t="s">
        <v>6144</v>
      </c>
      <c r="B228" s="46"/>
      <c r="C228" s="46" t="s">
        <v>6083</v>
      </c>
      <c r="D228" s="46" t="s">
        <v>6129</v>
      </c>
      <c r="E228" s="46" t="s">
        <v>6085</v>
      </c>
      <c r="F228" s="46" t="s">
        <v>6093</v>
      </c>
      <c r="G228" s="46" t="s">
        <v>6108</v>
      </c>
      <c r="H228" s="46"/>
      <c r="I228" s="46"/>
      <c r="J228" s="46" t="s">
        <v>6123</v>
      </c>
      <c r="K228" s="47">
        <v>0</v>
      </c>
      <c r="L228" s="47">
        <f>L227*2</f>
        <v>144</v>
      </c>
      <c r="M228" s="47">
        <v>144</v>
      </c>
      <c r="N228" s="46"/>
      <c r="O228" s="71" t="s">
        <v>68</v>
      </c>
      <c r="P228" s="46" t="s">
        <v>6063</v>
      </c>
      <c r="Q228" s="46" t="s">
        <v>5325</v>
      </c>
      <c r="R228" s="46" t="s">
        <v>6059</v>
      </c>
      <c r="S228" s="49">
        <v>36</v>
      </c>
      <c r="T228" s="49">
        <v>180</v>
      </c>
      <c r="U228" s="50">
        <v>0</v>
      </c>
      <c r="V228" s="78">
        <v>-0.1</v>
      </c>
      <c r="W228" s="29" t="e">
        <v>#DIV/0!</v>
      </c>
      <c r="X228" s="52">
        <v>18</v>
      </c>
      <c r="Y228" s="52">
        <v>30</v>
      </c>
      <c r="Z228" s="52">
        <v>180</v>
      </c>
      <c r="AA228" s="52">
        <v>228</v>
      </c>
      <c r="AB228" s="53">
        <v>1.2666666666666666</v>
      </c>
      <c r="AC228" s="75">
        <v>0</v>
      </c>
      <c r="AD228" s="55">
        <v>0</v>
      </c>
      <c r="AE228" s="69">
        <v>1</v>
      </c>
      <c r="AF228" s="57" t="s">
        <v>77</v>
      </c>
      <c r="AG228" s="58">
        <v>0</v>
      </c>
      <c r="AH228" s="58">
        <v>144</v>
      </c>
      <c r="AI228" s="58">
        <v>144</v>
      </c>
      <c r="AJ228" s="49">
        <v>36</v>
      </c>
      <c r="AK228" s="49">
        <v>180</v>
      </c>
      <c r="AL228" s="52">
        <v>18</v>
      </c>
      <c r="AM228" s="52">
        <v>180</v>
      </c>
      <c r="AN228" s="52">
        <v>198</v>
      </c>
      <c r="AO228" s="59">
        <v>1.1000000000000001</v>
      </c>
      <c r="AP228" s="79">
        <v>-18</v>
      </c>
      <c r="AQ228" s="80">
        <v>-0.1</v>
      </c>
      <c r="AR228" s="60" t="s">
        <v>73</v>
      </c>
      <c r="AS228" s="62">
        <v>0</v>
      </c>
      <c r="AT228" s="62">
        <v>188</v>
      </c>
      <c r="AU228" s="62">
        <v>188</v>
      </c>
      <c r="AV228" s="62">
        <v>235</v>
      </c>
      <c r="AW228" s="47" t="s">
        <v>107</v>
      </c>
      <c r="AX228" s="64">
        <v>45358</v>
      </c>
      <c r="AY228" s="64" t="s">
        <v>6134</v>
      </c>
      <c r="BA228" s="64"/>
      <c r="BB228" s="64"/>
      <c r="BC228" s="64"/>
      <c r="BD228" s="46"/>
      <c r="BE228" s="46" t="e">
        <v>#REF!</v>
      </c>
      <c r="BF228" s="46" t="s">
        <v>5325</v>
      </c>
      <c r="BG228" s="65">
        <v>4</v>
      </c>
      <c r="BH228" s="66"/>
      <c r="BI228" s="63" t="s">
        <v>6135</v>
      </c>
    </row>
    <row r="229" spans="1:61" ht="140.25" x14ac:dyDescent="0.2">
      <c r="A229" s="45" t="s">
        <v>6145</v>
      </c>
      <c r="B229" s="46"/>
      <c r="C229" s="46" t="s">
        <v>6083</v>
      </c>
      <c r="D229" s="46" t="s">
        <v>6129</v>
      </c>
      <c r="E229" s="46" t="s">
        <v>6098</v>
      </c>
      <c r="F229" s="46" t="s">
        <v>6086</v>
      </c>
      <c r="G229" s="46" t="s">
        <v>6108</v>
      </c>
      <c r="H229" s="46"/>
      <c r="I229" s="46"/>
      <c r="J229" s="46" t="s">
        <v>6123</v>
      </c>
      <c r="K229" s="47">
        <v>0</v>
      </c>
      <c r="L229" s="47">
        <v>130</v>
      </c>
      <c r="M229" s="47">
        <v>130</v>
      </c>
      <c r="N229" s="46"/>
      <c r="O229" s="71" t="s">
        <v>68</v>
      </c>
      <c r="P229" s="46" t="s">
        <v>6063</v>
      </c>
      <c r="Q229" s="46" t="s">
        <v>5325</v>
      </c>
      <c r="R229" s="46" t="s">
        <v>6059</v>
      </c>
      <c r="S229" s="49">
        <v>32.5</v>
      </c>
      <c r="T229" s="49">
        <v>162.5</v>
      </c>
      <c r="U229" s="50">
        <v>0</v>
      </c>
      <c r="V229" s="78">
        <v>-0.1</v>
      </c>
      <c r="W229" s="29" t="e">
        <v>#DIV/0!</v>
      </c>
      <c r="X229" s="52">
        <v>16.25</v>
      </c>
      <c r="Y229" s="52">
        <v>30</v>
      </c>
      <c r="Z229" s="52">
        <v>162.5</v>
      </c>
      <c r="AA229" s="52">
        <v>208.75</v>
      </c>
      <c r="AB229" s="53">
        <v>1.2846153846153847</v>
      </c>
      <c r="AC229" s="75">
        <v>0</v>
      </c>
      <c r="AD229" s="55">
        <v>0</v>
      </c>
      <c r="AE229" s="69">
        <v>1</v>
      </c>
      <c r="AF229" s="57" t="s">
        <v>77</v>
      </c>
      <c r="AG229" s="58">
        <v>0</v>
      </c>
      <c r="AH229" s="58">
        <v>130</v>
      </c>
      <c r="AI229" s="58">
        <v>130</v>
      </c>
      <c r="AJ229" s="49">
        <v>32.5</v>
      </c>
      <c r="AK229" s="49">
        <v>162.5</v>
      </c>
      <c r="AL229" s="52">
        <v>16.25</v>
      </c>
      <c r="AM229" s="52">
        <v>162.5</v>
      </c>
      <c r="AN229" s="52">
        <v>178.75</v>
      </c>
      <c r="AO229" s="59">
        <v>1.1000000000000001</v>
      </c>
      <c r="AP229" s="79">
        <v>-16.25</v>
      </c>
      <c r="AQ229" s="80">
        <v>-0.1</v>
      </c>
      <c r="AR229" s="60" t="s">
        <v>73</v>
      </c>
      <c r="AS229" s="62">
        <v>0</v>
      </c>
      <c r="AT229" s="62">
        <v>169</v>
      </c>
      <c r="AU229" s="62">
        <v>169</v>
      </c>
      <c r="AV229" s="62">
        <v>211.25</v>
      </c>
      <c r="AW229" s="47" t="s">
        <v>107</v>
      </c>
      <c r="AX229" s="64">
        <v>45358</v>
      </c>
      <c r="AY229" s="64" t="s">
        <v>6137</v>
      </c>
      <c r="BA229" s="64"/>
      <c r="BB229" s="64"/>
      <c r="BC229" s="64"/>
      <c r="BD229" s="46"/>
      <c r="BE229" s="46" t="e">
        <v>#REF!</v>
      </c>
      <c r="BF229" s="46" t="s">
        <v>5325</v>
      </c>
      <c r="BG229" s="65">
        <v>4</v>
      </c>
      <c r="BH229" s="66"/>
      <c r="BI229" s="63" t="s">
        <v>6138</v>
      </c>
    </row>
    <row r="230" spans="1:61" ht="153" x14ac:dyDescent="0.2">
      <c r="A230" s="45" t="s">
        <v>6146</v>
      </c>
      <c r="B230" s="46"/>
      <c r="C230" s="46" t="s">
        <v>6083</v>
      </c>
      <c r="D230" s="46" t="s">
        <v>6129</v>
      </c>
      <c r="E230" s="46" t="s">
        <v>6098</v>
      </c>
      <c r="F230" s="46" t="s">
        <v>6093</v>
      </c>
      <c r="G230" s="46" t="s">
        <v>6108</v>
      </c>
      <c r="H230" s="46"/>
      <c r="I230" s="46"/>
      <c r="J230" s="46" t="s">
        <v>6123</v>
      </c>
      <c r="K230" s="47">
        <v>0</v>
      </c>
      <c r="L230" s="47">
        <f>L229*2</f>
        <v>260</v>
      </c>
      <c r="M230" s="47">
        <v>260</v>
      </c>
      <c r="N230" s="46"/>
      <c r="O230" s="71" t="s">
        <v>68</v>
      </c>
      <c r="P230" s="46" t="s">
        <v>6063</v>
      </c>
      <c r="Q230" s="46" t="s">
        <v>5325</v>
      </c>
      <c r="R230" s="46" t="s">
        <v>6059</v>
      </c>
      <c r="S230" s="49">
        <v>65</v>
      </c>
      <c r="T230" s="49">
        <v>325</v>
      </c>
      <c r="U230" s="50">
        <v>0</v>
      </c>
      <c r="V230" s="78">
        <v>-0.1</v>
      </c>
      <c r="W230" s="29" t="e">
        <v>#DIV/0!</v>
      </c>
      <c r="X230" s="52">
        <v>32.5</v>
      </c>
      <c r="Y230" s="52">
        <v>30</v>
      </c>
      <c r="Z230" s="52">
        <v>325</v>
      </c>
      <c r="AA230" s="52">
        <v>387.5</v>
      </c>
      <c r="AB230" s="53">
        <v>1.1923076923076923</v>
      </c>
      <c r="AC230" s="75">
        <v>0</v>
      </c>
      <c r="AD230" s="55">
        <v>0</v>
      </c>
      <c r="AE230" s="69">
        <v>1</v>
      </c>
      <c r="AF230" s="57" t="s">
        <v>77</v>
      </c>
      <c r="AG230" s="58">
        <v>0</v>
      </c>
      <c r="AH230" s="58">
        <v>260</v>
      </c>
      <c r="AI230" s="58">
        <v>260</v>
      </c>
      <c r="AJ230" s="49">
        <v>65</v>
      </c>
      <c r="AK230" s="49">
        <v>325</v>
      </c>
      <c r="AL230" s="52">
        <v>32.5</v>
      </c>
      <c r="AM230" s="52">
        <v>325</v>
      </c>
      <c r="AN230" s="52">
        <v>357.5</v>
      </c>
      <c r="AO230" s="59">
        <v>1.1000000000000001</v>
      </c>
      <c r="AP230" s="79">
        <v>-32.5</v>
      </c>
      <c r="AQ230" s="80">
        <v>-0.1</v>
      </c>
      <c r="AR230" s="60" t="s">
        <v>73</v>
      </c>
      <c r="AS230" s="62">
        <v>0</v>
      </c>
      <c r="AT230" s="62">
        <v>338</v>
      </c>
      <c r="AU230" s="62">
        <v>338</v>
      </c>
      <c r="AV230" s="62">
        <v>422.5</v>
      </c>
      <c r="AW230" s="47" t="s">
        <v>107</v>
      </c>
      <c r="AX230" s="64">
        <v>45358</v>
      </c>
      <c r="AY230" s="64" t="s">
        <v>6140</v>
      </c>
      <c r="BA230" s="64"/>
      <c r="BB230" s="64"/>
      <c r="BC230" s="64"/>
      <c r="BD230" s="46"/>
      <c r="BE230" s="46" t="e">
        <v>#REF!</v>
      </c>
      <c r="BF230" s="46" t="s">
        <v>5325</v>
      </c>
      <c r="BG230" s="65">
        <v>4</v>
      </c>
      <c r="BH230" s="66"/>
      <c r="BI230" s="63" t="s">
        <v>6141</v>
      </c>
    </row>
    <row r="231" spans="1:61" ht="140.25" x14ac:dyDescent="0.2">
      <c r="A231" s="45" t="s">
        <v>6147</v>
      </c>
      <c r="B231" s="46"/>
      <c r="C231" s="46" t="s">
        <v>6083</v>
      </c>
      <c r="D231" s="46" t="s">
        <v>6148</v>
      </c>
      <c r="E231" s="46" t="s">
        <v>6085</v>
      </c>
      <c r="F231" s="46" t="s">
        <v>6086</v>
      </c>
      <c r="G231" s="46" t="s">
        <v>6108</v>
      </c>
      <c r="H231" s="46"/>
      <c r="I231" s="46"/>
      <c r="J231" s="46" t="s">
        <v>6109</v>
      </c>
      <c r="K231" s="47">
        <v>0</v>
      </c>
      <c r="L231" s="47">
        <f>440*1.2</f>
        <v>528</v>
      </c>
      <c r="M231" s="47">
        <v>528</v>
      </c>
      <c r="N231" s="46"/>
      <c r="O231" s="71" t="s">
        <v>68</v>
      </c>
      <c r="P231" s="46" t="s">
        <v>6063</v>
      </c>
      <c r="Q231" s="46" t="s">
        <v>5325</v>
      </c>
      <c r="R231" s="46" t="s">
        <v>6059</v>
      </c>
      <c r="S231" s="49">
        <v>132</v>
      </c>
      <c r="T231" s="49">
        <v>660</v>
      </c>
      <c r="U231" s="50">
        <v>0</v>
      </c>
      <c r="V231" s="78">
        <v>-0.1</v>
      </c>
      <c r="W231" s="29" t="e">
        <v>#DIV/0!</v>
      </c>
      <c r="X231" s="52">
        <v>66</v>
      </c>
      <c r="Y231" s="52">
        <v>30</v>
      </c>
      <c r="Z231" s="52">
        <v>660</v>
      </c>
      <c r="AA231" s="52">
        <v>756</v>
      </c>
      <c r="AB231" s="53">
        <v>1.1454545454545455</v>
      </c>
      <c r="AC231" s="75">
        <v>0</v>
      </c>
      <c r="AD231" s="55">
        <v>0</v>
      </c>
      <c r="AE231" s="69">
        <v>1</v>
      </c>
      <c r="AF231" s="57" t="s">
        <v>77</v>
      </c>
      <c r="AG231" s="58">
        <v>0</v>
      </c>
      <c r="AH231" s="58">
        <v>528</v>
      </c>
      <c r="AI231" s="58">
        <v>528</v>
      </c>
      <c r="AJ231" s="49">
        <v>132</v>
      </c>
      <c r="AK231" s="49">
        <v>660</v>
      </c>
      <c r="AL231" s="52">
        <v>66</v>
      </c>
      <c r="AM231" s="52">
        <v>660</v>
      </c>
      <c r="AN231" s="52">
        <v>726</v>
      </c>
      <c r="AO231" s="59">
        <v>1.1000000000000001</v>
      </c>
      <c r="AP231" s="79">
        <v>-66</v>
      </c>
      <c r="AQ231" s="80">
        <v>-0.1</v>
      </c>
      <c r="AR231" s="60" t="s">
        <v>73</v>
      </c>
      <c r="AS231" s="62">
        <v>0</v>
      </c>
      <c r="AT231" s="62">
        <v>687</v>
      </c>
      <c r="AU231" s="62">
        <v>687</v>
      </c>
      <c r="AV231" s="62">
        <v>858.75</v>
      </c>
      <c r="AW231" s="47" t="s">
        <v>107</v>
      </c>
      <c r="AX231" s="64">
        <v>45358</v>
      </c>
      <c r="AY231" s="64" t="s">
        <v>6149</v>
      </c>
      <c r="BA231" s="64"/>
      <c r="BB231" s="64"/>
      <c r="BC231" s="64"/>
      <c r="BD231" s="70" t="s">
        <v>6150</v>
      </c>
      <c r="BE231" s="46" t="e">
        <v>#REF!</v>
      </c>
      <c r="BF231" s="46" t="s">
        <v>5325</v>
      </c>
      <c r="BG231" s="65">
        <v>16</v>
      </c>
      <c r="BH231" s="66"/>
      <c r="BI231" s="63" t="s">
        <v>6151</v>
      </c>
    </row>
    <row r="232" spans="1:61" ht="140.25" x14ac:dyDescent="0.2">
      <c r="A232" s="45" t="s">
        <v>6152</v>
      </c>
      <c r="B232" s="46"/>
      <c r="C232" s="46" t="s">
        <v>6083</v>
      </c>
      <c r="D232" s="46" t="s">
        <v>6148</v>
      </c>
      <c r="E232" s="46" t="s">
        <v>6085</v>
      </c>
      <c r="F232" s="46" t="s">
        <v>6093</v>
      </c>
      <c r="G232" s="46" t="s">
        <v>6108</v>
      </c>
      <c r="H232" s="46"/>
      <c r="I232" s="46"/>
      <c r="J232" s="46" t="s">
        <v>6109</v>
      </c>
      <c r="K232" s="47">
        <v>0</v>
      </c>
      <c r="L232" s="47">
        <f>L231*2</f>
        <v>1056</v>
      </c>
      <c r="M232" s="47">
        <v>1056</v>
      </c>
      <c r="N232" s="46"/>
      <c r="O232" s="71" t="s">
        <v>68</v>
      </c>
      <c r="P232" s="46" t="s">
        <v>6063</v>
      </c>
      <c r="Q232" s="46" t="s">
        <v>5325</v>
      </c>
      <c r="R232" s="46" t="s">
        <v>6059</v>
      </c>
      <c r="S232" s="49">
        <v>264</v>
      </c>
      <c r="T232" s="49">
        <v>1320</v>
      </c>
      <c r="U232" s="50">
        <v>0</v>
      </c>
      <c r="V232" s="78">
        <v>-0.1</v>
      </c>
      <c r="W232" s="29" t="e">
        <v>#DIV/0!</v>
      </c>
      <c r="X232" s="52">
        <v>132</v>
      </c>
      <c r="Y232" s="52">
        <v>30</v>
      </c>
      <c r="Z232" s="52">
        <v>1320</v>
      </c>
      <c r="AA232" s="52">
        <v>1482</v>
      </c>
      <c r="AB232" s="53">
        <v>1.1227272727272728</v>
      </c>
      <c r="AC232" s="75">
        <v>0</v>
      </c>
      <c r="AD232" s="55">
        <v>0</v>
      </c>
      <c r="AE232" s="69">
        <v>1</v>
      </c>
      <c r="AF232" s="57" t="s">
        <v>77</v>
      </c>
      <c r="AG232" s="58">
        <v>0</v>
      </c>
      <c r="AH232" s="58">
        <v>1056</v>
      </c>
      <c r="AI232" s="58">
        <v>1056</v>
      </c>
      <c r="AJ232" s="49">
        <v>264</v>
      </c>
      <c r="AK232" s="49">
        <v>1320</v>
      </c>
      <c r="AL232" s="52">
        <v>132</v>
      </c>
      <c r="AM232" s="52">
        <v>1320</v>
      </c>
      <c r="AN232" s="52">
        <v>1452</v>
      </c>
      <c r="AO232" s="59">
        <v>1.1000000000000001</v>
      </c>
      <c r="AP232" s="79">
        <v>-132</v>
      </c>
      <c r="AQ232" s="80">
        <v>-0.1</v>
      </c>
      <c r="AR232" s="60" t="s">
        <v>73</v>
      </c>
      <c r="AS232" s="62">
        <v>0</v>
      </c>
      <c r="AT232" s="62">
        <v>1373</v>
      </c>
      <c r="AU232" s="62">
        <v>1373</v>
      </c>
      <c r="AV232" s="62">
        <v>1716.25</v>
      </c>
      <c r="AW232" s="47" t="s">
        <v>107</v>
      </c>
      <c r="AX232" s="64">
        <v>45358</v>
      </c>
      <c r="AY232" s="64" t="s">
        <v>6153</v>
      </c>
      <c r="BA232" s="64"/>
      <c r="BB232" s="64"/>
      <c r="BC232" s="64"/>
      <c r="BD232" s="46"/>
      <c r="BE232" s="46" t="e">
        <v>#REF!</v>
      </c>
      <c r="BF232" s="46" t="s">
        <v>5325</v>
      </c>
      <c r="BG232" s="65">
        <v>16</v>
      </c>
      <c r="BH232" s="66"/>
      <c r="BI232" s="63" t="s">
        <v>6154</v>
      </c>
    </row>
    <row r="233" spans="1:61" ht="140.25" x14ac:dyDescent="0.2">
      <c r="A233" s="45" t="s">
        <v>6155</v>
      </c>
      <c r="B233" s="46"/>
      <c r="C233" s="46" t="s">
        <v>6083</v>
      </c>
      <c r="D233" s="46" t="s">
        <v>6148</v>
      </c>
      <c r="E233" s="46" t="s">
        <v>6098</v>
      </c>
      <c r="F233" s="46" t="s">
        <v>6086</v>
      </c>
      <c r="G233" s="46" t="s">
        <v>6108</v>
      </c>
      <c r="H233" s="46"/>
      <c r="I233" s="46"/>
      <c r="J233" s="46" t="s">
        <v>6109</v>
      </c>
      <c r="K233" s="47">
        <v>0</v>
      </c>
      <c r="L233" s="47">
        <f>650*1.2</f>
        <v>780</v>
      </c>
      <c r="M233" s="47">
        <v>780</v>
      </c>
      <c r="N233" s="46"/>
      <c r="O233" s="71" t="s">
        <v>68</v>
      </c>
      <c r="P233" s="46" t="s">
        <v>6063</v>
      </c>
      <c r="Q233" s="46" t="s">
        <v>5325</v>
      </c>
      <c r="R233" s="46" t="s">
        <v>6059</v>
      </c>
      <c r="S233" s="49">
        <v>195</v>
      </c>
      <c r="T233" s="49">
        <v>975</v>
      </c>
      <c r="U233" s="50">
        <v>0</v>
      </c>
      <c r="V233" s="78">
        <v>-0.1</v>
      </c>
      <c r="W233" s="29" t="e">
        <v>#DIV/0!</v>
      </c>
      <c r="X233" s="52">
        <v>97.5</v>
      </c>
      <c r="Y233" s="52">
        <v>30</v>
      </c>
      <c r="Z233" s="52">
        <v>975</v>
      </c>
      <c r="AA233" s="52">
        <v>1102.5</v>
      </c>
      <c r="AB233" s="53">
        <v>1.1307692307692307</v>
      </c>
      <c r="AC233" s="75">
        <v>0</v>
      </c>
      <c r="AD233" s="55">
        <v>0</v>
      </c>
      <c r="AE233" s="69">
        <v>1</v>
      </c>
      <c r="AF233" s="57" t="s">
        <v>77</v>
      </c>
      <c r="AG233" s="58">
        <v>0</v>
      </c>
      <c r="AH233" s="58">
        <v>780</v>
      </c>
      <c r="AI233" s="58">
        <v>780</v>
      </c>
      <c r="AJ233" s="49">
        <v>195</v>
      </c>
      <c r="AK233" s="49">
        <v>975</v>
      </c>
      <c r="AL233" s="52">
        <v>97.5</v>
      </c>
      <c r="AM233" s="52">
        <v>975</v>
      </c>
      <c r="AN233" s="52">
        <v>1072.5</v>
      </c>
      <c r="AO233" s="59">
        <v>1.1000000000000001</v>
      </c>
      <c r="AP233" s="79">
        <v>-97.5</v>
      </c>
      <c r="AQ233" s="80">
        <v>-0.1</v>
      </c>
      <c r="AR233" s="60" t="s">
        <v>73</v>
      </c>
      <c r="AS233" s="62">
        <v>0</v>
      </c>
      <c r="AT233" s="62">
        <v>1014</v>
      </c>
      <c r="AU233" s="62">
        <v>1014</v>
      </c>
      <c r="AV233" s="62">
        <v>1267.5</v>
      </c>
      <c r="AW233" s="47" t="s">
        <v>107</v>
      </c>
      <c r="AX233" s="64">
        <v>45358</v>
      </c>
      <c r="AY233" s="64" t="s">
        <v>6156</v>
      </c>
      <c r="BA233" s="64"/>
      <c r="BB233" s="64"/>
      <c r="BC233" s="64"/>
      <c r="BD233" s="70" t="s">
        <v>6157</v>
      </c>
      <c r="BE233" s="46" t="e">
        <v>#REF!</v>
      </c>
      <c r="BF233" s="46" t="s">
        <v>5325</v>
      </c>
      <c r="BG233" s="65">
        <v>16</v>
      </c>
      <c r="BH233" s="66"/>
      <c r="BI233" s="63" t="s">
        <v>6158</v>
      </c>
    </row>
    <row r="234" spans="1:61" ht="153" x14ac:dyDescent="0.2">
      <c r="A234" s="45" t="s">
        <v>6159</v>
      </c>
      <c r="B234" s="46"/>
      <c r="C234" s="46" t="s">
        <v>6083</v>
      </c>
      <c r="D234" s="46" t="s">
        <v>6148</v>
      </c>
      <c r="E234" s="46" t="s">
        <v>6098</v>
      </c>
      <c r="F234" s="46" t="s">
        <v>6093</v>
      </c>
      <c r="G234" s="46" t="s">
        <v>6108</v>
      </c>
      <c r="H234" s="46"/>
      <c r="I234" s="46"/>
      <c r="J234" s="46" t="s">
        <v>6109</v>
      </c>
      <c r="K234" s="47">
        <v>0</v>
      </c>
      <c r="L234" s="47">
        <f>L233*2</f>
        <v>1560</v>
      </c>
      <c r="M234" s="47">
        <v>1560</v>
      </c>
      <c r="N234" s="46"/>
      <c r="O234" s="71" t="s">
        <v>68</v>
      </c>
      <c r="P234" s="46" t="s">
        <v>6063</v>
      </c>
      <c r="Q234" s="46" t="s">
        <v>5325</v>
      </c>
      <c r="R234" s="46" t="s">
        <v>6059</v>
      </c>
      <c r="S234" s="49">
        <v>390</v>
      </c>
      <c r="T234" s="49">
        <v>1950</v>
      </c>
      <c r="U234" s="50">
        <v>0</v>
      </c>
      <c r="V234" s="78">
        <v>-0.1</v>
      </c>
      <c r="W234" s="29" t="e">
        <v>#DIV/0!</v>
      </c>
      <c r="X234" s="52">
        <v>195</v>
      </c>
      <c r="Y234" s="52">
        <v>30</v>
      </c>
      <c r="Z234" s="52">
        <v>1950</v>
      </c>
      <c r="AA234" s="52">
        <v>2175</v>
      </c>
      <c r="AB234" s="53">
        <v>1.1153846153846154</v>
      </c>
      <c r="AC234" s="75">
        <v>0</v>
      </c>
      <c r="AD234" s="55">
        <v>0</v>
      </c>
      <c r="AE234" s="69">
        <v>1</v>
      </c>
      <c r="AF234" s="57" t="s">
        <v>77</v>
      </c>
      <c r="AG234" s="58">
        <v>0</v>
      </c>
      <c r="AH234" s="58">
        <v>1560</v>
      </c>
      <c r="AI234" s="58">
        <v>1560</v>
      </c>
      <c r="AJ234" s="49">
        <v>390</v>
      </c>
      <c r="AK234" s="49">
        <v>1950</v>
      </c>
      <c r="AL234" s="52">
        <v>195</v>
      </c>
      <c r="AM234" s="52">
        <v>1950</v>
      </c>
      <c r="AN234" s="52">
        <v>2145</v>
      </c>
      <c r="AO234" s="59">
        <v>1.1000000000000001</v>
      </c>
      <c r="AP234" s="79">
        <v>-195</v>
      </c>
      <c r="AQ234" s="80">
        <v>-0.1</v>
      </c>
      <c r="AR234" s="60" t="s">
        <v>73</v>
      </c>
      <c r="AS234" s="62">
        <v>0</v>
      </c>
      <c r="AT234" s="62">
        <v>2028</v>
      </c>
      <c r="AU234" s="62">
        <v>2028</v>
      </c>
      <c r="AV234" s="62">
        <v>2535</v>
      </c>
      <c r="AW234" s="47" t="s">
        <v>107</v>
      </c>
      <c r="AX234" s="64">
        <v>45358</v>
      </c>
      <c r="AY234" s="64" t="s">
        <v>6160</v>
      </c>
      <c r="BA234" s="64"/>
      <c r="BB234" s="64"/>
      <c r="BC234" s="64"/>
      <c r="BD234" s="46"/>
      <c r="BE234" s="46" t="e">
        <v>#REF!</v>
      </c>
      <c r="BF234" s="46" t="s">
        <v>5325</v>
      </c>
      <c r="BG234" s="65">
        <v>16</v>
      </c>
      <c r="BH234" s="66"/>
      <c r="BI234" s="63" t="s">
        <v>6161</v>
      </c>
    </row>
    <row r="235" spans="1:61" ht="140.25" x14ac:dyDescent="0.2">
      <c r="A235" s="45" t="s">
        <v>6162</v>
      </c>
      <c r="B235" s="46"/>
      <c r="C235" s="46" t="s">
        <v>6083</v>
      </c>
      <c r="D235" s="46" t="s">
        <v>6148</v>
      </c>
      <c r="E235" s="46" t="s">
        <v>6085</v>
      </c>
      <c r="F235" s="46" t="s">
        <v>6086</v>
      </c>
      <c r="G235" s="46" t="s">
        <v>6108</v>
      </c>
      <c r="H235" s="46"/>
      <c r="I235" s="46"/>
      <c r="J235" s="46" t="s">
        <v>6123</v>
      </c>
      <c r="K235" s="47">
        <v>0</v>
      </c>
      <c r="L235" s="47">
        <f>150*1.2</f>
        <v>180</v>
      </c>
      <c r="M235" s="47">
        <v>180</v>
      </c>
      <c r="N235" s="46"/>
      <c r="O235" s="71" t="s">
        <v>68</v>
      </c>
      <c r="P235" s="46" t="s">
        <v>6063</v>
      </c>
      <c r="Q235" s="46" t="s">
        <v>5325</v>
      </c>
      <c r="R235" s="46" t="s">
        <v>6059</v>
      </c>
      <c r="S235" s="49">
        <v>45</v>
      </c>
      <c r="T235" s="49">
        <v>225</v>
      </c>
      <c r="U235" s="50">
        <v>0</v>
      </c>
      <c r="V235" s="78">
        <v>-0.1</v>
      </c>
      <c r="W235" s="29" t="e">
        <v>#DIV/0!</v>
      </c>
      <c r="X235" s="52">
        <v>22.5</v>
      </c>
      <c r="Y235" s="52">
        <v>30</v>
      </c>
      <c r="Z235" s="52">
        <v>225</v>
      </c>
      <c r="AA235" s="52">
        <v>277.5</v>
      </c>
      <c r="AB235" s="53">
        <v>1.2333333333333334</v>
      </c>
      <c r="AC235" s="75">
        <v>0</v>
      </c>
      <c r="AD235" s="55">
        <v>0</v>
      </c>
      <c r="AE235" s="69">
        <v>1</v>
      </c>
      <c r="AF235" s="57" t="s">
        <v>77</v>
      </c>
      <c r="AG235" s="58">
        <v>0</v>
      </c>
      <c r="AH235" s="58">
        <v>180</v>
      </c>
      <c r="AI235" s="58">
        <v>180</v>
      </c>
      <c r="AJ235" s="49">
        <v>45</v>
      </c>
      <c r="AK235" s="49">
        <v>225</v>
      </c>
      <c r="AL235" s="52">
        <v>22.5</v>
      </c>
      <c r="AM235" s="52">
        <v>225</v>
      </c>
      <c r="AN235" s="52">
        <v>247.5</v>
      </c>
      <c r="AO235" s="59">
        <v>1.1000000000000001</v>
      </c>
      <c r="AP235" s="79">
        <v>-22.5</v>
      </c>
      <c r="AQ235" s="80">
        <v>-0.1</v>
      </c>
      <c r="AR235" s="60" t="s">
        <v>73</v>
      </c>
      <c r="AS235" s="62">
        <v>0</v>
      </c>
      <c r="AT235" s="62">
        <v>234</v>
      </c>
      <c r="AU235" s="62">
        <v>234</v>
      </c>
      <c r="AV235" s="62">
        <v>292.5</v>
      </c>
      <c r="AW235" s="47" t="s">
        <v>107</v>
      </c>
      <c r="AX235" s="64">
        <v>45358</v>
      </c>
      <c r="AY235" s="64" t="s">
        <v>6149</v>
      </c>
      <c r="BA235" s="64"/>
      <c r="BB235" s="64"/>
      <c r="BC235" s="64"/>
      <c r="BD235" s="70" t="s">
        <v>6163</v>
      </c>
      <c r="BE235" s="46" t="e">
        <v>#REF!</v>
      </c>
      <c r="BF235" s="46" t="s">
        <v>5325</v>
      </c>
      <c r="BG235" s="65">
        <v>4</v>
      </c>
      <c r="BH235" s="66"/>
      <c r="BI235" s="63" t="s">
        <v>6151</v>
      </c>
    </row>
    <row r="236" spans="1:61" ht="140.25" x14ac:dyDescent="0.2">
      <c r="A236" s="45" t="s">
        <v>6164</v>
      </c>
      <c r="B236" s="46"/>
      <c r="C236" s="46" t="s">
        <v>6083</v>
      </c>
      <c r="D236" s="46" t="s">
        <v>6148</v>
      </c>
      <c r="E236" s="46" t="s">
        <v>6085</v>
      </c>
      <c r="F236" s="46" t="s">
        <v>6093</v>
      </c>
      <c r="G236" s="46" t="s">
        <v>6108</v>
      </c>
      <c r="H236" s="46"/>
      <c r="I236" s="46"/>
      <c r="J236" s="46" t="s">
        <v>6123</v>
      </c>
      <c r="K236" s="47">
        <v>0</v>
      </c>
      <c r="L236" s="47">
        <f>L235*2</f>
        <v>360</v>
      </c>
      <c r="M236" s="47">
        <v>360</v>
      </c>
      <c r="N236" s="46"/>
      <c r="O236" s="71" t="s">
        <v>68</v>
      </c>
      <c r="P236" s="46" t="s">
        <v>6063</v>
      </c>
      <c r="Q236" s="46" t="s">
        <v>5325</v>
      </c>
      <c r="R236" s="46" t="s">
        <v>6059</v>
      </c>
      <c r="S236" s="49">
        <v>90</v>
      </c>
      <c r="T236" s="49">
        <v>450</v>
      </c>
      <c r="U236" s="50">
        <v>0</v>
      </c>
      <c r="V236" s="78">
        <v>-0.1</v>
      </c>
      <c r="W236" s="29" t="e">
        <v>#DIV/0!</v>
      </c>
      <c r="X236" s="52">
        <v>45</v>
      </c>
      <c r="Y236" s="52">
        <v>30</v>
      </c>
      <c r="Z236" s="52">
        <v>450</v>
      </c>
      <c r="AA236" s="52">
        <v>525</v>
      </c>
      <c r="AB236" s="53">
        <v>1.1666666666666667</v>
      </c>
      <c r="AC236" s="75">
        <v>0</v>
      </c>
      <c r="AD236" s="55">
        <v>0</v>
      </c>
      <c r="AE236" s="69">
        <v>1</v>
      </c>
      <c r="AF236" s="57" t="s">
        <v>77</v>
      </c>
      <c r="AG236" s="58">
        <v>0</v>
      </c>
      <c r="AH236" s="58">
        <v>360</v>
      </c>
      <c r="AI236" s="58">
        <v>360</v>
      </c>
      <c r="AJ236" s="49">
        <v>90</v>
      </c>
      <c r="AK236" s="49">
        <v>450</v>
      </c>
      <c r="AL236" s="52">
        <v>45</v>
      </c>
      <c r="AM236" s="52">
        <v>450</v>
      </c>
      <c r="AN236" s="52">
        <v>495</v>
      </c>
      <c r="AO236" s="59">
        <v>1.1000000000000001</v>
      </c>
      <c r="AP236" s="79">
        <v>-45</v>
      </c>
      <c r="AQ236" s="80">
        <v>-0.1</v>
      </c>
      <c r="AR236" s="60" t="s">
        <v>73</v>
      </c>
      <c r="AS236" s="62">
        <v>0</v>
      </c>
      <c r="AT236" s="62">
        <v>468</v>
      </c>
      <c r="AU236" s="62">
        <v>468</v>
      </c>
      <c r="AV236" s="62">
        <v>585</v>
      </c>
      <c r="AW236" s="47" t="s">
        <v>107</v>
      </c>
      <c r="AX236" s="64">
        <v>45358</v>
      </c>
      <c r="AY236" s="64" t="s">
        <v>6153</v>
      </c>
      <c r="BA236" s="64"/>
      <c r="BB236" s="64"/>
      <c r="BC236" s="64"/>
      <c r="BD236" s="46"/>
      <c r="BE236" s="46" t="e">
        <v>#REF!</v>
      </c>
      <c r="BF236" s="46" t="s">
        <v>5325</v>
      </c>
      <c r="BG236" s="65">
        <v>4</v>
      </c>
      <c r="BH236" s="66"/>
      <c r="BI236" s="63" t="s">
        <v>6154</v>
      </c>
    </row>
    <row r="237" spans="1:61" ht="140.25" x14ac:dyDescent="0.2">
      <c r="A237" s="45" t="s">
        <v>6165</v>
      </c>
      <c r="B237" s="46"/>
      <c r="C237" s="46" t="s">
        <v>6083</v>
      </c>
      <c r="D237" s="46" t="s">
        <v>6148</v>
      </c>
      <c r="E237" s="46" t="s">
        <v>6098</v>
      </c>
      <c r="F237" s="46" t="s">
        <v>6086</v>
      </c>
      <c r="G237" s="46" t="s">
        <v>6108</v>
      </c>
      <c r="H237" s="46"/>
      <c r="I237" s="46"/>
      <c r="J237" s="46" t="s">
        <v>6123</v>
      </c>
      <c r="K237" s="47">
        <v>0</v>
      </c>
      <c r="L237" s="47">
        <v>230</v>
      </c>
      <c r="M237" s="47">
        <v>230</v>
      </c>
      <c r="N237" s="46"/>
      <c r="O237" s="71" t="s">
        <v>68</v>
      </c>
      <c r="P237" s="46" t="s">
        <v>6063</v>
      </c>
      <c r="Q237" s="46" t="s">
        <v>5325</v>
      </c>
      <c r="R237" s="46" t="s">
        <v>6059</v>
      </c>
      <c r="S237" s="49">
        <v>57.5</v>
      </c>
      <c r="T237" s="49">
        <v>287.5</v>
      </c>
      <c r="U237" s="50">
        <v>0</v>
      </c>
      <c r="V237" s="78">
        <v>-0.1</v>
      </c>
      <c r="W237" s="29" t="e">
        <v>#DIV/0!</v>
      </c>
      <c r="X237" s="52">
        <v>28.75</v>
      </c>
      <c r="Y237" s="52">
        <v>30</v>
      </c>
      <c r="Z237" s="52">
        <v>287.5</v>
      </c>
      <c r="AA237" s="52">
        <v>346.25</v>
      </c>
      <c r="AB237" s="53">
        <v>1.2043478260869565</v>
      </c>
      <c r="AC237" s="75">
        <v>0</v>
      </c>
      <c r="AD237" s="55">
        <v>0</v>
      </c>
      <c r="AE237" s="69">
        <v>1</v>
      </c>
      <c r="AF237" s="57" t="s">
        <v>77</v>
      </c>
      <c r="AG237" s="58">
        <v>0</v>
      </c>
      <c r="AH237" s="58">
        <v>230</v>
      </c>
      <c r="AI237" s="58">
        <v>230</v>
      </c>
      <c r="AJ237" s="49">
        <v>57.5</v>
      </c>
      <c r="AK237" s="49">
        <v>287.5</v>
      </c>
      <c r="AL237" s="52">
        <v>28.75</v>
      </c>
      <c r="AM237" s="52">
        <v>287.5</v>
      </c>
      <c r="AN237" s="52">
        <v>316.25</v>
      </c>
      <c r="AO237" s="59">
        <v>1.1000000000000001</v>
      </c>
      <c r="AP237" s="79">
        <v>-28.75</v>
      </c>
      <c r="AQ237" s="80">
        <v>-0.1</v>
      </c>
      <c r="AR237" s="60" t="s">
        <v>73</v>
      </c>
      <c r="AS237" s="62">
        <v>0</v>
      </c>
      <c r="AT237" s="62">
        <v>299</v>
      </c>
      <c r="AU237" s="62">
        <v>299</v>
      </c>
      <c r="AV237" s="62">
        <v>373.75</v>
      </c>
      <c r="AW237" s="47" t="s">
        <v>107</v>
      </c>
      <c r="AX237" s="64">
        <v>45358</v>
      </c>
      <c r="AY237" s="64" t="s">
        <v>6156</v>
      </c>
      <c r="BA237" s="64"/>
      <c r="BB237" s="64"/>
      <c r="BC237" s="64"/>
      <c r="BD237" s="46"/>
      <c r="BE237" s="46" t="e">
        <v>#REF!</v>
      </c>
      <c r="BF237" s="46" t="s">
        <v>5325</v>
      </c>
      <c r="BG237" s="65">
        <v>4</v>
      </c>
      <c r="BH237" s="66"/>
      <c r="BI237" s="63" t="s">
        <v>6158</v>
      </c>
    </row>
    <row r="238" spans="1:61" ht="153" x14ac:dyDescent="0.2">
      <c r="A238" s="45" t="s">
        <v>6166</v>
      </c>
      <c r="B238" s="46"/>
      <c r="C238" s="46" t="s">
        <v>6083</v>
      </c>
      <c r="D238" s="46" t="s">
        <v>6148</v>
      </c>
      <c r="E238" s="46" t="s">
        <v>6098</v>
      </c>
      <c r="F238" s="46" t="s">
        <v>6093</v>
      </c>
      <c r="G238" s="46" t="s">
        <v>6108</v>
      </c>
      <c r="H238" s="46"/>
      <c r="I238" s="46"/>
      <c r="J238" s="46" t="s">
        <v>6123</v>
      </c>
      <c r="K238" s="47">
        <v>0</v>
      </c>
      <c r="L238" s="47">
        <f>L237*2</f>
        <v>460</v>
      </c>
      <c r="M238" s="47">
        <v>460</v>
      </c>
      <c r="N238" s="46"/>
      <c r="O238" s="71" t="s">
        <v>68</v>
      </c>
      <c r="P238" s="46" t="s">
        <v>6063</v>
      </c>
      <c r="Q238" s="46" t="s">
        <v>5325</v>
      </c>
      <c r="R238" s="46" t="s">
        <v>6059</v>
      </c>
      <c r="S238" s="49">
        <v>115</v>
      </c>
      <c r="T238" s="49">
        <v>575</v>
      </c>
      <c r="U238" s="50">
        <v>0</v>
      </c>
      <c r="V238" s="78">
        <v>-0.1</v>
      </c>
      <c r="W238" s="29" t="e">
        <v>#DIV/0!</v>
      </c>
      <c r="X238" s="52">
        <v>57.5</v>
      </c>
      <c r="Y238" s="52">
        <v>30</v>
      </c>
      <c r="Z238" s="52">
        <v>575</v>
      </c>
      <c r="AA238" s="52">
        <v>662.5</v>
      </c>
      <c r="AB238" s="53">
        <v>1.1521739130434783</v>
      </c>
      <c r="AC238" s="75">
        <v>0</v>
      </c>
      <c r="AD238" s="55">
        <v>0</v>
      </c>
      <c r="AE238" s="69">
        <v>1</v>
      </c>
      <c r="AF238" s="57" t="s">
        <v>77</v>
      </c>
      <c r="AG238" s="58">
        <v>0</v>
      </c>
      <c r="AH238" s="58">
        <v>460</v>
      </c>
      <c r="AI238" s="58">
        <v>460</v>
      </c>
      <c r="AJ238" s="49">
        <v>115</v>
      </c>
      <c r="AK238" s="49">
        <v>575</v>
      </c>
      <c r="AL238" s="52">
        <v>57.5</v>
      </c>
      <c r="AM238" s="52">
        <v>575</v>
      </c>
      <c r="AN238" s="52">
        <v>632.5</v>
      </c>
      <c r="AO238" s="59">
        <v>1.1000000000000001</v>
      </c>
      <c r="AP238" s="79">
        <v>-57.5</v>
      </c>
      <c r="AQ238" s="80">
        <v>-0.1</v>
      </c>
      <c r="AR238" s="60" t="s">
        <v>73</v>
      </c>
      <c r="AS238" s="62">
        <v>0</v>
      </c>
      <c r="AT238" s="62">
        <v>598</v>
      </c>
      <c r="AU238" s="62">
        <v>598</v>
      </c>
      <c r="AV238" s="62">
        <v>747.5</v>
      </c>
      <c r="AW238" s="47" t="s">
        <v>107</v>
      </c>
      <c r="AX238" s="64">
        <v>45358</v>
      </c>
      <c r="AY238" s="64" t="s">
        <v>6160</v>
      </c>
      <c r="BA238" s="64"/>
      <c r="BB238" s="64"/>
      <c r="BC238" s="64"/>
      <c r="BD238" s="46"/>
      <c r="BE238" s="46" t="e">
        <v>#REF!</v>
      </c>
      <c r="BF238" s="46" t="s">
        <v>5325</v>
      </c>
      <c r="BG238" s="65">
        <v>4</v>
      </c>
      <c r="BH238" s="66"/>
      <c r="BI238" s="63" t="s">
        <v>6161</v>
      </c>
    </row>
    <row r="239" spans="1:61" ht="153" x14ac:dyDescent="0.2">
      <c r="A239" s="45" t="s">
        <v>6167</v>
      </c>
      <c r="B239" s="46"/>
      <c r="C239" s="46" t="s">
        <v>6083</v>
      </c>
      <c r="D239" s="46" t="s">
        <v>6129</v>
      </c>
      <c r="E239" s="46" t="s">
        <v>6085</v>
      </c>
      <c r="F239" s="46" t="s">
        <v>6086</v>
      </c>
      <c r="G239" s="46" t="s">
        <v>6087</v>
      </c>
      <c r="H239" s="46"/>
      <c r="I239" s="46"/>
      <c r="J239" s="46" t="s">
        <v>2996</v>
      </c>
      <c r="K239" s="47">
        <v>36</v>
      </c>
      <c r="L239" s="47">
        <v>4</v>
      </c>
      <c r="M239" s="47">
        <v>40</v>
      </c>
      <c r="N239" s="46"/>
      <c r="O239" s="71" t="s">
        <v>68</v>
      </c>
      <c r="P239" s="46" t="s">
        <v>6063</v>
      </c>
      <c r="Q239" s="46" t="s">
        <v>5325</v>
      </c>
      <c r="R239" s="46" t="s">
        <v>6059</v>
      </c>
      <c r="S239" s="49">
        <v>10</v>
      </c>
      <c r="T239" s="49">
        <v>50</v>
      </c>
      <c r="U239" s="50">
        <v>0.02</v>
      </c>
      <c r="V239" s="67">
        <v>0.55454545454545456</v>
      </c>
      <c r="W239" s="51">
        <v>0.1111111111111111</v>
      </c>
      <c r="X239" s="52">
        <v>5</v>
      </c>
      <c r="Y239" s="52">
        <v>30</v>
      </c>
      <c r="Z239" s="52">
        <v>14</v>
      </c>
      <c r="AA239" s="52">
        <v>49</v>
      </c>
      <c r="AB239" s="53">
        <v>0.98</v>
      </c>
      <c r="AC239" s="75">
        <v>1</v>
      </c>
      <c r="AD239" s="55">
        <v>0.02</v>
      </c>
      <c r="AE239" s="56">
        <v>2</v>
      </c>
      <c r="AF239" s="57" t="s">
        <v>72</v>
      </c>
      <c r="AG239" s="58">
        <v>18</v>
      </c>
      <c r="AH239" s="58">
        <v>4</v>
      </c>
      <c r="AI239" s="58">
        <v>22</v>
      </c>
      <c r="AJ239" s="49">
        <v>5.5</v>
      </c>
      <c r="AK239" s="49">
        <v>27.5</v>
      </c>
      <c r="AL239" s="52">
        <v>2.75</v>
      </c>
      <c r="AM239" s="52">
        <v>9.5</v>
      </c>
      <c r="AN239" s="52">
        <v>12.25</v>
      </c>
      <c r="AO239" s="59">
        <v>0.44545454545454544</v>
      </c>
      <c r="AP239" s="60">
        <v>15.25</v>
      </c>
      <c r="AQ239" s="61">
        <v>0.55454545454545456</v>
      </c>
      <c r="AR239" s="60" t="s">
        <v>78</v>
      </c>
      <c r="AS239" s="62">
        <v>54</v>
      </c>
      <c r="AT239" s="62">
        <v>6</v>
      </c>
      <c r="AU239" s="62">
        <v>60</v>
      </c>
      <c r="AV239" s="62">
        <v>75</v>
      </c>
      <c r="AW239" s="47" t="s">
        <v>74</v>
      </c>
      <c r="AX239" s="64">
        <v>45399</v>
      </c>
      <c r="AY239" s="64" t="s">
        <v>6168</v>
      </c>
      <c r="BA239" s="64"/>
      <c r="BB239" s="64"/>
      <c r="BC239" s="64"/>
      <c r="BD239" s="46"/>
      <c r="BE239" s="46" t="e">
        <v>#REF!</v>
      </c>
      <c r="BF239" s="46"/>
      <c r="BG239" s="65"/>
      <c r="BH239" s="66"/>
      <c r="BI239" s="63" t="s">
        <v>6169</v>
      </c>
    </row>
    <row r="240" spans="1:61" ht="140.25" x14ac:dyDescent="0.2">
      <c r="A240" s="45" t="s">
        <v>6170</v>
      </c>
      <c r="B240" s="46"/>
      <c r="C240" s="46" t="s">
        <v>6083</v>
      </c>
      <c r="D240" s="46" t="s">
        <v>6129</v>
      </c>
      <c r="E240" s="46" t="s">
        <v>6085</v>
      </c>
      <c r="F240" s="46" t="s">
        <v>6093</v>
      </c>
      <c r="G240" s="46" t="s">
        <v>6087</v>
      </c>
      <c r="H240" s="46"/>
      <c r="I240" s="46"/>
      <c r="J240" s="46" t="s">
        <v>2996</v>
      </c>
      <c r="K240" s="47">
        <v>38</v>
      </c>
      <c r="L240" s="47">
        <f>L239*2</f>
        <v>8</v>
      </c>
      <c r="M240" s="47">
        <v>46</v>
      </c>
      <c r="N240" s="46"/>
      <c r="O240" s="71" t="s">
        <v>68</v>
      </c>
      <c r="P240" s="46" t="s">
        <v>6063</v>
      </c>
      <c r="Q240" s="46" t="s">
        <v>5325</v>
      </c>
      <c r="R240" s="46" t="s">
        <v>6059</v>
      </c>
      <c r="S240" s="49">
        <v>11.5</v>
      </c>
      <c r="T240" s="49">
        <v>57.5</v>
      </c>
      <c r="U240" s="50">
        <v>3.9130434782608699E-2</v>
      </c>
      <c r="V240" s="67">
        <v>0.46296296296296297</v>
      </c>
      <c r="W240" s="51">
        <v>0.21052631578947367</v>
      </c>
      <c r="X240" s="52">
        <v>5.75</v>
      </c>
      <c r="Y240" s="52">
        <v>30</v>
      </c>
      <c r="Z240" s="52">
        <v>19.5</v>
      </c>
      <c r="AA240" s="52">
        <v>55.25</v>
      </c>
      <c r="AB240" s="53">
        <v>0.96086956521739131</v>
      </c>
      <c r="AC240" s="75">
        <v>2.25</v>
      </c>
      <c r="AD240" s="55">
        <v>3.9130434782608699E-2</v>
      </c>
      <c r="AE240" s="56">
        <v>2</v>
      </c>
      <c r="AF240" s="57" t="s">
        <v>72</v>
      </c>
      <c r="AG240" s="58">
        <v>19</v>
      </c>
      <c r="AH240" s="58">
        <v>8</v>
      </c>
      <c r="AI240" s="58">
        <v>27</v>
      </c>
      <c r="AJ240" s="49">
        <v>6.75</v>
      </c>
      <c r="AK240" s="49">
        <v>33.75</v>
      </c>
      <c r="AL240" s="52">
        <v>3.375</v>
      </c>
      <c r="AM240" s="52">
        <v>14.75</v>
      </c>
      <c r="AN240" s="52">
        <v>18.125</v>
      </c>
      <c r="AO240" s="59">
        <v>0.53703703703703709</v>
      </c>
      <c r="AP240" s="60">
        <v>15.625</v>
      </c>
      <c r="AQ240" s="61">
        <v>0.46296296296296297</v>
      </c>
      <c r="AR240" s="60" t="s">
        <v>78</v>
      </c>
      <c r="AS240" s="62">
        <v>57</v>
      </c>
      <c r="AT240" s="62">
        <v>12</v>
      </c>
      <c r="AU240" s="62">
        <v>69</v>
      </c>
      <c r="AV240" s="62">
        <v>86.25</v>
      </c>
      <c r="AW240" s="47" t="s">
        <v>74</v>
      </c>
      <c r="AX240" s="64">
        <v>45399</v>
      </c>
      <c r="AY240" s="64" t="s">
        <v>6171</v>
      </c>
      <c r="BA240" s="64"/>
      <c r="BB240" s="64"/>
      <c r="BC240" s="64"/>
      <c r="BD240" s="46"/>
      <c r="BE240" s="46" t="e">
        <v>#REF!</v>
      </c>
      <c r="BF240" s="46"/>
      <c r="BG240" s="65"/>
      <c r="BH240" s="66"/>
      <c r="BI240" s="63" t="s">
        <v>6172</v>
      </c>
    </row>
    <row r="241" spans="1:61" ht="153" x14ac:dyDescent="0.2">
      <c r="A241" s="45" t="s">
        <v>6173</v>
      </c>
      <c r="B241" s="46"/>
      <c r="C241" s="46" t="s">
        <v>6083</v>
      </c>
      <c r="D241" s="46" t="s">
        <v>6129</v>
      </c>
      <c r="E241" s="46" t="s">
        <v>6098</v>
      </c>
      <c r="F241" s="46" t="s">
        <v>6086</v>
      </c>
      <c r="G241" s="46" t="s">
        <v>6087</v>
      </c>
      <c r="H241" s="46"/>
      <c r="I241" s="46"/>
      <c r="J241" s="46" t="s">
        <v>2996</v>
      </c>
      <c r="K241" s="47">
        <v>56</v>
      </c>
      <c r="L241" s="47">
        <v>6</v>
      </c>
      <c r="M241" s="47">
        <v>62</v>
      </c>
      <c r="N241" s="46"/>
      <c r="O241" s="71" t="s">
        <v>68</v>
      </c>
      <c r="P241" s="46" t="s">
        <v>6063</v>
      </c>
      <c r="Q241" s="46" t="s">
        <v>5325</v>
      </c>
      <c r="R241" s="46" t="s">
        <v>6059</v>
      </c>
      <c r="S241" s="49">
        <v>15.5</v>
      </c>
      <c r="T241" s="49">
        <v>77.5</v>
      </c>
      <c r="U241" s="28">
        <v>0.23548387096774193</v>
      </c>
      <c r="V241" s="67">
        <v>0.55882352941176472</v>
      </c>
      <c r="W241" s="51">
        <v>0.10714285714285714</v>
      </c>
      <c r="X241" s="52">
        <v>7.75</v>
      </c>
      <c r="Y241" s="52">
        <v>30</v>
      </c>
      <c r="Z241" s="52">
        <v>21.5</v>
      </c>
      <c r="AA241" s="52">
        <v>59.25</v>
      </c>
      <c r="AB241" s="53">
        <v>0.76451612903225807</v>
      </c>
      <c r="AC241" s="75">
        <v>18.25</v>
      </c>
      <c r="AD241" s="55">
        <v>0.23548387096774193</v>
      </c>
      <c r="AE241" s="56">
        <v>2</v>
      </c>
      <c r="AF241" s="57" t="s">
        <v>72</v>
      </c>
      <c r="AG241" s="58">
        <v>28</v>
      </c>
      <c r="AH241" s="58">
        <v>6</v>
      </c>
      <c r="AI241" s="58">
        <v>34</v>
      </c>
      <c r="AJ241" s="49">
        <v>8.5</v>
      </c>
      <c r="AK241" s="49">
        <v>42.5</v>
      </c>
      <c r="AL241" s="52">
        <v>4.25</v>
      </c>
      <c r="AM241" s="52">
        <v>14.5</v>
      </c>
      <c r="AN241" s="52">
        <v>18.75</v>
      </c>
      <c r="AO241" s="59">
        <v>0.44117647058823528</v>
      </c>
      <c r="AP241" s="60">
        <v>23.75</v>
      </c>
      <c r="AQ241" s="61">
        <v>0.55882352941176472</v>
      </c>
      <c r="AR241" s="60" t="s">
        <v>78</v>
      </c>
      <c r="AS241" s="62">
        <v>84</v>
      </c>
      <c r="AT241" s="62">
        <v>9</v>
      </c>
      <c r="AU241" s="62">
        <v>93</v>
      </c>
      <c r="AV241" s="62">
        <v>116.25</v>
      </c>
      <c r="AW241" s="47" t="s">
        <v>74</v>
      </c>
      <c r="AX241" s="64">
        <v>45399</v>
      </c>
      <c r="AY241" s="64" t="s">
        <v>6174</v>
      </c>
      <c r="BA241" s="64"/>
      <c r="BB241" s="64"/>
      <c r="BC241" s="64"/>
      <c r="BD241" s="46"/>
      <c r="BE241" s="46" t="e">
        <v>#REF!</v>
      </c>
      <c r="BF241" s="46"/>
      <c r="BG241" s="65"/>
      <c r="BH241" s="66"/>
      <c r="BI241" s="63" t="s">
        <v>6175</v>
      </c>
    </row>
    <row r="242" spans="1:61" ht="153" x14ac:dyDescent="0.2">
      <c r="A242" s="45" t="s">
        <v>6176</v>
      </c>
      <c r="B242" s="46"/>
      <c r="C242" s="46" t="s">
        <v>6083</v>
      </c>
      <c r="D242" s="46" t="s">
        <v>6129</v>
      </c>
      <c r="E242" s="46" t="s">
        <v>6098</v>
      </c>
      <c r="F242" s="46" t="s">
        <v>6093</v>
      </c>
      <c r="G242" s="46" t="s">
        <v>6087</v>
      </c>
      <c r="H242" s="46"/>
      <c r="I242" s="46"/>
      <c r="J242" s="46" t="s">
        <v>2996</v>
      </c>
      <c r="K242" s="47">
        <v>58</v>
      </c>
      <c r="L242" s="47">
        <f>L241*2</f>
        <v>12</v>
      </c>
      <c r="M242" s="47">
        <v>70</v>
      </c>
      <c r="N242" s="46"/>
      <c r="O242" s="71" t="s">
        <v>68</v>
      </c>
      <c r="P242" s="46" t="s">
        <v>6063</v>
      </c>
      <c r="Q242" s="46" t="s">
        <v>5325</v>
      </c>
      <c r="R242" s="46" t="s">
        <v>6059</v>
      </c>
      <c r="S242" s="49">
        <v>17.5</v>
      </c>
      <c r="T242" s="49">
        <v>87.5</v>
      </c>
      <c r="U242" s="28">
        <v>0.22</v>
      </c>
      <c r="V242" s="67">
        <v>0.46585365853658539</v>
      </c>
      <c r="W242" s="51">
        <v>0.20689655172413793</v>
      </c>
      <c r="X242" s="52">
        <v>8.75</v>
      </c>
      <c r="Y242" s="52">
        <v>30</v>
      </c>
      <c r="Z242" s="52">
        <v>29.5</v>
      </c>
      <c r="AA242" s="52">
        <v>68.25</v>
      </c>
      <c r="AB242" s="53">
        <v>0.78</v>
      </c>
      <c r="AC242" s="75">
        <v>19.25</v>
      </c>
      <c r="AD242" s="55">
        <v>0.22</v>
      </c>
      <c r="AE242" s="56">
        <v>2</v>
      </c>
      <c r="AF242" s="57" t="s">
        <v>72</v>
      </c>
      <c r="AG242" s="58">
        <v>29</v>
      </c>
      <c r="AH242" s="58">
        <v>12</v>
      </c>
      <c r="AI242" s="58">
        <v>41</v>
      </c>
      <c r="AJ242" s="49">
        <v>10.25</v>
      </c>
      <c r="AK242" s="49">
        <v>51.25</v>
      </c>
      <c r="AL242" s="52">
        <v>5.125</v>
      </c>
      <c r="AM242" s="52">
        <v>22.25</v>
      </c>
      <c r="AN242" s="52">
        <v>27.375</v>
      </c>
      <c r="AO242" s="59">
        <v>0.53414634146341466</v>
      </c>
      <c r="AP242" s="60">
        <v>23.875</v>
      </c>
      <c r="AQ242" s="61">
        <v>0.46585365853658539</v>
      </c>
      <c r="AR242" s="60" t="s">
        <v>78</v>
      </c>
      <c r="AS242" s="62">
        <v>87</v>
      </c>
      <c r="AT242" s="62">
        <v>18</v>
      </c>
      <c r="AU242" s="62">
        <v>105</v>
      </c>
      <c r="AV242" s="62">
        <v>131.25</v>
      </c>
      <c r="AW242" s="47" t="s">
        <v>74</v>
      </c>
      <c r="AX242" s="64">
        <v>45399</v>
      </c>
      <c r="AY242" s="64" t="s">
        <v>6177</v>
      </c>
      <c r="BA242" s="64"/>
      <c r="BB242" s="64"/>
      <c r="BC242" s="64"/>
      <c r="BD242" s="46"/>
      <c r="BE242" s="46" t="e">
        <v>#REF!</v>
      </c>
      <c r="BF242" s="46"/>
      <c r="BG242" s="65"/>
      <c r="BH242" s="66"/>
      <c r="BI242" s="63" t="s">
        <v>6178</v>
      </c>
    </row>
    <row r="243" spans="1:61" ht="153" x14ac:dyDescent="0.2">
      <c r="A243" s="45" t="s">
        <v>6179</v>
      </c>
      <c r="B243" s="46"/>
      <c r="C243" s="46" t="s">
        <v>6083</v>
      </c>
      <c r="D243" s="46" t="s">
        <v>6148</v>
      </c>
      <c r="E243" s="46" t="s">
        <v>6085</v>
      </c>
      <c r="F243" s="46" t="s">
        <v>6086</v>
      </c>
      <c r="G243" s="46" t="s">
        <v>6087</v>
      </c>
      <c r="H243" s="46"/>
      <c r="I243" s="46"/>
      <c r="J243" s="46" t="s">
        <v>2996</v>
      </c>
      <c r="K243" s="47">
        <v>36</v>
      </c>
      <c r="L243" s="47">
        <v>8</v>
      </c>
      <c r="M243" s="47">
        <v>44</v>
      </c>
      <c r="N243" s="46"/>
      <c r="O243" s="71" t="s">
        <v>68</v>
      </c>
      <c r="P243" s="46" t="s">
        <v>6063</v>
      </c>
      <c r="Q243" s="46" t="s">
        <v>5325</v>
      </c>
      <c r="R243" s="46" t="s">
        <v>6059</v>
      </c>
      <c r="S243" s="49">
        <v>11</v>
      </c>
      <c r="T243" s="49">
        <v>55</v>
      </c>
      <c r="U243" s="50">
        <v>9.0909090909090905E-3</v>
      </c>
      <c r="V243" s="67">
        <v>0.45384615384615384</v>
      </c>
      <c r="W243" s="51">
        <v>0.22222222222222221</v>
      </c>
      <c r="X243" s="52">
        <v>5.5</v>
      </c>
      <c r="Y243" s="52">
        <v>30</v>
      </c>
      <c r="Z243" s="52">
        <v>19</v>
      </c>
      <c r="AA243" s="52">
        <v>54.5</v>
      </c>
      <c r="AB243" s="53">
        <v>0.99090909090909096</v>
      </c>
      <c r="AC243" s="75">
        <v>0.5</v>
      </c>
      <c r="AD243" s="55">
        <v>9.0909090909090905E-3</v>
      </c>
      <c r="AE243" s="56">
        <v>2</v>
      </c>
      <c r="AF243" s="57" t="s">
        <v>72</v>
      </c>
      <c r="AG243" s="58">
        <v>18</v>
      </c>
      <c r="AH243" s="58">
        <v>8</v>
      </c>
      <c r="AI243" s="58">
        <v>26</v>
      </c>
      <c r="AJ243" s="49">
        <v>6.5</v>
      </c>
      <c r="AK243" s="49">
        <v>32.5</v>
      </c>
      <c r="AL243" s="52">
        <v>3.25</v>
      </c>
      <c r="AM243" s="52">
        <v>14.5</v>
      </c>
      <c r="AN243" s="52">
        <v>17.75</v>
      </c>
      <c r="AO243" s="59">
        <v>0.5461538461538461</v>
      </c>
      <c r="AP243" s="60">
        <v>14.75</v>
      </c>
      <c r="AQ243" s="61">
        <v>0.45384615384615384</v>
      </c>
      <c r="AR243" s="60" t="s">
        <v>78</v>
      </c>
      <c r="AS243" s="62">
        <v>54</v>
      </c>
      <c r="AT243" s="62">
        <v>12</v>
      </c>
      <c r="AU243" s="62">
        <v>66</v>
      </c>
      <c r="AV243" s="62">
        <v>82.5</v>
      </c>
      <c r="AW243" s="47" t="s">
        <v>74</v>
      </c>
      <c r="AX243" s="64">
        <v>45399</v>
      </c>
      <c r="AY243" s="64" t="s">
        <v>6180</v>
      </c>
      <c r="BA243" s="64"/>
      <c r="BB243" s="64"/>
      <c r="BC243" s="64"/>
      <c r="BD243" s="46"/>
      <c r="BE243" s="46" t="e">
        <v>#REF!</v>
      </c>
      <c r="BF243" s="46"/>
      <c r="BG243" s="65"/>
      <c r="BH243" s="66"/>
      <c r="BI243" s="63" t="s">
        <v>6181</v>
      </c>
    </row>
    <row r="244" spans="1:61" ht="140.25" x14ac:dyDescent="0.2">
      <c r="A244" s="45" t="s">
        <v>6182</v>
      </c>
      <c r="B244" s="46"/>
      <c r="C244" s="46" t="s">
        <v>6083</v>
      </c>
      <c r="D244" s="46" t="s">
        <v>6148</v>
      </c>
      <c r="E244" s="46" t="s">
        <v>6085</v>
      </c>
      <c r="F244" s="46" t="s">
        <v>6093</v>
      </c>
      <c r="G244" s="46" t="s">
        <v>6087</v>
      </c>
      <c r="H244" s="46"/>
      <c r="I244" s="46"/>
      <c r="J244" s="46" t="s">
        <v>2996</v>
      </c>
      <c r="K244" s="47">
        <v>38</v>
      </c>
      <c r="L244" s="47">
        <f>L243*2</f>
        <v>16</v>
      </c>
      <c r="M244" s="47">
        <v>54</v>
      </c>
      <c r="N244" s="46"/>
      <c r="O244" s="71" t="s">
        <v>68</v>
      </c>
      <c r="P244" s="46" t="s">
        <v>6063</v>
      </c>
      <c r="Q244" s="46" t="s">
        <v>5325</v>
      </c>
      <c r="R244" s="46" t="s">
        <v>6059</v>
      </c>
      <c r="S244" s="49">
        <v>13.5</v>
      </c>
      <c r="T244" s="49">
        <v>67.5</v>
      </c>
      <c r="U244" s="50">
        <v>1.8518518518518517E-2</v>
      </c>
      <c r="V244" s="67">
        <v>0.3342857142857143</v>
      </c>
      <c r="W244" s="51">
        <v>0.42105263157894735</v>
      </c>
      <c r="X244" s="52">
        <v>6.75</v>
      </c>
      <c r="Y244" s="52">
        <v>30</v>
      </c>
      <c r="Z244" s="52">
        <v>29.5</v>
      </c>
      <c r="AA244" s="52">
        <v>66.25</v>
      </c>
      <c r="AB244" s="53">
        <v>0.98148148148148151</v>
      </c>
      <c r="AC244" s="75">
        <v>1.25</v>
      </c>
      <c r="AD244" s="55">
        <v>1.8518518518518517E-2</v>
      </c>
      <c r="AE244" s="56">
        <v>2</v>
      </c>
      <c r="AF244" s="57" t="s">
        <v>72</v>
      </c>
      <c r="AG244" s="58">
        <v>19</v>
      </c>
      <c r="AH244" s="58">
        <v>16</v>
      </c>
      <c r="AI244" s="58">
        <v>35</v>
      </c>
      <c r="AJ244" s="49">
        <v>8.75</v>
      </c>
      <c r="AK244" s="49">
        <v>43.75</v>
      </c>
      <c r="AL244" s="52">
        <v>4.375</v>
      </c>
      <c r="AM244" s="52">
        <v>24.75</v>
      </c>
      <c r="AN244" s="52">
        <v>29.125</v>
      </c>
      <c r="AO244" s="59">
        <v>0.6657142857142857</v>
      </c>
      <c r="AP244" s="60">
        <v>14.625</v>
      </c>
      <c r="AQ244" s="61">
        <v>0.3342857142857143</v>
      </c>
      <c r="AR244" s="60" t="s">
        <v>78</v>
      </c>
      <c r="AS244" s="62">
        <v>57</v>
      </c>
      <c r="AT244" s="62">
        <v>24</v>
      </c>
      <c r="AU244" s="62">
        <v>81</v>
      </c>
      <c r="AV244" s="62">
        <v>101.25</v>
      </c>
      <c r="AW244" s="47" t="s">
        <v>74</v>
      </c>
      <c r="AX244" s="64">
        <v>45399</v>
      </c>
      <c r="AY244" s="64" t="s">
        <v>6183</v>
      </c>
      <c r="BA244" s="64"/>
      <c r="BB244" s="64"/>
      <c r="BC244" s="64"/>
      <c r="BD244" s="46"/>
      <c r="BE244" s="46" t="e">
        <v>#REF!</v>
      </c>
      <c r="BF244" s="46"/>
      <c r="BG244" s="65"/>
      <c r="BH244" s="66"/>
      <c r="BI244" s="63" t="s">
        <v>6184</v>
      </c>
    </row>
    <row r="245" spans="1:61" ht="153" x14ac:dyDescent="0.2">
      <c r="A245" s="45" t="s">
        <v>6185</v>
      </c>
      <c r="B245" s="46"/>
      <c r="C245" s="46" t="s">
        <v>6083</v>
      </c>
      <c r="D245" s="46" t="s">
        <v>6148</v>
      </c>
      <c r="E245" s="46" t="s">
        <v>6098</v>
      </c>
      <c r="F245" s="46" t="s">
        <v>6086</v>
      </c>
      <c r="G245" s="46" t="s">
        <v>6087</v>
      </c>
      <c r="H245" s="46"/>
      <c r="I245" s="46"/>
      <c r="J245" s="46" t="s">
        <v>2996</v>
      </c>
      <c r="K245" s="47">
        <v>56</v>
      </c>
      <c r="L245" s="47">
        <v>12</v>
      </c>
      <c r="M245" s="47">
        <v>68</v>
      </c>
      <c r="N245" s="46"/>
      <c r="O245" s="71" t="s">
        <v>68</v>
      </c>
      <c r="P245" s="46" t="s">
        <v>6063</v>
      </c>
      <c r="Q245" s="46" t="s">
        <v>5325</v>
      </c>
      <c r="R245" s="46" t="s">
        <v>6059</v>
      </c>
      <c r="S245" s="49">
        <v>17</v>
      </c>
      <c r="T245" s="49">
        <v>85</v>
      </c>
      <c r="U245" s="28">
        <v>0.20588235294117646</v>
      </c>
      <c r="V245" s="67">
        <v>0.46</v>
      </c>
      <c r="W245" s="51">
        <v>0.21428571428571427</v>
      </c>
      <c r="X245" s="52">
        <v>8.5</v>
      </c>
      <c r="Y245" s="52">
        <v>30</v>
      </c>
      <c r="Z245" s="52">
        <v>29</v>
      </c>
      <c r="AA245" s="52">
        <v>67.5</v>
      </c>
      <c r="AB245" s="53">
        <v>0.79411764705882348</v>
      </c>
      <c r="AC245" s="75">
        <v>17.5</v>
      </c>
      <c r="AD245" s="55">
        <v>0.20588235294117646</v>
      </c>
      <c r="AE245" s="56">
        <v>2</v>
      </c>
      <c r="AF245" s="57" t="s">
        <v>72</v>
      </c>
      <c r="AG245" s="58">
        <v>28</v>
      </c>
      <c r="AH245" s="58">
        <v>12</v>
      </c>
      <c r="AI245" s="58">
        <v>40</v>
      </c>
      <c r="AJ245" s="49">
        <v>10</v>
      </c>
      <c r="AK245" s="49">
        <v>50</v>
      </c>
      <c r="AL245" s="52">
        <v>5</v>
      </c>
      <c r="AM245" s="52">
        <v>22</v>
      </c>
      <c r="AN245" s="52">
        <v>27</v>
      </c>
      <c r="AO245" s="59">
        <v>0.54</v>
      </c>
      <c r="AP245" s="60">
        <v>23</v>
      </c>
      <c r="AQ245" s="61">
        <v>0.46</v>
      </c>
      <c r="AR245" s="60" t="s">
        <v>78</v>
      </c>
      <c r="AS245" s="62">
        <v>84</v>
      </c>
      <c r="AT245" s="62">
        <v>18</v>
      </c>
      <c r="AU245" s="62">
        <v>102</v>
      </c>
      <c r="AV245" s="62">
        <v>127.5</v>
      </c>
      <c r="AW245" s="47" t="s">
        <v>74</v>
      </c>
      <c r="AX245" s="64">
        <v>45399</v>
      </c>
      <c r="AY245" s="64" t="s">
        <v>6186</v>
      </c>
      <c r="BA245" s="64"/>
      <c r="BB245" s="64"/>
      <c r="BC245" s="64"/>
      <c r="BD245" s="46"/>
      <c r="BE245" s="46" t="e">
        <v>#REF!</v>
      </c>
      <c r="BF245" s="46"/>
      <c r="BG245" s="65"/>
      <c r="BH245" s="66"/>
      <c r="BI245" s="63" t="s">
        <v>6187</v>
      </c>
    </row>
    <row r="246" spans="1:61" ht="153" x14ac:dyDescent="0.2">
      <c r="A246" s="45" t="s">
        <v>6188</v>
      </c>
      <c r="B246" s="46"/>
      <c r="C246" s="46" t="s">
        <v>6083</v>
      </c>
      <c r="D246" s="46" t="s">
        <v>6148</v>
      </c>
      <c r="E246" s="46" t="s">
        <v>6098</v>
      </c>
      <c r="F246" s="46" t="s">
        <v>6093</v>
      </c>
      <c r="G246" s="46" t="s">
        <v>6087</v>
      </c>
      <c r="H246" s="46"/>
      <c r="I246" s="46"/>
      <c r="J246" s="46" t="s">
        <v>2996</v>
      </c>
      <c r="K246" s="47">
        <v>58</v>
      </c>
      <c r="L246" s="47">
        <f>L245*2</f>
        <v>24</v>
      </c>
      <c r="M246" s="47">
        <v>82</v>
      </c>
      <c r="N246" s="46"/>
      <c r="O246" s="71" t="s">
        <v>68</v>
      </c>
      <c r="P246" s="46" t="s">
        <v>6063</v>
      </c>
      <c r="Q246" s="46" t="s">
        <v>5325</v>
      </c>
      <c r="R246" s="46" t="s">
        <v>6059</v>
      </c>
      <c r="S246" s="49">
        <v>20.5</v>
      </c>
      <c r="T246" s="49">
        <v>102.5</v>
      </c>
      <c r="U246" s="50">
        <v>0.17317073170731706</v>
      </c>
      <c r="V246" s="67">
        <v>0.33773584905660375</v>
      </c>
      <c r="W246" s="51">
        <v>0.41379310344827586</v>
      </c>
      <c r="X246" s="52">
        <v>10.25</v>
      </c>
      <c r="Y246" s="52">
        <v>30</v>
      </c>
      <c r="Z246" s="52">
        <v>44.5</v>
      </c>
      <c r="AA246" s="52">
        <v>84.75</v>
      </c>
      <c r="AB246" s="53">
        <v>0.82682926829268288</v>
      </c>
      <c r="AC246" s="75">
        <v>17.75</v>
      </c>
      <c r="AD246" s="55">
        <v>0.17317073170731706</v>
      </c>
      <c r="AE246" s="56">
        <v>2</v>
      </c>
      <c r="AF246" s="57" t="s">
        <v>72</v>
      </c>
      <c r="AG246" s="58">
        <v>29</v>
      </c>
      <c r="AH246" s="58">
        <v>24</v>
      </c>
      <c r="AI246" s="58">
        <v>53</v>
      </c>
      <c r="AJ246" s="49">
        <v>13.25</v>
      </c>
      <c r="AK246" s="49">
        <v>66.25</v>
      </c>
      <c r="AL246" s="52">
        <v>6.625</v>
      </c>
      <c r="AM246" s="52">
        <v>37.25</v>
      </c>
      <c r="AN246" s="52">
        <v>43.875</v>
      </c>
      <c r="AO246" s="59">
        <v>0.66226415094339619</v>
      </c>
      <c r="AP246" s="60">
        <v>22.375</v>
      </c>
      <c r="AQ246" s="61">
        <v>0.33773584905660375</v>
      </c>
      <c r="AR246" s="60" t="s">
        <v>78</v>
      </c>
      <c r="AS246" s="62">
        <v>87</v>
      </c>
      <c r="AT246" s="62">
        <v>36</v>
      </c>
      <c r="AU246" s="62">
        <v>123</v>
      </c>
      <c r="AV246" s="62">
        <v>153.75</v>
      </c>
      <c r="AW246" s="47" t="s">
        <v>74</v>
      </c>
      <c r="AX246" s="64">
        <v>45399</v>
      </c>
      <c r="AY246" s="64" t="s">
        <v>6189</v>
      </c>
      <c r="BA246" s="64"/>
      <c r="BB246" s="64"/>
      <c r="BC246" s="64"/>
      <c r="BD246" s="46"/>
      <c r="BE246" s="46" t="e">
        <v>#REF!</v>
      </c>
      <c r="BF246" s="46"/>
      <c r="BG246" s="65"/>
      <c r="BH246" s="66"/>
      <c r="BI246" s="63" t="s">
        <v>6190</v>
      </c>
    </row>
    <row r="247" spans="1:61" ht="12.75" x14ac:dyDescent="0.2">
      <c r="A247" s="34" t="s">
        <v>6191</v>
      </c>
      <c r="B247" s="35"/>
      <c r="C247" s="35"/>
      <c r="D247" s="35"/>
      <c r="E247" s="35"/>
      <c r="F247" s="35"/>
      <c r="G247" s="35"/>
      <c r="H247" s="35"/>
      <c r="I247" s="35"/>
      <c r="J247" s="35"/>
      <c r="K247" s="36"/>
      <c r="L247" s="36"/>
      <c r="M247" s="36" t="s">
        <v>68</v>
      </c>
      <c r="N247" s="35"/>
      <c r="O247" s="35" t="s">
        <v>68</v>
      </c>
      <c r="P247" s="37"/>
      <c r="Q247" s="38" t="s">
        <v>5325</v>
      </c>
      <c r="R247" s="38" t="s">
        <v>6192</v>
      </c>
      <c r="S247" s="36" t="s">
        <v>68</v>
      </c>
      <c r="T247" s="36" t="s">
        <v>68</v>
      </c>
      <c r="U247" s="39" t="s">
        <v>68</v>
      </c>
      <c r="V247" s="39" t="s">
        <v>68</v>
      </c>
      <c r="W247" s="40" t="s">
        <v>68</v>
      </c>
      <c r="X247" s="36" t="s">
        <v>68</v>
      </c>
      <c r="Y247" s="36" t="s">
        <v>68</v>
      </c>
      <c r="Z247" s="36" t="s">
        <v>68</v>
      </c>
      <c r="AA247" s="36" t="s">
        <v>68</v>
      </c>
      <c r="AB247" s="39" t="s">
        <v>68</v>
      </c>
      <c r="AC247" s="36" t="s">
        <v>68</v>
      </c>
      <c r="AD247" s="39" t="s">
        <v>68</v>
      </c>
      <c r="AE247" s="41"/>
      <c r="AF247" s="42" t="s">
        <v>68</v>
      </c>
      <c r="AG247" s="36" t="s">
        <v>68</v>
      </c>
      <c r="AH247" s="36" t="s">
        <v>68</v>
      </c>
      <c r="AI247" s="36" t="s">
        <v>68</v>
      </c>
      <c r="AJ247" s="36" t="s">
        <v>68</v>
      </c>
      <c r="AK247" s="36" t="s">
        <v>68</v>
      </c>
      <c r="AL247" s="36" t="s">
        <v>68</v>
      </c>
      <c r="AM247" s="36" t="s">
        <v>68</v>
      </c>
      <c r="AN247" s="36" t="s">
        <v>68</v>
      </c>
      <c r="AO247" s="43" t="s">
        <v>68</v>
      </c>
      <c r="AP247" s="36" t="s">
        <v>68</v>
      </c>
      <c r="AQ247" s="39" t="s">
        <v>68</v>
      </c>
      <c r="AR247" s="36" t="s">
        <v>68</v>
      </c>
      <c r="AS247" s="36" t="s">
        <v>68</v>
      </c>
      <c r="AT247" s="36" t="s">
        <v>68</v>
      </c>
      <c r="AU247" s="36" t="s">
        <v>68</v>
      </c>
      <c r="AV247" s="36" t="s">
        <v>68</v>
      </c>
      <c r="AW247" s="35"/>
      <c r="AX247" s="37"/>
      <c r="AY247" s="37" t="s">
        <v>68</v>
      </c>
      <c r="BA247" s="37"/>
      <c r="BB247" s="37"/>
      <c r="BC247" s="37"/>
      <c r="BD247" s="35"/>
      <c r="BE247" s="35" t="e">
        <v>#REF!</v>
      </c>
      <c r="BF247" s="35"/>
      <c r="BG247" s="44"/>
      <c r="BH247" s="35"/>
      <c r="BI247" s="35" t="s">
        <v>68</v>
      </c>
    </row>
    <row r="248" spans="1:61" ht="127.5" x14ac:dyDescent="0.2">
      <c r="A248" s="45" t="s">
        <v>6193</v>
      </c>
      <c r="B248" s="46"/>
      <c r="C248" s="46" t="s">
        <v>6194</v>
      </c>
      <c r="D248" s="46" t="s">
        <v>6085</v>
      </c>
      <c r="E248" s="46" t="s">
        <v>6086</v>
      </c>
      <c r="F248" s="46" t="s">
        <v>6087</v>
      </c>
      <c r="G248" s="46"/>
      <c r="H248" s="46"/>
      <c r="I248" s="46"/>
      <c r="J248" s="46" t="s">
        <v>2996</v>
      </c>
      <c r="K248" s="47">
        <f>ROUND(K211*1.2,0)</f>
        <v>43</v>
      </c>
      <c r="L248" s="47">
        <v>8</v>
      </c>
      <c r="M248" s="47">
        <v>51</v>
      </c>
      <c r="N248" s="46"/>
      <c r="O248" s="71" t="s">
        <v>68</v>
      </c>
      <c r="P248" s="46" t="s">
        <v>6063</v>
      </c>
      <c r="Q248" s="46" t="s">
        <v>5325</v>
      </c>
      <c r="R248" s="46" t="s">
        <v>6192</v>
      </c>
      <c r="S248" s="49">
        <v>12.75</v>
      </c>
      <c r="T248" s="49">
        <v>63.75</v>
      </c>
      <c r="U248" s="50">
        <v>0.10392156862745099</v>
      </c>
      <c r="V248" s="67">
        <v>0.48305084745762711</v>
      </c>
      <c r="W248" s="51">
        <v>0.18604651162790697</v>
      </c>
      <c r="X248" s="52">
        <v>6.375</v>
      </c>
      <c r="Y248" s="52">
        <v>30</v>
      </c>
      <c r="Z248" s="52">
        <v>20.75</v>
      </c>
      <c r="AA248" s="52">
        <v>57.125</v>
      </c>
      <c r="AB248" s="53">
        <v>0.89607843137254906</v>
      </c>
      <c r="AC248" s="75">
        <v>6.625</v>
      </c>
      <c r="AD248" s="55">
        <v>0.10392156862745099</v>
      </c>
      <c r="AE248" s="56">
        <v>2</v>
      </c>
      <c r="AF248" s="57" t="s">
        <v>72</v>
      </c>
      <c r="AG248" s="58">
        <v>21.5</v>
      </c>
      <c r="AH248" s="58">
        <v>8</v>
      </c>
      <c r="AI248" s="58">
        <v>29.5</v>
      </c>
      <c r="AJ248" s="49">
        <v>7.375</v>
      </c>
      <c r="AK248" s="49">
        <v>36.875</v>
      </c>
      <c r="AL248" s="52">
        <v>3.6875</v>
      </c>
      <c r="AM248" s="52">
        <v>15.375</v>
      </c>
      <c r="AN248" s="52">
        <v>19.0625</v>
      </c>
      <c r="AO248" s="59">
        <v>0.51694915254237284</v>
      </c>
      <c r="AP248" s="60">
        <v>17.8125</v>
      </c>
      <c r="AQ248" s="61">
        <v>0.48305084745762711</v>
      </c>
      <c r="AR248" s="60" t="s">
        <v>78</v>
      </c>
      <c r="AS248" s="62">
        <v>65</v>
      </c>
      <c r="AT248" s="62">
        <v>12</v>
      </c>
      <c r="AU248" s="62">
        <v>77</v>
      </c>
      <c r="AV248" s="62">
        <v>96.25</v>
      </c>
      <c r="AW248" s="47" t="s">
        <v>74</v>
      </c>
      <c r="AX248" s="64">
        <v>45325</v>
      </c>
      <c r="AY248" s="64" t="s">
        <v>6195</v>
      </c>
      <c r="BA248" s="64"/>
      <c r="BB248" s="64"/>
      <c r="BC248" s="64"/>
      <c r="BD248" s="46"/>
      <c r="BE248" s="46" t="e">
        <v>#REF!</v>
      </c>
      <c r="BF248" s="46" t="s">
        <v>5325</v>
      </c>
      <c r="BG248" s="65"/>
      <c r="BH248" s="66"/>
      <c r="BI248" s="63" t="s">
        <v>6196</v>
      </c>
    </row>
    <row r="249" spans="1:61" ht="114.75" x14ac:dyDescent="0.2">
      <c r="A249" s="45" t="s">
        <v>6197</v>
      </c>
      <c r="B249" s="46"/>
      <c r="C249" s="46" t="s">
        <v>6194</v>
      </c>
      <c r="D249" s="46" t="s">
        <v>6085</v>
      </c>
      <c r="E249" s="46" t="s">
        <v>6093</v>
      </c>
      <c r="F249" s="46" t="s">
        <v>6087</v>
      </c>
      <c r="G249" s="46"/>
      <c r="H249" s="46"/>
      <c r="I249" s="46"/>
      <c r="J249" s="46" t="s">
        <v>2996</v>
      </c>
      <c r="K249" s="47">
        <f t="shared" ref="K249:K251" si="33">ROUND( K212*1.2,0)</f>
        <v>46</v>
      </c>
      <c r="L249" s="47">
        <f>ROUNDUP(L212*1.2,0)</f>
        <v>15</v>
      </c>
      <c r="M249" s="47">
        <v>61</v>
      </c>
      <c r="N249" s="46"/>
      <c r="O249" s="71" t="s">
        <v>68</v>
      </c>
      <c r="P249" s="46" t="s">
        <v>6063</v>
      </c>
      <c r="Q249" s="46" t="s">
        <v>5325</v>
      </c>
      <c r="R249" s="46" t="s">
        <v>6192</v>
      </c>
      <c r="S249" s="49">
        <v>15.25</v>
      </c>
      <c r="T249" s="49">
        <v>76.25</v>
      </c>
      <c r="U249" s="50">
        <v>0.10983606557377049</v>
      </c>
      <c r="V249" s="67">
        <v>0.38421052631578945</v>
      </c>
      <c r="W249" s="51">
        <v>0.32608695652173914</v>
      </c>
      <c r="X249" s="52">
        <v>7.625</v>
      </c>
      <c r="Y249" s="52">
        <v>30</v>
      </c>
      <c r="Z249" s="52">
        <v>30.25</v>
      </c>
      <c r="AA249" s="52">
        <v>67.875</v>
      </c>
      <c r="AB249" s="53">
        <v>0.89016393442622954</v>
      </c>
      <c r="AC249" s="75">
        <v>8.375</v>
      </c>
      <c r="AD249" s="55">
        <v>0.10983606557377049</v>
      </c>
      <c r="AE249" s="56">
        <v>2</v>
      </c>
      <c r="AF249" s="57" t="s">
        <v>72</v>
      </c>
      <c r="AG249" s="58">
        <v>23</v>
      </c>
      <c r="AH249" s="58">
        <v>15</v>
      </c>
      <c r="AI249" s="58">
        <v>38</v>
      </c>
      <c r="AJ249" s="49">
        <v>9.5</v>
      </c>
      <c r="AK249" s="49">
        <v>47.5</v>
      </c>
      <c r="AL249" s="52">
        <v>4.75</v>
      </c>
      <c r="AM249" s="52">
        <v>24.5</v>
      </c>
      <c r="AN249" s="52">
        <v>29.25</v>
      </c>
      <c r="AO249" s="59">
        <v>0.61578947368421055</v>
      </c>
      <c r="AP249" s="60">
        <v>18.25</v>
      </c>
      <c r="AQ249" s="61">
        <v>0.38421052631578945</v>
      </c>
      <c r="AR249" s="60" t="s">
        <v>78</v>
      </c>
      <c r="AS249" s="62">
        <v>69</v>
      </c>
      <c r="AT249" s="62">
        <v>23</v>
      </c>
      <c r="AU249" s="62">
        <v>92</v>
      </c>
      <c r="AV249" s="62">
        <v>115</v>
      </c>
      <c r="AW249" s="47" t="s">
        <v>74</v>
      </c>
      <c r="AX249" s="64">
        <v>45325</v>
      </c>
      <c r="AY249" s="64" t="s">
        <v>6198</v>
      </c>
      <c r="BA249" s="64"/>
      <c r="BB249" s="64"/>
      <c r="BC249" s="64"/>
      <c r="BD249" s="46"/>
      <c r="BE249" s="46" t="e">
        <v>#REF!</v>
      </c>
      <c r="BF249" s="46" t="s">
        <v>5325</v>
      </c>
      <c r="BG249" s="65"/>
      <c r="BH249" s="66"/>
      <c r="BI249" s="63" t="s">
        <v>6199</v>
      </c>
    </row>
    <row r="250" spans="1:61" ht="127.5" x14ac:dyDescent="0.2">
      <c r="A250" s="45" t="s">
        <v>6200</v>
      </c>
      <c r="B250" s="46"/>
      <c r="C250" s="46" t="s">
        <v>6194</v>
      </c>
      <c r="D250" s="46" t="s">
        <v>6098</v>
      </c>
      <c r="E250" s="46" t="s">
        <v>6086</v>
      </c>
      <c r="F250" s="46" t="s">
        <v>6087</v>
      </c>
      <c r="G250" s="46"/>
      <c r="H250" s="46"/>
      <c r="I250" s="46"/>
      <c r="J250" s="46" t="s">
        <v>2996</v>
      </c>
      <c r="K250" s="47">
        <f t="shared" si="33"/>
        <v>67</v>
      </c>
      <c r="L250" s="47">
        <v>12</v>
      </c>
      <c r="M250" s="47">
        <v>79</v>
      </c>
      <c r="N250" s="46"/>
      <c r="O250" s="71" t="s">
        <v>68</v>
      </c>
      <c r="P250" s="46" t="s">
        <v>6063</v>
      </c>
      <c r="Q250" s="46" t="s">
        <v>5325</v>
      </c>
      <c r="R250" s="46" t="s">
        <v>6192</v>
      </c>
      <c r="S250" s="49">
        <v>19.75</v>
      </c>
      <c r="T250" s="49">
        <v>98.75</v>
      </c>
      <c r="U250" s="28">
        <v>0.27468354430379749</v>
      </c>
      <c r="V250" s="67">
        <v>0.48901098901098899</v>
      </c>
      <c r="W250" s="51">
        <v>0.17910447761194029</v>
      </c>
      <c r="X250" s="52">
        <v>9.875</v>
      </c>
      <c r="Y250" s="52">
        <v>30</v>
      </c>
      <c r="Z250" s="52">
        <v>31.75</v>
      </c>
      <c r="AA250" s="52">
        <v>71.625</v>
      </c>
      <c r="AB250" s="53">
        <v>0.72531645569620251</v>
      </c>
      <c r="AC250" s="75">
        <v>27.125</v>
      </c>
      <c r="AD250" s="55">
        <v>0.27468354430379749</v>
      </c>
      <c r="AE250" s="56">
        <v>2</v>
      </c>
      <c r="AF250" s="57" t="s">
        <v>72</v>
      </c>
      <c r="AG250" s="58">
        <v>33.5</v>
      </c>
      <c r="AH250" s="58">
        <v>12</v>
      </c>
      <c r="AI250" s="58">
        <v>45.5</v>
      </c>
      <c r="AJ250" s="49">
        <v>11.375</v>
      </c>
      <c r="AK250" s="49">
        <v>56.875</v>
      </c>
      <c r="AL250" s="52">
        <v>5.6875</v>
      </c>
      <c r="AM250" s="52">
        <v>23.375</v>
      </c>
      <c r="AN250" s="52">
        <v>29.0625</v>
      </c>
      <c r="AO250" s="59">
        <v>0.51098901098901095</v>
      </c>
      <c r="AP250" s="60">
        <v>27.8125</v>
      </c>
      <c r="AQ250" s="61">
        <v>0.48901098901098899</v>
      </c>
      <c r="AR250" s="60" t="s">
        <v>78</v>
      </c>
      <c r="AS250" s="62">
        <v>101</v>
      </c>
      <c r="AT250" s="62">
        <v>18</v>
      </c>
      <c r="AU250" s="62">
        <v>119</v>
      </c>
      <c r="AV250" s="62">
        <v>148.75</v>
      </c>
      <c r="AW250" s="47" t="s">
        <v>74</v>
      </c>
      <c r="AX250" s="64">
        <v>45325</v>
      </c>
      <c r="AY250" s="64" t="s">
        <v>6201</v>
      </c>
      <c r="BA250" s="64"/>
      <c r="BB250" s="64"/>
      <c r="BC250" s="64"/>
      <c r="BD250" s="46"/>
      <c r="BE250" s="46" t="e">
        <v>#REF!</v>
      </c>
      <c r="BF250" s="46" t="s">
        <v>5325</v>
      </c>
      <c r="BG250" s="65"/>
      <c r="BH250" s="66"/>
      <c r="BI250" s="63" t="s">
        <v>6202</v>
      </c>
    </row>
    <row r="251" spans="1:61" ht="127.5" x14ac:dyDescent="0.2">
      <c r="A251" s="45" t="s">
        <v>6203</v>
      </c>
      <c r="B251" s="46"/>
      <c r="C251" s="46" t="s">
        <v>6194</v>
      </c>
      <c r="D251" s="46" t="s">
        <v>6098</v>
      </c>
      <c r="E251" s="46" t="s">
        <v>6093</v>
      </c>
      <c r="F251" s="46" t="s">
        <v>6087</v>
      </c>
      <c r="G251" s="46"/>
      <c r="H251" s="46"/>
      <c r="I251" s="46"/>
      <c r="J251" s="46" t="s">
        <v>2996</v>
      </c>
      <c r="K251" s="47">
        <f t="shared" si="33"/>
        <v>70</v>
      </c>
      <c r="L251" s="47">
        <f>ROUNDUP(L214*1.2,0)</f>
        <v>24</v>
      </c>
      <c r="M251" s="47">
        <v>94</v>
      </c>
      <c r="N251" s="46"/>
      <c r="O251" s="71" t="s">
        <v>68</v>
      </c>
      <c r="P251" s="46" t="s">
        <v>6063</v>
      </c>
      <c r="Q251" s="46" t="s">
        <v>5325</v>
      </c>
      <c r="R251" s="46" t="s">
        <v>6192</v>
      </c>
      <c r="S251" s="49">
        <v>23.5</v>
      </c>
      <c r="T251" s="49">
        <v>117.5</v>
      </c>
      <c r="U251" s="28">
        <v>0.2404255319148936</v>
      </c>
      <c r="V251" s="67">
        <v>0.37457627118644066</v>
      </c>
      <c r="W251" s="51">
        <v>0.34285714285714286</v>
      </c>
      <c r="X251" s="52">
        <v>11.75</v>
      </c>
      <c r="Y251" s="52">
        <v>30</v>
      </c>
      <c r="Z251" s="52">
        <v>47.5</v>
      </c>
      <c r="AA251" s="52">
        <v>89.25</v>
      </c>
      <c r="AB251" s="53">
        <v>0.75957446808510642</v>
      </c>
      <c r="AC251" s="75">
        <v>28.25</v>
      </c>
      <c r="AD251" s="55">
        <v>0.2404255319148936</v>
      </c>
      <c r="AE251" s="56">
        <v>2</v>
      </c>
      <c r="AF251" s="57" t="s">
        <v>72</v>
      </c>
      <c r="AG251" s="58">
        <v>35</v>
      </c>
      <c r="AH251" s="58">
        <v>24</v>
      </c>
      <c r="AI251" s="58">
        <v>59</v>
      </c>
      <c r="AJ251" s="49">
        <v>14.75</v>
      </c>
      <c r="AK251" s="49">
        <v>73.75</v>
      </c>
      <c r="AL251" s="52">
        <v>7.375</v>
      </c>
      <c r="AM251" s="52">
        <v>38.75</v>
      </c>
      <c r="AN251" s="52">
        <v>46.125</v>
      </c>
      <c r="AO251" s="59">
        <v>0.62542372881355934</v>
      </c>
      <c r="AP251" s="60">
        <v>27.625</v>
      </c>
      <c r="AQ251" s="61">
        <v>0.37457627118644066</v>
      </c>
      <c r="AR251" s="60" t="s">
        <v>78</v>
      </c>
      <c r="AS251" s="62">
        <v>105</v>
      </c>
      <c r="AT251" s="62">
        <v>36</v>
      </c>
      <c r="AU251" s="62">
        <v>141</v>
      </c>
      <c r="AV251" s="62">
        <v>176.25</v>
      </c>
      <c r="AW251" s="47" t="s">
        <v>74</v>
      </c>
      <c r="AX251" s="64">
        <v>45325</v>
      </c>
      <c r="AY251" s="64" t="s">
        <v>6204</v>
      </c>
      <c r="BA251" s="64"/>
      <c r="BB251" s="64"/>
      <c r="BC251" s="64"/>
      <c r="BD251" s="46"/>
      <c r="BE251" s="46" t="e">
        <v>#REF!</v>
      </c>
      <c r="BF251" s="46" t="s">
        <v>5325</v>
      </c>
      <c r="BG251" s="65"/>
      <c r="BH251" s="66"/>
      <c r="BI251" s="63" t="s">
        <v>6205</v>
      </c>
    </row>
    <row r="252" spans="1:61" ht="114.75" x14ac:dyDescent="0.2">
      <c r="A252" s="45" t="s">
        <v>6206</v>
      </c>
      <c r="B252" s="46"/>
      <c r="C252" s="46" t="s">
        <v>6194</v>
      </c>
      <c r="D252" s="46" t="s">
        <v>6085</v>
      </c>
      <c r="E252" s="46" t="s">
        <v>6086</v>
      </c>
      <c r="F252" s="46" t="s">
        <v>6108</v>
      </c>
      <c r="G252" s="46"/>
      <c r="H252" s="46"/>
      <c r="I252" s="46"/>
      <c r="J252" s="46" t="s">
        <v>6109</v>
      </c>
      <c r="K252" s="47">
        <v>0</v>
      </c>
      <c r="L252" s="47">
        <v>528</v>
      </c>
      <c r="M252" s="47">
        <v>528</v>
      </c>
      <c r="N252" s="46"/>
      <c r="O252" s="71" t="s">
        <v>68</v>
      </c>
      <c r="P252" s="64"/>
      <c r="Q252" s="46" t="s">
        <v>5325</v>
      </c>
      <c r="R252" s="46" t="s">
        <v>6192</v>
      </c>
      <c r="S252" s="49">
        <v>132</v>
      </c>
      <c r="T252" s="49">
        <v>660</v>
      </c>
      <c r="U252" s="50">
        <v>0</v>
      </c>
      <c r="V252" s="78">
        <v>-0.1</v>
      </c>
      <c r="W252" s="29" t="e">
        <v>#DIV/0!</v>
      </c>
      <c r="X252" s="52">
        <v>66</v>
      </c>
      <c r="Y252" s="52">
        <v>30</v>
      </c>
      <c r="Z252" s="52">
        <v>660</v>
      </c>
      <c r="AA252" s="52">
        <v>756</v>
      </c>
      <c r="AB252" s="53">
        <v>1.1454545454545455</v>
      </c>
      <c r="AC252" s="75">
        <v>0</v>
      </c>
      <c r="AD252" s="55">
        <v>0</v>
      </c>
      <c r="AE252" s="69">
        <v>1</v>
      </c>
      <c r="AF252" s="57" t="s">
        <v>77</v>
      </c>
      <c r="AG252" s="58">
        <v>0</v>
      </c>
      <c r="AH252" s="58">
        <v>528</v>
      </c>
      <c r="AI252" s="58">
        <v>528</v>
      </c>
      <c r="AJ252" s="49">
        <v>132</v>
      </c>
      <c r="AK252" s="49">
        <v>660</v>
      </c>
      <c r="AL252" s="52">
        <v>66</v>
      </c>
      <c r="AM252" s="52">
        <v>660</v>
      </c>
      <c r="AN252" s="52">
        <v>726</v>
      </c>
      <c r="AO252" s="59">
        <v>1.1000000000000001</v>
      </c>
      <c r="AP252" s="79">
        <v>-66</v>
      </c>
      <c r="AQ252" s="80">
        <v>-0.1</v>
      </c>
      <c r="AR252" s="60" t="s">
        <v>73</v>
      </c>
      <c r="AS252" s="62">
        <v>0</v>
      </c>
      <c r="AT252" s="62">
        <v>687</v>
      </c>
      <c r="AU252" s="62">
        <v>687</v>
      </c>
      <c r="AV252" s="62">
        <v>858.75</v>
      </c>
      <c r="AW252" s="47" t="s">
        <v>107</v>
      </c>
      <c r="AX252" s="64">
        <v>45339</v>
      </c>
      <c r="AY252" s="64" t="s">
        <v>6207</v>
      </c>
      <c r="BA252" s="64"/>
      <c r="BB252" s="64"/>
      <c r="BC252" s="64"/>
      <c r="BD252" s="70" t="s">
        <v>6208</v>
      </c>
      <c r="BE252" s="46" t="e">
        <v>#REF!</v>
      </c>
      <c r="BF252" s="46" t="s">
        <v>5325</v>
      </c>
      <c r="BG252" s="65">
        <v>16</v>
      </c>
      <c r="BH252" s="66"/>
      <c r="BI252" s="63" t="s">
        <v>6209</v>
      </c>
    </row>
    <row r="253" spans="1:61" ht="114.75" x14ac:dyDescent="0.2">
      <c r="A253" s="45" t="s">
        <v>6210</v>
      </c>
      <c r="B253" s="46"/>
      <c r="C253" s="46" t="s">
        <v>6194</v>
      </c>
      <c r="D253" s="46" t="s">
        <v>6085</v>
      </c>
      <c r="E253" s="46" t="s">
        <v>6093</v>
      </c>
      <c r="F253" s="46" t="s">
        <v>6108</v>
      </c>
      <c r="G253" s="46"/>
      <c r="H253" s="46"/>
      <c r="I253" s="46"/>
      <c r="J253" s="46" t="s">
        <v>6109</v>
      </c>
      <c r="K253" s="47">
        <v>0</v>
      </c>
      <c r="L253" s="47">
        <v>1056</v>
      </c>
      <c r="M253" s="47">
        <v>1056</v>
      </c>
      <c r="N253" s="46"/>
      <c r="O253" s="71" t="s">
        <v>68</v>
      </c>
      <c r="P253" s="64"/>
      <c r="Q253" s="46" t="s">
        <v>5325</v>
      </c>
      <c r="R253" s="46" t="s">
        <v>6192</v>
      </c>
      <c r="S253" s="49">
        <v>264</v>
      </c>
      <c r="T253" s="49">
        <v>1320</v>
      </c>
      <c r="U253" s="50">
        <v>0</v>
      </c>
      <c r="V253" s="78">
        <v>-0.1</v>
      </c>
      <c r="W253" s="29" t="e">
        <v>#DIV/0!</v>
      </c>
      <c r="X253" s="52">
        <v>132</v>
      </c>
      <c r="Y253" s="52">
        <v>30</v>
      </c>
      <c r="Z253" s="52">
        <v>1320</v>
      </c>
      <c r="AA253" s="52">
        <v>1482</v>
      </c>
      <c r="AB253" s="53">
        <v>1.1227272727272728</v>
      </c>
      <c r="AC253" s="75">
        <v>0</v>
      </c>
      <c r="AD253" s="55">
        <v>0</v>
      </c>
      <c r="AE253" s="69">
        <v>1</v>
      </c>
      <c r="AF253" s="57" t="s">
        <v>77</v>
      </c>
      <c r="AG253" s="58">
        <v>0</v>
      </c>
      <c r="AH253" s="58">
        <v>1056</v>
      </c>
      <c r="AI253" s="58">
        <v>1056</v>
      </c>
      <c r="AJ253" s="49">
        <v>264</v>
      </c>
      <c r="AK253" s="49">
        <v>1320</v>
      </c>
      <c r="AL253" s="52">
        <v>132</v>
      </c>
      <c r="AM253" s="52">
        <v>1320</v>
      </c>
      <c r="AN253" s="52">
        <v>1452</v>
      </c>
      <c r="AO253" s="59">
        <v>1.1000000000000001</v>
      </c>
      <c r="AP253" s="79">
        <v>-132</v>
      </c>
      <c r="AQ253" s="80">
        <v>-0.1</v>
      </c>
      <c r="AR253" s="60" t="s">
        <v>73</v>
      </c>
      <c r="AS253" s="62">
        <v>0</v>
      </c>
      <c r="AT253" s="62">
        <v>1373</v>
      </c>
      <c r="AU253" s="62">
        <v>1373</v>
      </c>
      <c r="AV253" s="62">
        <v>1716.25</v>
      </c>
      <c r="AW253" s="47" t="s">
        <v>107</v>
      </c>
      <c r="AX253" s="64">
        <v>45339</v>
      </c>
      <c r="AY253" s="64" t="s">
        <v>6211</v>
      </c>
      <c r="BA253" s="64"/>
      <c r="BB253" s="64"/>
      <c r="BC253" s="64"/>
      <c r="BD253" s="70" t="s">
        <v>6212</v>
      </c>
      <c r="BE253" s="46" t="e">
        <v>#REF!</v>
      </c>
      <c r="BF253" s="46" t="s">
        <v>5325</v>
      </c>
      <c r="BG253" s="65">
        <v>16</v>
      </c>
      <c r="BH253" s="66"/>
      <c r="BI253" s="63" t="s">
        <v>6213</v>
      </c>
    </row>
    <row r="254" spans="1:61" ht="114.75" x14ac:dyDescent="0.2">
      <c r="A254" s="45" t="s">
        <v>6214</v>
      </c>
      <c r="B254" s="46"/>
      <c r="C254" s="46" t="s">
        <v>6194</v>
      </c>
      <c r="D254" s="46" t="s">
        <v>6098</v>
      </c>
      <c r="E254" s="46" t="s">
        <v>6086</v>
      </c>
      <c r="F254" s="46" t="s">
        <v>6108</v>
      </c>
      <c r="G254" s="46"/>
      <c r="H254" s="46"/>
      <c r="I254" s="46"/>
      <c r="J254" s="46" t="s">
        <v>6109</v>
      </c>
      <c r="K254" s="47">
        <v>0</v>
      </c>
      <c r="L254" s="47">
        <v>780</v>
      </c>
      <c r="M254" s="47">
        <v>780</v>
      </c>
      <c r="N254" s="46"/>
      <c r="O254" s="71" t="s">
        <v>68</v>
      </c>
      <c r="P254" s="64"/>
      <c r="Q254" s="46" t="s">
        <v>5325</v>
      </c>
      <c r="R254" s="46" t="s">
        <v>6192</v>
      </c>
      <c r="S254" s="49">
        <v>195</v>
      </c>
      <c r="T254" s="49">
        <v>975</v>
      </c>
      <c r="U254" s="50">
        <v>0</v>
      </c>
      <c r="V254" s="78">
        <v>-0.1</v>
      </c>
      <c r="W254" s="29" t="e">
        <v>#DIV/0!</v>
      </c>
      <c r="X254" s="52">
        <v>97.5</v>
      </c>
      <c r="Y254" s="52">
        <v>30</v>
      </c>
      <c r="Z254" s="52">
        <v>975</v>
      </c>
      <c r="AA254" s="52">
        <v>1102.5</v>
      </c>
      <c r="AB254" s="53">
        <v>1.1307692307692307</v>
      </c>
      <c r="AC254" s="75">
        <v>0</v>
      </c>
      <c r="AD254" s="55">
        <v>0</v>
      </c>
      <c r="AE254" s="69">
        <v>1</v>
      </c>
      <c r="AF254" s="57" t="s">
        <v>77</v>
      </c>
      <c r="AG254" s="58">
        <v>0</v>
      </c>
      <c r="AH254" s="58">
        <v>780</v>
      </c>
      <c r="AI254" s="58">
        <v>780</v>
      </c>
      <c r="AJ254" s="49">
        <v>195</v>
      </c>
      <c r="AK254" s="49">
        <v>975</v>
      </c>
      <c r="AL254" s="52">
        <v>97.5</v>
      </c>
      <c r="AM254" s="52">
        <v>975</v>
      </c>
      <c r="AN254" s="52">
        <v>1072.5</v>
      </c>
      <c r="AO254" s="59">
        <v>1.1000000000000001</v>
      </c>
      <c r="AP254" s="79">
        <v>-97.5</v>
      </c>
      <c r="AQ254" s="80">
        <v>-0.1</v>
      </c>
      <c r="AR254" s="60" t="s">
        <v>73</v>
      </c>
      <c r="AS254" s="62">
        <v>0</v>
      </c>
      <c r="AT254" s="62">
        <v>1014</v>
      </c>
      <c r="AU254" s="62">
        <v>1014</v>
      </c>
      <c r="AV254" s="62">
        <v>1267.5</v>
      </c>
      <c r="AW254" s="47" t="s">
        <v>107</v>
      </c>
      <c r="AX254" s="64">
        <v>45339</v>
      </c>
      <c r="AY254" s="64" t="s">
        <v>6215</v>
      </c>
      <c r="BA254" s="64"/>
      <c r="BB254" s="64"/>
      <c r="BC254" s="64"/>
      <c r="BD254" s="46"/>
      <c r="BE254" s="46" t="e">
        <v>#REF!</v>
      </c>
      <c r="BF254" s="46" t="s">
        <v>5325</v>
      </c>
      <c r="BG254" s="65">
        <v>16</v>
      </c>
      <c r="BH254" s="66"/>
      <c r="BI254" s="63" t="s">
        <v>6216</v>
      </c>
    </row>
    <row r="255" spans="1:61" ht="127.5" x14ac:dyDescent="0.2">
      <c r="A255" s="45" t="s">
        <v>6217</v>
      </c>
      <c r="B255" s="46"/>
      <c r="C255" s="46" t="s">
        <v>6194</v>
      </c>
      <c r="D255" s="46" t="s">
        <v>6098</v>
      </c>
      <c r="E255" s="46" t="s">
        <v>6093</v>
      </c>
      <c r="F255" s="46" t="s">
        <v>6108</v>
      </c>
      <c r="G255" s="46"/>
      <c r="H255" s="46"/>
      <c r="I255" s="46"/>
      <c r="J255" s="46" t="s">
        <v>6109</v>
      </c>
      <c r="K255" s="47">
        <v>0</v>
      </c>
      <c r="L255" s="47">
        <v>1560</v>
      </c>
      <c r="M255" s="47">
        <v>1560</v>
      </c>
      <c r="N255" s="46"/>
      <c r="O255" s="71" t="s">
        <v>68</v>
      </c>
      <c r="P255" s="64"/>
      <c r="Q255" s="46" t="s">
        <v>5325</v>
      </c>
      <c r="R255" s="46" t="s">
        <v>6192</v>
      </c>
      <c r="S255" s="49">
        <v>390</v>
      </c>
      <c r="T255" s="49">
        <v>1950</v>
      </c>
      <c r="U255" s="50">
        <v>0</v>
      </c>
      <c r="V255" s="78">
        <v>-0.1</v>
      </c>
      <c r="W255" s="29" t="e">
        <v>#DIV/0!</v>
      </c>
      <c r="X255" s="52">
        <v>195</v>
      </c>
      <c r="Y255" s="52">
        <v>30</v>
      </c>
      <c r="Z255" s="52">
        <v>1950</v>
      </c>
      <c r="AA255" s="52">
        <v>2175</v>
      </c>
      <c r="AB255" s="53">
        <v>1.1153846153846154</v>
      </c>
      <c r="AC255" s="75">
        <v>0</v>
      </c>
      <c r="AD255" s="55">
        <v>0</v>
      </c>
      <c r="AE255" s="69">
        <v>1</v>
      </c>
      <c r="AF255" s="57" t="s">
        <v>77</v>
      </c>
      <c r="AG255" s="58">
        <v>0</v>
      </c>
      <c r="AH255" s="58">
        <v>1560</v>
      </c>
      <c r="AI255" s="58">
        <v>1560</v>
      </c>
      <c r="AJ255" s="49">
        <v>390</v>
      </c>
      <c r="AK255" s="49">
        <v>1950</v>
      </c>
      <c r="AL255" s="52">
        <v>195</v>
      </c>
      <c r="AM255" s="52">
        <v>1950</v>
      </c>
      <c r="AN255" s="52">
        <v>2145</v>
      </c>
      <c r="AO255" s="59">
        <v>1.1000000000000001</v>
      </c>
      <c r="AP255" s="79">
        <v>-195</v>
      </c>
      <c r="AQ255" s="80">
        <v>-0.1</v>
      </c>
      <c r="AR255" s="60" t="s">
        <v>73</v>
      </c>
      <c r="AS255" s="62">
        <v>0</v>
      </c>
      <c r="AT255" s="62">
        <v>2028</v>
      </c>
      <c r="AU255" s="62">
        <v>2028</v>
      </c>
      <c r="AV255" s="62">
        <v>2535</v>
      </c>
      <c r="AW255" s="47" t="s">
        <v>107</v>
      </c>
      <c r="AX255" s="64">
        <v>45339</v>
      </c>
      <c r="AY255" s="64" t="s">
        <v>6218</v>
      </c>
      <c r="BA255" s="64"/>
      <c r="BB255" s="64"/>
      <c r="BC255" s="64"/>
      <c r="BD255" s="46"/>
      <c r="BE255" s="46" t="e">
        <v>#REF!</v>
      </c>
      <c r="BF255" s="46" t="s">
        <v>5325</v>
      </c>
      <c r="BG255" s="65">
        <v>16</v>
      </c>
      <c r="BH255" s="66"/>
      <c r="BI255" s="63" t="s">
        <v>6219</v>
      </c>
    </row>
    <row r="256" spans="1:61" ht="114.75" x14ac:dyDescent="0.2">
      <c r="A256" s="45" t="s">
        <v>6220</v>
      </c>
      <c r="B256" s="46"/>
      <c r="C256" s="46" t="s">
        <v>6194</v>
      </c>
      <c r="D256" s="46" t="s">
        <v>6085</v>
      </c>
      <c r="E256" s="46" t="s">
        <v>6086</v>
      </c>
      <c r="F256" s="46" t="s">
        <v>6108</v>
      </c>
      <c r="G256" s="46"/>
      <c r="H256" s="46"/>
      <c r="I256" s="46"/>
      <c r="J256" s="46" t="s">
        <v>6123</v>
      </c>
      <c r="K256" s="47">
        <v>0</v>
      </c>
      <c r="L256" s="47">
        <v>180</v>
      </c>
      <c r="M256" s="47">
        <v>180</v>
      </c>
      <c r="N256" s="46"/>
      <c r="O256" s="71" t="s">
        <v>68</v>
      </c>
      <c r="P256" s="64"/>
      <c r="Q256" s="46" t="s">
        <v>5325</v>
      </c>
      <c r="R256" s="46" t="s">
        <v>6192</v>
      </c>
      <c r="S256" s="49">
        <v>45</v>
      </c>
      <c r="T256" s="49">
        <v>225</v>
      </c>
      <c r="U256" s="50">
        <v>0</v>
      </c>
      <c r="V256" s="78">
        <v>-0.1</v>
      </c>
      <c r="W256" s="29" t="e">
        <v>#DIV/0!</v>
      </c>
      <c r="X256" s="52">
        <v>22.5</v>
      </c>
      <c r="Y256" s="52">
        <v>30</v>
      </c>
      <c r="Z256" s="52">
        <v>225</v>
      </c>
      <c r="AA256" s="52">
        <v>277.5</v>
      </c>
      <c r="AB256" s="53">
        <v>1.2333333333333334</v>
      </c>
      <c r="AC256" s="75">
        <v>0</v>
      </c>
      <c r="AD256" s="55">
        <v>0</v>
      </c>
      <c r="AE256" s="69">
        <v>1</v>
      </c>
      <c r="AF256" s="57" t="s">
        <v>77</v>
      </c>
      <c r="AG256" s="58">
        <v>0</v>
      </c>
      <c r="AH256" s="58">
        <v>180</v>
      </c>
      <c r="AI256" s="58">
        <v>180</v>
      </c>
      <c r="AJ256" s="49">
        <v>45</v>
      </c>
      <c r="AK256" s="49">
        <v>225</v>
      </c>
      <c r="AL256" s="52">
        <v>22.5</v>
      </c>
      <c r="AM256" s="52">
        <v>225</v>
      </c>
      <c r="AN256" s="52">
        <v>247.5</v>
      </c>
      <c r="AO256" s="59">
        <v>1.1000000000000001</v>
      </c>
      <c r="AP256" s="79">
        <v>-22.5</v>
      </c>
      <c r="AQ256" s="80">
        <v>-0.1</v>
      </c>
      <c r="AR256" s="60" t="s">
        <v>73</v>
      </c>
      <c r="AS256" s="62">
        <v>0</v>
      </c>
      <c r="AT256" s="62">
        <v>234</v>
      </c>
      <c r="AU256" s="62">
        <v>234</v>
      </c>
      <c r="AV256" s="62">
        <v>292.5</v>
      </c>
      <c r="AW256" s="47" t="s">
        <v>107</v>
      </c>
      <c r="AX256" s="64">
        <v>45339</v>
      </c>
      <c r="AY256" s="64" t="s">
        <v>6207</v>
      </c>
      <c r="BA256" s="64"/>
      <c r="BB256" s="64"/>
      <c r="BC256" s="64"/>
      <c r="BD256" s="46"/>
      <c r="BE256" s="46" t="e">
        <v>#REF!</v>
      </c>
      <c r="BF256" s="46" t="s">
        <v>5325</v>
      </c>
      <c r="BG256" s="65">
        <v>4</v>
      </c>
      <c r="BH256" s="66"/>
      <c r="BI256" s="63" t="s">
        <v>6209</v>
      </c>
    </row>
    <row r="257" spans="1:61" ht="114.75" x14ac:dyDescent="0.2">
      <c r="A257" s="45" t="s">
        <v>6221</v>
      </c>
      <c r="B257" s="46"/>
      <c r="C257" s="46" t="s">
        <v>6194</v>
      </c>
      <c r="D257" s="46" t="s">
        <v>6085</v>
      </c>
      <c r="E257" s="46" t="s">
        <v>6093</v>
      </c>
      <c r="F257" s="46" t="s">
        <v>6108</v>
      </c>
      <c r="G257" s="46"/>
      <c r="H257" s="46"/>
      <c r="I257" s="46"/>
      <c r="J257" s="46" t="s">
        <v>6123</v>
      </c>
      <c r="K257" s="47">
        <v>0</v>
      </c>
      <c r="L257" s="47">
        <v>360</v>
      </c>
      <c r="M257" s="47">
        <v>360</v>
      </c>
      <c r="N257" s="46"/>
      <c r="O257" s="71" t="s">
        <v>68</v>
      </c>
      <c r="P257" s="64"/>
      <c r="Q257" s="46" t="s">
        <v>5325</v>
      </c>
      <c r="R257" s="46" t="s">
        <v>6192</v>
      </c>
      <c r="S257" s="49">
        <v>90</v>
      </c>
      <c r="T257" s="49">
        <v>450</v>
      </c>
      <c r="U257" s="50">
        <v>0</v>
      </c>
      <c r="V257" s="78">
        <v>-0.1</v>
      </c>
      <c r="W257" s="29" t="e">
        <v>#DIV/0!</v>
      </c>
      <c r="X257" s="52">
        <v>45</v>
      </c>
      <c r="Y257" s="52">
        <v>30</v>
      </c>
      <c r="Z257" s="52">
        <v>450</v>
      </c>
      <c r="AA257" s="52">
        <v>525</v>
      </c>
      <c r="AB257" s="53">
        <v>1.1666666666666667</v>
      </c>
      <c r="AC257" s="75">
        <v>0</v>
      </c>
      <c r="AD257" s="55">
        <v>0</v>
      </c>
      <c r="AE257" s="69">
        <v>1</v>
      </c>
      <c r="AF257" s="57" t="s">
        <v>77</v>
      </c>
      <c r="AG257" s="58">
        <v>0</v>
      </c>
      <c r="AH257" s="58">
        <v>360</v>
      </c>
      <c r="AI257" s="58">
        <v>360</v>
      </c>
      <c r="AJ257" s="49">
        <v>90</v>
      </c>
      <c r="AK257" s="49">
        <v>450</v>
      </c>
      <c r="AL257" s="52">
        <v>45</v>
      </c>
      <c r="AM257" s="52">
        <v>450</v>
      </c>
      <c r="AN257" s="52">
        <v>495</v>
      </c>
      <c r="AO257" s="59">
        <v>1.1000000000000001</v>
      </c>
      <c r="AP257" s="79">
        <v>-45</v>
      </c>
      <c r="AQ257" s="80">
        <v>-0.1</v>
      </c>
      <c r="AR257" s="60" t="s">
        <v>73</v>
      </c>
      <c r="AS257" s="62">
        <v>0</v>
      </c>
      <c r="AT257" s="62">
        <v>468</v>
      </c>
      <c r="AU257" s="62">
        <v>468</v>
      </c>
      <c r="AV257" s="62">
        <v>585</v>
      </c>
      <c r="AW257" s="47" t="s">
        <v>107</v>
      </c>
      <c r="AX257" s="64">
        <v>45339</v>
      </c>
      <c r="AY257" s="64" t="s">
        <v>6211</v>
      </c>
      <c r="BA257" s="64"/>
      <c r="BB257" s="64"/>
      <c r="BC257" s="64"/>
      <c r="BD257" s="46"/>
      <c r="BE257" s="46" t="e">
        <v>#REF!</v>
      </c>
      <c r="BF257" s="46" t="s">
        <v>5325</v>
      </c>
      <c r="BG257" s="65">
        <v>4</v>
      </c>
      <c r="BH257" s="66"/>
      <c r="BI257" s="63" t="s">
        <v>6213</v>
      </c>
    </row>
    <row r="258" spans="1:61" ht="114.75" x14ac:dyDescent="0.2">
      <c r="A258" s="45" t="s">
        <v>6222</v>
      </c>
      <c r="B258" s="46"/>
      <c r="C258" s="46" t="s">
        <v>6194</v>
      </c>
      <c r="D258" s="46" t="s">
        <v>6098</v>
      </c>
      <c r="E258" s="46" t="s">
        <v>6086</v>
      </c>
      <c r="F258" s="46" t="s">
        <v>6108</v>
      </c>
      <c r="G258" s="46"/>
      <c r="H258" s="46"/>
      <c r="I258" s="46"/>
      <c r="J258" s="46" t="s">
        <v>6123</v>
      </c>
      <c r="K258" s="47">
        <v>0</v>
      </c>
      <c r="L258" s="47">
        <v>230</v>
      </c>
      <c r="M258" s="47">
        <v>230</v>
      </c>
      <c r="N258" s="46"/>
      <c r="O258" s="71" t="s">
        <v>68</v>
      </c>
      <c r="P258" s="64"/>
      <c r="Q258" s="46" t="s">
        <v>5325</v>
      </c>
      <c r="R258" s="46" t="s">
        <v>6192</v>
      </c>
      <c r="S258" s="49">
        <v>57.5</v>
      </c>
      <c r="T258" s="49">
        <v>287.5</v>
      </c>
      <c r="U258" s="50">
        <v>0</v>
      </c>
      <c r="V258" s="78">
        <v>-0.1</v>
      </c>
      <c r="W258" s="29" t="e">
        <v>#DIV/0!</v>
      </c>
      <c r="X258" s="52">
        <v>28.75</v>
      </c>
      <c r="Y258" s="52">
        <v>30</v>
      </c>
      <c r="Z258" s="52">
        <v>287.5</v>
      </c>
      <c r="AA258" s="52">
        <v>346.25</v>
      </c>
      <c r="AB258" s="53">
        <v>1.2043478260869565</v>
      </c>
      <c r="AC258" s="75">
        <v>0</v>
      </c>
      <c r="AD258" s="55">
        <v>0</v>
      </c>
      <c r="AE258" s="69">
        <v>1</v>
      </c>
      <c r="AF258" s="57" t="s">
        <v>77</v>
      </c>
      <c r="AG258" s="58">
        <v>0</v>
      </c>
      <c r="AH258" s="58">
        <v>230</v>
      </c>
      <c r="AI258" s="58">
        <v>230</v>
      </c>
      <c r="AJ258" s="49">
        <v>57.5</v>
      </c>
      <c r="AK258" s="49">
        <v>287.5</v>
      </c>
      <c r="AL258" s="52">
        <v>28.75</v>
      </c>
      <c r="AM258" s="52">
        <v>287.5</v>
      </c>
      <c r="AN258" s="52">
        <v>316.25</v>
      </c>
      <c r="AO258" s="59">
        <v>1.1000000000000001</v>
      </c>
      <c r="AP258" s="79">
        <v>-28.75</v>
      </c>
      <c r="AQ258" s="80">
        <v>-0.1</v>
      </c>
      <c r="AR258" s="60" t="s">
        <v>73</v>
      </c>
      <c r="AS258" s="62">
        <v>0</v>
      </c>
      <c r="AT258" s="62">
        <v>299</v>
      </c>
      <c r="AU258" s="62">
        <v>299</v>
      </c>
      <c r="AV258" s="62">
        <v>373.75</v>
      </c>
      <c r="AW258" s="47" t="s">
        <v>107</v>
      </c>
      <c r="AX258" s="64">
        <v>45339</v>
      </c>
      <c r="AY258" s="64" t="s">
        <v>6215</v>
      </c>
      <c r="BA258" s="64"/>
      <c r="BB258" s="64"/>
      <c r="BC258" s="64"/>
      <c r="BD258" s="46"/>
      <c r="BE258" s="46" t="e">
        <v>#REF!</v>
      </c>
      <c r="BF258" s="46" t="s">
        <v>5325</v>
      </c>
      <c r="BG258" s="65">
        <v>4</v>
      </c>
      <c r="BH258" s="66"/>
      <c r="BI258" s="63" t="s">
        <v>6216</v>
      </c>
    </row>
    <row r="259" spans="1:61" ht="127.5" x14ac:dyDescent="0.2">
      <c r="A259" s="45" t="s">
        <v>6223</v>
      </c>
      <c r="B259" s="46"/>
      <c r="C259" s="46" t="s">
        <v>6194</v>
      </c>
      <c r="D259" s="46" t="s">
        <v>6098</v>
      </c>
      <c r="E259" s="46" t="s">
        <v>6093</v>
      </c>
      <c r="F259" s="46" t="s">
        <v>6108</v>
      </c>
      <c r="G259" s="46"/>
      <c r="H259" s="46"/>
      <c r="I259" s="46"/>
      <c r="J259" s="46" t="s">
        <v>6123</v>
      </c>
      <c r="K259" s="47">
        <v>0</v>
      </c>
      <c r="L259" s="47">
        <v>460</v>
      </c>
      <c r="M259" s="47">
        <v>460</v>
      </c>
      <c r="N259" s="46"/>
      <c r="O259" s="71" t="s">
        <v>68</v>
      </c>
      <c r="P259" s="64"/>
      <c r="Q259" s="46" t="s">
        <v>5325</v>
      </c>
      <c r="R259" s="46" t="s">
        <v>6192</v>
      </c>
      <c r="S259" s="49">
        <v>115</v>
      </c>
      <c r="T259" s="49">
        <v>575</v>
      </c>
      <c r="U259" s="50">
        <v>0</v>
      </c>
      <c r="V259" s="78">
        <v>-0.1</v>
      </c>
      <c r="W259" s="29" t="e">
        <v>#DIV/0!</v>
      </c>
      <c r="X259" s="52">
        <v>57.5</v>
      </c>
      <c r="Y259" s="52">
        <v>30</v>
      </c>
      <c r="Z259" s="52">
        <v>575</v>
      </c>
      <c r="AA259" s="52">
        <v>662.5</v>
      </c>
      <c r="AB259" s="53">
        <v>1.1521739130434783</v>
      </c>
      <c r="AC259" s="75">
        <v>0</v>
      </c>
      <c r="AD259" s="55">
        <v>0</v>
      </c>
      <c r="AE259" s="69">
        <v>1</v>
      </c>
      <c r="AF259" s="57" t="s">
        <v>77</v>
      </c>
      <c r="AG259" s="58">
        <v>0</v>
      </c>
      <c r="AH259" s="58">
        <v>460</v>
      </c>
      <c r="AI259" s="58">
        <v>460</v>
      </c>
      <c r="AJ259" s="49">
        <v>115</v>
      </c>
      <c r="AK259" s="49">
        <v>575</v>
      </c>
      <c r="AL259" s="52">
        <v>57.5</v>
      </c>
      <c r="AM259" s="52">
        <v>575</v>
      </c>
      <c r="AN259" s="52">
        <v>632.5</v>
      </c>
      <c r="AO259" s="59">
        <v>1.1000000000000001</v>
      </c>
      <c r="AP259" s="79">
        <v>-57.5</v>
      </c>
      <c r="AQ259" s="80">
        <v>-0.1</v>
      </c>
      <c r="AR259" s="60" t="s">
        <v>73</v>
      </c>
      <c r="AS259" s="62">
        <v>0</v>
      </c>
      <c r="AT259" s="62">
        <v>598</v>
      </c>
      <c r="AU259" s="62">
        <v>598</v>
      </c>
      <c r="AV259" s="62">
        <v>747.5</v>
      </c>
      <c r="AW259" s="47" t="s">
        <v>107</v>
      </c>
      <c r="AX259" s="64">
        <v>45339</v>
      </c>
      <c r="AY259" s="64" t="s">
        <v>6218</v>
      </c>
      <c r="BA259" s="64"/>
      <c r="BB259" s="64"/>
      <c r="BC259" s="64"/>
      <c r="BD259" s="46"/>
      <c r="BE259" s="46" t="e">
        <v>#REF!</v>
      </c>
      <c r="BF259" s="46" t="s">
        <v>5325</v>
      </c>
      <c r="BG259" s="65">
        <v>4</v>
      </c>
      <c r="BH259" s="66"/>
      <c r="BI259" s="63" t="s">
        <v>6219</v>
      </c>
    </row>
    <row r="260" spans="1:61" ht="25.5" x14ac:dyDescent="0.2">
      <c r="A260" s="34" t="s">
        <v>6224</v>
      </c>
      <c r="B260" s="35"/>
      <c r="C260" s="35" t="s">
        <v>68</v>
      </c>
      <c r="D260" s="35" t="s">
        <v>68</v>
      </c>
      <c r="E260" s="35" t="s">
        <v>68</v>
      </c>
      <c r="F260" s="35" t="s">
        <v>68</v>
      </c>
      <c r="G260" s="35" t="s">
        <v>68</v>
      </c>
      <c r="H260" s="35" t="s">
        <v>68</v>
      </c>
      <c r="I260" s="35" t="s">
        <v>68</v>
      </c>
      <c r="J260" s="35" t="s">
        <v>68</v>
      </c>
      <c r="K260" s="36" t="s">
        <v>68</v>
      </c>
      <c r="L260" s="36" t="s">
        <v>68</v>
      </c>
      <c r="M260" s="36" t="s">
        <v>68</v>
      </c>
      <c r="N260" s="35"/>
      <c r="O260" s="35" t="s">
        <v>68</v>
      </c>
      <c r="P260" s="37"/>
      <c r="Q260" s="38" t="s">
        <v>5325</v>
      </c>
      <c r="R260" s="38" t="s">
        <v>6225</v>
      </c>
      <c r="S260" s="36" t="s">
        <v>68</v>
      </c>
      <c r="T260" s="36" t="s">
        <v>68</v>
      </c>
      <c r="U260" s="39" t="s">
        <v>68</v>
      </c>
      <c r="V260" s="39" t="s">
        <v>68</v>
      </c>
      <c r="W260" s="40" t="s">
        <v>68</v>
      </c>
      <c r="X260" s="36" t="s">
        <v>68</v>
      </c>
      <c r="Y260" s="36" t="s">
        <v>68</v>
      </c>
      <c r="Z260" s="36" t="s">
        <v>68</v>
      </c>
      <c r="AA260" s="36" t="s">
        <v>68</v>
      </c>
      <c r="AB260" s="39" t="s">
        <v>68</v>
      </c>
      <c r="AC260" s="36" t="s">
        <v>68</v>
      </c>
      <c r="AD260" s="39" t="s">
        <v>68</v>
      </c>
      <c r="AE260" s="41"/>
      <c r="AF260" s="42" t="s">
        <v>68</v>
      </c>
      <c r="AG260" s="36" t="s">
        <v>68</v>
      </c>
      <c r="AH260" s="36" t="s">
        <v>68</v>
      </c>
      <c r="AI260" s="36" t="s">
        <v>68</v>
      </c>
      <c r="AJ260" s="36" t="s">
        <v>68</v>
      </c>
      <c r="AK260" s="36" t="s">
        <v>68</v>
      </c>
      <c r="AL260" s="36" t="s">
        <v>68</v>
      </c>
      <c r="AM260" s="36" t="s">
        <v>68</v>
      </c>
      <c r="AN260" s="36" t="s">
        <v>68</v>
      </c>
      <c r="AO260" s="43" t="s">
        <v>68</v>
      </c>
      <c r="AP260" s="36" t="s">
        <v>68</v>
      </c>
      <c r="AQ260" s="39" t="s">
        <v>68</v>
      </c>
      <c r="AR260" s="36" t="s">
        <v>68</v>
      </c>
      <c r="AS260" s="36" t="s">
        <v>68</v>
      </c>
      <c r="AT260" s="36" t="s">
        <v>68</v>
      </c>
      <c r="AU260" s="36" t="s">
        <v>68</v>
      </c>
      <c r="AV260" s="36" t="s">
        <v>68</v>
      </c>
      <c r="AW260" s="35"/>
      <c r="AX260" s="37"/>
      <c r="AY260" s="37" t="s">
        <v>68</v>
      </c>
      <c r="BA260" s="37"/>
      <c r="BB260" s="37"/>
      <c r="BC260" s="37"/>
      <c r="BD260" s="35"/>
      <c r="BE260" s="35" t="e">
        <v>#REF!</v>
      </c>
      <c r="BF260" s="38" t="s">
        <v>5325</v>
      </c>
      <c r="BG260" s="44"/>
      <c r="BH260" s="38" t="s">
        <v>6226</v>
      </c>
      <c r="BI260" s="35" t="s">
        <v>68</v>
      </c>
    </row>
    <row r="261" spans="1:61" ht="102" x14ac:dyDescent="0.2">
      <c r="A261" s="45" t="s">
        <v>6227</v>
      </c>
      <c r="B261" s="46"/>
      <c r="C261" s="46" t="s">
        <v>6228</v>
      </c>
      <c r="D261" s="46" t="s">
        <v>6087</v>
      </c>
      <c r="E261" s="46" t="s">
        <v>6086</v>
      </c>
      <c r="F261" s="46" t="s">
        <v>68</v>
      </c>
      <c r="G261" s="46" t="s">
        <v>68</v>
      </c>
      <c r="H261" s="46" t="s">
        <v>68</v>
      </c>
      <c r="I261" s="46" t="s">
        <v>68</v>
      </c>
      <c r="J261" s="46" t="s">
        <v>2996</v>
      </c>
      <c r="K261" s="47">
        <v>20</v>
      </c>
      <c r="L261" s="47">
        <v>45</v>
      </c>
      <c r="M261" s="47">
        <v>65</v>
      </c>
      <c r="N261" s="46"/>
      <c r="O261" s="71" t="s">
        <v>68</v>
      </c>
      <c r="P261" s="64"/>
      <c r="Q261" s="46" t="s">
        <v>5325</v>
      </c>
      <c r="R261" s="46" t="s">
        <v>6225</v>
      </c>
      <c r="S261" s="49">
        <v>16.25</v>
      </c>
      <c r="T261" s="49">
        <v>81.25</v>
      </c>
      <c r="U261" s="50">
        <v>0.15384615384615385</v>
      </c>
      <c r="V261" s="50">
        <v>4.5454545454545456E-2</v>
      </c>
      <c r="W261" s="77">
        <v>2.25</v>
      </c>
      <c r="X261" s="52">
        <v>8.125</v>
      </c>
      <c r="Y261" s="52">
        <v>30</v>
      </c>
      <c r="Z261" s="52">
        <v>61.25</v>
      </c>
      <c r="AA261" s="52">
        <v>99.375</v>
      </c>
      <c r="AB261" s="53">
        <v>1.2230769230769232</v>
      </c>
      <c r="AC261" s="75">
        <v>12.5</v>
      </c>
      <c r="AD261" s="55">
        <v>0.15384615384615385</v>
      </c>
      <c r="AE261" s="56">
        <v>2</v>
      </c>
      <c r="AF261" s="57" t="s">
        <v>72</v>
      </c>
      <c r="AG261" s="58">
        <v>10</v>
      </c>
      <c r="AH261" s="58">
        <v>45</v>
      </c>
      <c r="AI261" s="58">
        <v>55</v>
      </c>
      <c r="AJ261" s="49">
        <v>13.75</v>
      </c>
      <c r="AK261" s="49">
        <v>68.75</v>
      </c>
      <c r="AL261" s="52">
        <v>6.875</v>
      </c>
      <c r="AM261" s="52">
        <v>58.75</v>
      </c>
      <c r="AN261" s="52">
        <v>65.625</v>
      </c>
      <c r="AO261" s="59">
        <v>0.95454545454545459</v>
      </c>
      <c r="AP261" s="60">
        <v>3.125</v>
      </c>
      <c r="AQ261" s="61">
        <v>4.5454545454545456E-2</v>
      </c>
      <c r="AR261" s="60" t="s">
        <v>73</v>
      </c>
      <c r="AS261" s="62">
        <v>30</v>
      </c>
      <c r="AT261" s="62">
        <v>68</v>
      </c>
      <c r="AU261" s="62">
        <v>98</v>
      </c>
      <c r="AV261" s="62">
        <v>122.5</v>
      </c>
      <c r="AW261" s="47" t="s">
        <v>74</v>
      </c>
      <c r="AX261" s="64">
        <v>45325</v>
      </c>
      <c r="AY261" s="64" t="s">
        <v>6229</v>
      </c>
      <c r="BA261" s="64"/>
      <c r="BB261" s="64"/>
      <c r="BC261" s="64"/>
      <c r="BD261" s="70" t="s">
        <v>6230</v>
      </c>
      <c r="BE261" s="46" t="e">
        <v>#REF!</v>
      </c>
      <c r="BF261" s="46" t="s">
        <v>5325</v>
      </c>
      <c r="BG261" s="65">
        <v>16</v>
      </c>
      <c r="BH261" s="66" t="s">
        <v>6231</v>
      </c>
      <c r="BI261" s="63" t="s">
        <v>6232</v>
      </c>
    </row>
    <row r="262" spans="1:61" ht="114.75" x14ac:dyDescent="0.2">
      <c r="A262" s="45" t="s">
        <v>6233</v>
      </c>
      <c r="B262" s="46"/>
      <c r="C262" s="46" t="s">
        <v>6228</v>
      </c>
      <c r="D262" s="46" t="s">
        <v>6087</v>
      </c>
      <c r="E262" s="46" t="s">
        <v>6086</v>
      </c>
      <c r="F262" s="46" t="s">
        <v>6108</v>
      </c>
      <c r="G262" s="46"/>
      <c r="H262" s="46"/>
      <c r="I262" s="46"/>
      <c r="J262" s="46" t="s">
        <v>6109</v>
      </c>
      <c r="K262" s="47">
        <v>0</v>
      </c>
      <c r="L262" s="47">
        <v>360</v>
      </c>
      <c r="M262" s="47">
        <v>360</v>
      </c>
      <c r="N262" s="46"/>
      <c r="O262" s="71"/>
      <c r="P262" s="64"/>
      <c r="Q262" s="46" t="s">
        <v>5325</v>
      </c>
      <c r="R262" s="46" t="s">
        <v>6225</v>
      </c>
      <c r="S262" s="49">
        <v>90</v>
      </c>
      <c r="T262" s="49">
        <v>450</v>
      </c>
      <c r="U262" s="50">
        <v>0</v>
      </c>
      <c r="V262" s="78">
        <v>-0.1</v>
      </c>
      <c r="W262" s="29" t="e">
        <v>#DIV/0!</v>
      </c>
      <c r="X262" s="52">
        <v>45</v>
      </c>
      <c r="Y262" s="52">
        <v>30</v>
      </c>
      <c r="Z262" s="52">
        <v>450</v>
      </c>
      <c r="AA262" s="52">
        <v>525</v>
      </c>
      <c r="AB262" s="53">
        <v>1.1666666666666667</v>
      </c>
      <c r="AC262" s="75">
        <v>0</v>
      </c>
      <c r="AD262" s="55">
        <v>0</v>
      </c>
      <c r="AE262" s="69">
        <v>1</v>
      </c>
      <c r="AF262" s="57" t="s">
        <v>77</v>
      </c>
      <c r="AG262" s="58">
        <v>0</v>
      </c>
      <c r="AH262" s="58">
        <v>360</v>
      </c>
      <c r="AI262" s="58">
        <v>360</v>
      </c>
      <c r="AJ262" s="49">
        <v>90</v>
      </c>
      <c r="AK262" s="49">
        <v>450</v>
      </c>
      <c r="AL262" s="52">
        <v>45</v>
      </c>
      <c r="AM262" s="52">
        <v>450</v>
      </c>
      <c r="AN262" s="52">
        <v>495</v>
      </c>
      <c r="AO262" s="59">
        <v>1.1000000000000001</v>
      </c>
      <c r="AP262" s="79">
        <v>-45</v>
      </c>
      <c r="AQ262" s="80">
        <v>-0.1</v>
      </c>
      <c r="AR262" s="60" t="s">
        <v>73</v>
      </c>
      <c r="AS262" s="62">
        <v>0</v>
      </c>
      <c r="AT262" s="62">
        <v>468</v>
      </c>
      <c r="AU262" s="62">
        <v>468</v>
      </c>
      <c r="AV262" s="62">
        <v>585</v>
      </c>
      <c r="AW262" s="47" t="s">
        <v>107</v>
      </c>
      <c r="AX262" s="64">
        <v>45506</v>
      </c>
      <c r="AY262" s="64" t="s">
        <v>6234</v>
      </c>
      <c r="BA262" s="64"/>
      <c r="BB262" s="64"/>
      <c r="BC262" s="64"/>
      <c r="BD262" s="70" t="s">
        <v>6230</v>
      </c>
      <c r="BE262" s="46" t="e">
        <v>#REF!</v>
      </c>
      <c r="BF262" s="46" t="s">
        <v>5325</v>
      </c>
      <c r="BG262" s="65">
        <v>16</v>
      </c>
      <c r="BH262" s="66"/>
      <c r="BI262" s="63" t="s">
        <v>6235</v>
      </c>
    </row>
    <row r="263" spans="1:61" ht="25.5" x14ac:dyDescent="0.2">
      <c r="A263" s="34" t="s">
        <v>6236</v>
      </c>
      <c r="B263" s="35"/>
      <c r="C263" s="35" t="s">
        <v>68</v>
      </c>
      <c r="D263" s="35" t="s">
        <v>68</v>
      </c>
      <c r="E263" s="35" t="s">
        <v>68</v>
      </c>
      <c r="F263" s="35" t="s">
        <v>68</v>
      </c>
      <c r="G263" s="35" t="s">
        <v>68</v>
      </c>
      <c r="H263" s="35" t="s">
        <v>68</v>
      </c>
      <c r="I263" s="35" t="s">
        <v>68</v>
      </c>
      <c r="J263" s="35" t="s">
        <v>68</v>
      </c>
      <c r="K263" s="36" t="s">
        <v>68</v>
      </c>
      <c r="L263" s="36" t="s">
        <v>68</v>
      </c>
      <c r="M263" s="36" t="s">
        <v>68</v>
      </c>
      <c r="N263" s="35"/>
      <c r="O263" s="35" t="s">
        <v>68</v>
      </c>
      <c r="P263" s="37"/>
      <c r="Q263" s="38" t="s">
        <v>5325</v>
      </c>
      <c r="R263" s="38" t="s">
        <v>6237</v>
      </c>
      <c r="S263" s="36" t="s">
        <v>68</v>
      </c>
      <c r="T263" s="36" t="s">
        <v>68</v>
      </c>
      <c r="U263" s="39" t="s">
        <v>68</v>
      </c>
      <c r="V263" s="39" t="s">
        <v>68</v>
      </c>
      <c r="W263" s="40" t="s">
        <v>68</v>
      </c>
      <c r="X263" s="36" t="s">
        <v>68</v>
      </c>
      <c r="Y263" s="36" t="s">
        <v>68</v>
      </c>
      <c r="Z263" s="36" t="s">
        <v>68</v>
      </c>
      <c r="AA263" s="36" t="s">
        <v>68</v>
      </c>
      <c r="AB263" s="39" t="s">
        <v>68</v>
      </c>
      <c r="AC263" s="36" t="s">
        <v>68</v>
      </c>
      <c r="AD263" s="39" t="s">
        <v>68</v>
      </c>
      <c r="AE263" s="41"/>
      <c r="AF263" s="42" t="s">
        <v>68</v>
      </c>
      <c r="AG263" s="36" t="s">
        <v>68</v>
      </c>
      <c r="AH263" s="36" t="s">
        <v>68</v>
      </c>
      <c r="AI263" s="36" t="s">
        <v>68</v>
      </c>
      <c r="AJ263" s="36" t="s">
        <v>68</v>
      </c>
      <c r="AK263" s="36" t="s">
        <v>68</v>
      </c>
      <c r="AL263" s="36" t="s">
        <v>68</v>
      </c>
      <c r="AM263" s="36" t="s">
        <v>68</v>
      </c>
      <c r="AN263" s="36" t="s">
        <v>68</v>
      </c>
      <c r="AO263" s="43" t="s">
        <v>68</v>
      </c>
      <c r="AP263" s="36" t="s">
        <v>68</v>
      </c>
      <c r="AQ263" s="39" t="s">
        <v>68</v>
      </c>
      <c r="AR263" s="36" t="s">
        <v>68</v>
      </c>
      <c r="AS263" s="36" t="s">
        <v>68</v>
      </c>
      <c r="AT263" s="36" t="s">
        <v>68</v>
      </c>
      <c r="AU263" s="36" t="s">
        <v>68</v>
      </c>
      <c r="AV263" s="36" t="s">
        <v>68</v>
      </c>
      <c r="AW263" s="35"/>
      <c r="AX263" s="37"/>
      <c r="AY263" s="37" t="s">
        <v>68</v>
      </c>
      <c r="BA263" s="37"/>
      <c r="BB263" s="37"/>
      <c r="BC263" s="37"/>
      <c r="BD263" s="35"/>
      <c r="BE263" s="35" t="e">
        <v>#REF!</v>
      </c>
      <c r="BF263" s="38" t="s">
        <v>5325</v>
      </c>
      <c r="BG263" s="44"/>
      <c r="BH263" s="38" t="s">
        <v>6238</v>
      </c>
      <c r="BI263" s="35" t="s">
        <v>68</v>
      </c>
    </row>
    <row r="264" spans="1:61" ht="89.25" x14ac:dyDescent="0.2">
      <c r="A264" s="45" t="s">
        <v>6239</v>
      </c>
      <c r="B264" s="46"/>
      <c r="C264" s="46" t="s">
        <v>6240</v>
      </c>
      <c r="D264" s="46" t="s">
        <v>6241</v>
      </c>
      <c r="E264" s="46" t="s">
        <v>68</v>
      </c>
      <c r="F264" s="46" t="s">
        <v>68</v>
      </c>
      <c r="G264" s="46" t="s">
        <v>68</v>
      </c>
      <c r="H264" s="46" t="s">
        <v>68</v>
      </c>
      <c r="I264" s="46" t="s">
        <v>68</v>
      </c>
      <c r="J264" s="46" t="s">
        <v>71</v>
      </c>
      <c r="K264" s="47">
        <v>60</v>
      </c>
      <c r="L264" s="47">
        <v>57</v>
      </c>
      <c r="M264" s="47">
        <v>117</v>
      </c>
      <c r="N264" s="46"/>
      <c r="O264" s="71" t="s">
        <v>68</v>
      </c>
      <c r="P264" s="64"/>
      <c r="Q264" s="46" t="s">
        <v>5325</v>
      </c>
      <c r="R264" s="46" t="s">
        <v>6237</v>
      </c>
      <c r="S264" s="49">
        <v>29.25</v>
      </c>
      <c r="T264" s="49">
        <v>146.25</v>
      </c>
      <c r="U264" s="50">
        <v>0.10512820512820513</v>
      </c>
      <c r="V264" s="50">
        <v>0.17586206896551723</v>
      </c>
      <c r="W264" s="51">
        <v>0.95</v>
      </c>
      <c r="X264" s="52">
        <v>14.625</v>
      </c>
      <c r="Y264" s="52">
        <v>30</v>
      </c>
      <c r="Z264" s="52">
        <v>86.25</v>
      </c>
      <c r="AA264" s="52">
        <v>130.875</v>
      </c>
      <c r="AB264" s="53">
        <v>0.89487179487179491</v>
      </c>
      <c r="AC264" s="75">
        <v>15.375</v>
      </c>
      <c r="AD264" s="55">
        <v>0.10512820512820513</v>
      </c>
      <c r="AE264" s="56">
        <v>2</v>
      </c>
      <c r="AF264" s="57" t="s">
        <v>72</v>
      </c>
      <c r="AG264" s="58">
        <v>30</v>
      </c>
      <c r="AH264" s="58">
        <v>57</v>
      </c>
      <c r="AI264" s="58">
        <v>87</v>
      </c>
      <c r="AJ264" s="49">
        <v>21.75</v>
      </c>
      <c r="AK264" s="49">
        <v>108.75</v>
      </c>
      <c r="AL264" s="52">
        <v>10.875</v>
      </c>
      <c r="AM264" s="52">
        <v>78.75</v>
      </c>
      <c r="AN264" s="52">
        <v>89.625</v>
      </c>
      <c r="AO264" s="59">
        <v>0.82413793103448274</v>
      </c>
      <c r="AP264" s="60">
        <v>19.125</v>
      </c>
      <c r="AQ264" s="61">
        <v>0.17586206896551723</v>
      </c>
      <c r="AR264" s="60" t="s">
        <v>73</v>
      </c>
      <c r="AS264" s="62">
        <v>90</v>
      </c>
      <c r="AT264" s="62">
        <v>86</v>
      </c>
      <c r="AU264" s="62">
        <v>176</v>
      </c>
      <c r="AV264" s="62">
        <v>220</v>
      </c>
      <c r="AW264" s="47" t="s">
        <v>107</v>
      </c>
      <c r="AX264" s="64">
        <v>45330</v>
      </c>
      <c r="AY264" s="64" t="s">
        <v>6242</v>
      </c>
      <c r="BA264" s="64"/>
      <c r="BB264" s="64"/>
      <c r="BC264" s="64"/>
      <c r="BD264" s="70" t="s">
        <v>6243</v>
      </c>
      <c r="BE264" s="46" t="e">
        <v>#REF!</v>
      </c>
      <c r="BF264" s="46" t="s">
        <v>5325</v>
      </c>
      <c r="BG264" s="65"/>
      <c r="BH264" s="66" t="s">
        <v>6244</v>
      </c>
      <c r="BI264" s="63" t="s">
        <v>6245</v>
      </c>
    </row>
    <row r="265" spans="1:61" ht="76.5" x14ac:dyDescent="0.2">
      <c r="A265" s="45" t="s">
        <v>6246</v>
      </c>
      <c r="B265" s="46"/>
      <c r="C265" s="46" t="s">
        <v>6240</v>
      </c>
      <c r="D265" s="46" t="s">
        <v>6247</v>
      </c>
      <c r="E265" s="46" t="s">
        <v>68</v>
      </c>
      <c r="F265" s="46" t="s">
        <v>68</v>
      </c>
      <c r="G265" s="46" t="s">
        <v>68</v>
      </c>
      <c r="H265" s="46" t="s">
        <v>68</v>
      </c>
      <c r="I265" s="46" t="s">
        <v>68</v>
      </c>
      <c r="J265" s="46" t="s">
        <v>71</v>
      </c>
      <c r="K265" s="47">
        <v>60</v>
      </c>
      <c r="L265" s="47">
        <v>64</v>
      </c>
      <c r="M265" s="47">
        <v>124</v>
      </c>
      <c r="N265" s="46"/>
      <c r="O265" s="71" t="s">
        <v>68</v>
      </c>
      <c r="P265" s="64"/>
      <c r="Q265" s="46" t="s">
        <v>5325</v>
      </c>
      <c r="R265" s="46" t="s">
        <v>6237</v>
      </c>
      <c r="S265" s="49">
        <v>31</v>
      </c>
      <c r="T265" s="49">
        <v>155</v>
      </c>
      <c r="U265" s="50">
        <v>9.3548387096774197E-2</v>
      </c>
      <c r="V265" s="50">
        <v>0.15531914893617021</v>
      </c>
      <c r="W265" s="74">
        <v>1.0666666666666667</v>
      </c>
      <c r="X265" s="52">
        <v>15.5</v>
      </c>
      <c r="Y265" s="52">
        <v>30</v>
      </c>
      <c r="Z265" s="52">
        <v>95</v>
      </c>
      <c r="AA265" s="52">
        <v>140.5</v>
      </c>
      <c r="AB265" s="53">
        <v>0.90645161290322585</v>
      </c>
      <c r="AC265" s="75">
        <v>14.5</v>
      </c>
      <c r="AD265" s="55">
        <v>9.3548387096774197E-2</v>
      </c>
      <c r="AE265" s="56">
        <v>2</v>
      </c>
      <c r="AF265" s="57" t="s">
        <v>72</v>
      </c>
      <c r="AG265" s="58">
        <v>30</v>
      </c>
      <c r="AH265" s="58">
        <v>64</v>
      </c>
      <c r="AI265" s="58">
        <v>94</v>
      </c>
      <c r="AJ265" s="49">
        <v>23.5</v>
      </c>
      <c r="AK265" s="49">
        <v>117.5</v>
      </c>
      <c r="AL265" s="52">
        <v>11.75</v>
      </c>
      <c r="AM265" s="52">
        <v>87.5</v>
      </c>
      <c r="AN265" s="52">
        <v>99.25</v>
      </c>
      <c r="AO265" s="59">
        <v>0.84468085106382984</v>
      </c>
      <c r="AP265" s="60">
        <v>18.25</v>
      </c>
      <c r="AQ265" s="61">
        <v>0.15531914893617021</v>
      </c>
      <c r="AR265" s="60" t="s">
        <v>73</v>
      </c>
      <c r="AS265" s="62">
        <v>90</v>
      </c>
      <c r="AT265" s="62">
        <v>96</v>
      </c>
      <c r="AU265" s="62">
        <v>186</v>
      </c>
      <c r="AV265" s="62">
        <v>232.5</v>
      </c>
      <c r="AW265" s="47" t="s">
        <v>107</v>
      </c>
      <c r="AX265" s="64">
        <v>45330</v>
      </c>
      <c r="AY265" s="64" t="s">
        <v>6248</v>
      </c>
      <c r="BA265" s="64"/>
      <c r="BB265" s="64"/>
      <c r="BC265" s="64"/>
      <c r="BD265" s="70" t="s">
        <v>6249</v>
      </c>
      <c r="BE265" s="46" t="e">
        <v>#REF!</v>
      </c>
      <c r="BF265" s="46" t="s">
        <v>5325</v>
      </c>
      <c r="BG265" s="65"/>
      <c r="BH265" s="66" t="s">
        <v>6250</v>
      </c>
      <c r="BI265" s="63" t="s">
        <v>6251</v>
      </c>
    </row>
    <row r="266" spans="1:61" ht="102" x14ac:dyDescent="0.2">
      <c r="A266" s="45" t="s">
        <v>6252</v>
      </c>
      <c r="B266" s="46"/>
      <c r="C266" s="46" t="s">
        <v>6240</v>
      </c>
      <c r="D266" s="46" t="s">
        <v>6253</v>
      </c>
      <c r="E266" s="46" t="s">
        <v>68</v>
      </c>
      <c r="F266" s="46" t="s">
        <v>68</v>
      </c>
      <c r="G266" s="46" t="s">
        <v>68</v>
      </c>
      <c r="H266" s="46" t="s">
        <v>68</v>
      </c>
      <c r="I266" s="46" t="s">
        <v>68</v>
      </c>
      <c r="J266" s="46" t="s">
        <v>71</v>
      </c>
      <c r="K266" s="47">
        <v>60</v>
      </c>
      <c r="L266" s="47">
        <v>50</v>
      </c>
      <c r="M266" s="47">
        <v>110</v>
      </c>
      <c r="N266" s="46"/>
      <c r="O266" s="71" t="s">
        <v>68</v>
      </c>
      <c r="P266" s="64"/>
      <c r="Q266" s="46" t="s">
        <v>5325</v>
      </c>
      <c r="R266" s="46" t="s">
        <v>6237</v>
      </c>
      <c r="S266" s="49">
        <v>27.5</v>
      </c>
      <c r="T266" s="49">
        <v>137.5</v>
      </c>
      <c r="U266" s="50">
        <v>0.11818181818181818</v>
      </c>
      <c r="V266" s="28">
        <v>0.2</v>
      </c>
      <c r="W266" s="51">
        <v>0.83333333333333337</v>
      </c>
      <c r="X266" s="52">
        <v>13.75</v>
      </c>
      <c r="Y266" s="52">
        <v>30</v>
      </c>
      <c r="Z266" s="52">
        <v>77.5</v>
      </c>
      <c r="AA266" s="52">
        <v>121.25</v>
      </c>
      <c r="AB266" s="53">
        <v>0.88181818181818183</v>
      </c>
      <c r="AC266" s="75">
        <v>16.25</v>
      </c>
      <c r="AD266" s="55">
        <v>0.11818181818181818</v>
      </c>
      <c r="AE266" s="56">
        <v>2</v>
      </c>
      <c r="AF266" s="57" t="s">
        <v>72</v>
      </c>
      <c r="AG266" s="58">
        <v>30</v>
      </c>
      <c r="AH266" s="58">
        <v>50</v>
      </c>
      <c r="AI266" s="58">
        <v>80</v>
      </c>
      <c r="AJ266" s="49">
        <v>20</v>
      </c>
      <c r="AK266" s="49">
        <v>100</v>
      </c>
      <c r="AL266" s="52">
        <v>10</v>
      </c>
      <c r="AM266" s="52">
        <v>70</v>
      </c>
      <c r="AN266" s="52">
        <v>80</v>
      </c>
      <c r="AO266" s="59">
        <v>0.8</v>
      </c>
      <c r="AP266" s="60">
        <v>20</v>
      </c>
      <c r="AQ266" s="61">
        <v>0.2</v>
      </c>
      <c r="AR266" s="60" t="s">
        <v>78</v>
      </c>
      <c r="AS266" s="62">
        <v>90</v>
      </c>
      <c r="AT266" s="62">
        <v>75</v>
      </c>
      <c r="AU266" s="62">
        <v>165</v>
      </c>
      <c r="AV266" s="62">
        <v>206.25</v>
      </c>
      <c r="AW266" s="47" t="s">
        <v>107</v>
      </c>
      <c r="AX266" s="64">
        <v>45330</v>
      </c>
      <c r="AY266" s="64" t="s">
        <v>6254</v>
      </c>
      <c r="BA266" s="64"/>
      <c r="BB266" s="64"/>
      <c r="BC266" s="64"/>
      <c r="BD266" s="70" t="s">
        <v>6255</v>
      </c>
      <c r="BE266" s="46" t="e">
        <v>#REF!</v>
      </c>
      <c r="BF266" s="46" t="s">
        <v>5325</v>
      </c>
      <c r="BG266" s="65"/>
      <c r="BH266" s="66" t="s">
        <v>6256</v>
      </c>
      <c r="BI266" s="63" t="s">
        <v>6257</v>
      </c>
    </row>
    <row r="267" spans="1:61" ht="89.25" x14ac:dyDescent="0.2">
      <c r="A267" s="45" t="s">
        <v>6258</v>
      </c>
      <c r="B267" s="46"/>
      <c r="C267" s="46" t="s">
        <v>6240</v>
      </c>
      <c r="D267" s="46" t="s">
        <v>6259</v>
      </c>
      <c r="E267" s="46" t="s">
        <v>68</v>
      </c>
      <c r="F267" s="46" t="s">
        <v>68</v>
      </c>
      <c r="G267" s="46" t="s">
        <v>68</v>
      </c>
      <c r="H267" s="46" t="s">
        <v>68</v>
      </c>
      <c r="I267" s="46" t="s">
        <v>68</v>
      </c>
      <c r="J267" s="46" t="s">
        <v>71</v>
      </c>
      <c r="K267" s="47">
        <v>60</v>
      </c>
      <c r="L267" s="47">
        <f t="shared" ref="L267:L268" si="34">L265*2</f>
        <v>128</v>
      </c>
      <c r="M267" s="47">
        <v>188</v>
      </c>
      <c r="N267" s="46"/>
      <c r="O267" s="71" t="s">
        <v>68</v>
      </c>
      <c r="P267" s="64"/>
      <c r="Q267" s="46" t="s">
        <v>5325</v>
      </c>
      <c r="R267" s="46" t="s">
        <v>6237</v>
      </c>
      <c r="S267" s="49">
        <v>47</v>
      </c>
      <c r="T267" s="49">
        <v>235</v>
      </c>
      <c r="U267" s="50">
        <v>2.7659574468085105E-2</v>
      </c>
      <c r="V267" s="50">
        <v>5.1898734177215189E-2</v>
      </c>
      <c r="W267" s="77">
        <v>2.1333333333333333</v>
      </c>
      <c r="X267" s="52">
        <v>23.5</v>
      </c>
      <c r="Y267" s="52">
        <v>30</v>
      </c>
      <c r="Z267" s="52">
        <v>175</v>
      </c>
      <c r="AA267" s="52">
        <v>228.5</v>
      </c>
      <c r="AB267" s="53">
        <v>0.97234042553191491</v>
      </c>
      <c r="AC267" s="75">
        <v>6.5</v>
      </c>
      <c r="AD267" s="55">
        <v>2.7659574468085105E-2</v>
      </c>
      <c r="AE267" s="56">
        <v>2</v>
      </c>
      <c r="AF267" s="57" t="s">
        <v>72</v>
      </c>
      <c r="AG267" s="58">
        <v>30</v>
      </c>
      <c r="AH267" s="58">
        <v>128</v>
      </c>
      <c r="AI267" s="58">
        <v>158</v>
      </c>
      <c r="AJ267" s="49">
        <v>39.5</v>
      </c>
      <c r="AK267" s="49">
        <v>197.5</v>
      </c>
      <c r="AL267" s="52">
        <v>19.75</v>
      </c>
      <c r="AM267" s="52">
        <v>167.5</v>
      </c>
      <c r="AN267" s="52">
        <v>187.25</v>
      </c>
      <c r="AO267" s="59">
        <v>0.94810126582278476</v>
      </c>
      <c r="AP267" s="60">
        <v>10.25</v>
      </c>
      <c r="AQ267" s="61">
        <v>5.1898734177215189E-2</v>
      </c>
      <c r="AR267" s="60" t="s">
        <v>73</v>
      </c>
      <c r="AS267" s="62">
        <v>90</v>
      </c>
      <c r="AT267" s="62">
        <v>192</v>
      </c>
      <c r="AU267" s="62">
        <v>282</v>
      </c>
      <c r="AV267" s="62">
        <v>352.5</v>
      </c>
      <c r="AW267" s="47" t="s">
        <v>107</v>
      </c>
      <c r="AX267" s="64">
        <v>45330</v>
      </c>
      <c r="AY267" s="64" t="s">
        <v>6260</v>
      </c>
      <c r="BA267" s="64"/>
      <c r="BB267" s="64"/>
      <c r="BC267" s="64"/>
      <c r="BD267" s="46"/>
      <c r="BE267" s="46" t="e">
        <v>#REF!</v>
      </c>
      <c r="BF267" s="46" t="s">
        <v>5325</v>
      </c>
      <c r="BG267" s="65"/>
      <c r="BH267" s="66" t="s">
        <v>6261</v>
      </c>
      <c r="BI267" s="63" t="s">
        <v>6262</v>
      </c>
    </row>
    <row r="268" spans="1:61" ht="114.75" x14ac:dyDescent="0.2">
      <c r="A268" s="45" t="s">
        <v>6263</v>
      </c>
      <c r="B268" s="46"/>
      <c r="C268" s="46" t="s">
        <v>6240</v>
      </c>
      <c r="D268" s="46" t="s">
        <v>6264</v>
      </c>
      <c r="E268" s="46" t="s">
        <v>68</v>
      </c>
      <c r="F268" s="46" t="s">
        <v>68</v>
      </c>
      <c r="G268" s="46" t="s">
        <v>68</v>
      </c>
      <c r="H268" s="46" t="s">
        <v>68</v>
      </c>
      <c r="I268" s="46" t="s">
        <v>68</v>
      </c>
      <c r="J268" s="46" t="s">
        <v>71</v>
      </c>
      <c r="K268" s="47">
        <v>60</v>
      </c>
      <c r="L268" s="47">
        <f t="shared" si="34"/>
        <v>100</v>
      </c>
      <c r="M268" s="47">
        <v>160</v>
      </c>
      <c r="N268" s="46"/>
      <c r="O268" s="71" t="s">
        <v>68</v>
      </c>
      <c r="P268" s="64"/>
      <c r="Q268" s="46" t="s">
        <v>5325</v>
      </c>
      <c r="R268" s="46" t="s">
        <v>6237</v>
      </c>
      <c r="S268" s="49">
        <v>40</v>
      </c>
      <c r="T268" s="49">
        <v>200</v>
      </c>
      <c r="U268" s="50">
        <v>0.05</v>
      </c>
      <c r="V268" s="50">
        <v>8.461538461538462E-2</v>
      </c>
      <c r="W268" s="77">
        <v>1.6666666666666667</v>
      </c>
      <c r="X268" s="52">
        <v>20</v>
      </c>
      <c r="Y268" s="52">
        <v>30</v>
      </c>
      <c r="Z268" s="52">
        <v>140</v>
      </c>
      <c r="AA268" s="52">
        <v>190</v>
      </c>
      <c r="AB268" s="53">
        <v>0.95</v>
      </c>
      <c r="AC268" s="75">
        <v>10</v>
      </c>
      <c r="AD268" s="55">
        <v>0.05</v>
      </c>
      <c r="AE268" s="56">
        <v>2</v>
      </c>
      <c r="AF268" s="57" t="s">
        <v>72</v>
      </c>
      <c r="AG268" s="58">
        <v>30</v>
      </c>
      <c r="AH268" s="58">
        <v>100</v>
      </c>
      <c r="AI268" s="58">
        <v>130</v>
      </c>
      <c r="AJ268" s="49">
        <v>32.5</v>
      </c>
      <c r="AK268" s="49">
        <v>162.5</v>
      </c>
      <c r="AL268" s="52">
        <v>16.25</v>
      </c>
      <c r="AM268" s="52">
        <v>132.5</v>
      </c>
      <c r="AN268" s="52">
        <v>148.75</v>
      </c>
      <c r="AO268" s="59">
        <v>0.91538461538461535</v>
      </c>
      <c r="AP268" s="60">
        <v>13.75</v>
      </c>
      <c r="AQ268" s="61">
        <v>8.461538461538462E-2</v>
      </c>
      <c r="AR268" s="60" t="s">
        <v>73</v>
      </c>
      <c r="AS268" s="62">
        <v>90</v>
      </c>
      <c r="AT268" s="62">
        <v>150</v>
      </c>
      <c r="AU268" s="62">
        <v>240</v>
      </c>
      <c r="AV268" s="62">
        <v>300</v>
      </c>
      <c r="AW268" s="47" t="s">
        <v>107</v>
      </c>
      <c r="AX268" s="64">
        <v>45330</v>
      </c>
      <c r="AY268" s="64" t="s">
        <v>6265</v>
      </c>
      <c r="BA268" s="64"/>
      <c r="BB268" s="64"/>
      <c r="BC268" s="64"/>
      <c r="BD268" s="46"/>
      <c r="BE268" s="46" t="e">
        <v>#REF!</v>
      </c>
      <c r="BF268" s="46" t="s">
        <v>5325</v>
      </c>
      <c r="BG268" s="65"/>
      <c r="BH268" s="66" t="s">
        <v>6266</v>
      </c>
      <c r="BI268" s="63" t="s">
        <v>6267</v>
      </c>
    </row>
    <row r="269" spans="1:61" ht="76.5" x14ac:dyDescent="0.2">
      <c r="A269" s="45" t="s">
        <v>6268</v>
      </c>
      <c r="B269" s="46"/>
      <c r="C269" s="46" t="s">
        <v>6240</v>
      </c>
      <c r="D269" s="46" t="s">
        <v>6269</v>
      </c>
      <c r="E269" s="46" t="s">
        <v>68</v>
      </c>
      <c r="F269" s="46" t="s">
        <v>68</v>
      </c>
      <c r="G269" s="46" t="s">
        <v>68</v>
      </c>
      <c r="H269" s="46" t="s">
        <v>68</v>
      </c>
      <c r="I269" s="46" t="s">
        <v>68</v>
      </c>
      <c r="J269" s="46" t="s">
        <v>71</v>
      </c>
      <c r="K269" s="47">
        <v>60</v>
      </c>
      <c r="L269" s="47">
        <v>99</v>
      </c>
      <c r="M269" s="47">
        <v>159</v>
      </c>
      <c r="N269" s="46"/>
      <c r="O269" s="71" t="s">
        <v>68</v>
      </c>
      <c r="P269" s="64"/>
      <c r="Q269" s="46" t="s">
        <v>5325</v>
      </c>
      <c r="R269" s="46" t="s">
        <v>6237</v>
      </c>
      <c r="S269" s="49">
        <v>39.75</v>
      </c>
      <c r="T269" s="49">
        <v>198.75</v>
      </c>
      <c r="U269" s="50">
        <v>5.0943396226415097E-2</v>
      </c>
      <c r="V269" s="50">
        <v>8.6046511627906982E-2</v>
      </c>
      <c r="W269" s="77">
        <v>1.65</v>
      </c>
      <c r="X269" s="52">
        <v>19.875</v>
      </c>
      <c r="Y269" s="52">
        <v>30</v>
      </c>
      <c r="Z269" s="52">
        <v>138.75</v>
      </c>
      <c r="AA269" s="52">
        <v>188.625</v>
      </c>
      <c r="AB269" s="53">
        <v>0.94905660377358492</v>
      </c>
      <c r="AC269" s="75">
        <v>10.125</v>
      </c>
      <c r="AD269" s="55">
        <v>5.0943396226415097E-2</v>
      </c>
      <c r="AE269" s="56">
        <v>2</v>
      </c>
      <c r="AF269" s="57" t="s">
        <v>72</v>
      </c>
      <c r="AG269" s="58">
        <v>30</v>
      </c>
      <c r="AH269" s="58">
        <v>99</v>
      </c>
      <c r="AI269" s="58">
        <v>129</v>
      </c>
      <c r="AJ269" s="49">
        <v>32.25</v>
      </c>
      <c r="AK269" s="49">
        <v>161.25</v>
      </c>
      <c r="AL269" s="52">
        <v>16.125</v>
      </c>
      <c r="AM269" s="52">
        <v>131.25</v>
      </c>
      <c r="AN269" s="52">
        <v>147.375</v>
      </c>
      <c r="AO269" s="59">
        <v>0.913953488372093</v>
      </c>
      <c r="AP269" s="60">
        <v>13.875</v>
      </c>
      <c r="AQ269" s="61">
        <v>8.6046511627906982E-2</v>
      </c>
      <c r="AR269" s="60" t="s">
        <v>73</v>
      </c>
      <c r="AS269" s="62">
        <v>90</v>
      </c>
      <c r="AT269" s="62">
        <v>149</v>
      </c>
      <c r="AU269" s="62">
        <v>239</v>
      </c>
      <c r="AV269" s="62">
        <v>298.75</v>
      </c>
      <c r="AW269" s="47" t="s">
        <v>107</v>
      </c>
      <c r="AX269" s="64">
        <v>45330</v>
      </c>
      <c r="AY269" s="64" t="s">
        <v>6270</v>
      </c>
      <c r="BA269" s="64"/>
      <c r="BB269" s="64"/>
      <c r="BC269" s="64"/>
      <c r="BD269" s="70" t="s">
        <v>6271</v>
      </c>
      <c r="BE269" s="46" t="e">
        <v>#REF!</v>
      </c>
      <c r="BF269" s="46" t="s">
        <v>5325</v>
      </c>
      <c r="BG269" s="65"/>
      <c r="BH269" s="66" t="s">
        <v>6272</v>
      </c>
      <c r="BI269" s="63" t="s">
        <v>6273</v>
      </c>
    </row>
    <row r="270" spans="1:61" ht="76.5" x14ac:dyDescent="0.2">
      <c r="A270" s="45" t="s">
        <v>6274</v>
      </c>
      <c r="B270" s="46"/>
      <c r="C270" s="46" t="s">
        <v>6240</v>
      </c>
      <c r="D270" s="46" t="s">
        <v>6275</v>
      </c>
      <c r="E270" s="46" t="s">
        <v>68</v>
      </c>
      <c r="F270" s="46" t="s">
        <v>68</v>
      </c>
      <c r="G270" s="46" t="s">
        <v>68</v>
      </c>
      <c r="H270" s="46" t="s">
        <v>68</v>
      </c>
      <c r="I270" s="46" t="s">
        <v>68</v>
      </c>
      <c r="J270" s="46" t="s">
        <v>71</v>
      </c>
      <c r="K270" s="47">
        <v>60</v>
      </c>
      <c r="L270" s="47">
        <v>124</v>
      </c>
      <c r="M270" s="47">
        <v>184</v>
      </c>
      <c r="N270" s="46"/>
      <c r="O270" s="71" t="s">
        <v>68</v>
      </c>
      <c r="P270" s="64"/>
      <c r="Q270" s="46" t="s">
        <v>5325</v>
      </c>
      <c r="R270" s="46" t="s">
        <v>6237</v>
      </c>
      <c r="S270" s="49">
        <v>46</v>
      </c>
      <c r="T270" s="49">
        <v>230</v>
      </c>
      <c r="U270" s="50">
        <v>3.0434782608695653E-2</v>
      </c>
      <c r="V270" s="50">
        <v>5.5844155844155842E-2</v>
      </c>
      <c r="W270" s="77">
        <v>2.0666666666666669</v>
      </c>
      <c r="X270" s="52">
        <v>23</v>
      </c>
      <c r="Y270" s="52">
        <v>30</v>
      </c>
      <c r="Z270" s="52">
        <v>170</v>
      </c>
      <c r="AA270" s="52">
        <v>223</v>
      </c>
      <c r="AB270" s="53">
        <v>0.9695652173913043</v>
      </c>
      <c r="AC270" s="75">
        <v>7</v>
      </c>
      <c r="AD270" s="55">
        <v>3.0434782608695653E-2</v>
      </c>
      <c r="AE270" s="56">
        <v>2</v>
      </c>
      <c r="AF270" s="57" t="s">
        <v>72</v>
      </c>
      <c r="AG270" s="58">
        <v>30</v>
      </c>
      <c r="AH270" s="58">
        <v>124</v>
      </c>
      <c r="AI270" s="58">
        <v>154</v>
      </c>
      <c r="AJ270" s="49">
        <v>38.5</v>
      </c>
      <c r="AK270" s="49">
        <v>192.5</v>
      </c>
      <c r="AL270" s="52">
        <v>19.25</v>
      </c>
      <c r="AM270" s="52">
        <v>162.5</v>
      </c>
      <c r="AN270" s="52">
        <v>181.75</v>
      </c>
      <c r="AO270" s="59">
        <v>0.94415584415584419</v>
      </c>
      <c r="AP270" s="60">
        <v>10.75</v>
      </c>
      <c r="AQ270" s="61">
        <v>5.5844155844155842E-2</v>
      </c>
      <c r="AR270" s="60" t="s">
        <v>73</v>
      </c>
      <c r="AS270" s="62">
        <v>90</v>
      </c>
      <c r="AT270" s="62">
        <v>186</v>
      </c>
      <c r="AU270" s="62">
        <v>276</v>
      </c>
      <c r="AV270" s="62">
        <v>345</v>
      </c>
      <c r="AW270" s="47" t="s">
        <v>107</v>
      </c>
      <c r="AX270" s="64">
        <v>45330</v>
      </c>
      <c r="AY270" s="64" t="s">
        <v>6276</v>
      </c>
      <c r="BA270" s="64"/>
      <c r="BB270" s="64"/>
      <c r="BC270" s="64"/>
      <c r="BD270" s="70" t="s">
        <v>6277</v>
      </c>
      <c r="BE270" s="46" t="e">
        <v>#REF!</v>
      </c>
      <c r="BF270" s="46" t="s">
        <v>5325</v>
      </c>
      <c r="BG270" s="65"/>
      <c r="BH270" s="66" t="s">
        <v>6278</v>
      </c>
      <c r="BI270" s="63" t="s">
        <v>6279</v>
      </c>
    </row>
    <row r="271" spans="1:61" ht="102" x14ac:dyDescent="0.2">
      <c r="A271" s="45" t="s">
        <v>6280</v>
      </c>
      <c r="B271" s="46"/>
      <c r="C271" s="46" t="s">
        <v>6281</v>
      </c>
      <c r="D271" s="46" t="s">
        <v>6241</v>
      </c>
      <c r="E271" s="46" t="s">
        <v>6108</v>
      </c>
      <c r="F271" s="46"/>
      <c r="G271" s="46"/>
      <c r="H271" s="46"/>
      <c r="I271" s="46"/>
      <c r="J271" s="46" t="s">
        <v>6123</v>
      </c>
      <c r="K271" s="47">
        <v>0</v>
      </c>
      <c r="L271" s="47">
        <v>170</v>
      </c>
      <c r="M271" s="47">
        <v>170</v>
      </c>
      <c r="N271" s="46"/>
      <c r="O271" s="71" t="s">
        <v>68</v>
      </c>
      <c r="P271" s="64"/>
      <c r="Q271" s="46" t="s">
        <v>5325</v>
      </c>
      <c r="R271" s="46" t="s">
        <v>6237</v>
      </c>
      <c r="S271" s="49">
        <v>42.5</v>
      </c>
      <c r="T271" s="49">
        <v>212.5</v>
      </c>
      <c r="U271" s="50">
        <v>0</v>
      </c>
      <c r="V271" s="78">
        <v>-0.1</v>
      </c>
      <c r="W271" s="29" t="e">
        <v>#DIV/0!</v>
      </c>
      <c r="X271" s="52">
        <v>21.25</v>
      </c>
      <c r="Y271" s="52">
        <v>30</v>
      </c>
      <c r="Z271" s="52">
        <v>212.5</v>
      </c>
      <c r="AA271" s="52">
        <v>263.75</v>
      </c>
      <c r="AB271" s="53">
        <v>1.2411764705882353</v>
      </c>
      <c r="AC271" s="75">
        <v>0</v>
      </c>
      <c r="AD271" s="55">
        <v>0</v>
      </c>
      <c r="AE271" s="69">
        <v>1</v>
      </c>
      <c r="AF271" s="57" t="s">
        <v>77</v>
      </c>
      <c r="AG271" s="58">
        <v>0</v>
      </c>
      <c r="AH271" s="58">
        <v>170</v>
      </c>
      <c r="AI271" s="58">
        <v>170</v>
      </c>
      <c r="AJ271" s="49">
        <v>42.5</v>
      </c>
      <c r="AK271" s="49">
        <v>212.5</v>
      </c>
      <c r="AL271" s="52">
        <v>21.25</v>
      </c>
      <c r="AM271" s="52">
        <v>212.5</v>
      </c>
      <c r="AN271" s="52">
        <v>233.75</v>
      </c>
      <c r="AO271" s="59">
        <v>1.1000000000000001</v>
      </c>
      <c r="AP271" s="79">
        <v>-21.25</v>
      </c>
      <c r="AQ271" s="80">
        <v>-0.1</v>
      </c>
      <c r="AR271" s="60" t="s">
        <v>73</v>
      </c>
      <c r="AS271" s="62">
        <v>0</v>
      </c>
      <c r="AT271" s="62">
        <v>221</v>
      </c>
      <c r="AU271" s="62">
        <v>221</v>
      </c>
      <c r="AV271" s="62">
        <v>276.25</v>
      </c>
      <c r="AW271" s="63"/>
      <c r="AX271" s="64"/>
      <c r="AY271" s="64" t="s">
        <v>6282</v>
      </c>
      <c r="BA271" s="64"/>
      <c r="BB271" s="64"/>
      <c r="BC271" s="64"/>
      <c r="BD271" s="70" t="s">
        <v>6243</v>
      </c>
      <c r="BE271" s="46" t="e">
        <v>#REF!</v>
      </c>
      <c r="BF271" s="46" t="s">
        <v>5325</v>
      </c>
      <c r="BG271" s="65">
        <v>1</v>
      </c>
      <c r="BH271" s="66"/>
      <c r="BI271" s="63" t="s">
        <v>6283</v>
      </c>
    </row>
    <row r="272" spans="1:61" ht="102" x14ac:dyDescent="0.2">
      <c r="A272" s="45" t="s">
        <v>6284</v>
      </c>
      <c r="B272" s="46"/>
      <c r="C272" s="46" t="s">
        <v>6281</v>
      </c>
      <c r="D272" s="46" t="s">
        <v>6285</v>
      </c>
      <c r="E272" s="46" t="s">
        <v>6108</v>
      </c>
      <c r="F272" s="46"/>
      <c r="G272" s="46"/>
      <c r="H272" s="46"/>
      <c r="I272" s="46"/>
      <c r="J272" s="46" t="s">
        <v>6123</v>
      </c>
      <c r="K272" s="47">
        <v>0</v>
      </c>
      <c r="L272" s="47">
        <v>190</v>
      </c>
      <c r="M272" s="47">
        <v>190</v>
      </c>
      <c r="N272" s="46"/>
      <c r="O272" s="71" t="s">
        <v>68</v>
      </c>
      <c r="P272" s="64"/>
      <c r="Q272" s="46" t="s">
        <v>5325</v>
      </c>
      <c r="R272" s="46" t="s">
        <v>6237</v>
      </c>
      <c r="S272" s="49">
        <v>47.5</v>
      </c>
      <c r="T272" s="49">
        <v>237.5</v>
      </c>
      <c r="U272" s="50">
        <v>0</v>
      </c>
      <c r="V272" s="78">
        <v>-0.1</v>
      </c>
      <c r="W272" s="29" t="e">
        <v>#DIV/0!</v>
      </c>
      <c r="X272" s="52">
        <v>23.75</v>
      </c>
      <c r="Y272" s="52">
        <v>30</v>
      </c>
      <c r="Z272" s="52">
        <v>237.5</v>
      </c>
      <c r="AA272" s="52">
        <v>291.25</v>
      </c>
      <c r="AB272" s="53">
        <v>1.2263157894736842</v>
      </c>
      <c r="AC272" s="75">
        <v>0</v>
      </c>
      <c r="AD272" s="55">
        <v>0</v>
      </c>
      <c r="AE272" s="69">
        <v>1</v>
      </c>
      <c r="AF272" s="57" t="s">
        <v>77</v>
      </c>
      <c r="AG272" s="58">
        <v>0</v>
      </c>
      <c r="AH272" s="58">
        <v>190</v>
      </c>
      <c r="AI272" s="58">
        <v>190</v>
      </c>
      <c r="AJ272" s="49">
        <v>47.5</v>
      </c>
      <c r="AK272" s="49">
        <v>237.5</v>
      </c>
      <c r="AL272" s="52">
        <v>23.75</v>
      </c>
      <c r="AM272" s="52">
        <v>237.5</v>
      </c>
      <c r="AN272" s="52">
        <v>261.25</v>
      </c>
      <c r="AO272" s="59">
        <v>1.1000000000000001</v>
      </c>
      <c r="AP272" s="79">
        <v>-23.75</v>
      </c>
      <c r="AQ272" s="80">
        <v>-0.1</v>
      </c>
      <c r="AR272" s="60" t="s">
        <v>73</v>
      </c>
      <c r="AS272" s="62">
        <v>0</v>
      </c>
      <c r="AT272" s="62">
        <v>247</v>
      </c>
      <c r="AU272" s="62">
        <v>247</v>
      </c>
      <c r="AV272" s="62">
        <v>308.75</v>
      </c>
      <c r="AW272" s="63"/>
      <c r="AX272" s="64"/>
      <c r="AY272" s="64" t="s">
        <v>6286</v>
      </c>
      <c r="BA272" s="64"/>
      <c r="BB272" s="64"/>
      <c r="BC272" s="64"/>
      <c r="BD272" s="70" t="s">
        <v>6287</v>
      </c>
      <c r="BE272" s="46" t="e">
        <v>#REF!</v>
      </c>
      <c r="BF272" s="46" t="s">
        <v>5325</v>
      </c>
      <c r="BG272" s="65">
        <v>1</v>
      </c>
      <c r="BH272" s="66"/>
      <c r="BI272" s="63" t="s">
        <v>6288</v>
      </c>
    </row>
    <row r="273" spans="1:61" ht="114.75" x14ac:dyDescent="0.2">
      <c r="A273" s="45" t="s">
        <v>6289</v>
      </c>
      <c r="B273" s="46"/>
      <c r="C273" s="46" t="s">
        <v>6281</v>
      </c>
      <c r="D273" s="46" t="s">
        <v>6259</v>
      </c>
      <c r="E273" s="46" t="s">
        <v>6108</v>
      </c>
      <c r="F273" s="46"/>
      <c r="G273" s="46"/>
      <c r="H273" s="46"/>
      <c r="I273" s="46"/>
      <c r="J273" s="46" t="s">
        <v>6123</v>
      </c>
      <c r="K273" s="47">
        <v>0</v>
      </c>
      <c r="L273" s="47">
        <f>L272*2</f>
        <v>380</v>
      </c>
      <c r="M273" s="47">
        <v>380</v>
      </c>
      <c r="N273" s="46"/>
      <c r="O273" s="71" t="s">
        <v>68</v>
      </c>
      <c r="P273" s="64"/>
      <c r="Q273" s="46" t="s">
        <v>5325</v>
      </c>
      <c r="R273" s="46" t="s">
        <v>6237</v>
      </c>
      <c r="S273" s="49">
        <v>95</v>
      </c>
      <c r="T273" s="49">
        <v>475</v>
      </c>
      <c r="U273" s="50">
        <v>0</v>
      </c>
      <c r="V273" s="78">
        <v>-0.1</v>
      </c>
      <c r="W273" s="29" t="e">
        <v>#DIV/0!</v>
      </c>
      <c r="X273" s="52">
        <v>47.5</v>
      </c>
      <c r="Y273" s="52">
        <v>30</v>
      </c>
      <c r="Z273" s="52">
        <v>475</v>
      </c>
      <c r="AA273" s="52">
        <v>552.5</v>
      </c>
      <c r="AB273" s="53">
        <v>1.1631578947368422</v>
      </c>
      <c r="AC273" s="75">
        <v>0</v>
      </c>
      <c r="AD273" s="55">
        <v>0</v>
      </c>
      <c r="AE273" s="69">
        <v>1</v>
      </c>
      <c r="AF273" s="57" t="s">
        <v>77</v>
      </c>
      <c r="AG273" s="58">
        <v>0</v>
      </c>
      <c r="AH273" s="58">
        <v>380</v>
      </c>
      <c r="AI273" s="58">
        <v>380</v>
      </c>
      <c r="AJ273" s="49">
        <v>95</v>
      </c>
      <c r="AK273" s="49">
        <v>475</v>
      </c>
      <c r="AL273" s="52">
        <v>47.5</v>
      </c>
      <c r="AM273" s="52">
        <v>475</v>
      </c>
      <c r="AN273" s="52">
        <v>522.5</v>
      </c>
      <c r="AO273" s="59">
        <v>1.1000000000000001</v>
      </c>
      <c r="AP273" s="79">
        <v>-47.5</v>
      </c>
      <c r="AQ273" s="80">
        <v>-0.1</v>
      </c>
      <c r="AR273" s="60" t="s">
        <v>73</v>
      </c>
      <c r="AS273" s="62">
        <v>0</v>
      </c>
      <c r="AT273" s="62">
        <v>494</v>
      </c>
      <c r="AU273" s="62">
        <v>494</v>
      </c>
      <c r="AV273" s="62">
        <v>617.5</v>
      </c>
      <c r="AW273" s="63"/>
      <c r="AX273" s="64"/>
      <c r="AY273" s="64" t="s">
        <v>6290</v>
      </c>
      <c r="BA273" s="64"/>
      <c r="BB273" s="64"/>
      <c r="BC273" s="64"/>
      <c r="BD273" s="70" t="s">
        <v>6249</v>
      </c>
      <c r="BE273" s="46" t="e">
        <v>#REF!</v>
      </c>
      <c r="BF273" s="46" t="s">
        <v>5325</v>
      </c>
      <c r="BG273" s="65">
        <v>1</v>
      </c>
      <c r="BH273" s="66"/>
      <c r="BI273" s="63" t="s">
        <v>6291</v>
      </c>
    </row>
    <row r="274" spans="1:61" ht="114.75" x14ac:dyDescent="0.2">
      <c r="A274" s="45" t="s">
        <v>6292</v>
      </c>
      <c r="B274" s="46"/>
      <c r="C274" s="46" t="s">
        <v>6281</v>
      </c>
      <c r="D274" s="46" t="s">
        <v>6253</v>
      </c>
      <c r="E274" s="46" t="s">
        <v>6108</v>
      </c>
      <c r="F274" s="46"/>
      <c r="G274" s="46"/>
      <c r="H274" s="46"/>
      <c r="I274" s="46"/>
      <c r="J274" s="46" t="s">
        <v>6123</v>
      </c>
      <c r="K274" s="47">
        <v>0</v>
      </c>
      <c r="L274" s="47">
        <v>150</v>
      </c>
      <c r="M274" s="47">
        <v>150</v>
      </c>
      <c r="N274" s="46"/>
      <c r="O274" s="71" t="s">
        <v>68</v>
      </c>
      <c r="P274" s="64"/>
      <c r="Q274" s="46" t="s">
        <v>5325</v>
      </c>
      <c r="R274" s="46" t="s">
        <v>6237</v>
      </c>
      <c r="S274" s="49">
        <v>37.5</v>
      </c>
      <c r="T274" s="49">
        <v>187.5</v>
      </c>
      <c r="U274" s="50">
        <v>0</v>
      </c>
      <c r="V274" s="78">
        <v>-0.1</v>
      </c>
      <c r="W274" s="29" t="e">
        <v>#DIV/0!</v>
      </c>
      <c r="X274" s="52">
        <v>18.75</v>
      </c>
      <c r="Y274" s="52">
        <v>30</v>
      </c>
      <c r="Z274" s="52">
        <v>187.5</v>
      </c>
      <c r="AA274" s="52">
        <v>236.25</v>
      </c>
      <c r="AB274" s="53">
        <v>1.26</v>
      </c>
      <c r="AC274" s="75">
        <v>0</v>
      </c>
      <c r="AD274" s="55">
        <v>0</v>
      </c>
      <c r="AE274" s="69">
        <v>1</v>
      </c>
      <c r="AF274" s="57" t="s">
        <v>77</v>
      </c>
      <c r="AG274" s="58">
        <v>0</v>
      </c>
      <c r="AH274" s="58">
        <v>150</v>
      </c>
      <c r="AI274" s="58">
        <v>150</v>
      </c>
      <c r="AJ274" s="49">
        <v>37.5</v>
      </c>
      <c r="AK274" s="49">
        <v>187.5</v>
      </c>
      <c r="AL274" s="52">
        <v>18.75</v>
      </c>
      <c r="AM274" s="52">
        <v>187.5</v>
      </c>
      <c r="AN274" s="52">
        <v>206.25</v>
      </c>
      <c r="AO274" s="59">
        <v>1.1000000000000001</v>
      </c>
      <c r="AP274" s="79">
        <v>-18.75</v>
      </c>
      <c r="AQ274" s="80">
        <v>-0.1</v>
      </c>
      <c r="AR274" s="60" t="s">
        <v>73</v>
      </c>
      <c r="AS274" s="62">
        <v>0</v>
      </c>
      <c r="AT274" s="62">
        <v>195</v>
      </c>
      <c r="AU274" s="62">
        <v>195</v>
      </c>
      <c r="AV274" s="62">
        <v>243.75</v>
      </c>
      <c r="AW274" s="63"/>
      <c r="AX274" s="64"/>
      <c r="AY274" s="64" t="s">
        <v>6293</v>
      </c>
      <c r="BA274" s="64"/>
      <c r="BB274" s="64"/>
      <c r="BC274" s="64"/>
      <c r="BD274" s="70" t="s">
        <v>6255</v>
      </c>
      <c r="BE274" s="46" t="e">
        <v>#REF!</v>
      </c>
      <c r="BF274" s="46" t="s">
        <v>5325</v>
      </c>
      <c r="BG274" s="65">
        <v>1</v>
      </c>
      <c r="BH274" s="66"/>
      <c r="BI274" s="63" t="s">
        <v>6294</v>
      </c>
    </row>
    <row r="275" spans="1:61" ht="127.5" x14ac:dyDescent="0.2">
      <c r="A275" s="45" t="s">
        <v>6295</v>
      </c>
      <c r="B275" s="46"/>
      <c r="C275" s="46" t="s">
        <v>6281</v>
      </c>
      <c r="D275" s="46" t="s">
        <v>6264</v>
      </c>
      <c r="E275" s="46" t="s">
        <v>6108</v>
      </c>
      <c r="F275" s="46"/>
      <c r="G275" s="46"/>
      <c r="H275" s="46"/>
      <c r="I275" s="46"/>
      <c r="J275" s="46" t="s">
        <v>6123</v>
      </c>
      <c r="K275" s="47">
        <v>0</v>
      </c>
      <c r="L275" s="47">
        <f>L274*2</f>
        <v>300</v>
      </c>
      <c r="M275" s="47">
        <v>300</v>
      </c>
      <c r="N275" s="46"/>
      <c r="O275" s="71" t="s">
        <v>68</v>
      </c>
      <c r="P275" s="64"/>
      <c r="Q275" s="46" t="s">
        <v>5325</v>
      </c>
      <c r="R275" s="46" t="s">
        <v>6237</v>
      </c>
      <c r="S275" s="49">
        <v>75</v>
      </c>
      <c r="T275" s="49">
        <v>375</v>
      </c>
      <c r="U275" s="50">
        <v>0</v>
      </c>
      <c r="V275" s="78">
        <v>-0.1</v>
      </c>
      <c r="W275" s="29" t="e">
        <v>#DIV/0!</v>
      </c>
      <c r="X275" s="52">
        <v>37.5</v>
      </c>
      <c r="Y275" s="52">
        <v>30</v>
      </c>
      <c r="Z275" s="52">
        <v>375</v>
      </c>
      <c r="AA275" s="52">
        <v>442.5</v>
      </c>
      <c r="AB275" s="53">
        <v>1.18</v>
      </c>
      <c r="AC275" s="75">
        <v>0</v>
      </c>
      <c r="AD275" s="55">
        <v>0</v>
      </c>
      <c r="AE275" s="69">
        <v>1</v>
      </c>
      <c r="AF275" s="57" t="s">
        <v>77</v>
      </c>
      <c r="AG275" s="58">
        <v>0</v>
      </c>
      <c r="AH275" s="58">
        <v>300</v>
      </c>
      <c r="AI275" s="58">
        <v>300</v>
      </c>
      <c r="AJ275" s="49">
        <v>75</v>
      </c>
      <c r="AK275" s="49">
        <v>375</v>
      </c>
      <c r="AL275" s="52">
        <v>37.5</v>
      </c>
      <c r="AM275" s="52">
        <v>375</v>
      </c>
      <c r="AN275" s="52">
        <v>412.5</v>
      </c>
      <c r="AO275" s="59">
        <v>1.1000000000000001</v>
      </c>
      <c r="AP275" s="79">
        <v>-37.5</v>
      </c>
      <c r="AQ275" s="80">
        <v>-0.1</v>
      </c>
      <c r="AR275" s="60" t="s">
        <v>73</v>
      </c>
      <c r="AS275" s="62">
        <v>0</v>
      </c>
      <c r="AT275" s="62">
        <v>390</v>
      </c>
      <c r="AU275" s="62">
        <v>390</v>
      </c>
      <c r="AV275" s="62">
        <v>487.5</v>
      </c>
      <c r="AW275" s="63"/>
      <c r="AX275" s="64"/>
      <c r="AY275" s="64" t="s">
        <v>6296</v>
      </c>
      <c r="BA275" s="64"/>
      <c r="BB275" s="64"/>
      <c r="BC275" s="64"/>
      <c r="BD275" s="46"/>
      <c r="BE275" s="46" t="e">
        <v>#REF!</v>
      </c>
      <c r="BF275" s="46" t="s">
        <v>5325</v>
      </c>
      <c r="BG275" s="65">
        <v>1</v>
      </c>
      <c r="BH275" s="66"/>
      <c r="BI275" s="63" t="s">
        <v>6297</v>
      </c>
    </row>
    <row r="276" spans="1:61" ht="89.25" x14ac:dyDescent="0.2">
      <c r="A276" s="45" t="s">
        <v>6298</v>
      </c>
      <c r="B276" s="46"/>
      <c r="C276" s="46" t="s">
        <v>6281</v>
      </c>
      <c r="D276" s="46" t="s">
        <v>6269</v>
      </c>
      <c r="E276" s="46" t="s">
        <v>6108</v>
      </c>
      <c r="F276" s="46"/>
      <c r="G276" s="46"/>
      <c r="H276" s="46"/>
      <c r="I276" s="46"/>
      <c r="J276" s="46" t="s">
        <v>6123</v>
      </c>
      <c r="K276" s="47">
        <v>0</v>
      </c>
      <c r="L276" s="47">
        <v>295</v>
      </c>
      <c r="M276" s="47">
        <v>295</v>
      </c>
      <c r="N276" s="46"/>
      <c r="O276" s="71" t="s">
        <v>68</v>
      </c>
      <c r="P276" s="64"/>
      <c r="Q276" s="46" t="s">
        <v>5325</v>
      </c>
      <c r="R276" s="46" t="s">
        <v>6237</v>
      </c>
      <c r="S276" s="49">
        <v>73.75</v>
      </c>
      <c r="T276" s="49">
        <v>368.75</v>
      </c>
      <c r="U276" s="50">
        <v>0</v>
      </c>
      <c r="V276" s="78">
        <v>-0.1</v>
      </c>
      <c r="W276" s="29" t="e">
        <v>#DIV/0!</v>
      </c>
      <c r="X276" s="52">
        <v>36.875</v>
      </c>
      <c r="Y276" s="52">
        <v>30</v>
      </c>
      <c r="Z276" s="52">
        <v>368.75</v>
      </c>
      <c r="AA276" s="52">
        <v>435.625</v>
      </c>
      <c r="AB276" s="53">
        <v>1.1813559322033897</v>
      </c>
      <c r="AC276" s="75">
        <v>0</v>
      </c>
      <c r="AD276" s="55">
        <v>0</v>
      </c>
      <c r="AE276" s="69">
        <v>1</v>
      </c>
      <c r="AF276" s="57" t="s">
        <v>77</v>
      </c>
      <c r="AG276" s="58">
        <v>0</v>
      </c>
      <c r="AH276" s="58">
        <v>295</v>
      </c>
      <c r="AI276" s="58">
        <v>295</v>
      </c>
      <c r="AJ276" s="49">
        <v>73.75</v>
      </c>
      <c r="AK276" s="49">
        <v>368.75</v>
      </c>
      <c r="AL276" s="52">
        <v>36.875</v>
      </c>
      <c r="AM276" s="52">
        <v>368.75</v>
      </c>
      <c r="AN276" s="52">
        <v>405.625</v>
      </c>
      <c r="AO276" s="59">
        <v>1.1000000000000001</v>
      </c>
      <c r="AP276" s="79">
        <v>-36.875</v>
      </c>
      <c r="AQ276" s="80">
        <v>-0.1</v>
      </c>
      <c r="AR276" s="60" t="s">
        <v>73</v>
      </c>
      <c r="AS276" s="62">
        <v>0</v>
      </c>
      <c r="AT276" s="62">
        <v>384</v>
      </c>
      <c r="AU276" s="62">
        <v>384</v>
      </c>
      <c r="AV276" s="62">
        <v>480</v>
      </c>
      <c r="AW276" s="63"/>
      <c r="AX276" s="64"/>
      <c r="AY276" s="64" t="s">
        <v>6299</v>
      </c>
      <c r="BA276" s="64"/>
      <c r="BB276" s="64"/>
      <c r="BC276" s="64"/>
      <c r="BD276" s="70" t="s">
        <v>6271</v>
      </c>
      <c r="BE276" s="46" t="e">
        <v>#REF!</v>
      </c>
      <c r="BF276" s="46" t="s">
        <v>5325</v>
      </c>
      <c r="BG276" s="65">
        <v>1</v>
      </c>
      <c r="BH276" s="66"/>
      <c r="BI276" s="63" t="s">
        <v>6300</v>
      </c>
    </row>
    <row r="277" spans="1:61" ht="89.25" x14ac:dyDescent="0.2">
      <c r="A277" s="45" t="s">
        <v>6301</v>
      </c>
      <c r="B277" s="46"/>
      <c r="C277" s="46" t="s">
        <v>6281</v>
      </c>
      <c r="D277" s="46" t="s">
        <v>6275</v>
      </c>
      <c r="E277" s="46" t="s">
        <v>6108</v>
      </c>
      <c r="F277" s="46"/>
      <c r="G277" s="46"/>
      <c r="H277" s="46"/>
      <c r="I277" s="46"/>
      <c r="J277" s="46" t="s">
        <v>6123</v>
      </c>
      <c r="K277" s="47">
        <v>0</v>
      </c>
      <c r="L277" s="47">
        <v>370</v>
      </c>
      <c r="M277" s="47">
        <v>370</v>
      </c>
      <c r="N277" s="46"/>
      <c r="O277" s="71" t="s">
        <v>68</v>
      </c>
      <c r="P277" s="64"/>
      <c r="Q277" s="46" t="s">
        <v>5325</v>
      </c>
      <c r="R277" s="46" t="s">
        <v>6237</v>
      </c>
      <c r="S277" s="49">
        <v>92.5</v>
      </c>
      <c r="T277" s="49">
        <v>462.5</v>
      </c>
      <c r="U277" s="50">
        <v>0</v>
      </c>
      <c r="V277" s="78">
        <v>-0.1</v>
      </c>
      <c r="W277" s="29" t="e">
        <v>#DIV/0!</v>
      </c>
      <c r="X277" s="52">
        <v>46.25</v>
      </c>
      <c r="Y277" s="52">
        <v>30</v>
      </c>
      <c r="Z277" s="52">
        <v>462.5</v>
      </c>
      <c r="AA277" s="52">
        <v>538.75</v>
      </c>
      <c r="AB277" s="53">
        <v>1.164864864864865</v>
      </c>
      <c r="AC277" s="75">
        <v>0</v>
      </c>
      <c r="AD277" s="55">
        <v>0</v>
      </c>
      <c r="AE277" s="69">
        <v>1</v>
      </c>
      <c r="AF277" s="57" t="s">
        <v>77</v>
      </c>
      <c r="AG277" s="58">
        <v>0</v>
      </c>
      <c r="AH277" s="58">
        <v>370</v>
      </c>
      <c r="AI277" s="58">
        <v>370</v>
      </c>
      <c r="AJ277" s="49">
        <v>92.5</v>
      </c>
      <c r="AK277" s="49">
        <v>462.5</v>
      </c>
      <c r="AL277" s="52">
        <v>46.25</v>
      </c>
      <c r="AM277" s="52">
        <v>462.5</v>
      </c>
      <c r="AN277" s="52">
        <v>508.75</v>
      </c>
      <c r="AO277" s="59">
        <v>1.1000000000000001</v>
      </c>
      <c r="AP277" s="79">
        <v>-46.25</v>
      </c>
      <c r="AQ277" s="80">
        <v>-0.1</v>
      </c>
      <c r="AR277" s="60" t="s">
        <v>73</v>
      </c>
      <c r="AS277" s="62">
        <v>0</v>
      </c>
      <c r="AT277" s="62">
        <v>481</v>
      </c>
      <c r="AU277" s="62">
        <v>481</v>
      </c>
      <c r="AV277" s="62">
        <v>601.25</v>
      </c>
      <c r="AW277" s="63"/>
      <c r="AX277" s="64"/>
      <c r="AY277" s="64" t="s">
        <v>6302</v>
      </c>
      <c r="BA277" s="64"/>
      <c r="BB277" s="64"/>
      <c r="BC277" s="64"/>
      <c r="BD277" s="70" t="s">
        <v>6277</v>
      </c>
      <c r="BE277" s="46" t="e">
        <v>#REF!</v>
      </c>
      <c r="BF277" s="46" t="s">
        <v>5325</v>
      </c>
      <c r="BG277" s="65">
        <v>1</v>
      </c>
      <c r="BH277" s="66"/>
      <c r="BI277" s="63" t="s">
        <v>6303</v>
      </c>
    </row>
    <row r="278" spans="1:61" ht="25.5" x14ac:dyDescent="0.2">
      <c r="A278" s="34" t="s">
        <v>6304</v>
      </c>
      <c r="B278" s="35"/>
      <c r="C278" s="35" t="s">
        <v>68</v>
      </c>
      <c r="D278" s="35" t="s">
        <v>68</v>
      </c>
      <c r="E278" s="35" t="s">
        <v>68</v>
      </c>
      <c r="F278" s="35" t="s">
        <v>68</v>
      </c>
      <c r="G278" s="35" t="s">
        <v>68</v>
      </c>
      <c r="H278" s="35" t="s">
        <v>68</v>
      </c>
      <c r="I278" s="35" t="s">
        <v>68</v>
      </c>
      <c r="J278" s="35" t="s">
        <v>68</v>
      </c>
      <c r="K278" s="36" t="s">
        <v>68</v>
      </c>
      <c r="L278" s="36"/>
      <c r="M278" s="36" t="s">
        <v>68</v>
      </c>
      <c r="N278" s="35"/>
      <c r="O278" s="35" t="s">
        <v>68</v>
      </c>
      <c r="P278" s="37"/>
      <c r="Q278" s="38" t="s">
        <v>5325</v>
      </c>
      <c r="R278" s="38" t="s">
        <v>6305</v>
      </c>
      <c r="S278" s="36" t="s">
        <v>68</v>
      </c>
      <c r="T278" s="36" t="s">
        <v>68</v>
      </c>
      <c r="U278" s="39" t="s">
        <v>68</v>
      </c>
      <c r="V278" s="39" t="s">
        <v>68</v>
      </c>
      <c r="W278" s="40" t="s">
        <v>68</v>
      </c>
      <c r="X278" s="36" t="s">
        <v>68</v>
      </c>
      <c r="Y278" s="36" t="s">
        <v>68</v>
      </c>
      <c r="Z278" s="36" t="s">
        <v>68</v>
      </c>
      <c r="AA278" s="36" t="s">
        <v>68</v>
      </c>
      <c r="AB278" s="39" t="s">
        <v>68</v>
      </c>
      <c r="AC278" s="36" t="s">
        <v>68</v>
      </c>
      <c r="AD278" s="39" t="s">
        <v>68</v>
      </c>
      <c r="AE278" s="41"/>
      <c r="AF278" s="42" t="s">
        <v>68</v>
      </c>
      <c r="AG278" s="36" t="s">
        <v>68</v>
      </c>
      <c r="AH278" s="36" t="s">
        <v>68</v>
      </c>
      <c r="AI278" s="36" t="s">
        <v>68</v>
      </c>
      <c r="AJ278" s="36" t="s">
        <v>68</v>
      </c>
      <c r="AK278" s="36" t="s">
        <v>68</v>
      </c>
      <c r="AL278" s="36" t="s">
        <v>68</v>
      </c>
      <c r="AM278" s="36" t="s">
        <v>68</v>
      </c>
      <c r="AN278" s="36" t="s">
        <v>68</v>
      </c>
      <c r="AO278" s="43" t="s">
        <v>68</v>
      </c>
      <c r="AP278" s="36" t="s">
        <v>68</v>
      </c>
      <c r="AQ278" s="39" t="s">
        <v>68</v>
      </c>
      <c r="AR278" s="36" t="s">
        <v>68</v>
      </c>
      <c r="AS278" s="36" t="s">
        <v>68</v>
      </c>
      <c r="AT278" s="36" t="s">
        <v>68</v>
      </c>
      <c r="AU278" s="36" t="s">
        <v>68</v>
      </c>
      <c r="AV278" s="36" t="s">
        <v>68</v>
      </c>
      <c r="AW278" s="35"/>
      <c r="AX278" s="37"/>
      <c r="AY278" s="37" t="s">
        <v>68</v>
      </c>
      <c r="BA278" s="37"/>
      <c r="BB278" s="37"/>
      <c r="BC278" s="37"/>
      <c r="BD278" s="35"/>
      <c r="BE278" s="35" t="e">
        <v>#REF!</v>
      </c>
      <c r="BF278" s="35"/>
      <c r="BG278" s="44"/>
      <c r="BH278" s="38" t="s">
        <v>6306</v>
      </c>
      <c r="BI278" s="35" t="s">
        <v>68</v>
      </c>
    </row>
    <row r="279" spans="1:61" ht="76.5" x14ac:dyDescent="0.2">
      <c r="A279" s="45" t="s">
        <v>6307</v>
      </c>
      <c r="B279" s="46"/>
      <c r="C279" s="46" t="s">
        <v>6308</v>
      </c>
      <c r="D279" s="46" t="s">
        <v>4973</v>
      </c>
      <c r="E279" s="46" t="s">
        <v>68</v>
      </c>
      <c r="F279" s="46" t="s">
        <v>68</v>
      </c>
      <c r="G279" s="46" t="s">
        <v>68</v>
      </c>
      <c r="H279" s="46" t="s">
        <v>68</v>
      </c>
      <c r="I279" s="46" t="s">
        <v>68</v>
      </c>
      <c r="J279" s="46" t="s">
        <v>2996</v>
      </c>
      <c r="K279" s="47">
        <v>40</v>
      </c>
      <c r="L279" s="47">
        <v>0</v>
      </c>
      <c r="M279" s="47">
        <v>40</v>
      </c>
      <c r="N279" s="46"/>
      <c r="O279" s="71" t="s">
        <v>68</v>
      </c>
      <c r="P279" s="64"/>
      <c r="Q279" s="46" t="s">
        <v>5325</v>
      </c>
      <c r="R279" s="46" t="s">
        <v>6305</v>
      </c>
      <c r="S279" s="49">
        <v>10</v>
      </c>
      <c r="T279" s="49">
        <v>50</v>
      </c>
      <c r="U279" s="50">
        <v>0.1</v>
      </c>
      <c r="V279" s="67">
        <v>0.7</v>
      </c>
      <c r="W279" s="51">
        <v>0</v>
      </c>
      <c r="X279" s="52">
        <v>5</v>
      </c>
      <c r="Y279" s="52">
        <v>30</v>
      </c>
      <c r="Z279" s="52">
        <v>10</v>
      </c>
      <c r="AA279" s="52">
        <v>45</v>
      </c>
      <c r="AB279" s="53">
        <v>0.9</v>
      </c>
      <c r="AC279" s="75">
        <v>5</v>
      </c>
      <c r="AD279" s="55">
        <v>0.1</v>
      </c>
      <c r="AE279" s="56">
        <v>2</v>
      </c>
      <c r="AF279" s="57" t="s">
        <v>72</v>
      </c>
      <c r="AG279" s="58">
        <v>20</v>
      </c>
      <c r="AH279" s="58">
        <v>0</v>
      </c>
      <c r="AI279" s="58">
        <v>20</v>
      </c>
      <c r="AJ279" s="49">
        <v>5</v>
      </c>
      <c r="AK279" s="49">
        <v>25</v>
      </c>
      <c r="AL279" s="52">
        <v>2.5</v>
      </c>
      <c r="AM279" s="52">
        <v>5</v>
      </c>
      <c r="AN279" s="52">
        <v>7.5</v>
      </c>
      <c r="AO279" s="59">
        <v>0.3</v>
      </c>
      <c r="AP279" s="60">
        <v>17.5</v>
      </c>
      <c r="AQ279" s="61">
        <v>0.7</v>
      </c>
      <c r="AR279" s="60" t="s">
        <v>78</v>
      </c>
      <c r="AS279" s="62">
        <v>60</v>
      </c>
      <c r="AT279" s="62">
        <v>0</v>
      </c>
      <c r="AU279" s="62">
        <v>60</v>
      </c>
      <c r="AV279" s="62">
        <v>75</v>
      </c>
      <c r="AW279" s="47" t="s">
        <v>107</v>
      </c>
      <c r="AX279" s="64"/>
      <c r="AY279" s="64" t="s">
        <v>6309</v>
      </c>
      <c r="BA279" s="64"/>
      <c r="BB279" s="64"/>
      <c r="BC279" s="64"/>
      <c r="BD279" s="46"/>
      <c r="BE279" s="46" t="e">
        <v>#REF!</v>
      </c>
      <c r="BF279" s="46" t="s">
        <v>75</v>
      </c>
      <c r="BG279" s="65">
        <v>4</v>
      </c>
      <c r="BH279" s="66" t="s">
        <v>6310</v>
      </c>
      <c r="BI279" s="63" t="s">
        <v>6311</v>
      </c>
    </row>
    <row r="280" spans="1:61" ht="102" x14ac:dyDescent="0.2">
      <c r="A280" s="45" t="s">
        <v>6312</v>
      </c>
      <c r="B280" s="46"/>
      <c r="C280" s="46" t="s">
        <v>6308</v>
      </c>
      <c r="D280" s="46" t="s">
        <v>4979</v>
      </c>
      <c r="E280" s="46" t="s">
        <v>68</v>
      </c>
      <c r="F280" s="46" t="s">
        <v>68</v>
      </c>
      <c r="G280" s="46" t="s">
        <v>68</v>
      </c>
      <c r="H280" s="46" t="s">
        <v>68</v>
      </c>
      <c r="I280" s="46" t="s">
        <v>454</v>
      </c>
      <c r="J280" s="46" t="s">
        <v>2996</v>
      </c>
      <c r="K280" s="47">
        <v>40</v>
      </c>
      <c r="L280" s="47">
        <v>20</v>
      </c>
      <c r="M280" s="47">
        <v>60</v>
      </c>
      <c r="N280" s="46"/>
      <c r="O280" s="71" t="s">
        <v>68</v>
      </c>
      <c r="P280" s="64"/>
      <c r="Q280" s="46" t="s">
        <v>5325</v>
      </c>
      <c r="R280" s="46" t="s">
        <v>6305</v>
      </c>
      <c r="S280" s="49">
        <v>15</v>
      </c>
      <c r="T280" s="49">
        <v>75</v>
      </c>
      <c r="U280" s="50">
        <v>3.3333333333333333E-2</v>
      </c>
      <c r="V280" s="67">
        <v>0.3</v>
      </c>
      <c r="W280" s="51">
        <v>0.5</v>
      </c>
      <c r="X280" s="52">
        <v>7.5</v>
      </c>
      <c r="Y280" s="52">
        <v>30</v>
      </c>
      <c r="Z280" s="52">
        <v>35</v>
      </c>
      <c r="AA280" s="52">
        <v>72.5</v>
      </c>
      <c r="AB280" s="53">
        <v>0.96666666666666667</v>
      </c>
      <c r="AC280" s="75">
        <v>2.5</v>
      </c>
      <c r="AD280" s="55">
        <v>3.3333333333333333E-2</v>
      </c>
      <c r="AE280" s="56">
        <v>2</v>
      </c>
      <c r="AF280" s="57" t="s">
        <v>72</v>
      </c>
      <c r="AG280" s="58">
        <v>20</v>
      </c>
      <c r="AH280" s="58">
        <v>20</v>
      </c>
      <c r="AI280" s="58">
        <v>40</v>
      </c>
      <c r="AJ280" s="49">
        <v>10</v>
      </c>
      <c r="AK280" s="49">
        <v>50</v>
      </c>
      <c r="AL280" s="52">
        <v>5</v>
      </c>
      <c r="AM280" s="52">
        <v>30</v>
      </c>
      <c r="AN280" s="52">
        <v>35</v>
      </c>
      <c r="AO280" s="59">
        <v>0.7</v>
      </c>
      <c r="AP280" s="60">
        <v>15</v>
      </c>
      <c r="AQ280" s="61">
        <v>0.3</v>
      </c>
      <c r="AR280" s="60" t="s">
        <v>78</v>
      </c>
      <c r="AS280" s="62">
        <v>60</v>
      </c>
      <c r="AT280" s="62">
        <v>30</v>
      </c>
      <c r="AU280" s="62">
        <v>90</v>
      </c>
      <c r="AV280" s="62">
        <v>112.5</v>
      </c>
      <c r="AW280" s="47" t="s">
        <v>107</v>
      </c>
      <c r="AX280" s="64"/>
      <c r="AY280" s="64" t="s">
        <v>6313</v>
      </c>
      <c r="BA280" s="64"/>
      <c r="BB280" s="64"/>
      <c r="BC280" s="64"/>
      <c r="BD280" s="46"/>
      <c r="BE280" s="46" t="e">
        <v>#REF!</v>
      </c>
      <c r="BF280" s="46" t="s">
        <v>75</v>
      </c>
      <c r="BG280" s="65">
        <v>4</v>
      </c>
      <c r="BH280" s="66" t="s">
        <v>6314</v>
      </c>
      <c r="BI280" s="63" t="s">
        <v>6315</v>
      </c>
    </row>
    <row r="281" spans="1:61" ht="102" x14ac:dyDescent="0.2">
      <c r="A281" s="45" t="s">
        <v>6316</v>
      </c>
      <c r="B281" s="46"/>
      <c r="C281" s="46" t="s">
        <v>6308</v>
      </c>
      <c r="D281" s="46" t="s">
        <v>4979</v>
      </c>
      <c r="E281" s="46" t="s">
        <v>68</v>
      </c>
      <c r="F281" s="46" t="s">
        <v>68</v>
      </c>
      <c r="G281" s="46" t="s">
        <v>68</v>
      </c>
      <c r="H281" s="46" t="s">
        <v>68</v>
      </c>
      <c r="I281" s="46" t="s">
        <v>445</v>
      </c>
      <c r="J281" s="46" t="s">
        <v>2996</v>
      </c>
      <c r="K281" s="47">
        <v>40</v>
      </c>
      <c r="L281" s="47">
        <v>35</v>
      </c>
      <c r="M281" s="47">
        <v>75</v>
      </c>
      <c r="N281" s="46"/>
      <c r="O281" s="71" t="s">
        <v>68</v>
      </c>
      <c r="P281" s="64"/>
      <c r="Q281" s="46" t="s">
        <v>5325</v>
      </c>
      <c r="R281" s="46" t="s">
        <v>6305</v>
      </c>
      <c r="S281" s="49">
        <v>18.75</v>
      </c>
      <c r="T281" s="49">
        <v>93.75</v>
      </c>
      <c r="U281" s="50">
        <v>6.6666666666666671E-3</v>
      </c>
      <c r="V281" s="50">
        <v>0.19090909090909092</v>
      </c>
      <c r="W281" s="51">
        <v>0.875</v>
      </c>
      <c r="X281" s="52">
        <v>9.375</v>
      </c>
      <c r="Y281" s="52">
        <v>30</v>
      </c>
      <c r="Z281" s="52">
        <v>53.75</v>
      </c>
      <c r="AA281" s="52">
        <v>93.125</v>
      </c>
      <c r="AB281" s="53">
        <v>0.99333333333333329</v>
      </c>
      <c r="AC281" s="75">
        <v>0.625</v>
      </c>
      <c r="AD281" s="55">
        <v>6.6666666666666671E-3</v>
      </c>
      <c r="AE281" s="56">
        <v>2</v>
      </c>
      <c r="AF281" s="57" t="s">
        <v>72</v>
      </c>
      <c r="AG281" s="58">
        <v>20</v>
      </c>
      <c r="AH281" s="58">
        <v>35</v>
      </c>
      <c r="AI281" s="58">
        <v>55</v>
      </c>
      <c r="AJ281" s="49">
        <v>13.75</v>
      </c>
      <c r="AK281" s="49">
        <v>68.75</v>
      </c>
      <c r="AL281" s="52">
        <v>6.875</v>
      </c>
      <c r="AM281" s="52">
        <v>48.75</v>
      </c>
      <c r="AN281" s="52">
        <v>55.625</v>
      </c>
      <c r="AO281" s="59">
        <v>0.80909090909090908</v>
      </c>
      <c r="AP281" s="60">
        <v>13.125</v>
      </c>
      <c r="AQ281" s="61">
        <v>0.19090909090909092</v>
      </c>
      <c r="AR281" s="60" t="s">
        <v>73</v>
      </c>
      <c r="AS281" s="62">
        <v>60</v>
      </c>
      <c r="AT281" s="62">
        <v>53</v>
      </c>
      <c r="AU281" s="62">
        <v>113</v>
      </c>
      <c r="AV281" s="62">
        <v>141.25</v>
      </c>
      <c r="AW281" s="47" t="s">
        <v>107</v>
      </c>
      <c r="AX281" s="64"/>
      <c r="AY281" s="64" t="s">
        <v>6317</v>
      </c>
      <c r="BA281" s="64"/>
      <c r="BB281" s="64"/>
      <c r="BC281" s="64"/>
      <c r="BD281" s="46"/>
      <c r="BE281" s="46" t="e">
        <v>#REF!</v>
      </c>
      <c r="BF281" s="46" t="s">
        <v>75</v>
      </c>
      <c r="BG281" s="65">
        <v>4</v>
      </c>
      <c r="BH281" s="66" t="s">
        <v>6318</v>
      </c>
      <c r="BI281" s="63" t="s">
        <v>6319</v>
      </c>
    </row>
    <row r="282" spans="1:61" ht="102" x14ac:dyDescent="0.2">
      <c r="A282" s="45" t="s">
        <v>6320</v>
      </c>
      <c r="B282" s="46"/>
      <c r="C282" s="46" t="s">
        <v>6308</v>
      </c>
      <c r="D282" s="46" t="s">
        <v>4979</v>
      </c>
      <c r="E282" s="46" t="s">
        <v>68</v>
      </c>
      <c r="F282" s="46" t="s">
        <v>68</v>
      </c>
      <c r="G282" s="46" t="s">
        <v>68</v>
      </c>
      <c r="H282" s="46" t="s">
        <v>68</v>
      </c>
      <c r="I282" s="46" t="s">
        <v>449</v>
      </c>
      <c r="J282" s="46" t="s">
        <v>2996</v>
      </c>
      <c r="K282" s="47">
        <v>40</v>
      </c>
      <c r="L282" s="47">
        <v>60</v>
      </c>
      <c r="M282" s="47">
        <v>100</v>
      </c>
      <c r="N282" s="46"/>
      <c r="O282" s="71" t="s">
        <v>68</v>
      </c>
      <c r="P282" s="64"/>
      <c r="Q282" s="46" t="s">
        <v>5325</v>
      </c>
      <c r="R282" s="46" t="s">
        <v>6305</v>
      </c>
      <c r="S282" s="49">
        <v>25</v>
      </c>
      <c r="T282" s="49">
        <v>125</v>
      </c>
      <c r="U282" s="28">
        <v>0.2</v>
      </c>
      <c r="V282" s="50">
        <v>0.1</v>
      </c>
      <c r="W282" s="74">
        <v>1.5</v>
      </c>
      <c r="X282" s="52">
        <v>12.5</v>
      </c>
      <c r="Y282" s="52">
        <v>30</v>
      </c>
      <c r="Z282" s="52">
        <v>85</v>
      </c>
      <c r="AA282" s="52">
        <v>127.5</v>
      </c>
      <c r="AB282" s="53">
        <v>1.02</v>
      </c>
      <c r="AC282" s="75">
        <v>25</v>
      </c>
      <c r="AD282" s="55">
        <v>0.2</v>
      </c>
      <c r="AE282" s="56">
        <v>2</v>
      </c>
      <c r="AF282" s="57" t="s">
        <v>72</v>
      </c>
      <c r="AG282" s="58">
        <v>20</v>
      </c>
      <c r="AH282" s="58">
        <v>60</v>
      </c>
      <c r="AI282" s="58">
        <v>80</v>
      </c>
      <c r="AJ282" s="49">
        <v>20</v>
      </c>
      <c r="AK282" s="49">
        <v>100</v>
      </c>
      <c r="AL282" s="52">
        <v>10</v>
      </c>
      <c r="AM282" s="52">
        <v>80</v>
      </c>
      <c r="AN282" s="52">
        <v>90</v>
      </c>
      <c r="AO282" s="59">
        <v>0.9</v>
      </c>
      <c r="AP282" s="60">
        <v>10</v>
      </c>
      <c r="AQ282" s="61">
        <v>0.1</v>
      </c>
      <c r="AR282" s="60" t="s">
        <v>73</v>
      </c>
      <c r="AS282" s="62">
        <v>60</v>
      </c>
      <c r="AT282" s="62">
        <v>90</v>
      </c>
      <c r="AU282" s="62">
        <v>150</v>
      </c>
      <c r="AV282" s="62">
        <v>187.5</v>
      </c>
      <c r="AW282" s="47" t="s">
        <v>107</v>
      </c>
      <c r="AX282" s="64"/>
      <c r="AY282" s="64" t="s">
        <v>6321</v>
      </c>
      <c r="BA282" s="64"/>
      <c r="BB282" s="64"/>
      <c r="BC282" s="64"/>
      <c r="BD282" s="46"/>
      <c r="BE282" s="46" t="e">
        <v>#REF!</v>
      </c>
      <c r="BF282" s="46" t="s">
        <v>75</v>
      </c>
      <c r="BG282" s="65">
        <v>4</v>
      </c>
      <c r="BH282" s="66" t="s">
        <v>6322</v>
      </c>
      <c r="BI282" s="63" t="s">
        <v>6323</v>
      </c>
    </row>
    <row r="283" spans="1:61" ht="127.5" x14ac:dyDescent="0.2">
      <c r="A283" s="45" t="s">
        <v>6295</v>
      </c>
      <c r="B283" s="46"/>
      <c r="C283" s="46" t="s">
        <v>6281</v>
      </c>
      <c r="D283" s="46" t="s">
        <v>6264</v>
      </c>
      <c r="E283" s="46" t="s">
        <v>6108</v>
      </c>
      <c r="F283" s="46"/>
      <c r="G283" s="46"/>
      <c r="H283" s="46"/>
      <c r="I283" s="46"/>
      <c r="J283" s="46" t="s">
        <v>6123</v>
      </c>
      <c r="K283" s="47">
        <v>0</v>
      </c>
      <c r="L283" s="47">
        <f>L282*2</f>
        <v>120</v>
      </c>
      <c r="M283" s="47">
        <v>300</v>
      </c>
      <c r="N283" s="46"/>
      <c r="O283" s="71" t="s">
        <v>68</v>
      </c>
      <c r="P283" s="64"/>
      <c r="Q283" s="46" t="s">
        <v>5325</v>
      </c>
      <c r="R283" s="46" t="s">
        <v>6237</v>
      </c>
      <c r="S283" s="49">
        <v>75</v>
      </c>
      <c r="T283" s="49">
        <v>375</v>
      </c>
      <c r="U283" s="50">
        <v>0</v>
      </c>
      <c r="V283" s="78">
        <v>-0.1</v>
      </c>
      <c r="W283" s="29" t="e">
        <v>#DIV/0!</v>
      </c>
      <c r="X283" s="52">
        <v>37.5</v>
      </c>
      <c r="Y283" s="52">
        <v>30</v>
      </c>
      <c r="Z283" s="52">
        <v>375</v>
      </c>
      <c r="AA283" s="52">
        <v>442.5</v>
      </c>
      <c r="AB283" s="53">
        <v>1.18</v>
      </c>
      <c r="AC283" s="75">
        <v>0</v>
      </c>
      <c r="AD283" s="55">
        <v>0</v>
      </c>
      <c r="AE283" s="69">
        <v>1</v>
      </c>
      <c r="AF283" s="57" t="s">
        <v>77</v>
      </c>
      <c r="AG283" s="58">
        <v>0</v>
      </c>
      <c r="AH283" s="58">
        <v>300</v>
      </c>
      <c r="AI283" s="58">
        <v>300</v>
      </c>
      <c r="AJ283" s="49">
        <v>75</v>
      </c>
      <c r="AK283" s="49">
        <v>375</v>
      </c>
      <c r="AL283" s="52">
        <v>37.5</v>
      </c>
      <c r="AM283" s="52">
        <v>375</v>
      </c>
      <c r="AN283" s="52">
        <v>412.5</v>
      </c>
      <c r="AO283" s="59">
        <v>1.1000000000000001</v>
      </c>
      <c r="AP283" s="79">
        <v>-37.5</v>
      </c>
      <c r="AQ283" s="80">
        <v>-0.1</v>
      </c>
      <c r="AR283" s="60" t="s">
        <v>73</v>
      </c>
      <c r="AS283" s="62">
        <v>0</v>
      </c>
      <c r="AT283" s="62">
        <v>390</v>
      </c>
      <c r="AU283" s="62">
        <v>390</v>
      </c>
      <c r="AV283" s="62">
        <v>487.5</v>
      </c>
      <c r="AW283" s="63"/>
      <c r="AX283" s="64"/>
      <c r="AY283" s="64" t="s">
        <v>6296</v>
      </c>
      <c r="BA283" s="64"/>
      <c r="BB283" s="64"/>
      <c r="BC283" s="64"/>
      <c r="BD283" s="46"/>
      <c r="BE283" s="46" t="e">
        <v>#REF!</v>
      </c>
      <c r="BF283" s="46" t="s">
        <v>5325</v>
      </c>
      <c r="BG283" s="65">
        <v>1</v>
      </c>
      <c r="BH283" s="66"/>
      <c r="BI283" s="63" t="s">
        <v>6297</v>
      </c>
    </row>
    <row r="284" spans="1:61" ht="89.25" x14ac:dyDescent="0.2">
      <c r="A284" s="45" t="s">
        <v>6298</v>
      </c>
      <c r="B284" s="46"/>
      <c r="C284" s="46" t="s">
        <v>6281</v>
      </c>
      <c r="D284" s="46" t="s">
        <v>6269</v>
      </c>
      <c r="E284" s="46" t="s">
        <v>6108</v>
      </c>
      <c r="F284" s="46"/>
      <c r="G284" s="46"/>
      <c r="H284" s="46"/>
      <c r="I284" s="46"/>
      <c r="J284" s="46" t="s">
        <v>6123</v>
      </c>
      <c r="K284" s="47">
        <v>0</v>
      </c>
      <c r="L284" s="47">
        <v>295</v>
      </c>
      <c r="M284" s="47">
        <v>295</v>
      </c>
      <c r="N284" s="46"/>
      <c r="O284" s="71" t="s">
        <v>68</v>
      </c>
      <c r="P284" s="64"/>
      <c r="Q284" s="46" t="s">
        <v>5325</v>
      </c>
      <c r="R284" s="46" t="s">
        <v>6237</v>
      </c>
      <c r="S284" s="49">
        <v>73.75</v>
      </c>
      <c r="T284" s="49">
        <v>368.75</v>
      </c>
      <c r="U284" s="50">
        <v>0</v>
      </c>
      <c r="V284" s="78">
        <v>-0.1</v>
      </c>
      <c r="W284" s="29" t="e">
        <v>#DIV/0!</v>
      </c>
      <c r="X284" s="52">
        <v>36.875</v>
      </c>
      <c r="Y284" s="52">
        <v>30</v>
      </c>
      <c r="Z284" s="52">
        <v>368.75</v>
      </c>
      <c r="AA284" s="52">
        <v>435.625</v>
      </c>
      <c r="AB284" s="53">
        <v>1.1813559322033897</v>
      </c>
      <c r="AC284" s="75">
        <v>0</v>
      </c>
      <c r="AD284" s="55">
        <v>0</v>
      </c>
      <c r="AE284" s="69">
        <v>1</v>
      </c>
      <c r="AF284" s="57" t="s">
        <v>77</v>
      </c>
      <c r="AG284" s="58">
        <v>0</v>
      </c>
      <c r="AH284" s="58">
        <v>295</v>
      </c>
      <c r="AI284" s="58">
        <v>295</v>
      </c>
      <c r="AJ284" s="49">
        <v>73.75</v>
      </c>
      <c r="AK284" s="49">
        <v>368.75</v>
      </c>
      <c r="AL284" s="52">
        <v>36.875</v>
      </c>
      <c r="AM284" s="52">
        <v>368.75</v>
      </c>
      <c r="AN284" s="52">
        <v>405.625</v>
      </c>
      <c r="AO284" s="59">
        <v>1.1000000000000001</v>
      </c>
      <c r="AP284" s="79">
        <v>-36.875</v>
      </c>
      <c r="AQ284" s="80">
        <v>-0.1</v>
      </c>
      <c r="AR284" s="60" t="s">
        <v>73</v>
      </c>
      <c r="AS284" s="62">
        <v>0</v>
      </c>
      <c r="AT284" s="62">
        <v>384</v>
      </c>
      <c r="AU284" s="62">
        <v>384</v>
      </c>
      <c r="AV284" s="62">
        <v>480</v>
      </c>
      <c r="AW284" s="63"/>
      <c r="AX284" s="64"/>
      <c r="AY284" s="64" t="s">
        <v>6299</v>
      </c>
      <c r="BA284" s="64"/>
      <c r="BB284" s="64"/>
      <c r="BC284" s="64"/>
      <c r="BD284" s="70" t="s">
        <v>6271</v>
      </c>
      <c r="BE284" s="46" t="e">
        <v>#REF!</v>
      </c>
      <c r="BF284" s="46" t="s">
        <v>5325</v>
      </c>
      <c r="BG284" s="65">
        <v>1</v>
      </c>
      <c r="BH284" s="66"/>
      <c r="BI284" s="63" t="s">
        <v>6300</v>
      </c>
    </row>
    <row r="285" spans="1:61" ht="89.25" x14ac:dyDescent="0.2">
      <c r="A285" s="45" t="s">
        <v>6301</v>
      </c>
      <c r="B285" s="46"/>
      <c r="C285" s="46" t="s">
        <v>6281</v>
      </c>
      <c r="D285" s="46" t="s">
        <v>6275</v>
      </c>
      <c r="E285" s="46" t="s">
        <v>6108</v>
      </c>
      <c r="F285" s="46"/>
      <c r="G285" s="46"/>
      <c r="H285" s="46"/>
      <c r="I285" s="46"/>
      <c r="J285" s="46" t="s">
        <v>6123</v>
      </c>
      <c r="K285" s="47">
        <v>0</v>
      </c>
      <c r="L285" s="47">
        <v>370</v>
      </c>
      <c r="M285" s="47">
        <v>370</v>
      </c>
      <c r="N285" s="46"/>
      <c r="O285" s="71" t="s">
        <v>68</v>
      </c>
      <c r="P285" s="64"/>
      <c r="Q285" s="46" t="s">
        <v>5325</v>
      </c>
      <c r="R285" s="46" t="s">
        <v>6237</v>
      </c>
      <c r="S285" s="49">
        <v>92.5</v>
      </c>
      <c r="T285" s="49">
        <v>462.5</v>
      </c>
      <c r="U285" s="50">
        <v>0</v>
      </c>
      <c r="V285" s="78">
        <v>-0.1</v>
      </c>
      <c r="W285" s="29" t="e">
        <v>#DIV/0!</v>
      </c>
      <c r="X285" s="52">
        <v>46.25</v>
      </c>
      <c r="Y285" s="52">
        <v>30</v>
      </c>
      <c r="Z285" s="52">
        <v>462.5</v>
      </c>
      <c r="AA285" s="52">
        <v>538.75</v>
      </c>
      <c r="AB285" s="53">
        <v>1.164864864864865</v>
      </c>
      <c r="AC285" s="75">
        <v>0</v>
      </c>
      <c r="AD285" s="55">
        <v>0</v>
      </c>
      <c r="AE285" s="69">
        <v>1</v>
      </c>
      <c r="AF285" s="57" t="s">
        <v>77</v>
      </c>
      <c r="AG285" s="58">
        <v>0</v>
      </c>
      <c r="AH285" s="58">
        <v>370</v>
      </c>
      <c r="AI285" s="58">
        <v>370</v>
      </c>
      <c r="AJ285" s="49">
        <v>92.5</v>
      </c>
      <c r="AK285" s="49">
        <v>462.5</v>
      </c>
      <c r="AL285" s="52">
        <v>46.25</v>
      </c>
      <c r="AM285" s="52">
        <v>462.5</v>
      </c>
      <c r="AN285" s="52">
        <v>508.75</v>
      </c>
      <c r="AO285" s="59">
        <v>1.1000000000000001</v>
      </c>
      <c r="AP285" s="79">
        <v>-46.25</v>
      </c>
      <c r="AQ285" s="80">
        <v>-0.1</v>
      </c>
      <c r="AR285" s="60" t="s">
        <v>73</v>
      </c>
      <c r="AS285" s="62">
        <v>0</v>
      </c>
      <c r="AT285" s="62">
        <v>481</v>
      </c>
      <c r="AU285" s="62">
        <v>481</v>
      </c>
      <c r="AV285" s="62">
        <v>601.25</v>
      </c>
      <c r="AW285" s="63"/>
      <c r="AX285" s="64"/>
      <c r="AY285" s="64" t="s">
        <v>6302</v>
      </c>
      <c r="BA285" s="64"/>
      <c r="BB285" s="64"/>
      <c r="BC285" s="64"/>
      <c r="BD285" s="70" t="s">
        <v>6277</v>
      </c>
      <c r="BE285" s="46" t="e">
        <v>#REF!</v>
      </c>
      <c r="BF285" s="46" t="s">
        <v>5325</v>
      </c>
      <c r="BG285" s="65">
        <v>1</v>
      </c>
      <c r="BH285" s="66"/>
      <c r="BI285" s="63" t="s">
        <v>6303</v>
      </c>
    </row>
    <row r="286" spans="1:61" ht="25.5" x14ac:dyDescent="0.2">
      <c r="A286" s="34" t="s">
        <v>6304</v>
      </c>
      <c r="B286" s="35"/>
      <c r="C286" s="35" t="s">
        <v>68</v>
      </c>
      <c r="D286" s="35" t="s">
        <v>68</v>
      </c>
      <c r="E286" s="35" t="s">
        <v>68</v>
      </c>
      <c r="F286" s="35" t="s">
        <v>68</v>
      </c>
      <c r="G286" s="35" t="s">
        <v>68</v>
      </c>
      <c r="H286" s="35" t="s">
        <v>68</v>
      </c>
      <c r="I286" s="35" t="s">
        <v>68</v>
      </c>
      <c r="J286" s="35" t="s">
        <v>68</v>
      </c>
      <c r="K286" s="36" t="s">
        <v>68</v>
      </c>
      <c r="L286" s="36"/>
      <c r="M286" s="36" t="s">
        <v>68</v>
      </c>
      <c r="N286" s="35"/>
      <c r="O286" s="35" t="s">
        <v>68</v>
      </c>
      <c r="P286" s="37"/>
      <c r="Q286" s="38" t="s">
        <v>5325</v>
      </c>
      <c r="R286" s="38" t="s">
        <v>6305</v>
      </c>
      <c r="S286" s="36" t="s">
        <v>68</v>
      </c>
      <c r="T286" s="36" t="s">
        <v>68</v>
      </c>
      <c r="U286" s="39" t="s">
        <v>68</v>
      </c>
      <c r="V286" s="39" t="s">
        <v>68</v>
      </c>
      <c r="W286" s="40" t="s">
        <v>68</v>
      </c>
      <c r="X286" s="36" t="s">
        <v>68</v>
      </c>
      <c r="Y286" s="36" t="s">
        <v>68</v>
      </c>
      <c r="Z286" s="36" t="s">
        <v>68</v>
      </c>
      <c r="AA286" s="36" t="s">
        <v>68</v>
      </c>
      <c r="AB286" s="39" t="s">
        <v>68</v>
      </c>
      <c r="AC286" s="36" t="s">
        <v>68</v>
      </c>
      <c r="AD286" s="39" t="s">
        <v>68</v>
      </c>
      <c r="AE286" s="41"/>
      <c r="AF286" s="42" t="s">
        <v>68</v>
      </c>
      <c r="AG286" s="36" t="s">
        <v>68</v>
      </c>
      <c r="AH286" s="36" t="s">
        <v>68</v>
      </c>
      <c r="AI286" s="36" t="s">
        <v>68</v>
      </c>
      <c r="AJ286" s="36" t="s">
        <v>68</v>
      </c>
      <c r="AK286" s="36" t="s">
        <v>68</v>
      </c>
      <c r="AL286" s="36" t="s">
        <v>68</v>
      </c>
      <c r="AM286" s="36" t="s">
        <v>68</v>
      </c>
      <c r="AN286" s="36" t="s">
        <v>68</v>
      </c>
      <c r="AO286" s="43" t="s">
        <v>68</v>
      </c>
      <c r="AP286" s="36" t="s">
        <v>68</v>
      </c>
      <c r="AQ286" s="39" t="s">
        <v>68</v>
      </c>
      <c r="AR286" s="36" t="s">
        <v>68</v>
      </c>
      <c r="AS286" s="36" t="s">
        <v>68</v>
      </c>
      <c r="AT286" s="36" t="s">
        <v>68</v>
      </c>
      <c r="AU286" s="36" t="s">
        <v>68</v>
      </c>
      <c r="AV286" s="36" t="s">
        <v>68</v>
      </c>
      <c r="AW286" s="35"/>
      <c r="AX286" s="37"/>
      <c r="AY286" s="37" t="s">
        <v>68</v>
      </c>
      <c r="BA286" s="37"/>
      <c r="BB286" s="37"/>
      <c r="BC286" s="37"/>
      <c r="BD286" s="35"/>
      <c r="BE286" s="35" t="e">
        <v>#REF!</v>
      </c>
      <c r="BF286" s="35"/>
      <c r="BG286" s="44"/>
      <c r="BH286" s="38" t="s">
        <v>6306</v>
      </c>
      <c r="BI286" s="35" t="s">
        <v>68</v>
      </c>
    </row>
    <row r="287" spans="1:61" ht="76.5" x14ac:dyDescent="0.2">
      <c r="A287" s="45" t="s">
        <v>6307</v>
      </c>
      <c r="B287" s="46"/>
      <c r="C287" s="46" t="s">
        <v>6308</v>
      </c>
      <c r="D287" s="46" t="s">
        <v>4973</v>
      </c>
      <c r="E287" s="46" t="s">
        <v>68</v>
      </c>
      <c r="F287" s="46" t="s">
        <v>68</v>
      </c>
      <c r="G287" s="46" t="s">
        <v>68</v>
      </c>
      <c r="H287" s="46" t="s">
        <v>68</v>
      </c>
      <c r="I287" s="46" t="s">
        <v>68</v>
      </c>
      <c r="J287" s="46" t="s">
        <v>2996</v>
      </c>
      <c r="K287" s="47">
        <v>40</v>
      </c>
      <c r="L287" s="47">
        <v>0</v>
      </c>
      <c r="M287" s="47">
        <v>40</v>
      </c>
      <c r="N287" s="46"/>
      <c r="O287" s="71" t="s">
        <v>68</v>
      </c>
      <c r="P287" s="64"/>
      <c r="Q287" s="46" t="s">
        <v>5325</v>
      </c>
      <c r="R287" s="46" t="s">
        <v>6305</v>
      </c>
      <c r="S287" s="49">
        <v>10</v>
      </c>
      <c r="T287" s="49">
        <v>50</v>
      </c>
      <c r="U287" s="50">
        <v>0.1</v>
      </c>
      <c r="V287" s="67">
        <v>0.7</v>
      </c>
      <c r="W287" s="51">
        <v>0</v>
      </c>
      <c r="X287" s="52">
        <v>5</v>
      </c>
      <c r="Y287" s="52">
        <v>30</v>
      </c>
      <c r="Z287" s="52">
        <v>10</v>
      </c>
      <c r="AA287" s="52">
        <v>45</v>
      </c>
      <c r="AB287" s="53">
        <v>0.9</v>
      </c>
      <c r="AC287" s="75">
        <v>5</v>
      </c>
      <c r="AD287" s="55">
        <v>0.1</v>
      </c>
      <c r="AE287" s="56">
        <v>2</v>
      </c>
      <c r="AF287" s="57" t="s">
        <v>72</v>
      </c>
      <c r="AG287" s="58">
        <v>20</v>
      </c>
      <c r="AH287" s="58">
        <v>0</v>
      </c>
      <c r="AI287" s="58">
        <v>20</v>
      </c>
      <c r="AJ287" s="49">
        <v>5</v>
      </c>
      <c r="AK287" s="49">
        <v>25</v>
      </c>
      <c r="AL287" s="52">
        <v>2.5</v>
      </c>
      <c r="AM287" s="52">
        <v>5</v>
      </c>
      <c r="AN287" s="52">
        <v>7.5</v>
      </c>
      <c r="AO287" s="59">
        <v>0.3</v>
      </c>
      <c r="AP287" s="60">
        <v>17.5</v>
      </c>
      <c r="AQ287" s="61">
        <v>0.7</v>
      </c>
      <c r="AR287" s="60" t="s">
        <v>78</v>
      </c>
      <c r="AS287" s="62">
        <v>60</v>
      </c>
      <c r="AT287" s="62">
        <v>0</v>
      </c>
      <c r="AU287" s="62">
        <v>60</v>
      </c>
      <c r="AV287" s="62">
        <v>75</v>
      </c>
      <c r="AW287" s="47" t="s">
        <v>107</v>
      </c>
      <c r="AX287" s="64"/>
      <c r="AY287" s="64" t="s">
        <v>6309</v>
      </c>
      <c r="BA287" s="64"/>
      <c r="BB287" s="64"/>
      <c r="BC287" s="64"/>
      <c r="BD287" s="46"/>
      <c r="BE287" s="46" t="e">
        <v>#REF!</v>
      </c>
      <c r="BF287" s="46" t="s">
        <v>75</v>
      </c>
      <c r="BG287" s="65">
        <v>4</v>
      </c>
      <c r="BH287" s="66" t="s">
        <v>6310</v>
      </c>
      <c r="BI287" s="63" t="s">
        <v>6311</v>
      </c>
    </row>
    <row r="288" spans="1:61" ht="102" x14ac:dyDescent="0.2">
      <c r="A288" s="45" t="s">
        <v>6312</v>
      </c>
      <c r="B288" s="46"/>
      <c r="C288" s="46" t="s">
        <v>6308</v>
      </c>
      <c r="D288" s="46" t="s">
        <v>4979</v>
      </c>
      <c r="E288" s="46" t="s">
        <v>68</v>
      </c>
      <c r="F288" s="46" t="s">
        <v>68</v>
      </c>
      <c r="G288" s="46" t="s">
        <v>68</v>
      </c>
      <c r="H288" s="46" t="s">
        <v>68</v>
      </c>
      <c r="I288" s="46" t="s">
        <v>454</v>
      </c>
      <c r="J288" s="46" t="s">
        <v>2996</v>
      </c>
      <c r="K288" s="47">
        <v>40</v>
      </c>
      <c r="L288" s="47">
        <v>20</v>
      </c>
      <c r="M288" s="47">
        <v>60</v>
      </c>
      <c r="N288" s="46"/>
      <c r="O288" s="71" t="s">
        <v>68</v>
      </c>
      <c r="P288" s="64"/>
      <c r="Q288" s="46" t="s">
        <v>5325</v>
      </c>
      <c r="R288" s="46" t="s">
        <v>6305</v>
      </c>
      <c r="S288" s="49">
        <v>15</v>
      </c>
      <c r="T288" s="49">
        <v>75</v>
      </c>
      <c r="U288" s="50">
        <v>3.3333333333333333E-2</v>
      </c>
      <c r="V288" s="67">
        <v>0.3</v>
      </c>
      <c r="W288" s="51">
        <v>0.5</v>
      </c>
      <c r="X288" s="52">
        <v>7.5</v>
      </c>
      <c r="Y288" s="52">
        <v>30</v>
      </c>
      <c r="Z288" s="52">
        <v>35</v>
      </c>
      <c r="AA288" s="52">
        <v>72.5</v>
      </c>
      <c r="AB288" s="53">
        <v>0.96666666666666667</v>
      </c>
      <c r="AC288" s="75">
        <v>2.5</v>
      </c>
      <c r="AD288" s="55">
        <v>3.3333333333333333E-2</v>
      </c>
      <c r="AE288" s="56">
        <v>2</v>
      </c>
      <c r="AF288" s="57" t="s">
        <v>72</v>
      </c>
      <c r="AG288" s="58">
        <v>20</v>
      </c>
      <c r="AH288" s="58">
        <v>20</v>
      </c>
      <c r="AI288" s="58">
        <v>40</v>
      </c>
      <c r="AJ288" s="49">
        <v>10</v>
      </c>
      <c r="AK288" s="49">
        <v>50</v>
      </c>
      <c r="AL288" s="52">
        <v>5</v>
      </c>
      <c r="AM288" s="52">
        <v>30</v>
      </c>
      <c r="AN288" s="52">
        <v>35</v>
      </c>
      <c r="AO288" s="59">
        <v>0.7</v>
      </c>
      <c r="AP288" s="60">
        <v>15</v>
      </c>
      <c r="AQ288" s="61">
        <v>0.3</v>
      </c>
      <c r="AR288" s="60" t="s">
        <v>78</v>
      </c>
      <c r="AS288" s="62">
        <v>60</v>
      </c>
      <c r="AT288" s="62">
        <v>30</v>
      </c>
      <c r="AU288" s="62">
        <v>90</v>
      </c>
      <c r="AV288" s="62">
        <v>112.5</v>
      </c>
      <c r="AW288" s="47" t="s">
        <v>107</v>
      </c>
      <c r="AX288" s="64"/>
      <c r="AY288" s="64" t="s">
        <v>6313</v>
      </c>
      <c r="BA288" s="64"/>
      <c r="BB288" s="64"/>
      <c r="BC288" s="64"/>
      <c r="BD288" s="46"/>
      <c r="BE288" s="46" t="e">
        <v>#REF!</v>
      </c>
      <c r="BF288" s="46" t="s">
        <v>75</v>
      </c>
      <c r="BG288" s="65">
        <v>4</v>
      </c>
      <c r="BH288" s="66" t="s">
        <v>6314</v>
      </c>
      <c r="BI288" s="63" t="s">
        <v>6315</v>
      </c>
    </row>
    <row r="289" spans="1:61" ht="102" x14ac:dyDescent="0.2">
      <c r="A289" s="45" t="s">
        <v>6316</v>
      </c>
      <c r="B289" s="46"/>
      <c r="C289" s="46" t="s">
        <v>6308</v>
      </c>
      <c r="D289" s="46" t="s">
        <v>4979</v>
      </c>
      <c r="E289" s="46" t="s">
        <v>68</v>
      </c>
      <c r="F289" s="46" t="s">
        <v>68</v>
      </c>
      <c r="G289" s="46" t="s">
        <v>68</v>
      </c>
      <c r="H289" s="46" t="s">
        <v>68</v>
      </c>
      <c r="I289" s="46" t="s">
        <v>445</v>
      </c>
      <c r="J289" s="46" t="s">
        <v>2996</v>
      </c>
      <c r="K289" s="47">
        <v>40</v>
      </c>
      <c r="L289" s="47">
        <v>35</v>
      </c>
      <c r="M289" s="47">
        <v>75</v>
      </c>
      <c r="N289" s="46"/>
      <c r="O289" s="71" t="s">
        <v>68</v>
      </c>
      <c r="P289" s="64"/>
      <c r="Q289" s="46" t="s">
        <v>5325</v>
      </c>
      <c r="R289" s="46" t="s">
        <v>6305</v>
      </c>
      <c r="S289" s="49">
        <v>18.75</v>
      </c>
      <c r="T289" s="49">
        <v>93.75</v>
      </c>
      <c r="U289" s="50">
        <v>6.6666666666666671E-3</v>
      </c>
      <c r="V289" s="50">
        <v>0.19090909090909092</v>
      </c>
      <c r="W289" s="51">
        <v>0.875</v>
      </c>
      <c r="X289" s="52">
        <v>9.375</v>
      </c>
      <c r="Y289" s="52">
        <v>30</v>
      </c>
      <c r="Z289" s="52">
        <v>53.75</v>
      </c>
      <c r="AA289" s="52">
        <v>93.125</v>
      </c>
      <c r="AB289" s="53">
        <v>0.99333333333333329</v>
      </c>
      <c r="AC289" s="75">
        <v>0.625</v>
      </c>
      <c r="AD289" s="55">
        <v>6.6666666666666671E-3</v>
      </c>
      <c r="AE289" s="56">
        <v>2</v>
      </c>
      <c r="AF289" s="57" t="s">
        <v>72</v>
      </c>
      <c r="AG289" s="58">
        <v>20</v>
      </c>
      <c r="AH289" s="58">
        <v>35</v>
      </c>
      <c r="AI289" s="58">
        <v>55</v>
      </c>
      <c r="AJ289" s="49">
        <v>13.75</v>
      </c>
      <c r="AK289" s="49">
        <v>68.75</v>
      </c>
      <c r="AL289" s="52">
        <v>6.875</v>
      </c>
      <c r="AM289" s="52">
        <v>48.75</v>
      </c>
      <c r="AN289" s="52">
        <v>55.625</v>
      </c>
      <c r="AO289" s="59">
        <v>0.80909090909090908</v>
      </c>
      <c r="AP289" s="60">
        <v>13.125</v>
      </c>
      <c r="AQ289" s="61">
        <v>0.19090909090909092</v>
      </c>
      <c r="AR289" s="60" t="s">
        <v>73</v>
      </c>
      <c r="AS289" s="62">
        <v>60</v>
      </c>
      <c r="AT289" s="62">
        <v>53</v>
      </c>
      <c r="AU289" s="62">
        <v>113</v>
      </c>
      <c r="AV289" s="62">
        <v>141.25</v>
      </c>
      <c r="AW289" s="47" t="s">
        <v>107</v>
      </c>
      <c r="AX289" s="64"/>
      <c r="AY289" s="64" t="s">
        <v>6317</v>
      </c>
      <c r="BA289" s="64"/>
      <c r="BB289" s="64"/>
      <c r="BC289" s="64"/>
      <c r="BD289" s="46"/>
      <c r="BE289" s="46" t="e">
        <v>#REF!</v>
      </c>
      <c r="BF289" s="46" t="s">
        <v>75</v>
      </c>
      <c r="BG289" s="65">
        <v>4</v>
      </c>
      <c r="BH289" s="66" t="s">
        <v>6318</v>
      </c>
      <c r="BI289" s="63" t="s">
        <v>6319</v>
      </c>
    </row>
    <row r="290" spans="1:61" ht="102" x14ac:dyDescent="0.2">
      <c r="A290" s="45" t="s">
        <v>6320</v>
      </c>
      <c r="B290" s="46"/>
      <c r="C290" s="46" t="s">
        <v>6308</v>
      </c>
      <c r="D290" s="46" t="s">
        <v>4979</v>
      </c>
      <c r="E290" s="46" t="s">
        <v>68</v>
      </c>
      <c r="F290" s="46" t="s">
        <v>68</v>
      </c>
      <c r="G290" s="46" t="s">
        <v>68</v>
      </c>
      <c r="H290" s="46" t="s">
        <v>68</v>
      </c>
      <c r="I290" s="46" t="s">
        <v>449</v>
      </c>
      <c r="J290" s="46" t="s">
        <v>2996</v>
      </c>
      <c r="K290" s="47">
        <v>40</v>
      </c>
      <c r="L290" s="47">
        <v>60</v>
      </c>
      <c r="M290" s="47">
        <v>100</v>
      </c>
      <c r="N290" s="46"/>
      <c r="O290" s="71" t="s">
        <v>68</v>
      </c>
      <c r="P290" s="64"/>
      <c r="Q290" s="46" t="s">
        <v>5325</v>
      </c>
      <c r="R290" s="46" t="s">
        <v>6305</v>
      </c>
      <c r="S290" s="49">
        <v>25</v>
      </c>
      <c r="T290" s="49">
        <v>125</v>
      </c>
      <c r="U290" s="28">
        <v>0.2</v>
      </c>
      <c r="V290" s="50">
        <v>0.1</v>
      </c>
      <c r="W290" s="74">
        <v>1.5</v>
      </c>
      <c r="X290" s="52">
        <v>12.5</v>
      </c>
      <c r="Y290" s="52">
        <v>30</v>
      </c>
      <c r="Z290" s="52">
        <v>85</v>
      </c>
      <c r="AA290" s="52">
        <v>127.5</v>
      </c>
      <c r="AB290" s="53">
        <v>1.02</v>
      </c>
      <c r="AC290" s="75">
        <v>25</v>
      </c>
      <c r="AD290" s="55">
        <v>0.2</v>
      </c>
      <c r="AE290" s="56">
        <v>2</v>
      </c>
      <c r="AF290" s="57" t="s">
        <v>72</v>
      </c>
      <c r="AG290" s="58">
        <v>20</v>
      </c>
      <c r="AH290" s="58">
        <v>60</v>
      </c>
      <c r="AI290" s="58">
        <v>80</v>
      </c>
      <c r="AJ290" s="49">
        <v>20</v>
      </c>
      <c r="AK290" s="49">
        <v>100</v>
      </c>
      <c r="AL290" s="52">
        <v>10</v>
      </c>
      <c r="AM290" s="52">
        <v>80</v>
      </c>
      <c r="AN290" s="52">
        <v>90</v>
      </c>
      <c r="AO290" s="59">
        <v>0.9</v>
      </c>
      <c r="AP290" s="60">
        <v>10</v>
      </c>
      <c r="AQ290" s="61">
        <v>0.1</v>
      </c>
      <c r="AR290" s="60" t="s">
        <v>73</v>
      </c>
      <c r="AS290" s="62">
        <v>60</v>
      </c>
      <c r="AT290" s="62">
        <v>90</v>
      </c>
      <c r="AU290" s="62">
        <v>150</v>
      </c>
      <c r="AV290" s="62">
        <v>187.5</v>
      </c>
      <c r="AW290" s="47" t="s">
        <v>107</v>
      </c>
      <c r="AX290" s="64"/>
      <c r="AY290" s="64" t="s">
        <v>6321</v>
      </c>
      <c r="BA290" s="64"/>
      <c r="BB290" s="64"/>
      <c r="BC290" s="64"/>
      <c r="BD290" s="46"/>
      <c r="BE290" s="46" t="e">
        <v>#REF!</v>
      </c>
      <c r="BF290" s="46" t="s">
        <v>75</v>
      </c>
      <c r="BG290" s="65">
        <v>4</v>
      </c>
      <c r="BH290" s="66" t="s">
        <v>6322</v>
      </c>
      <c r="BI290" s="63" t="s">
        <v>6323</v>
      </c>
    </row>
    <row r="291" spans="1:61" ht="12.75"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spans="1:61" ht="12.75"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spans="1:61" ht="12.75"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spans="1:61" ht="12.75"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spans="1:61" ht="12.75"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spans="1:61" ht="12.75"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spans="1:61" ht="12.75"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spans="1:61" ht="12.75"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spans="1:61" ht="12.75"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spans="1:61" ht="12.75"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spans="1:61" ht="12.75"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spans="1:61" ht="12.75"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spans="1:61" ht="12.75"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spans="1:61" ht="12.75"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spans="1:61" ht="12.75"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spans="1:61" ht="12.75"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spans="1:61" ht="12.75"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spans="1:61" ht="12.75"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spans="1:61" ht="12.75"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spans="1:61" ht="12.75"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spans="1:61" ht="12.75"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spans="1:61" ht="12.75"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spans="1:61" ht="12.75"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spans="1:61" ht="12.75"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spans="1:61" ht="12.75"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spans="1:61" ht="12.75"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spans="1:61" ht="12.75"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spans="1:61" ht="12.75"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spans="1:61" ht="12.75"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spans="1:61" ht="12.75"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spans="1:61" ht="12.75"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spans="1:61" ht="12.75"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spans="1:61" ht="12.75"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spans="1:61" ht="12.75"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spans="1:61" ht="12.75"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spans="1:61" ht="12.75"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spans="1:61" ht="12.75"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spans="1:61" ht="12.75"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spans="1:61" ht="12.75"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spans="1:61" ht="12.75"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spans="1:61" ht="12.75"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spans="1:61" ht="12.75"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spans="1:61" ht="12.75"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spans="1:61" ht="12.75"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spans="1:61" ht="12.75"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spans="1:61" ht="12.75"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spans="1:61" ht="12.75"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spans="1:61" ht="12.75"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spans="1:61" ht="12.75"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spans="1:61" ht="12.75"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spans="1:61" ht="12.75"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spans="1:61" ht="12.75"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spans="1:61" ht="12.75"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spans="1:61" ht="12.75"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spans="1:61" ht="12.75"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spans="1:61" ht="12.75"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spans="1:61" ht="12.75"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spans="1:61" ht="12.75"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spans="1:61" ht="12.75"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spans="1:61" ht="12.75"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spans="1:61" ht="12.75"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spans="1:61" ht="12.75"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spans="1:61" ht="12.75"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spans="1:61" ht="12.75"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spans="1:61" ht="12.75"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spans="1:61" ht="12.75"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spans="1:61" ht="12.75"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spans="1:61" ht="12.75"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spans="1:61" ht="12.75"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spans="1:61" ht="12.75"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spans="1:61" ht="12.75"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spans="1:61" ht="12.75"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spans="1:61" ht="12.75"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spans="1:61" ht="12.75"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spans="1:61" ht="12.75"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spans="1:61" ht="12.75"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spans="1:61" ht="12.75"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spans="1:61" ht="12.75"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spans="1:61" ht="12.75"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spans="1:61" ht="12.75"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spans="1:61" ht="12.75"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spans="1:61" ht="12.75"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spans="1:61" ht="12.75"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spans="1:61" ht="12.75"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spans="1:61" ht="12.75"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spans="1:61" ht="12.75"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spans="1:61" ht="12.75"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spans="1:61" ht="12.75"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spans="1:61" ht="12.75"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spans="1:61" ht="12.75"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spans="1:61" ht="12.75"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spans="1:61" ht="12.75"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spans="1:61" ht="12.75"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spans="1:61" ht="12.75"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spans="1:61" ht="12.75"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spans="1:61" ht="12.75"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spans="1:61" ht="12.75"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spans="1:61" ht="12.75"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spans="1:61" ht="12.75"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spans="1:61" ht="12.75"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spans="1:61" ht="12.75"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spans="1:61" ht="12.75"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spans="1:61" ht="12.75"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spans="1:61" ht="12.75"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spans="1:61" ht="12.75"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spans="1:61" ht="12.75"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spans="1:61" ht="12.75"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spans="1:61" ht="12.75"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spans="1:61" ht="12.75"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spans="1:61" ht="12.75"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spans="1:61" ht="12.75"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spans="1:61" ht="12.75"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spans="1:61" ht="12.75"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spans="1:61" ht="12.75"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spans="1:61" ht="12.75"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spans="1:61" ht="12.75"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spans="1:61" ht="12.75"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spans="1:61" ht="12.75"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spans="1:61" ht="12.75"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spans="1:61" ht="12.75"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spans="1:61" ht="12.75"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spans="1:61" ht="12.75"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spans="1:61" ht="12.75"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spans="1:61" ht="12.75"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spans="1:61" ht="12.75"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spans="1:61" ht="12.75"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spans="1:61" ht="12.75"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spans="1:61" ht="12.75"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spans="1:61" ht="12.75"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spans="1:61" ht="12.75"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spans="1:61" ht="12.75"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spans="1:61" ht="12.75"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spans="1:61" ht="12.75"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spans="1:61" ht="12.75"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spans="1:61" ht="12.75"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spans="1:61" ht="12.75"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spans="1:61" ht="12.75"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spans="1:61" ht="12.75"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spans="1:61" ht="12.75"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spans="1:61" ht="12.75"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spans="1:61" ht="12.75"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spans="1:61" ht="12.75"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spans="1:61" ht="12.75"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spans="1:61" ht="12.75"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spans="1:61" ht="12.75"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spans="1:61" ht="12.75"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spans="1:61" ht="12.75"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spans="1:61" ht="12.75"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spans="1:61" ht="12.75"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spans="1:61" ht="12.75"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spans="1:61" ht="12.75"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spans="1:61" ht="12.75"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spans="1:61" ht="12.75"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spans="1:61" ht="12.75"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spans="1:61" ht="12.75"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spans="1:61" ht="12.75"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spans="1:61" ht="12.75"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spans="1:61" ht="12.75"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spans="1:61" ht="12.75"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spans="1:61" ht="12.75"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spans="1:61" ht="12.75"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spans="1:61" ht="12.75"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spans="1:61" ht="12.75"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spans="1:61" ht="12.75"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spans="1:61" ht="12.75"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spans="1:61" ht="12.75"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spans="1:61" ht="12.75"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spans="1:61" ht="12.75"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spans="1:61" ht="12.75"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spans="1:61" ht="12.75"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spans="1:61" ht="12.75"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spans="1:61" ht="12.75"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spans="1:61" ht="12.75"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spans="1:61" ht="12.75"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spans="1:61" ht="12.75"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spans="1:61" ht="12.75"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spans="1:61" ht="12.75"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spans="1:61" ht="12.75"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spans="1:61" ht="12.75"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spans="1:61" ht="12.75"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spans="1:61" ht="12.75"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spans="1:61" ht="12.75"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spans="1:61" ht="12.75"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spans="1:61" ht="12.75"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spans="1:61" ht="12.75"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spans="1:61" ht="12.75"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spans="1:61" ht="12.75"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spans="1:61" ht="12.75"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spans="1:61" ht="12.75"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spans="1:61" ht="12.75"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spans="1:61" ht="12.75"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spans="1:61" ht="12.75"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spans="1:61" ht="12.75"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spans="1:61" ht="12.75"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spans="1:61" ht="12.75"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spans="1:61" ht="12.75"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spans="1:61" ht="12.75"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spans="1:61" ht="12.75"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spans="1:61" ht="12.75"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spans="1:61" ht="12.75"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spans="1:61" ht="12.75"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spans="1:61" ht="12.75"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spans="1:61" ht="12.75"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spans="1:61" ht="12.75"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spans="1:61" ht="12.75"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spans="1:61" ht="12.75"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spans="1:61" ht="12.75"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spans="1:61" ht="12.75"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spans="1:61" ht="12.75"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spans="1:61" ht="12.75"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spans="1:61" ht="12.75"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spans="1:61" ht="12.75"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spans="1:61" ht="12.75"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spans="1:61" ht="12.75"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spans="1:61" ht="12.75"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spans="1:61" ht="12.75"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spans="1:61" ht="12.75"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spans="1:61" ht="12.75"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spans="1:61" ht="12.75"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spans="1:61" ht="12.75"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spans="1:61" ht="12.75"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spans="1:61" ht="12.75"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spans="1:61" ht="12.75"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spans="1:61" ht="12.75"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spans="1:61" ht="12.75"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spans="1:61" ht="12.75"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spans="1:61" ht="12.75"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spans="1:61" ht="12.75"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spans="1:61" ht="12.75"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spans="1:61" ht="12.75"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spans="1:61" ht="12.75"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spans="1:61" ht="12.75"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spans="1:61" ht="12.75"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spans="1:61" ht="12.75"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spans="1:61" ht="12.75"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spans="1:61" ht="12.75"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spans="1:61" ht="12.75"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spans="1:61" ht="12.75"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spans="1:61" ht="12.75"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spans="1:61" ht="12.75"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spans="1:61" ht="12.75"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spans="1:61" ht="12.75"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spans="1:61" ht="12.75"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spans="1:61" ht="12.75"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spans="1:61" ht="12.75"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spans="1:61" ht="12.75"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spans="1:61" ht="12.75"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spans="1:61" ht="12.75"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spans="1:61" ht="12.75"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spans="1:61" ht="12.75"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spans="1:61" ht="12.75"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spans="1:61" ht="12.75"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spans="1:61" ht="12.75"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spans="1:61" ht="12.75"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spans="1:61" ht="12.75"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spans="1:61" ht="12.75"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spans="1:61" ht="12.75"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spans="1:61" ht="12.75"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spans="1:61" ht="12.75"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spans="1:61" ht="12.75"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spans="1:61" ht="12.75"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spans="1:61" ht="12.75"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spans="1:61" ht="12.75"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spans="1:61" ht="12.75"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spans="1:61" ht="12.75"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spans="1:61" ht="12.75"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spans="1:61" ht="12.75"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spans="1:61" ht="12.75"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spans="1:61" ht="12.75"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spans="1:61" ht="12.75"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spans="1:61" ht="12.75"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spans="1:61" ht="12.75"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spans="1:61" ht="12.75"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spans="1:61" ht="12.75"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spans="1:61" ht="12.75"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spans="1:61" ht="12.75"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spans="1:61" ht="12.75"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spans="1:61" ht="12.75"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spans="1:61" ht="12.75"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spans="1:61" ht="12.75"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spans="1:61" ht="12.75"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spans="1:61" ht="12.75"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spans="1:61" ht="12.75"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spans="1:61" ht="12.75"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spans="1:61" ht="12.75"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spans="1:61" ht="12.75"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spans="1:61" ht="12.75"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spans="1:61" ht="12.75"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spans="1:61" ht="12.75"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spans="1:61" ht="12.75"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spans="1:61" ht="12.75"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spans="1:61" ht="12.75"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spans="1:61" ht="12.75"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spans="1:61" ht="12.75"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spans="1:61" ht="12.75"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spans="1:61" ht="12.75"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spans="1:61" ht="12.75"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spans="1:61" ht="12.75"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spans="1:61" ht="12.75"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spans="1:61" ht="12.75"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spans="1:61" ht="12.75"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spans="1:61" ht="12.75"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spans="1:61" ht="12.75"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spans="1:61" ht="12.75"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spans="1:61" ht="12.75"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spans="1:61" ht="12.75"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spans="1:61" ht="12.75"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spans="1:61" ht="12.75"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spans="1:61" ht="12.75"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spans="1:61" ht="12.75"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spans="1:61" ht="12.75"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spans="1:61" ht="12.75"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spans="1:61" ht="12.75"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spans="1:61" ht="12.75"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spans="1:61" ht="12.75"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spans="1:61" ht="12.75"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spans="1:61" ht="12.75"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spans="1:61" ht="12.75"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spans="1:61" ht="12.75"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spans="1:61" ht="12.75"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spans="1:61" ht="12.75"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spans="1:61" ht="12.75"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spans="1:61" ht="12.75"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spans="1:61" ht="12.75"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spans="1:61" ht="12.75"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spans="1:61" ht="12.75"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spans="1:61" ht="12.75"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spans="1:61" ht="12.75"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spans="1:61" ht="12.75"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spans="1:61" ht="12.75"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spans="1:61" ht="12.75"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spans="1:61" ht="12.75"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spans="1:61" ht="12.75"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spans="1:61" ht="12.75"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spans="1:61" ht="12.75"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spans="1:61" ht="12.75"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spans="1:61" ht="12.75"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spans="1:61" ht="12.75"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spans="1:61" ht="12.75"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spans="1:61" ht="12.75"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spans="1:61" ht="12.75"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spans="1:61" ht="12.75"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spans="1:61" ht="12.75"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spans="1:61" ht="12.75"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spans="1:61" ht="12.75"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spans="1:61" ht="12.75"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spans="1:61" ht="12.75"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spans="1:61" ht="12.75"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spans="1:61" ht="12.75"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spans="1:61" ht="12.75"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spans="1:61" ht="12.75"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spans="1:61" ht="12.75"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spans="1:61" ht="12.75"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spans="1:61" ht="12.75"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spans="1:61" ht="12.75"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spans="1:61" ht="12.75"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spans="1:61" ht="12.75"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spans="1:61" ht="12.75"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spans="1:61" ht="12.75"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spans="1:61" ht="12.75"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spans="1:61" ht="12.75"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spans="1:61" ht="12.75"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spans="1:61" ht="12.75"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spans="1:61" ht="12.75"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spans="1:61" ht="12.75"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spans="1:61" ht="12.75"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spans="1:61" ht="12.75"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spans="1:61" ht="12.75"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spans="1:61" ht="12.75"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spans="1:61" ht="12.75"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spans="1:61" ht="12.75"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spans="1:61" ht="12.75"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spans="1:61" ht="12.75"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spans="1:61" ht="12.75"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spans="1:61" ht="12.75"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spans="1:61" ht="12.75"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spans="1:61" ht="12.75"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spans="1:61" ht="12.75"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spans="1:61" ht="12.75"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spans="1:61" ht="12.75"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spans="1:61" ht="12.75"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spans="1:61" ht="12.75"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spans="1:61" ht="12.75"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spans="1:61" ht="12.75"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spans="1:61" ht="12.75"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spans="1:61" ht="12.75"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spans="1:61" ht="12.75"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spans="1:61" ht="12.75"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spans="1:61" ht="12.75"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spans="1:61" ht="12.75"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spans="1:61" ht="12.75"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spans="1:61" ht="12.75"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spans="1:61" ht="12.75"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spans="1:61" ht="12.75"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spans="1:61" ht="12.75"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spans="1:61" ht="12.75"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spans="1:61" ht="12.75"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spans="1:61" ht="12.75"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spans="1:61" ht="12.75"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spans="1:61" ht="12.75"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spans="1:61" ht="12.75"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spans="1:61" ht="12.75"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spans="1:61" ht="12.75"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spans="1:61" ht="12.75"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spans="1:61" ht="12.75"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spans="1:61" ht="12.75"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spans="1:61" ht="12.75"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spans="1:61" ht="12.75"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spans="1:61" ht="12.75"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spans="1:61" ht="12.75"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spans="1:61" ht="12.75"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spans="1:61" ht="12.75"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spans="1:61" ht="12.75"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spans="1:61" ht="12.75"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spans="1:61" ht="12.75"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spans="1:61" ht="12.75"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spans="1:61" ht="12.75"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spans="1:61" ht="12.75"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spans="1:61" ht="12.75"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spans="1:61" ht="12.75"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spans="1:61" ht="12.75"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spans="1:61" ht="12.75"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spans="1:61" ht="12.75"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spans="1:61" ht="12.75"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spans="1:61" ht="12.75"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spans="1:61" ht="12.75"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spans="1:61" ht="12.75"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spans="1:61" ht="12.75"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spans="1:61" ht="12.75"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spans="1:61" ht="12.75"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spans="1:61" ht="12.75"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spans="1:61" ht="12.75"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spans="1:61" ht="12.75"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spans="1:61" ht="12.75"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spans="1:61" ht="12.75"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spans="1:61" ht="12.75"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spans="1:61" ht="12.75"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spans="1:61" ht="12.75"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spans="1:61" ht="12.75"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spans="1:61" ht="12.75"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spans="1:61" ht="12.75"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spans="1:61" ht="12.75"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spans="1:61" ht="12.75"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spans="1:61" ht="12.75"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spans="1:61" ht="12.75"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spans="1:61" ht="12.75"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spans="1:61" ht="12.75"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spans="1:61" ht="12.75"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spans="1:61" ht="12.75"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spans="1:61" ht="12.75"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spans="1:61" ht="12.75"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spans="1:61" ht="12.75"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spans="1:61" ht="12.75"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spans="1:61" ht="12.75"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spans="1:61" ht="12.75"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spans="1:61" ht="12.75"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spans="1:61" ht="12.75"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spans="1:61" ht="12.75"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spans="1:61" ht="12.75"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spans="1:61" ht="12.75"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spans="1:61" ht="12.75"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spans="1:61" ht="12.75"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spans="1:61" ht="12.75"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spans="1:61" ht="12.75"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spans="1:61" ht="12.75"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spans="1:61" ht="12.75"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spans="1:61" ht="12.75"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spans="1:61" ht="12.75"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spans="1:61" ht="12.75"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spans="1:61" ht="12.75"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spans="1:61" ht="12.75"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spans="1:61" ht="12.75"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spans="1:61" ht="12.75"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spans="1:61" ht="12.75"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spans="1:61" ht="12.75"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spans="1:61" ht="12.75"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spans="1:61" ht="12.75"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spans="1:61" ht="12.75"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spans="1:61" ht="12.75"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spans="1:61" ht="12.75"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spans="1:61" ht="12.75"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spans="1:61" ht="12.75"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spans="1:61" ht="12.75"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spans="1:61" ht="12.75"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spans="1:61" ht="12.75"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spans="1:61" ht="12.75"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spans="1:61" ht="12.75"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spans="1:61" ht="12.75"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spans="1:61" ht="12.75"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spans="1:61" ht="12.75"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spans="1:61" ht="12.75"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spans="1:61" ht="12.75"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spans="1:61" ht="12.75"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spans="1:61" ht="12.75"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spans="1:61" ht="12.75"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spans="1:61" ht="12.75"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spans="1:61" ht="12.75"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spans="1:61" ht="12.75"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spans="1:61" ht="12.75"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spans="1:61" ht="12.75"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spans="1:61" ht="12.75"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spans="1:61" ht="12.75"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spans="1:61" ht="12.75"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spans="1:61" ht="12.75"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spans="1:61" ht="12.75"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spans="1:61" ht="12.75"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spans="1:61" ht="12.75"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spans="1:61" ht="12.75"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spans="1:61" ht="12.75"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spans="1:61" ht="12.75"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spans="1:61" ht="12.75"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spans="1:61" ht="12.75"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spans="1:61" ht="12.75"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spans="1:61" ht="12.75"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spans="1:61" ht="12.75"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spans="1:61" ht="12.75"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spans="1:61" ht="12.75"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spans="1:61" ht="12.75"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spans="1:61" ht="12.75"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spans="1:61" ht="12.75"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spans="1:61" ht="12.75"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spans="1:61" ht="12.75"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spans="1:61" ht="12.75"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spans="1:61" ht="12.75"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spans="1:61" ht="12.75"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spans="1:61" ht="12.75"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spans="1:61" ht="12.75"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spans="1:61" ht="12.75"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spans="1:61" ht="12.75"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spans="1:61" ht="12.75"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spans="1:61" ht="12.75"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spans="1:61" ht="12.75"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spans="1:61" ht="12.75"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spans="1:61" ht="12.75"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spans="1:61" ht="12.75"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spans="1:61" ht="12.75"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spans="1:61" ht="12.75"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spans="1:61" ht="12.75"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spans="1:61" ht="12.75"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spans="1:61" ht="12.75"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spans="1:61" ht="12.75"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spans="1:61" ht="12.75"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spans="1:61" ht="12.75"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spans="1:61" ht="12.75"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spans="1:61" ht="12.75"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spans="1:61" ht="12.75"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spans="1:61" ht="12.75"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spans="1:61" ht="12.75"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spans="1:61" ht="12.75"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spans="1:61" ht="12.75"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spans="1:61" ht="12.75"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spans="1:61" ht="12.75"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spans="1:61" ht="12.75"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spans="1:61" ht="12.75"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spans="1:61" ht="12.75"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spans="1:61" ht="12.75"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spans="1:61" ht="12.75"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spans="1:61" ht="12.75"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spans="1:61" ht="12.75"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spans="1:61" ht="12.75"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spans="1:61" ht="12.75"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spans="1:61" ht="12.75"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spans="1:61" ht="12.75"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spans="1:61" ht="12.75"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spans="1:61" ht="12.75"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spans="1:61" ht="12.75"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spans="1:61" ht="12.75"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spans="1:61" ht="12.75"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spans="1:61" ht="12.75"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spans="1:61" ht="12.75"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spans="1:61" ht="12.75"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spans="1:61" ht="12.75"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spans="1:61" ht="12.75"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spans="1:61" ht="12.75"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spans="1:61" ht="12.75"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spans="1:61" ht="12.75"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spans="1:61" ht="12.75"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spans="1:61" ht="12.75"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spans="1:61" ht="12.75"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spans="1:61" ht="12.75"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spans="1:61" ht="12.75"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spans="1:61" ht="12.75"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spans="1:61" ht="12.75"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spans="1:61" ht="12.75"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spans="1:61" ht="12.75"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spans="1:61" ht="12.75"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spans="1:61" ht="12.75"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spans="1:61" ht="12.75"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spans="1:61" ht="12.75"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spans="1:61" ht="12.75"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spans="1:61" ht="12.75"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spans="1:61" ht="12.75"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spans="1:61" ht="12.75"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spans="1:61" ht="12.75"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spans="1:61" ht="12.75"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spans="1:61" ht="12.75"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spans="1:61" ht="12.75"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spans="1:61" ht="12.75"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spans="1:61" ht="12.75"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spans="1:61" ht="12.75"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spans="1:61" ht="12.75"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spans="1:61" ht="12.75"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spans="1:61" ht="12.75"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spans="1:61" ht="12.75"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spans="1:61" ht="12.75"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spans="1:61" ht="12.75"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spans="1:61" ht="12.75"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spans="1:61" ht="12.75"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spans="1:61" ht="12.75"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spans="1:61" ht="12.75"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spans="1:61" ht="12.75"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spans="1:61" ht="12.75"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spans="1:61" ht="12.75"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spans="1:61" ht="12.75"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spans="1:61" ht="12.75"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spans="1:61" ht="12.75"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spans="1:61" ht="12.75"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spans="1:61" ht="12.75"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spans="1:61" ht="12.75"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spans="1:61" ht="12.75"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spans="1:61" ht="12.75"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spans="1:61" ht="12.75"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spans="1:61" ht="12.75"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spans="1:61" ht="12.75"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spans="1:61" ht="12.75"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spans="1:61" ht="12.75"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spans="1:61" ht="12.75"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spans="1:61" ht="12.75"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spans="1:61" ht="12.75"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spans="1:61" ht="12.75"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spans="1:61" ht="12.75"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spans="1:61" ht="12.75"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spans="1:61" ht="12.75"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spans="1:61" ht="12.75"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spans="1:61" ht="12.75"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spans="1:61" ht="12.75"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spans="1:61" ht="12.75"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spans="1:61" ht="12.75"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spans="1:61" ht="12.75"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spans="1:61" ht="12.75"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spans="1:61" ht="12.75"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spans="1:61" ht="12.75"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spans="1:61" ht="12.75"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spans="1:61" ht="12.75"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spans="1:61" ht="12.75"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spans="1:61" ht="12.75"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spans="1:61" ht="12.75"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spans="1:61" ht="12.75"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spans="1:61" ht="12.75"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spans="1:61" ht="12.75"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spans="1:61" ht="12.75"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spans="1:61" ht="12.75"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spans="1:61" ht="12.75"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spans="1:61" ht="12.75"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spans="1:61" ht="12.75"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spans="1:61" ht="12.75"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spans="1:61" ht="12.75"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spans="1:61" ht="12.75"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spans="1:61" ht="12.75"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spans="1:61" ht="12.75"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spans="1:61" ht="12.75"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spans="1:61" ht="12.75"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spans="1:61" ht="12.75"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spans="1:61" ht="12.75"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spans="1:61" ht="12.75"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spans="1:61" ht="12.75"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spans="1:61" ht="12.75"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spans="1:61" ht="12.75"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spans="1:61" ht="12.75"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spans="1:61" ht="12.75"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spans="1:61" ht="12.75"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spans="1:61" ht="12.75"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spans="1:61" ht="12.75"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spans="1:61" ht="12.75"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spans="1:61" ht="12.75"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spans="1:61" ht="12.75"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spans="1:61" ht="12.75"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spans="1:61" ht="12.75"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spans="1:61" ht="12.75"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spans="1:61" ht="12.75"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spans="1:61" ht="12.75"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spans="1:61" ht="12.75"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spans="1:61" ht="12.75"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spans="1:61" ht="12.75"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spans="1:61" ht="12.75"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spans="1:61" ht="12.75"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spans="1:61" ht="12.75"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spans="1:61" ht="12.75"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spans="1:61" ht="12.75"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spans="1:61" ht="12.75"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spans="1:61" ht="12.75"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spans="1:61" ht="12.75"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spans="1:61" ht="12.75"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spans="1:61" ht="12.75"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spans="1:61" ht="12.75"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spans="1:61" ht="12.75"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spans="1:61" ht="12.75"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spans="1:61" ht="12.75"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spans="1:61" ht="12.75"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spans="1:61" ht="12.75"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spans="1:61" ht="12.75"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spans="1:61" ht="12.75"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spans="1:61" ht="12.75"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spans="1:61" ht="12.75"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spans="1:61" ht="12.75"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spans="1:61" ht="12.75"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spans="1:61" ht="12.75"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spans="1:61" ht="12.75"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spans="1:61" ht="12.75"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spans="1:61" ht="12.75"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row r="1001" spans="1:61" ht="12.75"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c r="AS1001" s="86"/>
      <c r="AT1001" s="86"/>
      <c r="AU1001" s="86"/>
      <c r="AV1001" s="86"/>
      <c r="AW1001" s="86"/>
      <c r="AX1001" s="86"/>
      <c r="AY1001" s="86"/>
      <c r="AZ1001" s="86"/>
      <c r="BA1001" s="86"/>
      <c r="BB1001" s="86"/>
      <c r="BC1001" s="86"/>
      <c r="BD1001" s="86"/>
      <c r="BE1001" s="86"/>
      <c r="BF1001" s="86"/>
      <c r="BG1001" s="86"/>
      <c r="BH1001" s="86"/>
      <c r="BI1001" s="86"/>
    </row>
    <row r="1002" spans="1:61" ht="12.75"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c r="AS1002" s="86"/>
      <c r="AT1002" s="86"/>
      <c r="AU1002" s="86"/>
      <c r="AV1002" s="86"/>
      <c r="AW1002" s="86"/>
      <c r="AX1002" s="86"/>
      <c r="AY1002" s="86"/>
      <c r="AZ1002" s="86"/>
      <c r="BA1002" s="86"/>
      <c r="BB1002" s="86"/>
      <c r="BC1002" s="86"/>
      <c r="BD1002" s="86"/>
      <c r="BE1002" s="86"/>
      <c r="BF1002" s="86"/>
      <c r="BG1002" s="86"/>
      <c r="BH1002" s="86"/>
      <c r="BI1002" s="86"/>
    </row>
    <row r="1003" spans="1:61" ht="12.75"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c r="AS1003" s="86"/>
      <c r="AT1003" s="86"/>
      <c r="AU1003" s="86"/>
      <c r="AV1003" s="86"/>
      <c r="AW1003" s="86"/>
      <c r="AX1003" s="86"/>
      <c r="AY1003" s="86"/>
      <c r="AZ1003" s="86"/>
      <c r="BA1003" s="86"/>
      <c r="BB1003" s="86"/>
      <c r="BC1003" s="86"/>
      <c r="BD1003" s="86"/>
      <c r="BE1003" s="86"/>
      <c r="BF1003" s="86"/>
      <c r="BG1003" s="86"/>
      <c r="BH1003" s="86"/>
      <c r="BI1003" s="86"/>
    </row>
    <row r="1004" spans="1:61" ht="12.75"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c r="AS1004" s="86"/>
      <c r="AT1004" s="86"/>
      <c r="AU1004" s="86"/>
      <c r="AV1004" s="86"/>
      <c r="AW1004" s="86"/>
      <c r="AX1004" s="86"/>
      <c r="AY1004" s="86"/>
      <c r="AZ1004" s="86"/>
      <c r="BA1004" s="86"/>
      <c r="BB1004" s="86"/>
      <c r="BC1004" s="86"/>
      <c r="BD1004" s="86"/>
      <c r="BE1004" s="86"/>
      <c r="BF1004" s="86"/>
      <c r="BG1004" s="86"/>
      <c r="BH1004" s="86"/>
      <c r="BI1004" s="86"/>
    </row>
    <row r="1005" spans="1:61" ht="12.75"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c r="AS1005" s="86"/>
      <c r="AT1005" s="86"/>
      <c r="AU1005" s="86"/>
      <c r="AV1005" s="86"/>
      <c r="AW1005" s="86"/>
      <c r="AX1005" s="86"/>
      <c r="AY1005" s="86"/>
      <c r="AZ1005" s="86"/>
      <c r="BA1005" s="86"/>
      <c r="BB1005" s="86"/>
      <c r="BC1005" s="86"/>
      <c r="BD1005" s="86"/>
      <c r="BE1005" s="86"/>
      <c r="BF1005" s="86"/>
      <c r="BG1005" s="86"/>
      <c r="BH1005" s="86"/>
      <c r="BI1005" s="86"/>
    </row>
    <row r="1006" spans="1:61" ht="12.75"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c r="AA1006" s="86"/>
      <c r="AB1006" s="86"/>
      <c r="AC1006" s="86"/>
      <c r="AD1006" s="86"/>
      <c r="AE1006" s="86"/>
      <c r="AF1006" s="86"/>
      <c r="AG1006" s="86"/>
      <c r="AH1006" s="86"/>
      <c r="AI1006" s="86"/>
      <c r="AJ1006" s="86"/>
      <c r="AK1006" s="86"/>
      <c r="AL1006" s="86"/>
      <c r="AM1006" s="86"/>
      <c r="AN1006" s="86"/>
      <c r="AO1006" s="86"/>
      <c r="AP1006" s="86"/>
      <c r="AQ1006" s="86"/>
      <c r="AR1006" s="86"/>
      <c r="AS1006" s="86"/>
      <c r="AT1006" s="86"/>
      <c r="AU1006" s="86"/>
      <c r="AV1006" s="86"/>
      <c r="AW1006" s="86"/>
      <c r="AX1006" s="86"/>
      <c r="AY1006" s="86"/>
      <c r="AZ1006" s="86"/>
      <c r="BA1006" s="86"/>
      <c r="BB1006" s="86"/>
      <c r="BC1006" s="86"/>
      <c r="BD1006" s="86"/>
      <c r="BE1006" s="86"/>
      <c r="BF1006" s="86"/>
      <c r="BG1006" s="86"/>
      <c r="BH1006" s="86"/>
      <c r="BI1006" s="86"/>
    </row>
    <row r="1007" spans="1:61" ht="12.75" x14ac:dyDescent="0.2">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c r="AC1007" s="86"/>
      <c r="AD1007" s="86"/>
      <c r="AE1007" s="86"/>
      <c r="AF1007" s="86"/>
      <c r="AG1007" s="86"/>
      <c r="AH1007" s="86"/>
      <c r="AI1007" s="86"/>
      <c r="AJ1007" s="86"/>
      <c r="AK1007" s="86"/>
      <c r="AL1007" s="86"/>
      <c r="AM1007" s="86"/>
      <c r="AN1007" s="86"/>
      <c r="AO1007" s="86"/>
      <c r="AP1007" s="86"/>
      <c r="AQ1007" s="86"/>
      <c r="AR1007" s="86"/>
      <c r="AS1007" s="86"/>
      <c r="AT1007" s="86"/>
      <c r="AU1007" s="86"/>
      <c r="AV1007" s="86"/>
      <c r="AW1007" s="86"/>
      <c r="AX1007" s="86"/>
      <c r="AY1007" s="86"/>
      <c r="AZ1007" s="86"/>
      <c r="BA1007" s="86"/>
      <c r="BB1007" s="86"/>
      <c r="BC1007" s="86"/>
      <c r="BD1007" s="86"/>
      <c r="BE1007" s="86"/>
      <c r="BF1007" s="86"/>
      <c r="BG1007" s="86"/>
      <c r="BH1007" s="86"/>
      <c r="BI1007" s="86"/>
    </row>
    <row r="1008" spans="1:61" ht="12.75" x14ac:dyDescent="0.2">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c r="AA1008" s="86"/>
      <c r="AB1008" s="86"/>
      <c r="AC1008" s="86"/>
      <c r="AD1008" s="86"/>
      <c r="AE1008" s="86"/>
      <c r="AF1008" s="86"/>
      <c r="AG1008" s="86"/>
      <c r="AH1008" s="86"/>
      <c r="AI1008" s="86"/>
      <c r="AJ1008" s="86"/>
      <c r="AK1008" s="86"/>
      <c r="AL1008" s="86"/>
      <c r="AM1008" s="86"/>
      <c r="AN1008" s="86"/>
      <c r="AO1008" s="86"/>
      <c r="AP1008" s="86"/>
      <c r="AQ1008" s="86"/>
      <c r="AR1008" s="86"/>
      <c r="AS1008" s="86"/>
      <c r="AT1008" s="86"/>
      <c r="AU1008" s="86"/>
      <c r="AV1008" s="86"/>
      <c r="AW1008" s="86"/>
      <c r="AX1008" s="86"/>
      <c r="AY1008" s="86"/>
      <c r="AZ1008" s="86"/>
      <c r="BA1008" s="86"/>
      <c r="BB1008" s="86"/>
      <c r="BC1008" s="86"/>
      <c r="BD1008" s="86"/>
      <c r="BE1008" s="86"/>
      <c r="BF1008" s="86"/>
      <c r="BG1008" s="86"/>
      <c r="BH1008" s="86"/>
      <c r="BI1008" s="86"/>
    </row>
    <row r="1009" spans="1:61" ht="12.75" x14ac:dyDescent="0.2">
      <c r="A1009" s="86"/>
      <c r="B1009" s="86"/>
      <c r="C1009" s="86"/>
      <c r="D1009" s="86"/>
      <c r="E1009" s="86"/>
      <c r="F1009" s="86"/>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c r="AC1009" s="86"/>
      <c r="AD1009" s="86"/>
      <c r="AE1009" s="86"/>
      <c r="AF1009" s="86"/>
      <c r="AG1009" s="86"/>
      <c r="AH1009" s="86"/>
      <c r="AI1009" s="86"/>
      <c r="AJ1009" s="86"/>
      <c r="AK1009" s="86"/>
      <c r="AL1009" s="86"/>
      <c r="AM1009" s="86"/>
      <c r="AN1009" s="86"/>
      <c r="AO1009" s="86"/>
      <c r="AP1009" s="86"/>
      <c r="AQ1009" s="86"/>
      <c r="AR1009" s="86"/>
      <c r="AS1009" s="86"/>
      <c r="AT1009" s="86"/>
      <c r="AU1009" s="86"/>
      <c r="AV1009" s="86"/>
      <c r="AW1009" s="86"/>
      <c r="AX1009" s="86"/>
      <c r="AY1009" s="86"/>
      <c r="AZ1009" s="86"/>
      <c r="BA1009" s="86"/>
      <c r="BB1009" s="86"/>
      <c r="BC1009" s="86"/>
      <c r="BD1009" s="86"/>
      <c r="BE1009" s="86"/>
      <c r="BF1009" s="86"/>
      <c r="BG1009" s="86"/>
      <c r="BH1009" s="86"/>
      <c r="BI1009" s="86"/>
    </row>
    <row r="1010" spans="1:61" ht="12.75" x14ac:dyDescent="0.2">
      <c r="A1010" s="86"/>
      <c r="B1010" s="86"/>
      <c r="C1010" s="86"/>
      <c r="D1010" s="86"/>
      <c r="E1010" s="86"/>
      <c r="F1010" s="86"/>
      <c r="G1010" s="86"/>
      <c r="H1010" s="86"/>
      <c r="I1010" s="86"/>
      <c r="J1010" s="86"/>
      <c r="K1010" s="86"/>
      <c r="L1010" s="86"/>
      <c r="M1010" s="86"/>
      <c r="N1010" s="86"/>
      <c r="O1010" s="86"/>
      <c r="P1010" s="86"/>
      <c r="Q1010" s="86"/>
      <c r="R1010" s="86"/>
      <c r="S1010" s="86"/>
      <c r="T1010" s="86"/>
      <c r="U1010" s="86"/>
      <c r="V1010" s="86"/>
      <c r="W1010" s="86"/>
      <c r="X1010" s="86"/>
      <c r="Y1010" s="86"/>
      <c r="Z1010" s="86"/>
      <c r="AA1010" s="86"/>
      <c r="AB1010" s="86"/>
      <c r="AC1010" s="86"/>
      <c r="AD1010" s="86"/>
      <c r="AE1010" s="86"/>
      <c r="AF1010" s="86"/>
      <c r="AG1010" s="86"/>
      <c r="AH1010" s="86"/>
      <c r="AI1010" s="86"/>
      <c r="AJ1010" s="86"/>
      <c r="AK1010" s="86"/>
      <c r="AL1010" s="86"/>
      <c r="AM1010" s="86"/>
      <c r="AN1010" s="86"/>
      <c r="AO1010" s="86"/>
      <c r="AP1010" s="86"/>
      <c r="AQ1010" s="86"/>
      <c r="AR1010" s="86"/>
      <c r="AS1010" s="86"/>
      <c r="AT1010" s="86"/>
      <c r="AU1010" s="86"/>
      <c r="AV1010" s="86"/>
      <c r="AW1010" s="86"/>
      <c r="AX1010" s="86"/>
      <c r="AY1010" s="86"/>
      <c r="AZ1010" s="86"/>
      <c r="BA1010" s="86"/>
      <c r="BB1010" s="86"/>
      <c r="BC1010" s="86"/>
      <c r="BD1010" s="86"/>
      <c r="BE1010" s="86"/>
      <c r="BF1010" s="86"/>
      <c r="BG1010" s="86"/>
      <c r="BH1010" s="86"/>
      <c r="BI1010" s="86"/>
    </row>
    <row r="1011" spans="1:61" ht="12.75" x14ac:dyDescent="0.2">
      <c r="A1011" s="86"/>
      <c r="B1011" s="86"/>
      <c r="C1011" s="86"/>
      <c r="D1011" s="86"/>
      <c r="E1011" s="86"/>
      <c r="F1011" s="86"/>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c r="AC1011" s="86"/>
      <c r="AD1011" s="86"/>
      <c r="AE1011" s="86"/>
      <c r="AF1011" s="86"/>
      <c r="AG1011" s="86"/>
      <c r="AH1011" s="86"/>
      <c r="AI1011" s="86"/>
      <c r="AJ1011" s="86"/>
      <c r="AK1011" s="86"/>
      <c r="AL1011" s="86"/>
      <c r="AM1011" s="86"/>
      <c r="AN1011" s="86"/>
      <c r="AO1011" s="86"/>
      <c r="AP1011" s="86"/>
      <c r="AQ1011" s="86"/>
      <c r="AR1011" s="86"/>
      <c r="AS1011" s="86"/>
      <c r="AT1011" s="86"/>
      <c r="AU1011" s="86"/>
      <c r="AV1011" s="86"/>
      <c r="AW1011" s="86"/>
      <c r="AX1011" s="86"/>
      <c r="AY1011" s="86"/>
      <c r="AZ1011" s="86"/>
      <c r="BA1011" s="86"/>
      <c r="BB1011" s="86"/>
      <c r="BC1011" s="86"/>
      <c r="BD1011" s="86"/>
      <c r="BE1011" s="86"/>
      <c r="BF1011" s="86"/>
      <c r="BG1011" s="86"/>
      <c r="BH1011" s="86"/>
      <c r="BI1011" s="86"/>
    </row>
    <row r="1012" spans="1:61" ht="12.75" x14ac:dyDescent="0.2">
      <c r="A1012" s="86"/>
      <c r="B1012" s="86"/>
      <c r="C1012" s="86"/>
      <c r="D1012" s="86"/>
      <c r="E1012" s="86"/>
      <c r="F1012" s="86"/>
      <c r="G1012" s="86"/>
      <c r="H1012" s="86"/>
      <c r="I1012" s="86"/>
      <c r="J1012" s="86"/>
      <c r="K1012" s="86"/>
      <c r="L1012" s="86"/>
      <c r="M1012" s="86"/>
      <c r="N1012" s="86"/>
      <c r="O1012" s="86"/>
      <c r="P1012" s="86"/>
      <c r="Q1012" s="86"/>
      <c r="R1012" s="86"/>
      <c r="S1012" s="86"/>
      <c r="T1012" s="86"/>
      <c r="U1012" s="86"/>
      <c r="V1012" s="86"/>
      <c r="W1012" s="86"/>
      <c r="X1012" s="86"/>
      <c r="Y1012" s="86"/>
      <c r="Z1012" s="86"/>
      <c r="AA1012" s="86"/>
      <c r="AB1012" s="86"/>
      <c r="AC1012" s="86"/>
      <c r="AD1012" s="86"/>
      <c r="AE1012" s="86"/>
      <c r="AF1012" s="86"/>
      <c r="AG1012" s="86"/>
      <c r="AH1012" s="86"/>
      <c r="AI1012" s="86"/>
      <c r="AJ1012" s="86"/>
      <c r="AK1012" s="86"/>
      <c r="AL1012" s="86"/>
      <c r="AM1012" s="86"/>
      <c r="AN1012" s="86"/>
      <c r="AO1012" s="86"/>
      <c r="AP1012" s="86"/>
      <c r="AQ1012" s="86"/>
      <c r="AR1012" s="86"/>
      <c r="AS1012" s="86"/>
      <c r="AT1012" s="86"/>
      <c r="AU1012" s="86"/>
      <c r="AV1012" s="86"/>
      <c r="AW1012" s="86"/>
      <c r="AX1012" s="86"/>
      <c r="AY1012" s="86"/>
      <c r="AZ1012" s="86"/>
      <c r="BA1012" s="86"/>
      <c r="BB1012" s="86"/>
      <c r="BC1012" s="86"/>
      <c r="BD1012" s="86"/>
      <c r="BE1012" s="86"/>
      <c r="BF1012" s="86"/>
      <c r="BG1012" s="86"/>
      <c r="BH1012" s="86"/>
      <c r="BI1012" s="86"/>
    </row>
    <row r="1013" spans="1:61" ht="12.75" x14ac:dyDescent="0.2">
      <c r="A1013" s="86"/>
      <c r="B1013" s="86"/>
      <c r="C1013" s="86"/>
      <c r="D1013" s="86"/>
      <c r="E1013" s="86"/>
      <c r="F1013" s="86"/>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c r="AC1013" s="86"/>
      <c r="AD1013" s="86"/>
      <c r="AE1013" s="86"/>
      <c r="AF1013" s="86"/>
      <c r="AG1013" s="86"/>
      <c r="AH1013" s="86"/>
      <c r="AI1013" s="86"/>
      <c r="AJ1013" s="86"/>
      <c r="AK1013" s="86"/>
      <c r="AL1013" s="86"/>
      <c r="AM1013" s="86"/>
      <c r="AN1013" s="86"/>
      <c r="AO1013" s="86"/>
      <c r="AP1013" s="86"/>
      <c r="AQ1013" s="86"/>
      <c r="AR1013" s="86"/>
      <c r="AS1013" s="86"/>
      <c r="AT1013" s="86"/>
      <c r="AU1013" s="86"/>
      <c r="AV1013" s="86"/>
      <c r="AW1013" s="86"/>
      <c r="AX1013" s="86"/>
      <c r="AY1013" s="86"/>
      <c r="AZ1013" s="86"/>
      <c r="BA1013" s="86"/>
      <c r="BB1013" s="86"/>
      <c r="BC1013" s="86"/>
      <c r="BD1013" s="86"/>
      <c r="BE1013" s="86"/>
      <c r="BF1013" s="86"/>
      <c r="BG1013" s="86"/>
      <c r="BH1013" s="86"/>
      <c r="BI1013" s="86"/>
    </row>
    <row r="1014" spans="1:61" ht="12.75" x14ac:dyDescent="0.2">
      <c r="A1014" s="86"/>
      <c r="B1014" s="86"/>
      <c r="C1014" s="86"/>
      <c r="D1014" s="86"/>
      <c r="E1014" s="86"/>
      <c r="F1014" s="86"/>
      <c r="G1014" s="86"/>
      <c r="H1014" s="86"/>
      <c r="I1014" s="86"/>
      <c r="J1014" s="86"/>
      <c r="K1014" s="86"/>
      <c r="L1014" s="86"/>
      <c r="M1014" s="86"/>
      <c r="N1014" s="86"/>
      <c r="O1014" s="86"/>
      <c r="P1014" s="86"/>
      <c r="Q1014" s="86"/>
      <c r="R1014" s="86"/>
      <c r="S1014" s="86"/>
      <c r="T1014" s="86"/>
      <c r="U1014" s="86"/>
      <c r="V1014" s="86"/>
      <c r="W1014" s="86"/>
      <c r="X1014" s="86"/>
      <c r="Y1014" s="86"/>
      <c r="Z1014" s="86"/>
      <c r="AA1014" s="86"/>
      <c r="AB1014" s="86"/>
      <c r="AC1014" s="86"/>
      <c r="AD1014" s="86"/>
      <c r="AE1014" s="86"/>
      <c r="AF1014" s="86"/>
      <c r="AG1014" s="86"/>
      <c r="AH1014" s="86"/>
      <c r="AI1014" s="86"/>
      <c r="AJ1014" s="86"/>
      <c r="AK1014" s="86"/>
      <c r="AL1014" s="86"/>
      <c r="AM1014" s="86"/>
      <c r="AN1014" s="86"/>
      <c r="AO1014" s="86"/>
      <c r="AP1014" s="86"/>
      <c r="AQ1014" s="86"/>
      <c r="AR1014" s="86"/>
      <c r="AS1014" s="86"/>
      <c r="AT1014" s="86"/>
      <c r="AU1014" s="86"/>
      <c r="AV1014" s="86"/>
      <c r="AW1014" s="86"/>
      <c r="AX1014" s="86"/>
      <c r="AY1014" s="86"/>
      <c r="AZ1014" s="86"/>
      <c r="BA1014" s="86"/>
      <c r="BB1014" s="86"/>
      <c r="BC1014" s="86"/>
      <c r="BD1014" s="86"/>
      <c r="BE1014" s="86"/>
      <c r="BF1014" s="86"/>
      <c r="BG1014" s="86"/>
      <c r="BH1014" s="86"/>
      <c r="BI1014" s="86"/>
    </row>
    <row r="1015" spans="1:61" ht="12.75" x14ac:dyDescent="0.2">
      <c r="A1015" s="86"/>
      <c r="B1015" s="86"/>
      <c r="C1015" s="86"/>
      <c r="D1015" s="86"/>
      <c r="E1015" s="86"/>
      <c r="F1015" s="86"/>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c r="AC1015" s="86"/>
      <c r="AD1015" s="86"/>
      <c r="AE1015" s="86"/>
      <c r="AF1015" s="86"/>
      <c r="AG1015" s="86"/>
      <c r="AH1015" s="86"/>
      <c r="AI1015" s="86"/>
      <c r="AJ1015" s="86"/>
      <c r="AK1015" s="86"/>
      <c r="AL1015" s="86"/>
      <c r="AM1015" s="86"/>
      <c r="AN1015" s="86"/>
      <c r="AO1015" s="86"/>
      <c r="AP1015" s="86"/>
      <c r="AQ1015" s="86"/>
      <c r="AR1015" s="86"/>
      <c r="AS1015" s="86"/>
      <c r="AT1015" s="86"/>
      <c r="AU1015" s="86"/>
      <c r="AV1015" s="86"/>
      <c r="AW1015" s="86"/>
      <c r="AX1015" s="86"/>
      <c r="AY1015" s="86"/>
      <c r="AZ1015" s="86"/>
      <c r="BA1015" s="86"/>
      <c r="BB1015" s="86"/>
      <c r="BC1015" s="86"/>
      <c r="BD1015" s="86"/>
      <c r="BE1015" s="86"/>
      <c r="BF1015" s="86"/>
      <c r="BG1015" s="86"/>
      <c r="BH1015" s="86"/>
      <c r="BI1015" s="86"/>
    </row>
    <row r="1016" spans="1:61" ht="12.75" x14ac:dyDescent="0.2">
      <c r="A1016" s="86"/>
      <c r="B1016" s="86"/>
      <c r="C1016" s="86"/>
      <c r="D1016" s="86"/>
      <c r="E1016" s="86"/>
      <c r="F1016" s="86"/>
      <c r="G1016" s="86"/>
      <c r="H1016" s="86"/>
      <c r="I1016" s="86"/>
      <c r="J1016" s="86"/>
      <c r="K1016" s="86"/>
      <c r="L1016" s="86"/>
      <c r="M1016" s="86"/>
      <c r="N1016" s="86"/>
      <c r="O1016" s="86"/>
      <c r="P1016" s="86"/>
      <c r="Q1016" s="86"/>
      <c r="R1016" s="86"/>
      <c r="S1016" s="86"/>
      <c r="T1016" s="86"/>
      <c r="U1016" s="86"/>
      <c r="V1016" s="86"/>
      <c r="W1016" s="86"/>
      <c r="X1016" s="86"/>
      <c r="Y1016" s="86"/>
      <c r="Z1016" s="86"/>
      <c r="AA1016" s="86"/>
      <c r="AB1016" s="86"/>
      <c r="AC1016" s="86"/>
      <c r="AD1016" s="86"/>
      <c r="AE1016" s="86"/>
      <c r="AF1016" s="86"/>
      <c r="AG1016" s="86"/>
      <c r="AH1016" s="86"/>
      <c r="AI1016" s="86"/>
      <c r="AJ1016" s="86"/>
      <c r="AK1016" s="86"/>
      <c r="AL1016" s="86"/>
      <c r="AM1016" s="86"/>
      <c r="AN1016" s="86"/>
      <c r="AO1016" s="86"/>
      <c r="AP1016" s="86"/>
      <c r="AQ1016" s="86"/>
      <c r="AR1016" s="86"/>
      <c r="AS1016" s="86"/>
      <c r="AT1016" s="86"/>
      <c r="AU1016" s="86"/>
      <c r="AV1016" s="86"/>
      <c r="AW1016" s="86"/>
      <c r="AX1016" s="86"/>
      <c r="AY1016" s="86"/>
      <c r="AZ1016" s="86"/>
      <c r="BA1016" s="86"/>
      <c r="BB1016" s="86"/>
      <c r="BC1016" s="86"/>
      <c r="BD1016" s="86"/>
      <c r="BE1016" s="86"/>
      <c r="BF1016" s="86"/>
      <c r="BG1016" s="86"/>
      <c r="BH1016" s="86"/>
      <c r="BI1016" s="86"/>
    </row>
    <row r="1017" spans="1:61" ht="12.75" x14ac:dyDescent="0.2">
      <c r="A1017" s="86"/>
      <c r="B1017" s="86"/>
      <c r="C1017" s="86"/>
      <c r="D1017" s="86"/>
      <c r="E1017" s="86"/>
      <c r="F1017" s="86"/>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c r="AC1017" s="86"/>
      <c r="AD1017" s="86"/>
      <c r="AE1017" s="86"/>
      <c r="AF1017" s="86"/>
      <c r="AG1017" s="86"/>
      <c r="AH1017" s="86"/>
      <c r="AI1017" s="86"/>
      <c r="AJ1017" s="86"/>
      <c r="AK1017" s="86"/>
      <c r="AL1017" s="86"/>
      <c r="AM1017" s="86"/>
      <c r="AN1017" s="86"/>
      <c r="AO1017" s="86"/>
      <c r="AP1017" s="86"/>
      <c r="AQ1017" s="86"/>
      <c r="AR1017" s="86"/>
      <c r="AS1017" s="86"/>
      <c r="AT1017" s="86"/>
      <c r="AU1017" s="86"/>
      <c r="AV1017" s="86"/>
      <c r="AW1017" s="86"/>
      <c r="AX1017" s="86"/>
      <c r="AY1017" s="86"/>
      <c r="AZ1017" s="86"/>
      <c r="BA1017" s="86"/>
      <c r="BB1017" s="86"/>
      <c r="BC1017" s="86"/>
      <c r="BD1017" s="86"/>
      <c r="BE1017" s="86"/>
      <c r="BF1017" s="86"/>
      <c r="BG1017" s="86"/>
      <c r="BH1017" s="86"/>
      <c r="BI1017" s="86"/>
    </row>
    <row r="1018" spans="1:61" ht="12.75" x14ac:dyDescent="0.2">
      <c r="A1018" s="86"/>
      <c r="B1018" s="86"/>
      <c r="C1018" s="86"/>
      <c r="D1018" s="86"/>
      <c r="E1018" s="86"/>
      <c r="F1018" s="86"/>
      <c r="G1018" s="86"/>
      <c r="H1018" s="86"/>
      <c r="I1018" s="86"/>
      <c r="J1018" s="86"/>
      <c r="K1018" s="86"/>
      <c r="L1018" s="86"/>
      <c r="M1018" s="86"/>
      <c r="N1018" s="86"/>
      <c r="O1018" s="86"/>
      <c r="P1018" s="86"/>
      <c r="Q1018" s="86"/>
      <c r="R1018" s="86"/>
      <c r="S1018" s="86"/>
      <c r="T1018" s="86"/>
      <c r="U1018" s="86"/>
      <c r="V1018" s="86"/>
      <c r="W1018" s="86"/>
      <c r="X1018" s="86"/>
      <c r="Y1018" s="86"/>
      <c r="Z1018" s="86"/>
      <c r="AA1018" s="86"/>
      <c r="AB1018" s="86"/>
      <c r="AC1018" s="86"/>
      <c r="AD1018" s="86"/>
      <c r="AE1018" s="86"/>
      <c r="AF1018" s="86"/>
      <c r="AG1018" s="86"/>
      <c r="AH1018" s="86"/>
      <c r="AI1018" s="86"/>
      <c r="AJ1018" s="86"/>
      <c r="AK1018" s="86"/>
      <c r="AL1018" s="86"/>
      <c r="AM1018" s="86"/>
      <c r="AN1018" s="86"/>
      <c r="AO1018" s="86"/>
      <c r="AP1018" s="86"/>
      <c r="AQ1018" s="86"/>
      <c r="AR1018" s="86"/>
      <c r="AS1018" s="86"/>
      <c r="AT1018" s="86"/>
      <c r="AU1018" s="86"/>
      <c r="AV1018" s="86"/>
      <c r="AW1018" s="86"/>
      <c r="AX1018" s="86"/>
      <c r="AY1018" s="86"/>
      <c r="AZ1018" s="86"/>
      <c r="BA1018" s="86"/>
      <c r="BB1018" s="86"/>
      <c r="BC1018" s="86"/>
      <c r="BD1018" s="86"/>
      <c r="BE1018" s="86"/>
      <c r="BF1018" s="86"/>
      <c r="BG1018" s="86"/>
      <c r="BH1018" s="86"/>
      <c r="BI1018" s="86"/>
    </row>
    <row r="1019" spans="1:61" ht="12.75" x14ac:dyDescent="0.2">
      <c r="A1019" s="86"/>
      <c r="B1019" s="86"/>
      <c r="C1019" s="86"/>
      <c r="D1019" s="86"/>
      <c r="E1019" s="86"/>
      <c r="F1019" s="86"/>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c r="AC1019" s="86"/>
      <c r="AD1019" s="86"/>
      <c r="AE1019" s="86"/>
      <c r="AF1019" s="86"/>
      <c r="AG1019" s="86"/>
      <c r="AH1019" s="86"/>
      <c r="AI1019" s="86"/>
      <c r="AJ1019" s="86"/>
      <c r="AK1019" s="86"/>
      <c r="AL1019" s="86"/>
      <c r="AM1019" s="86"/>
      <c r="AN1019" s="86"/>
      <c r="AO1019" s="86"/>
      <c r="AP1019" s="86"/>
      <c r="AQ1019" s="86"/>
      <c r="AR1019" s="86"/>
      <c r="AS1019" s="86"/>
      <c r="AT1019" s="86"/>
      <c r="AU1019" s="86"/>
      <c r="AV1019" s="86"/>
      <c r="AW1019" s="86"/>
      <c r="AX1019" s="86"/>
      <c r="AY1019" s="86"/>
      <c r="AZ1019" s="86"/>
      <c r="BA1019" s="86"/>
      <c r="BB1019" s="86"/>
      <c r="BC1019" s="86"/>
      <c r="BD1019" s="86"/>
      <c r="BE1019" s="86"/>
      <c r="BF1019" s="86"/>
      <c r="BG1019" s="86"/>
      <c r="BH1019" s="86"/>
      <c r="BI1019" s="86"/>
    </row>
    <row r="1020" spans="1:61" ht="12.75" x14ac:dyDescent="0.2">
      <c r="A1020" s="86"/>
      <c r="B1020" s="86"/>
      <c r="C1020" s="86"/>
      <c r="D1020" s="86"/>
      <c r="E1020" s="86"/>
      <c r="F1020" s="86"/>
      <c r="G1020" s="86"/>
      <c r="H1020" s="86"/>
      <c r="I1020" s="86"/>
      <c r="J1020" s="86"/>
      <c r="K1020" s="86"/>
      <c r="L1020" s="86"/>
      <c r="M1020" s="86"/>
      <c r="N1020" s="86"/>
      <c r="O1020" s="86"/>
      <c r="P1020" s="86"/>
      <c r="Q1020" s="86"/>
      <c r="R1020" s="86"/>
      <c r="S1020" s="86"/>
      <c r="T1020" s="86"/>
      <c r="U1020" s="86"/>
      <c r="V1020" s="86"/>
      <c r="W1020" s="86"/>
      <c r="X1020" s="86"/>
      <c r="Y1020" s="86"/>
      <c r="Z1020" s="86"/>
      <c r="AA1020" s="86"/>
      <c r="AB1020" s="86"/>
      <c r="AC1020" s="86"/>
      <c r="AD1020" s="86"/>
      <c r="AE1020" s="86"/>
      <c r="AF1020" s="86"/>
      <c r="AG1020" s="86"/>
      <c r="AH1020" s="86"/>
      <c r="AI1020" s="86"/>
      <c r="AJ1020" s="86"/>
      <c r="AK1020" s="86"/>
      <c r="AL1020" s="86"/>
      <c r="AM1020" s="86"/>
      <c r="AN1020" s="86"/>
      <c r="AO1020" s="86"/>
      <c r="AP1020" s="86"/>
      <c r="AQ1020" s="86"/>
      <c r="AR1020" s="86"/>
      <c r="AS1020" s="86"/>
      <c r="AT1020" s="86"/>
      <c r="AU1020" s="86"/>
      <c r="AV1020" s="86"/>
      <c r="AW1020" s="86"/>
      <c r="AX1020" s="86"/>
      <c r="AY1020" s="86"/>
      <c r="AZ1020" s="86"/>
      <c r="BA1020" s="86"/>
      <c r="BB1020" s="86"/>
      <c r="BC1020" s="86"/>
      <c r="BD1020" s="86"/>
      <c r="BE1020" s="86"/>
      <c r="BF1020" s="86"/>
      <c r="BG1020" s="86"/>
      <c r="BH1020" s="86"/>
      <c r="BI1020" s="86"/>
    </row>
    <row r="1021" spans="1:61" ht="12.75" x14ac:dyDescent="0.2">
      <c r="A1021" s="86"/>
      <c r="B1021" s="86"/>
      <c r="C1021" s="86"/>
      <c r="D1021" s="86"/>
      <c r="E1021" s="86"/>
      <c r="F1021" s="86"/>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c r="AC1021" s="86"/>
      <c r="AD1021" s="86"/>
      <c r="AE1021" s="86"/>
      <c r="AF1021" s="86"/>
      <c r="AG1021" s="86"/>
      <c r="AH1021" s="86"/>
      <c r="AI1021" s="86"/>
      <c r="AJ1021" s="86"/>
      <c r="AK1021" s="86"/>
      <c r="AL1021" s="86"/>
      <c r="AM1021" s="86"/>
      <c r="AN1021" s="86"/>
      <c r="AO1021" s="86"/>
      <c r="AP1021" s="86"/>
      <c r="AQ1021" s="86"/>
      <c r="AR1021" s="86"/>
      <c r="AS1021" s="86"/>
      <c r="AT1021" s="86"/>
      <c r="AU1021" s="86"/>
      <c r="AV1021" s="86"/>
      <c r="AW1021" s="86"/>
      <c r="AX1021" s="86"/>
      <c r="AY1021" s="86"/>
      <c r="AZ1021" s="86"/>
      <c r="BA1021" s="86"/>
      <c r="BB1021" s="86"/>
      <c r="BC1021" s="86"/>
      <c r="BD1021" s="86"/>
      <c r="BE1021" s="86"/>
      <c r="BF1021" s="86"/>
      <c r="BG1021" s="86"/>
      <c r="BH1021" s="86"/>
      <c r="BI1021" s="86"/>
    </row>
    <row r="1022" spans="1:61" ht="12.75" x14ac:dyDescent="0.2">
      <c r="A1022" s="86"/>
      <c r="B1022" s="86"/>
      <c r="C1022" s="86"/>
      <c r="D1022" s="86"/>
      <c r="E1022" s="86"/>
      <c r="F1022" s="86"/>
      <c r="G1022" s="86"/>
      <c r="H1022" s="86"/>
      <c r="I1022" s="86"/>
      <c r="J1022" s="86"/>
      <c r="K1022" s="86"/>
      <c r="L1022" s="86"/>
      <c r="M1022" s="86"/>
      <c r="N1022" s="86"/>
      <c r="O1022" s="86"/>
      <c r="P1022" s="86"/>
      <c r="Q1022" s="86"/>
      <c r="R1022" s="86"/>
      <c r="S1022" s="86"/>
      <c r="T1022" s="86"/>
      <c r="U1022" s="86"/>
      <c r="V1022" s="86"/>
      <c r="W1022" s="86"/>
      <c r="X1022" s="86"/>
      <c r="Y1022" s="86"/>
      <c r="Z1022" s="86"/>
      <c r="AA1022" s="86"/>
      <c r="AB1022" s="86"/>
      <c r="AC1022" s="86"/>
      <c r="AD1022" s="86"/>
      <c r="AE1022" s="86"/>
      <c r="AF1022" s="86"/>
      <c r="AG1022" s="86"/>
      <c r="AH1022" s="86"/>
      <c r="AI1022" s="86"/>
      <c r="AJ1022" s="86"/>
      <c r="AK1022" s="86"/>
      <c r="AL1022" s="86"/>
      <c r="AM1022" s="86"/>
      <c r="AN1022" s="86"/>
      <c r="AO1022" s="86"/>
      <c r="AP1022" s="86"/>
      <c r="AQ1022" s="86"/>
      <c r="AR1022" s="86"/>
      <c r="AS1022" s="86"/>
      <c r="AT1022" s="86"/>
      <c r="AU1022" s="86"/>
      <c r="AV1022" s="86"/>
      <c r="AW1022" s="86"/>
      <c r="AX1022" s="86"/>
      <c r="AY1022" s="86"/>
      <c r="AZ1022" s="86"/>
      <c r="BA1022" s="86"/>
      <c r="BB1022" s="86"/>
      <c r="BC1022" s="86"/>
      <c r="BD1022" s="86"/>
      <c r="BE1022" s="86"/>
      <c r="BF1022" s="86"/>
      <c r="BG1022" s="86"/>
      <c r="BH1022" s="86"/>
      <c r="BI1022" s="86"/>
    </row>
    <row r="1023" spans="1:61" ht="12.75" x14ac:dyDescent="0.2">
      <c r="A1023" s="86"/>
      <c r="B1023" s="86"/>
      <c r="C1023" s="86"/>
      <c r="D1023" s="86"/>
      <c r="E1023" s="86"/>
      <c r="F1023" s="86"/>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c r="AC1023" s="86"/>
      <c r="AD1023" s="86"/>
      <c r="AE1023" s="86"/>
      <c r="AF1023" s="86"/>
      <c r="AG1023" s="86"/>
      <c r="AH1023" s="86"/>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row>
    <row r="1024" spans="1:61" ht="12.75" x14ac:dyDescent="0.2">
      <c r="A1024" s="86"/>
      <c r="B1024" s="86"/>
      <c r="C1024" s="86"/>
      <c r="D1024" s="86"/>
      <c r="E1024" s="86"/>
      <c r="F1024" s="86"/>
      <c r="G1024" s="86"/>
      <c r="H1024" s="86"/>
      <c r="I1024" s="86"/>
      <c r="J1024" s="86"/>
      <c r="K1024" s="86"/>
      <c r="L1024" s="86"/>
      <c r="M1024" s="86"/>
      <c r="N1024" s="86"/>
      <c r="O1024" s="86"/>
      <c r="P1024" s="86"/>
      <c r="Q1024" s="86"/>
      <c r="R1024" s="86"/>
      <c r="S1024" s="86"/>
      <c r="T1024" s="86"/>
      <c r="U1024" s="86"/>
      <c r="V1024" s="86"/>
      <c r="W1024" s="86"/>
      <c r="X1024" s="86"/>
      <c r="Y1024" s="86"/>
      <c r="Z1024" s="86"/>
      <c r="AA1024" s="86"/>
      <c r="AB1024" s="86"/>
      <c r="AC1024" s="86"/>
      <c r="AD1024" s="86"/>
      <c r="AE1024" s="86"/>
      <c r="AF1024" s="86"/>
      <c r="AG1024" s="86"/>
      <c r="AH1024" s="86"/>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row>
    <row r="1025" spans="1:61" ht="12.75" x14ac:dyDescent="0.2">
      <c r="A1025" s="86"/>
      <c r="B1025" s="86"/>
      <c r="C1025" s="86"/>
      <c r="D1025" s="86"/>
      <c r="E1025" s="86"/>
      <c r="F1025" s="86"/>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c r="AC1025" s="86"/>
      <c r="AD1025" s="86"/>
      <c r="AE1025" s="86"/>
      <c r="AF1025" s="86"/>
      <c r="AG1025" s="86"/>
      <c r="AH1025" s="86"/>
      <c r="AI1025" s="86"/>
      <c r="AJ1025" s="86"/>
      <c r="AK1025" s="86"/>
      <c r="AL1025" s="86"/>
      <c r="AM1025" s="86"/>
      <c r="AN1025" s="86"/>
      <c r="AO1025" s="86"/>
      <c r="AP1025" s="86"/>
      <c r="AQ1025" s="86"/>
      <c r="AR1025" s="86"/>
      <c r="AS1025" s="86"/>
      <c r="AT1025" s="86"/>
      <c r="AU1025" s="86"/>
      <c r="AV1025" s="86"/>
      <c r="AW1025" s="86"/>
      <c r="AX1025" s="86"/>
      <c r="AY1025" s="86"/>
      <c r="AZ1025" s="86"/>
      <c r="BA1025" s="86"/>
      <c r="BB1025" s="86"/>
      <c r="BC1025" s="86"/>
      <c r="BD1025" s="86"/>
      <c r="BE1025" s="86"/>
      <c r="BF1025" s="86"/>
      <c r="BG1025" s="86"/>
      <c r="BH1025" s="86"/>
      <c r="BI1025" s="86"/>
    </row>
    <row r="1026" spans="1:61" ht="12.75" x14ac:dyDescent="0.2">
      <c r="A1026" s="86"/>
      <c r="B1026" s="86"/>
      <c r="C1026" s="86"/>
      <c r="D1026" s="86"/>
      <c r="E1026" s="86"/>
      <c r="F1026" s="86"/>
      <c r="G1026" s="86"/>
      <c r="H1026" s="86"/>
      <c r="I1026" s="86"/>
      <c r="J1026" s="86"/>
      <c r="K1026" s="86"/>
      <c r="L1026" s="86"/>
      <c r="M1026" s="86"/>
      <c r="N1026" s="86"/>
      <c r="O1026" s="86"/>
      <c r="P1026" s="86"/>
      <c r="Q1026" s="86"/>
      <c r="R1026" s="86"/>
      <c r="S1026" s="86"/>
      <c r="T1026" s="86"/>
      <c r="U1026" s="86"/>
      <c r="V1026" s="86"/>
      <c r="W1026" s="86"/>
      <c r="X1026" s="86"/>
      <c r="Y1026" s="86"/>
      <c r="Z1026" s="86"/>
      <c r="AA1026" s="86"/>
      <c r="AB1026" s="86"/>
      <c r="AC1026" s="86"/>
      <c r="AD1026" s="86"/>
      <c r="AE1026" s="86"/>
      <c r="AF1026" s="86"/>
      <c r="AG1026" s="86"/>
      <c r="AH1026" s="86"/>
      <c r="AI1026" s="86"/>
      <c r="AJ1026" s="86"/>
      <c r="AK1026" s="86"/>
      <c r="AL1026" s="86"/>
      <c r="AM1026" s="86"/>
      <c r="AN1026" s="86"/>
      <c r="AO1026" s="86"/>
      <c r="AP1026" s="86"/>
      <c r="AQ1026" s="86"/>
      <c r="AR1026" s="86"/>
      <c r="AS1026" s="86"/>
      <c r="AT1026" s="86"/>
      <c r="AU1026" s="86"/>
      <c r="AV1026" s="86"/>
      <c r="AW1026" s="86"/>
      <c r="AX1026" s="86"/>
      <c r="AY1026" s="86"/>
      <c r="AZ1026" s="86"/>
      <c r="BA1026" s="86"/>
      <c r="BB1026" s="86"/>
      <c r="BC1026" s="86"/>
      <c r="BD1026" s="86"/>
      <c r="BE1026" s="86"/>
      <c r="BF1026" s="86"/>
      <c r="BG1026" s="86"/>
      <c r="BH1026" s="86"/>
      <c r="BI1026" s="86"/>
    </row>
    <row r="1027" spans="1:61" ht="12.75" x14ac:dyDescent="0.2">
      <c r="A1027" s="86"/>
      <c r="B1027" s="86"/>
      <c r="C1027" s="86"/>
      <c r="D1027" s="86"/>
      <c r="E1027" s="86"/>
      <c r="F1027" s="86"/>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c r="AC1027" s="86"/>
      <c r="AD1027" s="86"/>
      <c r="AE1027" s="86"/>
      <c r="AF1027" s="86"/>
      <c r="AG1027" s="86"/>
      <c r="AH1027" s="86"/>
      <c r="AI1027" s="86"/>
      <c r="AJ1027" s="86"/>
      <c r="AK1027" s="86"/>
      <c r="AL1027" s="86"/>
      <c r="AM1027" s="86"/>
      <c r="AN1027" s="86"/>
      <c r="AO1027" s="86"/>
      <c r="AP1027" s="86"/>
      <c r="AQ1027" s="86"/>
      <c r="AR1027" s="86"/>
      <c r="AS1027" s="86"/>
      <c r="AT1027" s="86"/>
      <c r="AU1027" s="86"/>
      <c r="AV1027" s="86"/>
      <c r="AW1027" s="86"/>
      <c r="AX1027" s="86"/>
      <c r="AY1027" s="86"/>
      <c r="AZ1027" s="86"/>
      <c r="BA1027" s="86"/>
      <c r="BB1027" s="86"/>
      <c r="BC1027" s="86"/>
      <c r="BD1027" s="86"/>
      <c r="BE1027" s="86"/>
      <c r="BF1027" s="86"/>
      <c r="BG1027" s="86"/>
      <c r="BH1027" s="86"/>
      <c r="BI1027" s="86"/>
    </row>
    <row r="1028" spans="1:61" ht="12.75" x14ac:dyDescent="0.2">
      <c r="A1028" s="86"/>
      <c r="B1028" s="86"/>
      <c r="C1028" s="86"/>
      <c r="D1028" s="86"/>
      <c r="E1028" s="86"/>
      <c r="F1028" s="86"/>
      <c r="G1028" s="86"/>
      <c r="H1028" s="86"/>
      <c r="I1028" s="86"/>
      <c r="J1028" s="86"/>
      <c r="K1028" s="86"/>
      <c r="L1028" s="86"/>
      <c r="M1028" s="86"/>
      <c r="N1028" s="86"/>
      <c r="O1028" s="86"/>
      <c r="P1028" s="86"/>
      <c r="Q1028" s="86"/>
      <c r="R1028" s="86"/>
      <c r="S1028" s="86"/>
      <c r="T1028" s="86"/>
      <c r="U1028" s="86"/>
      <c r="V1028" s="86"/>
      <c r="W1028" s="86"/>
      <c r="X1028" s="86"/>
      <c r="Y1028" s="86"/>
      <c r="Z1028" s="86"/>
      <c r="AA1028" s="86"/>
      <c r="AB1028" s="86"/>
      <c r="AC1028" s="86"/>
      <c r="AD1028" s="86"/>
      <c r="AE1028" s="86"/>
      <c r="AF1028" s="86"/>
      <c r="AG1028" s="86"/>
      <c r="AH1028" s="86"/>
      <c r="AI1028" s="86"/>
      <c r="AJ1028" s="86"/>
      <c r="AK1028" s="86"/>
      <c r="AL1028" s="86"/>
      <c r="AM1028" s="86"/>
      <c r="AN1028" s="86"/>
      <c r="AO1028" s="86"/>
      <c r="AP1028" s="86"/>
      <c r="AQ1028" s="86"/>
      <c r="AR1028" s="86"/>
      <c r="AS1028" s="86"/>
      <c r="AT1028" s="86"/>
      <c r="AU1028" s="86"/>
      <c r="AV1028" s="86"/>
      <c r="AW1028" s="86"/>
      <c r="AX1028" s="86"/>
      <c r="AY1028" s="86"/>
      <c r="AZ1028" s="86"/>
      <c r="BA1028" s="86"/>
      <c r="BB1028" s="86"/>
      <c r="BC1028" s="86"/>
      <c r="BD1028" s="86"/>
      <c r="BE1028" s="86"/>
      <c r="BF1028" s="86"/>
      <c r="BG1028" s="86"/>
      <c r="BH1028" s="86"/>
      <c r="BI1028" s="86"/>
    </row>
    <row r="1029" spans="1:61" ht="12.75" x14ac:dyDescent="0.2">
      <c r="A1029" s="86"/>
      <c r="B1029" s="86"/>
      <c r="C1029" s="86"/>
      <c r="D1029" s="86"/>
      <c r="E1029" s="86"/>
      <c r="F1029" s="86"/>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c r="AC1029" s="86"/>
      <c r="AD1029" s="86"/>
      <c r="AE1029" s="86"/>
      <c r="AF1029" s="86"/>
      <c r="AG1029" s="86"/>
      <c r="AH1029" s="86"/>
      <c r="AI1029" s="86"/>
      <c r="AJ1029" s="86"/>
      <c r="AK1029" s="86"/>
      <c r="AL1029" s="86"/>
      <c r="AM1029" s="86"/>
      <c r="AN1029" s="86"/>
      <c r="AO1029" s="86"/>
      <c r="AP1029" s="86"/>
      <c r="AQ1029" s="86"/>
      <c r="AR1029" s="86"/>
      <c r="AS1029" s="86"/>
      <c r="AT1029" s="86"/>
      <c r="AU1029" s="86"/>
      <c r="AV1029" s="86"/>
      <c r="AW1029" s="86"/>
      <c r="AX1029" s="86"/>
      <c r="AY1029" s="86"/>
      <c r="AZ1029" s="86"/>
      <c r="BA1029" s="86"/>
      <c r="BB1029" s="86"/>
      <c r="BC1029" s="86"/>
      <c r="BD1029" s="86"/>
      <c r="BE1029" s="86"/>
      <c r="BF1029" s="86"/>
      <c r="BG1029" s="86"/>
      <c r="BH1029" s="86"/>
      <c r="BI1029" s="86"/>
    </row>
    <row r="1030" spans="1:61" ht="12.75" x14ac:dyDescent="0.2">
      <c r="A1030" s="86"/>
      <c r="B1030" s="86"/>
      <c r="C1030" s="86"/>
      <c r="D1030" s="86"/>
      <c r="E1030" s="86"/>
      <c r="F1030" s="86"/>
      <c r="G1030" s="86"/>
      <c r="H1030" s="86"/>
      <c r="I1030" s="86"/>
      <c r="J1030" s="86"/>
      <c r="K1030" s="86"/>
      <c r="L1030" s="86"/>
      <c r="M1030" s="86"/>
      <c r="N1030" s="86"/>
      <c r="O1030" s="86"/>
      <c r="P1030" s="86"/>
      <c r="Q1030" s="86"/>
      <c r="R1030" s="86"/>
      <c r="S1030" s="86"/>
      <c r="T1030" s="86"/>
      <c r="U1030" s="86"/>
      <c r="V1030" s="86"/>
      <c r="W1030" s="86"/>
      <c r="X1030" s="86"/>
      <c r="Y1030" s="86"/>
      <c r="Z1030" s="86"/>
      <c r="AA1030" s="86"/>
      <c r="AB1030" s="86"/>
      <c r="AC1030" s="86"/>
      <c r="AD1030" s="86"/>
      <c r="AE1030" s="86"/>
      <c r="AF1030" s="86"/>
      <c r="AG1030" s="86"/>
      <c r="AH1030" s="86"/>
      <c r="AI1030" s="86"/>
      <c r="AJ1030" s="86"/>
      <c r="AK1030" s="86"/>
      <c r="AL1030" s="86"/>
      <c r="AM1030" s="86"/>
      <c r="AN1030" s="86"/>
      <c r="AO1030" s="86"/>
      <c r="AP1030" s="86"/>
      <c r="AQ1030" s="86"/>
      <c r="AR1030" s="86"/>
      <c r="AS1030" s="86"/>
      <c r="AT1030" s="86"/>
      <c r="AU1030" s="86"/>
      <c r="AV1030" s="86"/>
      <c r="AW1030" s="86"/>
      <c r="AX1030" s="86"/>
      <c r="AY1030" s="86"/>
      <c r="AZ1030" s="86"/>
      <c r="BA1030" s="86"/>
      <c r="BB1030" s="86"/>
      <c r="BC1030" s="86"/>
      <c r="BD1030" s="86"/>
      <c r="BE1030" s="86"/>
      <c r="BF1030" s="86"/>
      <c r="BG1030" s="86"/>
      <c r="BH1030" s="86"/>
      <c r="BI1030" s="86"/>
    </row>
    <row r="1031" spans="1:61" ht="12.75" x14ac:dyDescent="0.2">
      <c r="A1031" s="86"/>
      <c r="B1031" s="86"/>
      <c r="C1031" s="86"/>
      <c r="D1031" s="86"/>
      <c r="E1031" s="86"/>
      <c r="F1031" s="86"/>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c r="AC1031" s="86"/>
      <c r="AD1031" s="86"/>
      <c r="AE1031" s="86"/>
      <c r="AF1031" s="86"/>
      <c r="AG1031" s="86"/>
      <c r="AH1031" s="86"/>
      <c r="AI1031" s="86"/>
      <c r="AJ1031" s="86"/>
      <c r="AK1031" s="86"/>
      <c r="AL1031" s="86"/>
      <c r="AM1031" s="86"/>
      <c r="AN1031" s="86"/>
      <c r="AO1031" s="86"/>
      <c r="AP1031" s="86"/>
      <c r="AQ1031" s="86"/>
      <c r="AR1031" s="86"/>
      <c r="AS1031" s="86"/>
      <c r="AT1031" s="86"/>
      <c r="AU1031" s="86"/>
      <c r="AV1031" s="86"/>
      <c r="AW1031" s="86"/>
      <c r="AX1031" s="86"/>
      <c r="AY1031" s="86"/>
      <c r="AZ1031" s="86"/>
      <c r="BA1031" s="86"/>
      <c r="BB1031" s="86"/>
      <c r="BC1031" s="86"/>
      <c r="BD1031" s="86"/>
      <c r="BE1031" s="86"/>
      <c r="BF1031" s="86"/>
      <c r="BG1031" s="86"/>
      <c r="BH1031" s="86"/>
      <c r="BI1031" s="86"/>
    </row>
    <row r="1032" spans="1:61" ht="12.75" x14ac:dyDescent="0.2">
      <c r="A1032" s="86"/>
      <c r="B1032" s="86"/>
      <c r="C1032" s="86"/>
      <c r="D1032" s="86"/>
      <c r="E1032" s="86"/>
      <c r="F1032" s="86"/>
      <c r="G1032" s="86"/>
      <c r="H1032" s="86"/>
      <c r="I1032" s="86"/>
      <c r="J1032" s="86"/>
      <c r="K1032" s="86"/>
      <c r="L1032" s="86"/>
      <c r="M1032" s="86"/>
      <c r="N1032" s="86"/>
      <c r="O1032" s="86"/>
      <c r="P1032" s="86"/>
      <c r="Q1032" s="86"/>
      <c r="R1032" s="86"/>
      <c r="S1032" s="86"/>
      <c r="T1032" s="86"/>
      <c r="U1032" s="86"/>
      <c r="V1032" s="86"/>
      <c r="W1032" s="86"/>
      <c r="X1032" s="86"/>
      <c r="Y1032" s="86"/>
      <c r="Z1032" s="86"/>
      <c r="AA1032" s="86"/>
      <c r="AB1032" s="86"/>
      <c r="AC1032" s="86"/>
      <c r="AD1032" s="86"/>
      <c r="AE1032" s="86"/>
      <c r="AF1032" s="86"/>
      <c r="AG1032" s="86"/>
      <c r="AH1032" s="86"/>
      <c r="AI1032" s="86"/>
      <c r="AJ1032" s="86"/>
      <c r="AK1032" s="86"/>
      <c r="AL1032" s="86"/>
      <c r="AM1032" s="86"/>
      <c r="AN1032" s="86"/>
      <c r="AO1032" s="86"/>
      <c r="AP1032" s="86"/>
      <c r="AQ1032" s="86"/>
      <c r="AR1032" s="86"/>
      <c r="AS1032" s="86"/>
      <c r="AT1032" s="86"/>
      <c r="AU1032" s="86"/>
      <c r="AV1032" s="86"/>
      <c r="AW1032" s="86"/>
      <c r="AX1032" s="86"/>
      <c r="AY1032" s="86"/>
      <c r="AZ1032" s="86"/>
      <c r="BA1032" s="86"/>
      <c r="BB1032" s="86"/>
      <c r="BC1032" s="86"/>
      <c r="BD1032" s="86"/>
      <c r="BE1032" s="86"/>
      <c r="BF1032" s="86"/>
      <c r="BG1032" s="86"/>
      <c r="BH1032" s="86"/>
      <c r="BI1032" s="86"/>
    </row>
    <row r="1033" spans="1:61" ht="12.75" x14ac:dyDescent="0.2">
      <c r="A1033" s="86"/>
      <c r="B1033" s="86"/>
      <c r="C1033" s="86"/>
      <c r="D1033" s="86"/>
      <c r="E1033" s="86"/>
      <c r="F1033" s="86"/>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c r="AC1033" s="86"/>
      <c r="AD1033" s="86"/>
      <c r="AE1033" s="86"/>
      <c r="AF1033" s="86"/>
      <c r="AG1033" s="86"/>
      <c r="AH1033" s="86"/>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row>
    <row r="1034" spans="1:61" ht="12.75" x14ac:dyDescent="0.2">
      <c r="A1034" s="86"/>
      <c r="B1034" s="86"/>
      <c r="C1034" s="86"/>
      <c r="D1034" s="86"/>
      <c r="E1034" s="86"/>
      <c r="F1034" s="86"/>
      <c r="G1034" s="86"/>
      <c r="H1034" s="86"/>
      <c r="I1034" s="86"/>
      <c r="J1034" s="86"/>
      <c r="K1034" s="86"/>
      <c r="L1034" s="86"/>
      <c r="M1034" s="86"/>
      <c r="N1034" s="86"/>
      <c r="O1034" s="86"/>
      <c r="P1034" s="86"/>
      <c r="Q1034" s="86"/>
      <c r="R1034" s="86"/>
      <c r="S1034" s="86"/>
      <c r="T1034" s="86"/>
      <c r="U1034" s="86"/>
      <c r="V1034" s="86"/>
      <c r="W1034" s="86"/>
      <c r="X1034" s="86"/>
      <c r="Y1034" s="86"/>
      <c r="Z1034" s="86"/>
      <c r="AA1034" s="86"/>
      <c r="AB1034" s="86"/>
      <c r="AC1034" s="86"/>
      <c r="AD1034" s="86"/>
      <c r="AE1034" s="86"/>
      <c r="AF1034" s="86"/>
      <c r="AG1034" s="86"/>
      <c r="AH1034" s="86"/>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row>
    <row r="1035" spans="1:61" ht="12.75" x14ac:dyDescent="0.2">
      <c r="A1035" s="86"/>
      <c r="B1035" s="86"/>
      <c r="C1035" s="86"/>
      <c r="D1035" s="86"/>
      <c r="E1035" s="86"/>
      <c r="F1035" s="86"/>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c r="AC1035" s="86"/>
      <c r="AD1035" s="86"/>
      <c r="AE1035" s="86"/>
      <c r="AF1035" s="86"/>
      <c r="AG1035" s="86"/>
      <c r="AH1035" s="86"/>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row>
    <row r="1036" spans="1:61" ht="12.75" x14ac:dyDescent="0.2">
      <c r="A1036" s="86"/>
      <c r="B1036" s="86"/>
      <c r="C1036" s="86"/>
      <c r="D1036" s="86"/>
      <c r="E1036" s="86"/>
      <c r="F1036" s="86"/>
      <c r="G1036" s="86"/>
      <c r="H1036" s="86"/>
      <c r="I1036" s="86"/>
      <c r="J1036" s="86"/>
      <c r="K1036" s="86"/>
      <c r="L1036" s="86"/>
      <c r="M1036" s="86"/>
      <c r="N1036" s="86"/>
      <c r="O1036" s="86"/>
      <c r="P1036" s="86"/>
      <c r="Q1036" s="86"/>
      <c r="R1036" s="86"/>
      <c r="S1036" s="86"/>
      <c r="T1036" s="86"/>
      <c r="U1036" s="86"/>
      <c r="V1036" s="86"/>
      <c r="W1036" s="86"/>
      <c r="X1036" s="86"/>
      <c r="Y1036" s="86"/>
      <c r="Z1036" s="86"/>
      <c r="AA1036" s="86"/>
      <c r="AB1036" s="86"/>
      <c r="AC1036" s="86"/>
      <c r="AD1036" s="86"/>
      <c r="AE1036" s="86"/>
      <c r="AF1036" s="86"/>
      <c r="AG1036" s="86"/>
      <c r="AH1036" s="86"/>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row>
    <row r="1037" spans="1:61" ht="12.75" x14ac:dyDescent="0.2">
      <c r="A1037" s="86"/>
      <c r="B1037" s="86"/>
      <c r="C1037" s="86"/>
      <c r="D1037" s="86"/>
      <c r="E1037" s="86"/>
      <c r="F1037" s="86"/>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c r="AC1037" s="86"/>
      <c r="AD1037" s="86"/>
      <c r="AE1037" s="86"/>
      <c r="AF1037" s="86"/>
      <c r="AG1037" s="86"/>
      <c r="AH1037" s="86"/>
      <c r="AI1037" s="86"/>
      <c r="AJ1037" s="86"/>
      <c r="AK1037" s="86"/>
      <c r="AL1037" s="86"/>
      <c r="AM1037" s="86"/>
      <c r="AN1037" s="86"/>
      <c r="AO1037" s="86"/>
      <c r="AP1037" s="86"/>
      <c r="AQ1037" s="86"/>
      <c r="AR1037" s="86"/>
      <c r="AS1037" s="86"/>
      <c r="AT1037" s="86"/>
      <c r="AU1037" s="86"/>
      <c r="AV1037" s="86"/>
      <c r="AW1037" s="86"/>
      <c r="AX1037" s="86"/>
      <c r="AY1037" s="86"/>
      <c r="AZ1037" s="86"/>
      <c r="BA1037" s="86"/>
      <c r="BB1037" s="86"/>
      <c r="BC1037" s="86"/>
      <c r="BD1037" s="86"/>
      <c r="BE1037" s="86"/>
      <c r="BF1037" s="86"/>
      <c r="BG1037" s="86"/>
      <c r="BH1037" s="86"/>
      <c r="BI1037" s="86"/>
    </row>
    <row r="1038" spans="1:61" ht="12.75" x14ac:dyDescent="0.2">
      <c r="A1038" s="86"/>
      <c r="B1038" s="86"/>
      <c r="C1038" s="86"/>
      <c r="D1038" s="86"/>
      <c r="E1038" s="86"/>
      <c r="F1038" s="86"/>
      <c r="G1038" s="86"/>
      <c r="H1038" s="86"/>
      <c r="I1038" s="86"/>
      <c r="J1038" s="86"/>
      <c r="K1038" s="86"/>
      <c r="L1038" s="86"/>
      <c r="M1038" s="86"/>
      <c r="N1038" s="86"/>
      <c r="O1038" s="86"/>
      <c r="P1038" s="86"/>
      <c r="Q1038" s="86"/>
      <c r="R1038" s="86"/>
      <c r="S1038" s="86"/>
      <c r="T1038" s="86"/>
      <c r="U1038" s="86"/>
      <c r="V1038" s="86"/>
      <c r="W1038" s="86"/>
      <c r="X1038" s="86"/>
      <c r="Y1038" s="86"/>
      <c r="Z1038" s="86"/>
      <c r="AA1038" s="86"/>
      <c r="AB1038" s="86"/>
      <c r="AC1038" s="86"/>
      <c r="AD1038" s="86"/>
      <c r="AE1038" s="86"/>
      <c r="AF1038" s="86"/>
      <c r="AG1038" s="86"/>
      <c r="AH1038" s="86"/>
      <c r="AI1038" s="86"/>
      <c r="AJ1038" s="86"/>
      <c r="AK1038" s="86"/>
      <c r="AL1038" s="86"/>
      <c r="AM1038" s="86"/>
      <c r="AN1038" s="86"/>
      <c r="AO1038" s="86"/>
      <c r="AP1038" s="86"/>
      <c r="AQ1038" s="86"/>
      <c r="AR1038" s="86"/>
      <c r="AS1038" s="86"/>
      <c r="AT1038" s="86"/>
      <c r="AU1038" s="86"/>
      <c r="AV1038" s="86"/>
      <c r="AW1038" s="86"/>
      <c r="AX1038" s="86"/>
      <c r="AY1038" s="86"/>
      <c r="AZ1038" s="86"/>
      <c r="BA1038" s="86"/>
      <c r="BB1038" s="86"/>
      <c r="BC1038" s="86"/>
      <c r="BD1038" s="86"/>
      <c r="BE1038" s="86"/>
      <c r="BF1038" s="86"/>
      <c r="BG1038" s="86"/>
      <c r="BH1038" s="86"/>
      <c r="BI1038" s="86"/>
    </row>
    <row r="1039" spans="1:61" ht="12.75" x14ac:dyDescent="0.2">
      <c r="A1039" s="86"/>
      <c r="B1039" s="86"/>
      <c r="C1039" s="86"/>
      <c r="D1039" s="86"/>
      <c r="E1039" s="86"/>
      <c r="F1039" s="86"/>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c r="AC1039" s="86"/>
      <c r="AD1039" s="86"/>
      <c r="AE1039" s="86"/>
      <c r="AF1039" s="86"/>
      <c r="AG1039" s="86"/>
      <c r="AH1039" s="86"/>
      <c r="AI1039" s="86"/>
      <c r="AJ1039" s="86"/>
      <c r="AK1039" s="86"/>
      <c r="AL1039" s="86"/>
      <c r="AM1039" s="86"/>
      <c r="AN1039" s="86"/>
      <c r="AO1039" s="86"/>
      <c r="AP1039" s="86"/>
      <c r="AQ1039" s="86"/>
      <c r="AR1039" s="86"/>
      <c r="AS1039" s="86"/>
      <c r="AT1039" s="86"/>
      <c r="AU1039" s="86"/>
      <c r="AV1039" s="86"/>
      <c r="AW1039" s="86"/>
      <c r="AX1039" s="86"/>
      <c r="AY1039" s="86"/>
      <c r="AZ1039" s="86"/>
      <c r="BA1039" s="86"/>
      <c r="BB1039" s="86"/>
      <c r="BC1039" s="86"/>
      <c r="BD1039" s="86"/>
      <c r="BE1039" s="86"/>
      <c r="BF1039" s="86"/>
      <c r="BG1039" s="86"/>
      <c r="BH1039" s="86"/>
      <c r="BI1039" s="86"/>
    </row>
    <row r="1040" spans="1:61" ht="12.75" x14ac:dyDescent="0.2">
      <c r="A1040" s="86"/>
      <c r="B1040" s="86"/>
      <c r="C1040" s="86"/>
      <c r="D1040" s="86"/>
      <c r="E1040" s="86"/>
      <c r="F1040" s="86"/>
      <c r="G1040" s="86"/>
      <c r="H1040" s="86"/>
      <c r="I1040" s="86"/>
      <c r="J1040" s="86"/>
      <c r="K1040" s="86"/>
      <c r="L1040" s="86"/>
      <c r="M1040" s="86"/>
      <c r="N1040" s="86"/>
      <c r="O1040" s="86"/>
      <c r="P1040" s="86"/>
      <c r="Q1040" s="86"/>
      <c r="R1040" s="86"/>
      <c r="S1040" s="86"/>
      <c r="T1040" s="86"/>
      <c r="U1040" s="86"/>
      <c r="V1040" s="86"/>
      <c r="W1040" s="86"/>
      <c r="X1040" s="86"/>
      <c r="Y1040" s="86"/>
      <c r="Z1040" s="86"/>
      <c r="AA1040" s="86"/>
      <c r="AB1040" s="86"/>
      <c r="AC1040" s="86"/>
      <c r="AD1040" s="86"/>
      <c r="AE1040" s="86"/>
      <c r="AF1040" s="86"/>
      <c r="AG1040" s="86"/>
      <c r="AH1040" s="86"/>
      <c r="AI1040" s="86"/>
      <c r="AJ1040" s="86"/>
      <c r="AK1040" s="86"/>
      <c r="AL1040" s="86"/>
      <c r="AM1040" s="86"/>
      <c r="AN1040" s="86"/>
      <c r="AO1040" s="86"/>
      <c r="AP1040" s="86"/>
      <c r="AQ1040" s="86"/>
      <c r="AR1040" s="86"/>
      <c r="AS1040" s="86"/>
      <c r="AT1040" s="86"/>
      <c r="AU1040" s="86"/>
      <c r="AV1040" s="86"/>
      <c r="AW1040" s="86"/>
      <c r="AX1040" s="86"/>
      <c r="AY1040" s="86"/>
      <c r="AZ1040" s="86"/>
      <c r="BA1040" s="86"/>
      <c r="BB1040" s="86"/>
      <c r="BC1040" s="86"/>
      <c r="BD1040" s="86"/>
      <c r="BE1040" s="86"/>
      <c r="BF1040" s="86"/>
      <c r="BG1040" s="86"/>
      <c r="BH1040" s="86"/>
      <c r="BI1040" s="86"/>
    </row>
    <row r="1041" spans="1:61" ht="12.75" x14ac:dyDescent="0.2">
      <c r="A1041" s="86"/>
      <c r="B1041" s="86"/>
      <c r="C1041" s="86"/>
      <c r="D1041" s="86"/>
      <c r="E1041" s="86"/>
      <c r="F1041" s="86"/>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c r="AC1041" s="86"/>
      <c r="AD1041" s="86"/>
      <c r="AE1041" s="86"/>
      <c r="AF1041" s="86"/>
      <c r="AG1041" s="86"/>
      <c r="AH1041" s="86"/>
      <c r="AI1041" s="86"/>
      <c r="AJ1041" s="86"/>
      <c r="AK1041" s="86"/>
      <c r="AL1041" s="86"/>
      <c r="AM1041" s="86"/>
      <c r="AN1041" s="86"/>
      <c r="AO1041" s="86"/>
      <c r="AP1041" s="86"/>
      <c r="AQ1041" s="86"/>
      <c r="AR1041" s="86"/>
      <c r="AS1041" s="86"/>
      <c r="AT1041" s="86"/>
      <c r="AU1041" s="86"/>
      <c r="AV1041" s="86"/>
      <c r="AW1041" s="86"/>
      <c r="AX1041" s="86"/>
      <c r="AY1041" s="86"/>
      <c r="AZ1041" s="86"/>
      <c r="BA1041" s="86"/>
      <c r="BB1041" s="86"/>
      <c r="BC1041" s="86"/>
      <c r="BD1041" s="86"/>
      <c r="BE1041" s="86"/>
      <c r="BF1041" s="86"/>
      <c r="BG1041" s="86"/>
      <c r="BH1041" s="86"/>
      <c r="BI1041" s="86"/>
    </row>
    <row r="1042" spans="1:61" ht="12.75" x14ac:dyDescent="0.2">
      <c r="A1042" s="86"/>
      <c r="B1042" s="86"/>
      <c r="C1042" s="86"/>
      <c r="D1042" s="86"/>
      <c r="E1042" s="86"/>
      <c r="F1042" s="86"/>
      <c r="G1042" s="86"/>
      <c r="H1042" s="86"/>
      <c r="I1042" s="86"/>
      <c r="J1042" s="86"/>
      <c r="K1042" s="86"/>
      <c r="L1042" s="86"/>
      <c r="M1042" s="86"/>
      <c r="N1042" s="86"/>
      <c r="O1042" s="86"/>
      <c r="P1042" s="86"/>
      <c r="Q1042" s="86"/>
      <c r="R1042" s="86"/>
      <c r="S1042" s="86"/>
      <c r="T1042" s="86"/>
      <c r="U1042" s="86"/>
      <c r="V1042" s="86"/>
      <c r="W1042" s="86"/>
      <c r="X1042" s="86"/>
      <c r="Y1042" s="86"/>
      <c r="Z1042" s="86"/>
      <c r="AA1042" s="86"/>
      <c r="AB1042" s="86"/>
      <c r="AC1042" s="86"/>
      <c r="AD1042" s="86"/>
      <c r="AE1042" s="86"/>
      <c r="AF1042" s="86"/>
      <c r="AG1042" s="86"/>
      <c r="AH1042" s="86"/>
      <c r="AI1042" s="86"/>
      <c r="AJ1042" s="86"/>
      <c r="AK1042" s="86"/>
      <c r="AL1042" s="86"/>
      <c r="AM1042" s="86"/>
      <c r="AN1042" s="86"/>
      <c r="AO1042" s="86"/>
      <c r="AP1042" s="86"/>
      <c r="AQ1042" s="86"/>
      <c r="AR1042" s="86"/>
      <c r="AS1042" s="86"/>
      <c r="AT1042" s="86"/>
      <c r="AU1042" s="86"/>
      <c r="AV1042" s="86"/>
      <c r="AW1042" s="86"/>
      <c r="AX1042" s="86"/>
      <c r="AY1042" s="86"/>
      <c r="AZ1042" s="86"/>
      <c r="BA1042" s="86"/>
      <c r="BB1042" s="86"/>
      <c r="BC1042" s="86"/>
      <c r="BD1042" s="86"/>
      <c r="BE1042" s="86"/>
      <c r="BF1042" s="86"/>
      <c r="BG1042" s="86"/>
      <c r="BH1042" s="86"/>
      <c r="BI1042" s="86"/>
    </row>
    <row r="1043" spans="1:61" ht="12.75" x14ac:dyDescent="0.2">
      <c r="A1043" s="86"/>
      <c r="B1043" s="86"/>
      <c r="C1043" s="86"/>
      <c r="D1043" s="86"/>
      <c r="E1043" s="86"/>
      <c r="F1043" s="86"/>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c r="AC1043" s="86"/>
      <c r="AD1043" s="86"/>
      <c r="AE1043" s="86"/>
      <c r="AF1043" s="86"/>
      <c r="AG1043" s="86"/>
      <c r="AH1043" s="86"/>
      <c r="AI1043" s="86"/>
      <c r="AJ1043" s="86"/>
      <c r="AK1043" s="86"/>
      <c r="AL1043" s="86"/>
      <c r="AM1043" s="86"/>
      <c r="AN1043" s="86"/>
      <c r="AO1043" s="86"/>
      <c r="AP1043" s="86"/>
      <c r="AQ1043" s="86"/>
      <c r="AR1043" s="86"/>
      <c r="AS1043" s="86"/>
      <c r="AT1043" s="86"/>
      <c r="AU1043" s="86"/>
      <c r="AV1043" s="86"/>
      <c r="AW1043" s="86"/>
      <c r="AX1043" s="86"/>
      <c r="AY1043" s="86"/>
      <c r="AZ1043" s="86"/>
      <c r="BA1043" s="86"/>
      <c r="BB1043" s="86"/>
      <c r="BC1043" s="86"/>
      <c r="BD1043" s="86"/>
      <c r="BE1043" s="86"/>
      <c r="BF1043" s="86"/>
      <c r="BG1043" s="86"/>
      <c r="BH1043" s="86"/>
      <c r="BI1043" s="86"/>
    </row>
    <row r="1044" spans="1:61" ht="12.75" x14ac:dyDescent="0.2">
      <c r="A1044" s="86"/>
      <c r="B1044" s="86"/>
      <c r="C1044" s="86"/>
      <c r="D1044" s="86"/>
      <c r="E1044" s="86"/>
      <c r="F1044" s="86"/>
      <c r="G1044" s="86"/>
      <c r="H1044" s="86"/>
      <c r="I1044" s="86"/>
      <c r="J1044" s="86"/>
      <c r="K1044" s="86"/>
      <c r="L1044" s="86"/>
      <c r="M1044" s="86"/>
      <c r="N1044" s="86"/>
      <c r="O1044" s="86"/>
      <c r="P1044" s="86"/>
      <c r="Q1044" s="86"/>
      <c r="R1044" s="86"/>
      <c r="S1044" s="86"/>
      <c r="T1044" s="86"/>
      <c r="U1044" s="86"/>
      <c r="V1044" s="86"/>
      <c r="W1044" s="86"/>
      <c r="X1044" s="86"/>
      <c r="Y1044" s="86"/>
      <c r="Z1044" s="86"/>
      <c r="AA1044" s="86"/>
      <c r="AB1044" s="86"/>
      <c r="AC1044" s="86"/>
      <c r="AD1044" s="86"/>
      <c r="AE1044" s="86"/>
      <c r="AF1044" s="86"/>
      <c r="AG1044" s="86"/>
      <c r="AH1044" s="86"/>
      <c r="AI1044" s="86"/>
      <c r="AJ1044" s="86"/>
      <c r="AK1044" s="86"/>
      <c r="AL1044" s="86"/>
      <c r="AM1044" s="86"/>
      <c r="AN1044" s="86"/>
      <c r="AO1044" s="86"/>
      <c r="AP1044" s="86"/>
      <c r="AQ1044" s="86"/>
      <c r="AR1044" s="86"/>
      <c r="AS1044" s="86"/>
      <c r="AT1044" s="86"/>
      <c r="AU1044" s="86"/>
      <c r="AV1044" s="86"/>
      <c r="AW1044" s="86"/>
      <c r="AX1044" s="86"/>
      <c r="AY1044" s="86"/>
      <c r="AZ1044" s="86"/>
      <c r="BA1044" s="86"/>
      <c r="BB1044" s="86"/>
      <c r="BC1044" s="86"/>
      <c r="BD1044" s="86"/>
      <c r="BE1044" s="86"/>
      <c r="BF1044" s="86"/>
      <c r="BG1044" s="86"/>
      <c r="BH1044" s="86"/>
      <c r="BI1044" s="86"/>
    </row>
    <row r="1045" spans="1:61" ht="12.75" x14ac:dyDescent="0.2">
      <c r="A1045" s="86"/>
      <c r="B1045" s="86"/>
      <c r="C1045" s="86"/>
      <c r="D1045" s="86"/>
      <c r="E1045" s="86"/>
      <c r="F1045" s="86"/>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c r="AC1045" s="86"/>
      <c r="AD1045" s="86"/>
      <c r="AE1045" s="86"/>
      <c r="AF1045" s="86"/>
      <c r="AG1045" s="86"/>
      <c r="AH1045" s="86"/>
      <c r="AI1045" s="86"/>
      <c r="AJ1045" s="86"/>
      <c r="AK1045" s="86"/>
      <c r="AL1045" s="86"/>
      <c r="AM1045" s="86"/>
      <c r="AN1045" s="86"/>
      <c r="AO1045" s="86"/>
      <c r="AP1045" s="86"/>
      <c r="AQ1045" s="86"/>
      <c r="AR1045" s="86"/>
      <c r="AS1045" s="86"/>
      <c r="AT1045" s="86"/>
      <c r="AU1045" s="86"/>
      <c r="AV1045" s="86"/>
      <c r="AW1045" s="86"/>
      <c r="AX1045" s="86"/>
      <c r="AY1045" s="86"/>
      <c r="AZ1045" s="86"/>
      <c r="BA1045" s="86"/>
      <c r="BB1045" s="86"/>
      <c r="BC1045" s="86"/>
      <c r="BD1045" s="86"/>
      <c r="BE1045" s="86"/>
      <c r="BF1045" s="86"/>
      <c r="BG1045" s="86"/>
      <c r="BH1045" s="86"/>
      <c r="BI1045" s="86"/>
    </row>
    <row r="1046" spans="1:61" ht="12.75" x14ac:dyDescent="0.2">
      <c r="A1046" s="86"/>
      <c r="B1046" s="86"/>
      <c r="C1046" s="86"/>
      <c r="D1046" s="86"/>
      <c r="E1046" s="86"/>
      <c r="F1046" s="86"/>
      <c r="G1046" s="86"/>
      <c r="H1046" s="86"/>
      <c r="I1046" s="86"/>
      <c r="J1046" s="86"/>
      <c r="K1046" s="86"/>
      <c r="L1046" s="86"/>
      <c r="M1046" s="86"/>
      <c r="N1046" s="86"/>
      <c r="O1046" s="86"/>
      <c r="P1046" s="86"/>
      <c r="Q1046" s="86"/>
      <c r="R1046" s="86"/>
      <c r="S1046" s="86"/>
      <c r="T1046" s="86"/>
      <c r="U1046" s="86"/>
      <c r="V1046" s="86"/>
      <c r="W1046" s="86"/>
      <c r="X1046" s="86"/>
      <c r="Y1046" s="86"/>
      <c r="Z1046" s="86"/>
      <c r="AA1046" s="86"/>
      <c r="AB1046" s="86"/>
      <c r="AC1046" s="86"/>
      <c r="AD1046" s="86"/>
      <c r="AE1046" s="86"/>
      <c r="AF1046" s="86"/>
      <c r="AG1046" s="86"/>
      <c r="AH1046" s="86"/>
      <c r="AI1046" s="86"/>
      <c r="AJ1046" s="86"/>
      <c r="AK1046" s="86"/>
      <c r="AL1046" s="86"/>
      <c r="AM1046" s="86"/>
      <c r="AN1046" s="86"/>
      <c r="AO1046" s="86"/>
      <c r="AP1046" s="86"/>
      <c r="AQ1046" s="86"/>
      <c r="AR1046" s="86"/>
      <c r="AS1046" s="86"/>
      <c r="AT1046" s="86"/>
      <c r="AU1046" s="86"/>
      <c r="AV1046" s="86"/>
      <c r="AW1046" s="86"/>
      <c r="AX1046" s="86"/>
      <c r="AY1046" s="86"/>
      <c r="AZ1046" s="86"/>
      <c r="BA1046" s="86"/>
      <c r="BB1046" s="86"/>
      <c r="BC1046" s="86"/>
      <c r="BD1046" s="86"/>
      <c r="BE1046" s="86"/>
      <c r="BF1046" s="86"/>
      <c r="BG1046" s="86"/>
      <c r="BH1046" s="86"/>
      <c r="BI1046" s="86"/>
    </row>
    <row r="1047" spans="1:61" ht="12.75" x14ac:dyDescent="0.2">
      <c r="A1047" s="86"/>
      <c r="B1047" s="86"/>
      <c r="C1047" s="86"/>
      <c r="D1047" s="86"/>
      <c r="E1047" s="86"/>
      <c r="F1047" s="86"/>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c r="AC1047" s="86"/>
      <c r="AD1047" s="86"/>
      <c r="AE1047" s="86"/>
      <c r="AF1047" s="86"/>
      <c r="AG1047" s="86"/>
      <c r="AH1047" s="86"/>
      <c r="AI1047" s="86"/>
      <c r="AJ1047" s="86"/>
      <c r="AK1047" s="86"/>
      <c r="AL1047" s="86"/>
      <c r="AM1047" s="86"/>
      <c r="AN1047" s="86"/>
      <c r="AO1047" s="86"/>
      <c r="AP1047" s="86"/>
      <c r="AQ1047" s="86"/>
      <c r="AR1047" s="86"/>
      <c r="AS1047" s="86"/>
      <c r="AT1047" s="86"/>
      <c r="AU1047" s="86"/>
      <c r="AV1047" s="86"/>
      <c r="AW1047" s="86"/>
      <c r="AX1047" s="86"/>
      <c r="AY1047" s="86"/>
      <c r="AZ1047" s="86"/>
      <c r="BA1047" s="86"/>
      <c r="BB1047" s="86"/>
      <c r="BC1047" s="86"/>
      <c r="BD1047" s="86"/>
      <c r="BE1047" s="86"/>
      <c r="BF1047" s="86"/>
      <c r="BG1047" s="86"/>
      <c r="BH1047" s="86"/>
      <c r="BI1047" s="86"/>
    </row>
    <row r="1048" spans="1:61" ht="12.75" x14ac:dyDescent="0.2">
      <c r="A1048" s="86"/>
      <c r="B1048" s="86"/>
      <c r="C1048" s="86"/>
      <c r="D1048" s="86"/>
      <c r="E1048" s="86"/>
      <c r="F1048" s="86"/>
      <c r="G1048" s="86"/>
      <c r="H1048" s="86"/>
      <c r="I1048" s="86"/>
      <c r="J1048" s="86"/>
      <c r="K1048" s="86"/>
      <c r="L1048" s="86"/>
      <c r="M1048" s="86"/>
      <c r="N1048" s="86"/>
      <c r="O1048" s="86"/>
      <c r="P1048" s="86"/>
      <c r="Q1048" s="86"/>
      <c r="R1048" s="86"/>
      <c r="S1048" s="86"/>
      <c r="T1048" s="86"/>
      <c r="U1048" s="86"/>
      <c r="V1048" s="86"/>
      <c r="W1048" s="86"/>
      <c r="X1048" s="86"/>
      <c r="Y1048" s="86"/>
      <c r="Z1048" s="86"/>
      <c r="AA1048" s="86"/>
      <c r="AB1048" s="86"/>
      <c r="AC1048" s="86"/>
      <c r="AD1048" s="86"/>
      <c r="AE1048" s="86"/>
      <c r="AF1048" s="86"/>
      <c r="AG1048" s="86"/>
      <c r="AH1048" s="86"/>
      <c r="AI1048" s="86"/>
      <c r="AJ1048" s="86"/>
      <c r="AK1048" s="86"/>
      <c r="AL1048" s="86"/>
      <c r="AM1048" s="86"/>
      <c r="AN1048" s="86"/>
      <c r="AO1048" s="86"/>
      <c r="AP1048" s="86"/>
      <c r="AQ1048" s="86"/>
      <c r="AR1048" s="86"/>
      <c r="AS1048" s="86"/>
      <c r="AT1048" s="86"/>
      <c r="AU1048" s="86"/>
      <c r="AV1048" s="86"/>
      <c r="AW1048" s="86"/>
      <c r="AX1048" s="86"/>
      <c r="AY1048" s="86"/>
      <c r="AZ1048" s="86"/>
      <c r="BA1048" s="86"/>
      <c r="BB1048" s="86"/>
      <c r="BC1048" s="86"/>
      <c r="BD1048" s="86"/>
      <c r="BE1048" s="86"/>
      <c r="BF1048" s="86"/>
      <c r="BG1048" s="86"/>
      <c r="BH1048" s="86"/>
      <c r="BI1048" s="86"/>
    </row>
    <row r="1049" spans="1:61" ht="12.75" x14ac:dyDescent="0.2">
      <c r="A1049" s="86"/>
      <c r="B1049" s="86"/>
      <c r="C1049" s="86"/>
      <c r="D1049" s="86"/>
      <c r="E1049" s="86"/>
      <c r="F1049" s="86"/>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c r="AC1049" s="86"/>
      <c r="AD1049" s="86"/>
      <c r="AE1049" s="86"/>
      <c r="AF1049" s="86"/>
      <c r="AG1049" s="86"/>
      <c r="AH1049" s="86"/>
      <c r="AI1049" s="86"/>
      <c r="AJ1049" s="86"/>
      <c r="AK1049" s="86"/>
      <c r="AL1049" s="86"/>
      <c r="AM1049" s="86"/>
      <c r="AN1049" s="86"/>
      <c r="AO1049" s="86"/>
      <c r="AP1049" s="86"/>
      <c r="AQ1049" s="86"/>
      <c r="AR1049" s="86"/>
      <c r="AS1049" s="86"/>
      <c r="AT1049" s="86"/>
      <c r="AU1049" s="86"/>
      <c r="AV1049" s="86"/>
      <c r="AW1049" s="86"/>
      <c r="AX1049" s="86"/>
      <c r="AY1049" s="86"/>
      <c r="AZ1049" s="86"/>
      <c r="BA1049" s="86"/>
      <c r="BB1049" s="86"/>
      <c r="BC1049" s="86"/>
      <c r="BD1049" s="86"/>
      <c r="BE1049" s="86"/>
      <c r="BF1049" s="86"/>
      <c r="BG1049" s="86"/>
      <c r="BH1049" s="86"/>
      <c r="BI1049" s="86"/>
    </row>
    <row r="1050" spans="1:61" ht="12.75" x14ac:dyDescent="0.2">
      <c r="A1050" s="86"/>
      <c r="B1050" s="86"/>
      <c r="C1050" s="86"/>
      <c r="D1050" s="86"/>
      <c r="E1050" s="86"/>
      <c r="F1050" s="86"/>
      <c r="G1050" s="86"/>
      <c r="H1050" s="86"/>
      <c r="I1050" s="86"/>
      <c r="J1050" s="86"/>
      <c r="K1050" s="86"/>
      <c r="L1050" s="86"/>
      <c r="M1050" s="86"/>
      <c r="N1050" s="86"/>
      <c r="O1050" s="86"/>
      <c r="P1050" s="86"/>
      <c r="Q1050" s="86"/>
      <c r="R1050" s="86"/>
      <c r="S1050" s="86"/>
      <c r="T1050" s="86"/>
      <c r="U1050" s="86"/>
      <c r="V1050" s="86"/>
      <c r="W1050" s="86"/>
      <c r="X1050" s="86"/>
      <c r="Y1050" s="86"/>
      <c r="Z1050" s="86"/>
      <c r="AA1050" s="86"/>
      <c r="AB1050" s="86"/>
      <c r="AC1050" s="86"/>
      <c r="AD1050" s="86"/>
      <c r="AE1050" s="86"/>
      <c r="AF1050" s="86"/>
      <c r="AG1050" s="86"/>
      <c r="AH1050" s="86"/>
      <c r="AI1050" s="86"/>
      <c r="AJ1050" s="86"/>
      <c r="AK1050" s="86"/>
      <c r="AL1050" s="86"/>
      <c r="AM1050" s="86"/>
      <c r="AN1050" s="86"/>
      <c r="AO1050" s="86"/>
      <c r="AP1050" s="86"/>
      <c r="AQ1050" s="86"/>
      <c r="AR1050" s="86"/>
      <c r="AS1050" s="86"/>
      <c r="AT1050" s="86"/>
      <c r="AU1050" s="86"/>
      <c r="AV1050" s="86"/>
      <c r="AW1050" s="86"/>
      <c r="AX1050" s="86"/>
      <c r="AY1050" s="86"/>
      <c r="AZ1050" s="86"/>
      <c r="BA1050" s="86"/>
      <c r="BB1050" s="86"/>
      <c r="BC1050" s="86"/>
      <c r="BD1050" s="86"/>
      <c r="BE1050" s="86"/>
      <c r="BF1050" s="86"/>
      <c r="BG1050" s="86"/>
      <c r="BH1050" s="86"/>
      <c r="BI1050" s="86"/>
    </row>
    <row r="1051" spans="1:61" ht="12.75" x14ac:dyDescent="0.2">
      <c r="A1051" s="86"/>
      <c r="B1051" s="86"/>
      <c r="C1051" s="86"/>
      <c r="D1051" s="86"/>
      <c r="E1051" s="86"/>
      <c r="F1051" s="86"/>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c r="AC1051" s="86"/>
      <c r="AD1051" s="86"/>
      <c r="AE1051" s="86"/>
      <c r="AF1051" s="86"/>
      <c r="AG1051" s="86"/>
      <c r="AH1051" s="86"/>
      <c r="AI1051" s="86"/>
      <c r="AJ1051" s="86"/>
      <c r="AK1051" s="86"/>
      <c r="AL1051" s="86"/>
      <c r="AM1051" s="86"/>
      <c r="AN1051" s="86"/>
      <c r="AO1051" s="86"/>
      <c r="AP1051" s="86"/>
      <c r="AQ1051" s="86"/>
      <c r="AR1051" s="86"/>
      <c r="AS1051" s="86"/>
      <c r="AT1051" s="86"/>
      <c r="AU1051" s="86"/>
      <c r="AV1051" s="86"/>
      <c r="AW1051" s="86"/>
      <c r="AX1051" s="86"/>
      <c r="AY1051" s="86"/>
      <c r="AZ1051" s="86"/>
      <c r="BA1051" s="86"/>
      <c r="BB1051" s="86"/>
      <c r="BC1051" s="86"/>
      <c r="BD1051" s="86"/>
      <c r="BE1051" s="86"/>
      <c r="BF1051" s="86"/>
      <c r="BG1051" s="86"/>
      <c r="BH1051" s="86"/>
      <c r="BI1051" s="86"/>
    </row>
    <row r="1052" spans="1:61" ht="12.75" x14ac:dyDescent="0.2">
      <c r="A1052" s="86"/>
      <c r="B1052" s="86"/>
      <c r="C1052" s="86"/>
      <c r="D1052" s="86"/>
      <c r="E1052" s="86"/>
      <c r="F1052" s="86"/>
      <c r="G1052" s="86"/>
      <c r="H1052" s="86"/>
      <c r="I1052" s="86"/>
      <c r="J1052" s="86"/>
      <c r="K1052" s="86"/>
      <c r="L1052" s="86"/>
      <c r="M1052" s="86"/>
      <c r="N1052" s="86"/>
      <c r="O1052" s="86"/>
      <c r="P1052" s="86"/>
      <c r="Q1052" s="86"/>
      <c r="R1052" s="86"/>
      <c r="S1052" s="86"/>
      <c r="T1052" s="86"/>
      <c r="U1052" s="86"/>
      <c r="V1052" s="86"/>
      <c r="W1052" s="86"/>
      <c r="X1052" s="86"/>
      <c r="Y1052" s="86"/>
      <c r="Z1052" s="86"/>
      <c r="AA1052" s="86"/>
      <c r="AB1052" s="86"/>
      <c r="AC1052" s="86"/>
      <c r="AD1052" s="86"/>
      <c r="AE1052" s="86"/>
      <c r="AF1052" s="86"/>
      <c r="AG1052" s="86"/>
      <c r="AH1052" s="86"/>
      <c r="AI1052" s="86"/>
      <c r="AJ1052" s="86"/>
      <c r="AK1052" s="86"/>
      <c r="AL1052" s="86"/>
      <c r="AM1052" s="86"/>
      <c r="AN1052" s="86"/>
      <c r="AO1052" s="86"/>
      <c r="AP1052" s="86"/>
      <c r="AQ1052" s="86"/>
      <c r="AR1052" s="86"/>
      <c r="AS1052" s="86"/>
      <c r="AT1052" s="86"/>
      <c r="AU1052" s="86"/>
      <c r="AV1052" s="86"/>
      <c r="AW1052" s="86"/>
      <c r="AX1052" s="86"/>
      <c r="AY1052" s="86"/>
      <c r="AZ1052" s="86"/>
      <c r="BA1052" s="86"/>
      <c r="BB1052" s="86"/>
      <c r="BC1052" s="86"/>
      <c r="BD1052" s="86"/>
      <c r="BE1052" s="86"/>
      <c r="BF1052" s="86"/>
      <c r="BG1052" s="86"/>
      <c r="BH1052" s="86"/>
      <c r="BI1052" s="86"/>
    </row>
    <row r="1053" spans="1:61" ht="12.75" x14ac:dyDescent="0.2">
      <c r="A1053" s="86"/>
      <c r="B1053" s="86"/>
      <c r="C1053" s="86"/>
      <c r="D1053" s="86"/>
      <c r="E1053" s="86"/>
      <c r="F1053" s="86"/>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c r="AC1053" s="86"/>
      <c r="AD1053" s="86"/>
      <c r="AE1053" s="86"/>
      <c r="AF1053" s="86"/>
      <c r="AG1053" s="86"/>
      <c r="AH1053" s="86"/>
      <c r="AI1053" s="86"/>
      <c r="AJ1053" s="86"/>
      <c r="AK1053" s="86"/>
      <c r="AL1053" s="86"/>
      <c r="AM1053" s="86"/>
      <c r="AN1053" s="86"/>
      <c r="AO1053" s="86"/>
      <c r="AP1053" s="86"/>
      <c r="AQ1053" s="86"/>
      <c r="AR1053" s="86"/>
      <c r="AS1053" s="86"/>
      <c r="AT1053" s="86"/>
      <c r="AU1053" s="86"/>
      <c r="AV1053" s="86"/>
      <c r="AW1053" s="86"/>
      <c r="AX1053" s="86"/>
      <c r="AY1053" s="86"/>
      <c r="AZ1053" s="86"/>
      <c r="BA1053" s="86"/>
      <c r="BB1053" s="86"/>
      <c r="BC1053" s="86"/>
      <c r="BD1053" s="86"/>
      <c r="BE1053" s="86"/>
      <c r="BF1053" s="86"/>
      <c r="BG1053" s="86"/>
      <c r="BH1053" s="86"/>
      <c r="BI1053" s="86"/>
    </row>
    <row r="1054" spans="1:61" ht="12.75" x14ac:dyDescent="0.2">
      <c r="A1054" s="86"/>
      <c r="B1054" s="86"/>
      <c r="C1054" s="86"/>
      <c r="D1054" s="86"/>
      <c r="E1054" s="86"/>
      <c r="F1054" s="86"/>
      <c r="G1054" s="86"/>
      <c r="H1054" s="86"/>
      <c r="I1054" s="86"/>
      <c r="J1054" s="86"/>
      <c r="K1054" s="86"/>
      <c r="L1054" s="86"/>
      <c r="M1054" s="86"/>
      <c r="N1054" s="86"/>
      <c r="O1054" s="86"/>
      <c r="P1054" s="86"/>
      <c r="Q1054" s="86"/>
      <c r="R1054" s="86"/>
      <c r="S1054" s="86"/>
      <c r="T1054" s="86"/>
      <c r="U1054" s="86"/>
      <c r="V1054" s="86"/>
      <c r="W1054" s="86"/>
      <c r="X1054" s="86"/>
      <c r="Y1054" s="86"/>
      <c r="Z1054" s="86"/>
      <c r="AA1054" s="86"/>
      <c r="AB1054" s="86"/>
      <c r="AC1054" s="86"/>
      <c r="AD1054" s="86"/>
      <c r="AE1054" s="86"/>
      <c r="AF1054" s="86"/>
      <c r="AG1054" s="86"/>
      <c r="AH1054" s="86"/>
      <c r="AI1054" s="86"/>
      <c r="AJ1054" s="86"/>
      <c r="AK1054" s="86"/>
      <c r="AL1054" s="86"/>
      <c r="AM1054" s="86"/>
      <c r="AN1054" s="86"/>
      <c r="AO1054" s="86"/>
      <c r="AP1054" s="86"/>
      <c r="AQ1054" s="86"/>
      <c r="AR1054" s="86"/>
      <c r="AS1054" s="86"/>
      <c r="AT1054" s="86"/>
      <c r="AU1054" s="86"/>
      <c r="AV1054" s="86"/>
      <c r="AW1054" s="86"/>
      <c r="AX1054" s="86"/>
      <c r="AY1054" s="86"/>
      <c r="AZ1054" s="86"/>
      <c r="BA1054" s="86"/>
      <c r="BB1054" s="86"/>
      <c r="BC1054" s="86"/>
      <c r="BD1054" s="86"/>
      <c r="BE1054" s="86"/>
      <c r="BF1054" s="86"/>
      <c r="BG1054" s="86"/>
      <c r="BH1054" s="86"/>
      <c r="BI1054" s="86"/>
    </row>
    <row r="1055" spans="1:61" ht="12.75" x14ac:dyDescent="0.2">
      <c r="A1055" s="86"/>
      <c r="B1055" s="86"/>
      <c r="C1055" s="86"/>
      <c r="D1055" s="86"/>
      <c r="E1055" s="86"/>
      <c r="F1055" s="86"/>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c r="AC1055" s="86"/>
      <c r="AD1055" s="86"/>
      <c r="AE1055" s="86"/>
      <c r="AF1055" s="86"/>
      <c r="AG1055" s="86"/>
      <c r="AH1055" s="86"/>
      <c r="AI1055" s="86"/>
      <c r="AJ1055" s="86"/>
      <c r="AK1055" s="86"/>
      <c r="AL1055" s="86"/>
      <c r="AM1055" s="86"/>
      <c r="AN1055" s="86"/>
      <c r="AO1055" s="86"/>
      <c r="AP1055" s="86"/>
      <c r="AQ1055" s="86"/>
      <c r="AR1055" s="86"/>
      <c r="AS1055" s="86"/>
      <c r="AT1055" s="86"/>
      <c r="AU1055" s="86"/>
      <c r="AV1055" s="86"/>
      <c r="AW1055" s="86"/>
      <c r="AX1055" s="86"/>
      <c r="AY1055" s="86"/>
      <c r="AZ1055" s="86"/>
      <c r="BA1055" s="86"/>
      <c r="BB1055" s="86"/>
      <c r="BC1055" s="86"/>
      <c r="BD1055" s="86"/>
      <c r="BE1055" s="86"/>
      <c r="BF1055" s="86"/>
      <c r="BG1055" s="86"/>
      <c r="BH1055" s="86"/>
      <c r="BI1055" s="86"/>
    </row>
    <row r="1056" spans="1:61" ht="12.75" x14ac:dyDescent="0.2">
      <c r="A1056" s="86"/>
      <c r="B1056" s="86"/>
      <c r="C1056" s="86"/>
      <c r="D1056" s="86"/>
      <c r="E1056" s="86"/>
      <c r="F1056" s="86"/>
      <c r="G1056" s="86"/>
      <c r="H1056" s="86"/>
      <c r="I1056" s="86"/>
      <c r="J1056" s="86"/>
      <c r="K1056" s="86"/>
      <c r="L1056" s="86"/>
      <c r="M1056" s="86"/>
      <c r="N1056" s="86"/>
      <c r="O1056" s="86"/>
      <c r="P1056" s="86"/>
      <c r="Q1056" s="86"/>
      <c r="R1056" s="86"/>
      <c r="S1056" s="86"/>
      <c r="T1056" s="86"/>
      <c r="U1056" s="86"/>
      <c r="V1056" s="86"/>
      <c r="W1056" s="86"/>
      <c r="X1056" s="86"/>
      <c r="Y1056" s="86"/>
      <c r="Z1056" s="86"/>
      <c r="AA1056" s="86"/>
      <c r="AB1056" s="86"/>
      <c r="AC1056" s="86"/>
      <c r="AD1056" s="86"/>
      <c r="AE1056" s="86"/>
      <c r="AF1056" s="86"/>
      <c r="AG1056" s="86"/>
      <c r="AH1056" s="86"/>
      <c r="AI1056" s="86"/>
      <c r="AJ1056" s="86"/>
      <c r="AK1056" s="86"/>
      <c r="AL1056" s="86"/>
      <c r="AM1056" s="86"/>
      <c r="AN1056" s="86"/>
      <c r="AO1056" s="86"/>
      <c r="AP1056" s="86"/>
      <c r="AQ1056" s="86"/>
      <c r="AR1056" s="86"/>
      <c r="AS1056" s="86"/>
      <c r="AT1056" s="86"/>
      <c r="AU1056" s="86"/>
      <c r="AV1056" s="86"/>
      <c r="AW1056" s="86"/>
      <c r="AX1056" s="86"/>
      <c r="AY1056" s="86"/>
      <c r="AZ1056" s="86"/>
      <c r="BA1056" s="86"/>
      <c r="BB1056" s="86"/>
      <c r="BC1056" s="86"/>
      <c r="BD1056" s="86"/>
      <c r="BE1056" s="86"/>
      <c r="BF1056" s="86"/>
      <c r="BG1056" s="86"/>
      <c r="BH1056" s="86"/>
      <c r="BI1056" s="86"/>
    </row>
    <row r="1057" spans="1:61" ht="12.75" x14ac:dyDescent="0.2">
      <c r="A1057" s="86"/>
      <c r="B1057" s="86"/>
      <c r="C1057" s="86"/>
      <c r="D1057" s="86"/>
      <c r="E1057" s="86"/>
      <c r="F1057" s="86"/>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c r="AC1057" s="86"/>
      <c r="AD1057" s="86"/>
      <c r="AE1057" s="86"/>
      <c r="AF1057" s="86"/>
      <c r="AG1057" s="86"/>
      <c r="AH1057" s="86"/>
      <c r="AI1057" s="86"/>
      <c r="AJ1057" s="86"/>
      <c r="AK1057" s="86"/>
      <c r="AL1057" s="86"/>
      <c r="AM1057" s="86"/>
      <c r="AN1057" s="86"/>
      <c r="AO1057" s="86"/>
      <c r="AP1057" s="86"/>
      <c r="AQ1057" s="86"/>
      <c r="AR1057" s="86"/>
      <c r="AS1057" s="86"/>
      <c r="AT1057" s="86"/>
      <c r="AU1057" s="86"/>
      <c r="AV1057" s="86"/>
      <c r="AW1057" s="86"/>
      <c r="AX1057" s="86"/>
      <c r="AY1057" s="86"/>
      <c r="AZ1057" s="86"/>
      <c r="BA1057" s="86"/>
      <c r="BB1057" s="86"/>
      <c r="BC1057" s="86"/>
      <c r="BD1057" s="86"/>
      <c r="BE1057" s="86"/>
      <c r="BF1057" s="86"/>
      <c r="BG1057" s="86"/>
      <c r="BH1057" s="86"/>
      <c r="BI1057" s="86"/>
    </row>
    <row r="1058" spans="1:61" ht="12.75" x14ac:dyDescent="0.2">
      <c r="A1058" s="86"/>
      <c r="B1058" s="86"/>
      <c r="C1058" s="86"/>
      <c r="D1058" s="86"/>
      <c r="E1058" s="86"/>
      <c r="F1058" s="86"/>
      <c r="G1058" s="86"/>
      <c r="H1058" s="86"/>
      <c r="I1058" s="86"/>
      <c r="J1058" s="86"/>
      <c r="K1058" s="86"/>
      <c r="L1058" s="86"/>
      <c r="M1058" s="86"/>
      <c r="N1058" s="86"/>
      <c r="O1058" s="86"/>
      <c r="P1058" s="86"/>
      <c r="Q1058" s="86"/>
      <c r="R1058" s="86"/>
      <c r="S1058" s="86"/>
      <c r="T1058" s="86"/>
      <c r="U1058" s="86"/>
      <c r="V1058" s="86"/>
      <c r="W1058" s="86"/>
      <c r="X1058" s="86"/>
      <c r="Y1058" s="86"/>
      <c r="Z1058" s="86"/>
      <c r="AA1058" s="86"/>
      <c r="AB1058" s="86"/>
      <c r="AC1058" s="86"/>
      <c r="AD1058" s="86"/>
      <c r="AE1058" s="86"/>
      <c r="AF1058" s="86"/>
      <c r="AG1058" s="86"/>
      <c r="AH1058" s="86"/>
      <c r="AI1058" s="86"/>
      <c r="AJ1058" s="86"/>
      <c r="AK1058" s="86"/>
      <c r="AL1058" s="86"/>
      <c r="AM1058" s="86"/>
      <c r="AN1058" s="86"/>
      <c r="AO1058" s="86"/>
      <c r="AP1058" s="86"/>
      <c r="AQ1058" s="86"/>
      <c r="AR1058" s="86"/>
      <c r="AS1058" s="86"/>
      <c r="AT1058" s="86"/>
      <c r="AU1058" s="86"/>
      <c r="AV1058" s="86"/>
      <c r="AW1058" s="86"/>
      <c r="AX1058" s="86"/>
      <c r="AY1058" s="86"/>
      <c r="AZ1058" s="86"/>
      <c r="BA1058" s="86"/>
      <c r="BB1058" s="86"/>
      <c r="BC1058" s="86"/>
      <c r="BD1058" s="86"/>
      <c r="BE1058" s="86"/>
      <c r="BF1058" s="86"/>
      <c r="BG1058" s="86"/>
      <c r="BH1058" s="86"/>
      <c r="BI1058" s="86"/>
    </row>
    <row r="1059" spans="1:61" ht="12.75" x14ac:dyDescent="0.2">
      <c r="A1059" s="86"/>
      <c r="B1059" s="86"/>
      <c r="C1059" s="86"/>
      <c r="D1059" s="86"/>
      <c r="E1059" s="86"/>
      <c r="F1059" s="86"/>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c r="AC1059" s="86"/>
      <c r="AD1059" s="86"/>
      <c r="AE1059" s="86"/>
      <c r="AF1059" s="86"/>
      <c r="AG1059" s="86"/>
      <c r="AH1059" s="86"/>
      <c r="AI1059" s="86"/>
      <c r="AJ1059" s="86"/>
      <c r="AK1059" s="86"/>
      <c r="AL1059" s="86"/>
      <c r="AM1059" s="86"/>
      <c r="AN1059" s="86"/>
      <c r="AO1059" s="86"/>
      <c r="AP1059" s="86"/>
      <c r="AQ1059" s="86"/>
      <c r="AR1059" s="86"/>
      <c r="AS1059" s="86"/>
      <c r="AT1059" s="86"/>
      <c r="AU1059" s="86"/>
      <c r="AV1059" s="86"/>
      <c r="AW1059" s="86"/>
      <c r="AX1059" s="86"/>
      <c r="AY1059" s="86"/>
      <c r="AZ1059" s="86"/>
      <c r="BA1059" s="86"/>
      <c r="BB1059" s="86"/>
      <c r="BC1059" s="86"/>
      <c r="BD1059" s="86"/>
      <c r="BE1059" s="86"/>
      <c r="BF1059" s="86"/>
      <c r="BG1059" s="86"/>
      <c r="BH1059" s="86"/>
      <c r="BI1059" s="86"/>
    </row>
    <row r="1060" spans="1:61" ht="12.75" x14ac:dyDescent="0.2">
      <c r="A1060" s="86"/>
      <c r="B1060" s="86"/>
      <c r="C1060" s="86"/>
      <c r="D1060" s="86"/>
      <c r="E1060" s="86"/>
      <c r="F1060" s="86"/>
      <c r="G1060" s="86"/>
      <c r="H1060" s="86"/>
      <c r="I1060" s="86"/>
      <c r="J1060" s="86"/>
      <c r="K1060" s="86"/>
      <c r="L1060" s="86"/>
      <c r="M1060" s="86"/>
      <c r="N1060" s="86"/>
      <c r="O1060" s="86"/>
      <c r="P1060" s="86"/>
      <c r="Q1060" s="86"/>
      <c r="R1060" s="86"/>
      <c r="S1060" s="86"/>
      <c r="T1060" s="86"/>
      <c r="U1060" s="86"/>
      <c r="V1060" s="86"/>
      <c r="W1060" s="86"/>
      <c r="X1060" s="86"/>
      <c r="Y1060" s="86"/>
      <c r="Z1060" s="86"/>
      <c r="AA1060" s="86"/>
      <c r="AB1060" s="86"/>
      <c r="AC1060" s="86"/>
      <c r="AD1060" s="86"/>
      <c r="AE1060" s="86"/>
      <c r="AF1060" s="86"/>
      <c r="AG1060" s="86"/>
      <c r="AH1060" s="86"/>
      <c r="AI1060" s="86"/>
      <c r="AJ1060" s="86"/>
      <c r="AK1060" s="86"/>
      <c r="AL1060" s="86"/>
      <c r="AM1060" s="86"/>
      <c r="AN1060" s="86"/>
      <c r="AO1060" s="86"/>
      <c r="AP1060" s="86"/>
      <c r="AQ1060" s="86"/>
      <c r="AR1060" s="86"/>
      <c r="AS1060" s="86"/>
      <c r="AT1060" s="86"/>
      <c r="AU1060" s="86"/>
      <c r="AV1060" s="86"/>
      <c r="AW1060" s="86"/>
      <c r="AX1060" s="86"/>
      <c r="AY1060" s="86"/>
      <c r="AZ1060" s="86"/>
      <c r="BA1060" s="86"/>
      <c r="BB1060" s="86"/>
      <c r="BC1060" s="86"/>
      <c r="BD1060" s="86"/>
      <c r="BE1060" s="86"/>
      <c r="BF1060" s="86"/>
      <c r="BG1060" s="86"/>
      <c r="BH1060" s="86"/>
      <c r="BI1060" s="86"/>
    </row>
    <row r="1061" spans="1:61" ht="12.75" x14ac:dyDescent="0.2">
      <c r="A1061" s="86"/>
      <c r="B1061" s="86"/>
      <c r="C1061" s="86"/>
      <c r="D1061" s="86"/>
      <c r="E1061" s="86"/>
      <c r="F1061" s="86"/>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c r="AC1061" s="86"/>
      <c r="AD1061" s="86"/>
      <c r="AE1061" s="86"/>
      <c r="AF1061" s="86"/>
      <c r="AG1061" s="86"/>
      <c r="AH1061" s="86"/>
      <c r="AI1061" s="86"/>
      <c r="AJ1061" s="86"/>
      <c r="AK1061" s="86"/>
      <c r="AL1061" s="86"/>
      <c r="AM1061" s="86"/>
      <c r="AN1061" s="86"/>
      <c r="AO1061" s="86"/>
      <c r="AP1061" s="86"/>
      <c r="AQ1061" s="86"/>
      <c r="AR1061" s="86"/>
      <c r="AS1061" s="86"/>
      <c r="AT1061" s="86"/>
      <c r="AU1061" s="86"/>
      <c r="AV1061" s="86"/>
      <c r="AW1061" s="86"/>
      <c r="AX1061" s="86"/>
      <c r="AY1061" s="86"/>
      <c r="AZ1061" s="86"/>
      <c r="BA1061" s="86"/>
      <c r="BB1061" s="86"/>
      <c r="BC1061" s="86"/>
      <c r="BD1061" s="86"/>
      <c r="BE1061" s="86"/>
      <c r="BF1061" s="86"/>
      <c r="BG1061" s="86"/>
      <c r="BH1061" s="86"/>
      <c r="BI1061" s="86"/>
    </row>
    <row r="1062" spans="1:61" ht="12.75" x14ac:dyDescent="0.2">
      <c r="A1062" s="86"/>
      <c r="B1062" s="86"/>
      <c r="C1062" s="86"/>
      <c r="D1062" s="86"/>
      <c r="E1062" s="86"/>
      <c r="F1062" s="86"/>
      <c r="G1062" s="86"/>
      <c r="H1062" s="86"/>
      <c r="I1062" s="86"/>
      <c r="J1062" s="86"/>
      <c r="K1062" s="86"/>
      <c r="L1062" s="86"/>
      <c r="M1062" s="86"/>
      <c r="N1062" s="86"/>
      <c r="O1062" s="86"/>
      <c r="P1062" s="86"/>
      <c r="Q1062" s="86"/>
      <c r="R1062" s="86"/>
      <c r="S1062" s="86"/>
      <c r="T1062" s="86"/>
      <c r="U1062" s="86"/>
      <c r="V1062" s="86"/>
      <c r="W1062" s="86"/>
      <c r="X1062" s="86"/>
      <c r="Y1062" s="86"/>
      <c r="Z1062" s="86"/>
      <c r="AA1062" s="86"/>
      <c r="AB1062" s="86"/>
      <c r="AC1062" s="86"/>
      <c r="AD1062" s="86"/>
      <c r="AE1062" s="86"/>
      <c r="AF1062" s="86"/>
      <c r="AG1062" s="86"/>
      <c r="AH1062" s="86"/>
      <c r="AI1062" s="86"/>
      <c r="AJ1062" s="86"/>
      <c r="AK1062" s="86"/>
      <c r="AL1062" s="86"/>
      <c r="AM1062" s="86"/>
      <c r="AN1062" s="86"/>
      <c r="AO1062" s="86"/>
      <c r="AP1062" s="86"/>
      <c r="AQ1062" s="86"/>
      <c r="AR1062" s="86"/>
      <c r="AS1062" s="86"/>
      <c r="AT1062" s="86"/>
      <c r="AU1062" s="86"/>
      <c r="AV1062" s="86"/>
      <c r="AW1062" s="86"/>
      <c r="AX1062" s="86"/>
      <c r="AY1062" s="86"/>
      <c r="AZ1062" s="86"/>
      <c r="BA1062" s="86"/>
      <c r="BB1062" s="86"/>
      <c r="BC1062" s="86"/>
      <c r="BD1062" s="86"/>
      <c r="BE1062" s="86"/>
      <c r="BF1062" s="86"/>
      <c r="BG1062" s="86"/>
      <c r="BH1062" s="86"/>
      <c r="BI1062" s="86"/>
    </row>
    <row r="1063" spans="1:61" ht="12.75" x14ac:dyDescent="0.2">
      <c r="A1063" s="86"/>
      <c r="B1063" s="86"/>
      <c r="C1063" s="86"/>
      <c r="D1063" s="86"/>
      <c r="E1063" s="86"/>
      <c r="F1063" s="86"/>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c r="AC1063" s="86"/>
      <c r="AD1063" s="86"/>
      <c r="AE1063" s="86"/>
      <c r="AF1063" s="86"/>
      <c r="AG1063" s="86"/>
      <c r="AH1063" s="86"/>
      <c r="AI1063" s="86"/>
      <c r="AJ1063" s="86"/>
      <c r="AK1063" s="86"/>
      <c r="AL1063" s="86"/>
      <c r="AM1063" s="86"/>
      <c r="AN1063" s="86"/>
      <c r="AO1063" s="86"/>
      <c r="AP1063" s="86"/>
      <c r="AQ1063" s="86"/>
      <c r="AR1063" s="86"/>
      <c r="AS1063" s="86"/>
      <c r="AT1063" s="86"/>
      <c r="AU1063" s="86"/>
      <c r="AV1063" s="86"/>
      <c r="AW1063" s="86"/>
      <c r="AX1063" s="86"/>
      <c r="AY1063" s="86"/>
      <c r="AZ1063" s="86"/>
      <c r="BA1063" s="86"/>
      <c r="BB1063" s="86"/>
      <c r="BC1063" s="86"/>
      <c r="BD1063" s="86"/>
      <c r="BE1063" s="86"/>
      <c r="BF1063" s="86"/>
      <c r="BG1063" s="86"/>
      <c r="BH1063" s="86"/>
      <c r="BI1063" s="86"/>
    </row>
    <row r="1064" spans="1:61" ht="12.75" x14ac:dyDescent="0.2">
      <c r="A1064" s="86"/>
      <c r="B1064" s="86"/>
      <c r="C1064" s="86"/>
      <c r="D1064" s="86"/>
      <c r="E1064" s="86"/>
      <c r="F1064" s="86"/>
      <c r="G1064" s="86"/>
      <c r="H1064" s="86"/>
      <c r="I1064" s="86"/>
      <c r="J1064" s="86"/>
      <c r="K1064" s="86"/>
      <c r="L1064" s="86"/>
      <c r="M1064" s="86"/>
      <c r="N1064" s="86"/>
      <c r="O1064" s="86"/>
      <c r="P1064" s="86"/>
      <c r="Q1064" s="86"/>
      <c r="R1064" s="86"/>
      <c r="S1064" s="86"/>
      <c r="T1064" s="86"/>
      <c r="U1064" s="86"/>
      <c r="V1064" s="86"/>
      <c r="W1064" s="86"/>
      <c r="X1064" s="86"/>
      <c r="Y1064" s="86"/>
      <c r="Z1064" s="86"/>
      <c r="AA1064" s="86"/>
      <c r="AB1064" s="86"/>
      <c r="AC1064" s="86"/>
      <c r="AD1064" s="86"/>
      <c r="AE1064" s="86"/>
      <c r="AF1064" s="86"/>
      <c r="AG1064" s="86"/>
      <c r="AH1064" s="86"/>
      <c r="AI1064" s="86"/>
      <c r="AJ1064" s="86"/>
      <c r="AK1064" s="86"/>
      <c r="AL1064" s="86"/>
      <c r="AM1064" s="86"/>
      <c r="AN1064" s="86"/>
      <c r="AO1064" s="86"/>
      <c r="AP1064" s="86"/>
      <c r="AQ1064" s="86"/>
      <c r="AR1064" s="86"/>
      <c r="AS1064" s="86"/>
      <c r="AT1064" s="86"/>
      <c r="AU1064" s="86"/>
      <c r="AV1064" s="86"/>
      <c r="AW1064" s="86"/>
      <c r="AX1064" s="86"/>
      <c r="AY1064" s="86"/>
      <c r="AZ1064" s="86"/>
      <c r="BA1064" s="86"/>
      <c r="BB1064" s="86"/>
      <c r="BC1064" s="86"/>
      <c r="BD1064" s="86"/>
      <c r="BE1064" s="86"/>
      <c r="BF1064" s="86"/>
      <c r="BG1064" s="86"/>
      <c r="BH1064" s="86"/>
      <c r="BI1064" s="86"/>
    </row>
    <row r="1065" spans="1:61" ht="12.75" x14ac:dyDescent="0.2">
      <c r="A1065" s="86"/>
      <c r="B1065" s="86"/>
      <c r="C1065" s="86"/>
      <c r="D1065" s="86"/>
      <c r="E1065" s="86"/>
      <c r="F1065" s="86"/>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c r="AC1065" s="86"/>
      <c r="AD1065" s="86"/>
      <c r="AE1065" s="86"/>
      <c r="AF1065" s="86"/>
      <c r="AG1065" s="86"/>
      <c r="AH1065" s="86"/>
      <c r="AI1065" s="86"/>
      <c r="AJ1065" s="86"/>
      <c r="AK1065" s="86"/>
      <c r="AL1065" s="86"/>
      <c r="AM1065" s="86"/>
      <c r="AN1065" s="86"/>
      <c r="AO1065" s="86"/>
      <c r="AP1065" s="86"/>
      <c r="AQ1065" s="86"/>
      <c r="AR1065" s="86"/>
      <c r="AS1065" s="86"/>
      <c r="AT1065" s="86"/>
      <c r="AU1065" s="86"/>
      <c r="AV1065" s="86"/>
      <c r="AW1065" s="86"/>
      <c r="AX1065" s="86"/>
      <c r="AY1065" s="86"/>
      <c r="AZ1065" s="86"/>
      <c r="BA1065" s="86"/>
      <c r="BB1065" s="86"/>
      <c r="BC1065" s="86"/>
      <c r="BD1065" s="86"/>
      <c r="BE1065" s="86"/>
      <c r="BF1065" s="86"/>
      <c r="BG1065" s="86"/>
      <c r="BH1065" s="86"/>
      <c r="BI1065" s="86"/>
    </row>
    <row r="1066" spans="1:61" ht="12.75" x14ac:dyDescent="0.2">
      <c r="A1066" s="86"/>
      <c r="B1066" s="86"/>
      <c r="C1066" s="86"/>
      <c r="D1066" s="86"/>
      <c r="E1066" s="86"/>
      <c r="F1066" s="86"/>
      <c r="G1066" s="86"/>
      <c r="H1066" s="86"/>
      <c r="I1066" s="86"/>
      <c r="J1066" s="86"/>
      <c r="K1066" s="86"/>
      <c r="L1066" s="86"/>
      <c r="M1066" s="86"/>
      <c r="N1066" s="86"/>
      <c r="O1066" s="86"/>
      <c r="P1066" s="86"/>
      <c r="Q1066" s="86"/>
      <c r="R1066" s="86"/>
      <c r="S1066" s="86"/>
      <c r="T1066" s="86"/>
      <c r="U1066" s="86"/>
      <c r="V1066" s="86"/>
      <c r="W1066" s="86"/>
      <c r="X1066" s="86"/>
      <c r="Y1066" s="86"/>
      <c r="Z1066" s="86"/>
      <c r="AA1066" s="86"/>
      <c r="AB1066" s="86"/>
      <c r="AC1066" s="86"/>
      <c r="AD1066" s="86"/>
      <c r="AE1066" s="86"/>
      <c r="AF1066" s="86"/>
      <c r="AG1066" s="86"/>
      <c r="AH1066" s="86"/>
      <c r="AI1066" s="86"/>
      <c r="AJ1066" s="86"/>
      <c r="AK1066" s="86"/>
      <c r="AL1066" s="86"/>
      <c r="AM1066" s="86"/>
      <c r="AN1066" s="86"/>
      <c r="AO1066" s="86"/>
      <c r="AP1066" s="86"/>
      <c r="AQ1066" s="86"/>
      <c r="AR1066" s="86"/>
      <c r="AS1066" s="86"/>
      <c r="AT1066" s="86"/>
      <c r="AU1066" s="86"/>
      <c r="AV1066" s="86"/>
      <c r="AW1066" s="86"/>
      <c r="AX1066" s="86"/>
      <c r="AY1066" s="86"/>
      <c r="AZ1066" s="86"/>
      <c r="BA1066" s="86"/>
      <c r="BB1066" s="86"/>
      <c r="BC1066" s="86"/>
      <c r="BD1066" s="86"/>
      <c r="BE1066" s="86"/>
      <c r="BF1066" s="86"/>
      <c r="BG1066" s="86"/>
      <c r="BH1066" s="86"/>
      <c r="BI1066" s="86"/>
    </row>
    <row r="1067" spans="1:61" ht="12.75" x14ac:dyDescent="0.2">
      <c r="A1067" s="86"/>
      <c r="B1067" s="86"/>
      <c r="C1067" s="86"/>
      <c r="D1067" s="86"/>
      <c r="E1067" s="86"/>
      <c r="F1067" s="86"/>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c r="AC1067" s="86"/>
      <c r="AD1067" s="86"/>
      <c r="AE1067" s="86"/>
      <c r="AF1067" s="86"/>
      <c r="AG1067" s="86"/>
      <c r="AH1067" s="86"/>
      <c r="AI1067" s="86"/>
      <c r="AJ1067" s="86"/>
      <c r="AK1067" s="86"/>
      <c r="AL1067" s="86"/>
      <c r="AM1067" s="86"/>
      <c r="AN1067" s="86"/>
      <c r="AO1067" s="86"/>
      <c r="AP1067" s="86"/>
      <c r="AQ1067" s="86"/>
      <c r="AR1067" s="86"/>
      <c r="AS1067" s="86"/>
      <c r="AT1067" s="86"/>
      <c r="AU1067" s="86"/>
      <c r="AV1067" s="86"/>
      <c r="AW1067" s="86"/>
      <c r="AX1067" s="86"/>
      <c r="AY1067" s="86"/>
      <c r="AZ1067" s="86"/>
      <c r="BA1067" s="86"/>
      <c r="BB1067" s="86"/>
      <c r="BC1067" s="86"/>
      <c r="BD1067" s="86"/>
      <c r="BE1067" s="86"/>
      <c r="BF1067" s="86"/>
      <c r="BG1067" s="86"/>
      <c r="BH1067" s="86"/>
      <c r="BI1067" s="86"/>
    </row>
    <row r="1068" spans="1:61" ht="12.75" x14ac:dyDescent="0.2">
      <c r="A1068" s="86"/>
      <c r="B1068" s="86"/>
      <c r="C1068" s="86"/>
      <c r="D1068" s="86"/>
      <c r="E1068" s="86"/>
      <c r="F1068" s="86"/>
      <c r="G1068" s="86"/>
      <c r="H1068" s="86"/>
      <c r="I1068" s="86"/>
      <c r="J1068" s="86"/>
      <c r="K1068" s="86"/>
      <c r="L1068" s="86"/>
      <c r="M1068" s="86"/>
      <c r="N1068" s="86"/>
      <c r="O1068" s="86"/>
      <c r="P1068" s="86"/>
      <c r="Q1068" s="86"/>
      <c r="R1068" s="86"/>
      <c r="S1068" s="86"/>
      <c r="T1068" s="86"/>
      <c r="U1068" s="86"/>
      <c r="V1068" s="86"/>
      <c r="W1068" s="86"/>
      <c r="X1068" s="86"/>
      <c r="Y1068" s="86"/>
      <c r="Z1068" s="86"/>
      <c r="AA1068" s="86"/>
      <c r="AB1068" s="86"/>
      <c r="AC1068" s="86"/>
      <c r="AD1068" s="86"/>
      <c r="AE1068" s="86"/>
      <c r="AF1068" s="86"/>
      <c r="AG1068" s="86"/>
      <c r="AH1068" s="86"/>
      <c r="AI1068" s="86"/>
      <c r="AJ1068" s="86"/>
      <c r="AK1068" s="86"/>
      <c r="AL1068" s="86"/>
      <c r="AM1068" s="86"/>
      <c r="AN1068" s="86"/>
      <c r="AO1068" s="86"/>
      <c r="AP1068" s="86"/>
      <c r="AQ1068" s="86"/>
      <c r="AR1068" s="86"/>
      <c r="AS1068" s="86"/>
      <c r="AT1068" s="86"/>
      <c r="AU1068" s="86"/>
      <c r="AV1068" s="86"/>
      <c r="AW1068" s="86"/>
      <c r="AX1068" s="86"/>
      <c r="AY1068" s="86"/>
      <c r="AZ1068" s="86"/>
      <c r="BA1068" s="86"/>
      <c r="BB1068" s="86"/>
      <c r="BC1068" s="86"/>
      <c r="BD1068" s="86"/>
      <c r="BE1068" s="86"/>
      <c r="BF1068" s="86"/>
      <c r="BG1068" s="86"/>
      <c r="BH1068" s="86"/>
      <c r="BI1068" s="86"/>
    </row>
    <row r="1069" spans="1:61" ht="12.75" x14ac:dyDescent="0.2">
      <c r="A1069" s="86"/>
      <c r="B1069" s="86"/>
      <c r="C1069" s="86"/>
      <c r="D1069" s="86"/>
      <c r="E1069" s="86"/>
      <c r="F1069" s="86"/>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c r="AC1069" s="86"/>
      <c r="AD1069" s="86"/>
      <c r="AE1069" s="86"/>
      <c r="AF1069" s="86"/>
      <c r="AG1069" s="86"/>
      <c r="AH1069" s="86"/>
      <c r="AI1069" s="86"/>
      <c r="AJ1069" s="86"/>
      <c r="AK1069" s="86"/>
      <c r="AL1069" s="86"/>
      <c r="AM1069" s="86"/>
      <c r="AN1069" s="86"/>
      <c r="AO1069" s="86"/>
      <c r="AP1069" s="86"/>
      <c r="AQ1069" s="86"/>
      <c r="AR1069" s="86"/>
      <c r="AS1069" s="86"/>
      <c r="AT1069" s="86"/>
      <c r="AU1069" s="86"/>
      <c r="AV1069" s="86"/>
      <c r="AW1069" s="86"/>
      <c r="AX1069" s="86"/>
      <c r="AY1069" s="86"/>
      <c r="AZ1069" s="86"/>
      <c r="BA1069" s="86"/>
      <c r="BB1069" s="86"/>
      <c r="BC1069" s="86"/>
      <c r="BD1069" s="86"/>
      <c r="BE1069" s="86"/>
      <c r="BF1069" s="86"/>
      <c r="BG1069" s="86"/>
      <c r="BH1069" s="86"/>
      <c r="BI1069" s="86"/>
    </row>
    <row r="1070" spans="1:61" ht="12.75" x14ac:dyDescent="0.2">
      <c r="A1070" s="86"/>
      <c r="B1070" s="86"/>
      <c r="C1070" s="86"/>
      <c r="D1070" s="86"/>
      <c r="E1070" s="86"/>
      <c r="F1070" s="86"/>
      <c r="G1070" s="86"/>
      <c r="H1070" s="86"/>
      <c r="I1070" s="86"/>
      <c r="J1070" s="86"/>
      <c r="K1070" s="86"/>
      <c r="L1070" s="86"/>
      <c r="M1070" s="86"/>
      <c r="N1070" s="86"/>
      <c r="O1070" s="86"/>
      <c r="P1070" s="86"/>
      <c r="Q1070" s="86"/>
      <c r="R1070" s="86"/>
      <c r="S1070" s="86"/>
      <c r="T1070" s="86"/>
      <c r="U1070" s="86"/>
      <c r="V1070" s="86"/>
      <c r="W1070" s="86"/>
      <c r="X1070" s="86"/>
      <c r="Y1070" s="86"/>
      <c r="Z1070" s="86"/>
      <c r="AA1070" s="86"/>
      <c r="AB1070" s="86"/>
      <c r="AC1070" s="86"/>
      <c r="AD1070" s="86"/>
      <c r="AE1070" s="86"/>
      <c r="AF1070" s="86"/>
      <c r="AG1070" s="86"/>
      <c r="AH1070" s="86"/>
      <c r="AI1070" s="86"/>
      <c r="AJ1070" s="86"/>
      <c r="AK1070" s="86"/>
      <c r="AL1070" s="86"/>
      <c r="AM1070" s="86"/>
      <c r="AN1070" s="86"/>
      <c r="AO1070" s="86"/>
      <c r="AP1070" s="86"/>
      <c r="AQ1070" s="86"/>
      <c r="AR1070" s="86"/>
      <c r="AS1070" s="86"/>
      <c r="AT1070" s="86"/>
      <c r="AU1070" s="86"/>
      <c r="AV1070" s="86"/>
      <c r="AW1070" s="86"/>
      <c r="AX1070" s="86"/>
      <c r="AY1070" s="86"/>
      <c r="AZ1070" s="86"/>
      <c r="BA1070" s="86"/>
      <c r="BB1070" s="86"/>
      <c r="BC1070" s="86"/>
      <c r="BD1070" s="86"/>
      <c r="BE1070" s="86"/>
      <c r="BF1070" s="86"/>
      <c r="BG1070" s="86"/>
      <c r="BH1070" s="86"/>
      <c r="BI1070" s="86"/>
    </row>
    <row r="1071" spans="1:61" ht="12.75" x14ac:dyDescent="0.2">
      <c r="A1071" s="86"/>
      <c r="B1071" s="86"/>
      <c r="C1071" s="86"/>
      <c r="D1071" s="86"/>
      <c r="E1071" s="86"/>
      <c r="F1071" s="86"/>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c r="AC1071" s="86"/>
      <c r="AD1071" s="86"/>
      <c r="AE1071" s="86"/>
      <c r="AF1071" s="86"/>
      <c r="AG1071" s="86"/>
      <c r="AH1071" s="86"/>
      <c r="AI1071" s="86"/>
      <c r="AJ1071" s="86"/>
      <c r="AK1071" s="86"/>
      <c r="AL1071" s="86"/>
      <c r="AM1071" s="86"/>
      <c r="AN1071" s="86"/>
      <c r="AO1071" s="86"/>
      <c r="AP1071" s="86"/>
      <c r="AQ1071" s="86"/>
      <c r="AR1071" s="86"/>
      <c r="AS1071" s="86"/>
      <c r="AT1071" s="86"/>
      <c r="AU1071" s="86"/>
      <c r="AV1071" s="86"/>
      <c r="AW1071" s="86"/>
      <c r="AX1071" s="86"/>
      <c r="AY1071" s="86"/>
      <c r="AZ1071" s="86"/>
      <c r="BA1071" s="86"/>
      <c r="BB1071" s="86"/>
      <c r="BC1071" s="86"/>
      <c r="BD1071" s="86"/>
      <c r="BE1071" s="86"/>
      <c r="BF1071" s="86"/>
      <c r="BG1071" s="86"/>
      <c r="BH1071" s="86"/>
      <c r="BI1071" s="86"/>
    </row>
    <row r="1072" spans="1:61" ht="12.75" x14ac:dyDescent="0.2">
      <c r="A1072" s="86"/>
      <c r="B1072" s="86"/>
      <c r="C1072" s="86"/>
      <c r="D1072" s="86"/>
      <c r="E1072" s="86"/>
      <c r="F1072" s="86"/>
      <c r="G1072" s="86"/>
      <c r="H1072" s="86"/>
      <c r="I1072" s="86"/>
      <c r="J1072" s="86"/>
      <c r="K1072" s="86"/>
      <c r="L1072" s="86"/>
      <c r="M1072" s="86"/>
      <c r="N1072" s="86"/>
      <c r="O1072" s="86"/>
      <c r="P1072" s="86"/>
      <c r="Q1072" s="86"/>
      <c r="R1072" s="86"/>
      <c r="S1072" s="86"/>
      <c r="T1072" s="86"/>
      <c r="U1072" s="86"/>
      <c r="V1072" s="86"/>
      <c r="W1072" s="86"/>
      <c r="X1072" s="86"/>
      <c r="Y1072" s="86"/>
      <c r="Z1072" s="86"/>
      <c r="AA1072" s="86"/>
      <c r="AB1072" s="86"/>
      <c r="AC1072" s="86"/>
      <c r="AD1072" s="86"/>
      <c r="AE1072" s="86"/>
      <c r="AF1072" s="86"/>
      <c r="AG1072" s="86"/>
      <c r="AH1072" s="86"/>
      <c r="AI1072" s="86"/>
      <c r="AJ1072" s="86"/>
      <c r="AK1072" s="86"/>
      <c r="AL1072" s="86"/>
      <c r="AM1072" s="86"/>
      <c r="AN1072" s="86"/>
      <c r="AO1072" s="86"/>
      <c r="AP1072" s="86"/>
      <c r="AQ1072" s="86"/>
      <c r="AR1072" s="86"/>
      <c r="AS1072" s="86"/>
      <c r="AT1072" s="86"/>
      <c r="AU1072" s="86"/>
      <c r="AV1072" s="86"/>
      <c r="AW1072" s="86"/>
      <c r="AX1072" s="86"/>
      <c r="AY1072" s="86"/>
      <c r="AZ1072" s="86"/>
      <c r="BA1072" s="86"/>
      <c r="BB1072" s="86"/>
      <c r="BC1072" s="86"/>
      <c r="BD1072" s="86"/>
      <c r="BE1072" s="86"/>
      <c r="BF1072" s="86"/>
      <c r="BG1072" s="86"/>
      <c r="BH1072" s="86"/>
      <c r="BI1072" s="86"/>
    </row>
    <row r="1073" spans="1:61" ht="12.75" x14ac:dyDescent="0.2">
      <c r="A1073" s="86"/>
      <c r="B1073" s="86"/>
      <c r="C1073" s="86"/>
      <c r="D1073" s="86"/>
      <c r="E1073" s="86"/>
      <c r="F1073" s="86"/>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c r="AC1073" s="86"/>
      <c r="AD1073" s="86"/>
      <c r="AE1073" s="86"/>
      <c r="AF1073" s="86"/>
      <c r="AG1073" s="86"/>
      <c r="AH1073" s="86"/>
      <c r="AI1073" s="86"/>
      <c r="AJ1073" s="86"/>
      <c r="AK1073" s="86"/>
      <c r="AL1073" s="86"/>
      <c r="AM1073" s="86"/>
      <c r="AN1073" s="86"/>
      <c r="AO1073" s="86"/>
      <c r="AP1073" s="86"/>
      <c r="AQ1073" s="86"/>
      <c r="AR1073" s="86"/>
      <c r="AS1073" s="86"/>
      <c r="AT1073" s="86"/>
      <c r="AU1073" s="86"/>
      <c r="AV1073" s="86"/>
      <c r="AW1073" s="86"/>
      <c r="AX1073" s="86"/>
      <c r="AY1073" s="86"/>
      <c r="AZ1073" s="86"/>
      <c r="BA1073" s="86"/>
      <c r="BB1073" s="86"/>
      <c r="BC1073" s="86"/>
      <c r="BD1073" s="86"/>
      <c r="BE1073" s="86"/>
      <c r="BF1073" s="86"/>
      <c r="BG1073" s="86"/>
      <c r="BH1073" s="86"/>
      <c r="BI1073" s="86"/>
    </row>
    <row r="1074" spans="1:61" ht="12.75" x14ac:dyDescent="0.2">
      <c r="A1074" s="86"/>
      <c r="B1074" s="86"/>
      <c r="C1074" s="86"/>
      <c r="D1074" s="86"/>
      <c r="E1074" s="86"/>
      <c r="F1074" s="86"/>
      <c r="G1074" s="86"/>
      <c r="H1074" s="86"/>
      <c r="I1074" s="86"/>
      <c r="J1074" s="86"/>
      <c r="K1074" s="86"/>
      <c r="L1074" s="86"/>
      <c r="M1074" s="86"/>
      <c r="N1074" s="86"/>
      <c r="O1074" s="86"/>
      <c r="P1074" s="86"/>
      <c r="Q1074" s="86"/>
      <c r="R1074" s="86"/>
      <c r="S1074" s="86"/>
      <c r="T1074" s="86"/>
      <c r="U1074" s="86"/>
      <c r="V1074" s="86"/>
      <c r="W1074" s="86"/>
      <c r="X1074" s="86"/>
      <c r="Y1074" s="86"/>
      <c r="Z1074" s="86"/>
      <c r="AA1074" s="86"/>
      <c r="AB1074" s="86"/>
      <c r="AC1074" s="86"/>
      <c r="AD1074" s="86"/>
      <c r="AE1074" s="86"/>
      <c r="AF1074" s="86"/>
      <c r="AG1074" s="86"/>
      <c r="AH1074" s="86"/>
      <c r="AI1074" s="86"/>
      <c r="AJ1074" s="86"/>
      <c r="AK1074" s="86"/>
      <c r="AL1074" s="86"/>
      <c r="AM1074" s="86"/>
      <c r="AN1074" s="86"/>
      <c r="AO1074" s="86"/>
      <c r="AP1074" s="86"/>
      <c r="AQ1074" s="86"/>
      <c r="AR1074" s="86"/>
      <c r="AS1074" s="86"/>
      <c r="AT1074" s="86"/>
      <c r="AU1074" s="86"/>
      <c r="AV1074" s="86"/>
      <c r="AW1074" s="86"/>
      <c r="AX1074" s="86"/>
      <c r="AY1074" s="86"/>
      <c r="AZ1074" s="86"/>
      <c r="BA1074" s="86"/>
      <c r="BB1074" s="86"/>
      <c r="BC1074" s="86"/>
      <c r="BD1074" s="86"/>
      <c r="BE1074" s="86"/>
      <c r="BF1074" s="86"/>
      <c r="BG1074" s="86"/>
      <c r="BH1074" s="86"/>
      <c r="BI1074" s="86"/>
    </row>
    <row r="1075" spans="1:61" ht="12.75" x14ac:dyDescent="0.2">
      <c r="A1075" s="86"/>
      <c r="B1075" s="86"/>
      <c r="C1075" s="86"/>
      <c r="D1075" s="86"/>
      <c r="E1075" s="86"/>
      <c r="F1075" s="86"/>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c r="AC1075" s="86"/>
      <c r="AD1075" s="86"/>
      <c r="AE1075" s="86"/>
      <c r="AF1075" s="86"/>
      <c r="AG1075" s="86"/>
      <c r="AH1075" s="86"/>
      <c r="AI1075" s="86"/>
      <c r="AJ1075" s="86"/>
      <c r="AK1075" s="86"/>
      <c r="AL1075" s="86"/>
      <c r="AM1075" s="86"/>
      <c r="AN1075" s="86"/>
      <c r="AO1075" s="86"/>
      <c r="AP1075" s="86"/>
      <c r="AQ1075" s="86"/>
      <c r="AR1075" s="86"/>
      <c r="AS1075" s="86"/>
      <c r="AT1075" s="86"/>
      <c r="AU1075" s="86"/>
      <c r="AV1075" s="86"/>
      <c r="AW1075" s="86"/>
      <c r="AX1075" s="86"/>
      <c r="AY1075" s="86"/>
      <c r="AZ1075" s="86"/>
      <c r="BA1075" s="86"/>
      <c r="BB1075" s="86"/>
      <c r="BC1075" s="86"/>
      <c r="BD1075" s="86"/>
      <c r="BE1075" s="86"/>
      <c r="BF1075" s="86"/>
      <c r="BG1075" s="86"/>
      <c r="BH1075" s="86"/>
      <c r="BI1075" s="86"/>
    </row>
    <row r="1076" spans="1:61" ht="12.75" x14ac:dyDescent="0.2">
      <c r="A1076" s="86"/>
      <c r="B1076" s="86"/>
      <c r="C1076" s="86"/>
      <c r="D1076" s="86"/>
      <c r="E1076" s="86"/>
      <c r="F1076" s="86"/>
      <c r="G1076" s="86"/>
      <c r="H1076" s="86"/>
      <c r="I1076" s="86"/>
      <c r="J1076" s="86"/>
      <c r="K1076" s="86"/>
      <c r="L1076" s="86"/>
      <c r="M1076" s="86"/>
      <c r="N1076" s="86"/>
      <c r="O1076" s="86"/>
      <c r="P1076" s="86"/>
      <c r="Q1076" s="86"/>
      <c r="R1076" s="86"/>
      <c r="S1076" s="86"/>
      <c r="T1076" s="86"/>
      <c r="U1076" s="86"/>
      <c r="V1076" s="86"/>
      <c r="W1076" s="86"/>
      <c r="X1076" s="86"/>
      <c r="Y1076" s="86"/>
      <c r="Z1076" s="86"/>
      <c r="AA1076" s="86"/>
      <c r="AB1076" s="86"/>
      <c r="AC1076" s="86"/>
      <c r="AD1076" s="86"/>
      <c r="AE1076" s="86"/>
      <c r="AF1076" s="86"/>
      <c r="AG1076" s="86"/>
      <c r="AH1076" s="86"/>
      <c r="AI1076" s="86"/>
      <c r="AJ1076" s="86"/>
      <c r="AK1076" s="86"/>
      <c r="AL1076" s="86"/>
      <c r="AM1076" s="86"/>
      <c r="AN1076" s="86"/>
      <c r="AO1076" s="86"/>
      <c r="AP1076" s="86"/>
      <c r="AQ1076" s="86"/>
      <c r="AR1076" s="86"/>
      <c r="AS1076" s="86"/>
      <c r="AT1076" s="86"/>
      <c r="AU1076" s="86"/>
      <c r="AV1076" s="86"/>
      <c r="AW1076" s="86"/>
      <c r="AX1076" s="86"/>
      <c r="AY1076" s="86"/>
      <c r="AZ1076" s="86"/>
      <c r="BA1076" s="86"/>
      <c r="BB1076" s="86"/>
      <c r="BC1076" s="86"/>
      <c r="BD1076" s="86"/>
      <c r="BE1076" s="86"/>
      <c r="BF1076" s="86"/>
      <c r="BG1076" s="86"/>
      <c r="BH1076" s="86"/>
      <c r="BI1076" s="86"/>
    </row>
    <row r="1077" spans="1:61" ht="12.75" x14ac:dyDescent="0.2">
      <c r="A1077" s="86"/>
      <c r="B1077" s="86"/>
      <c r="C1077" s="86"/>
      <c r="D1077" s="86"/>
      <c r="E1077" s="86"/>
      <c r="F1077" s="86"/>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c r="AC1077" s="86"/>
      <c r="AD1077" s="86"/>
      <c r="AE1077" s="86"/>
      <c r="AF1077" s="86"/>
      <c r="AG1077" s="86"/>
      <c r="AH1077" s="86"/>
      <c r="AI1077" s="86"/>
      <c r="AJ1077" s="86"/>
      <c r="AK1077" s="86"/>
      <c r="AL1077" s="86"/>
      <c r="AM1077" s="86"/>
      <c r="AN1077" s="86"/>
      <c r="AO1077" s="86"/>
      <c r="AP1077" s="86"/>
      <c r="AQ1077" s="86"/>
      <c r="AR1077" s="86"/>
      <c r="AS1077" s="86"/>
      <c r="AT1077" s="86"/>
      <c r="AU1077" s="86"/>
      <c r="AV1077" s="86"/>
      <c r="AW1077" s="86"/>
      <c r="AX1077" s="86"/>
      <c r="AY1077" s="86"/>
      <c r="AZ1077" s="86"/>
      <c r="BA1077" s="86"/>
      <c r="BB1077" s="86"/>
      <c r="BC1077" s="86"/>
      <c r="BD1077" s="86"/>
      <c r="BE1077" s="86"/>
      <c r="BF1077" s="86"/>
      <c r="BG1077" s="86"/>
      <c r="BH1077" s="86"/>
      <c r="BI1077" s="86"/>
    </row>
    <row r="1078" spans="1:61" ht="12.75" x14ac:dyDescent="0.2">
      <c r="A1078" s="86"/>
      <c r="B1078" s="86"/>
      <c r="C1078" s="86"/>
      <c r="D1078" s="86"/>
      <c r="E1078" s="86"/>
      <c r="F1078" s="86"/>
      <c r="G1078" s="86"/>
      <c r="H1078" s="86"/>
      <c r="I1078" s="86"/>
      <c r="J1078" s="86"/>
      <c r="K1078" s="86"/>
      <c r="L1078" s="86"/>
      <c r="M1078" s="86"/>
      <c r="N1078" s="86"/>
      <c r="O1078" s="86"/>
      <c r="P1078" s="86"/>
      <c r="Q1078" s="86"/>
      <c r="R1078" s="86"/>
      <c r="S1078" s="86"/>
      <c r="T1078" s="86"/>
      <c r="U1078" s="86"/>
      <c r="V1078" s="86"/>
      <c r="W1078" s="86"/>
      <c r="X1078" s="86"/>
      <c r="Y1078" s="86"/>
      <c r="Z1078" s="86"/>
      <c r="AA1078" s="86"/>
      <c r="AB1078" s="86"/>
      <c r="AC1078" s="86"/>
      <c r="AD1078" s="86"/>
      <c r="AE1078" s="86"/>
      <c r="AF1078" s="86"/>
      <c r="AG1078" s="86"/>
      <c r="AH1078" s="86"/>
      <c r="AI1078" s="86"/>
      <c r="AJ1078" s="86"/>
      <c r="AK1078" s="86"/>
      <c r="AL1078" s="86"/>
      <c r="AM1078" s="86"/>
      <c r="AN1078" s="86"/>
      <c r="AO1078" s="86"/>
      <c r="AP1078" s="86"/>
      <c r="AQ1078" s="86"/>
      <c r="AR1078" s="86"/>
      <c r="AS1078" s="86"/>
      <c r="AT1078" s="86"/>
      <c r="AU1078" s="86"/>
      <c r="AV1078" s="86"/>
      <c r="AW1078" s="86"/>
      <c r="AX1078" s="86"/>
      <c r="AY1078" s="86"/>
      <c r="AZ1078" s="86"/>
      <c r="BA1078" s="86"/>
      <c r="BB1078" s="86"/>
      <c r="BC1078" s="86"/>
      <c r="BD1078" s="86"/>
      <c r="BE1078" s="86"/>
      <c r="BF1078" s="86"/>
      <c r="BG1078" s="86"/>
      <c r="BH1078" s="86"/>
      <c r="BI1078" s="86"/>
    </row>
    <row r="1079" spans="1:61" ht="12.75" x14ac:dyDescent="0.2">
      <c r="A1079" s="86"/>
      <c r="B1079" s="86"/>
      <c r="C1079" s="86"/>
      <c r="D1079" s="86"/>
      <c r="E1079" s="86"/>
      <c r="F1079" s="86"/>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c r="AC1079" s="86"/>
      <c r="AD1079" s="86"/>
      <c r="AE1079" s="86"/>
      <c r="AF1079" s="86"/>
      <c r="AG1079" s="86"/>
      <c r="AH1079" s="86"/>
      <c r="AI1079" s="86"/>
      <c r="AJ1079" s="86"/>
      <c r="AK1079" s="86"/>
      <c r="AL1079" s="86"/>
      <c r="AM1079" s="86"/>
      <c r="AN1079" s="86"/>
      <c r="AO1079" s="86"/>
      <c r="AP1079" s="86"/>
      <c r="AQ1079" s="86"/>
      <c r="AR1079" s="86"/>
      <c r="AS1079" s="86"/>
      <c r="AT1079" s="86"/>
      <c r="AU1079" s="86"/>
      <c r="AV1079" s="86"/>
      <c r="AW1079" s="86"/>
      <c r="AX1079" s="86"/>
      <c r="AY1079" s="86"/>
      <c r="AZ1079" s="86"/>
      <c r="BA1079" s="86"/>
      <c r="BB1079" s="86"/>
      <c r="BC1079" s="86"/>
      <c r="BD1079" s="86"/>
      <c r="BE1079" s="86"/>
      <c r="BF1079" s="86"/>
      <c r="BG1079" s="86"/>
      <c r="BH1079" s="86"/>
      <c r="BI1079" s="86"/>
    </row>
    <row r="1080" spans="1:61" ht="12.75" x14ac:dyDescent="0.2">
      <c r="A1080" s="86"/>
      <c r="B1080" s="86"/>
      <c r="C1080" s="86"/>
      <c r="D1080" s="86"/>
      <c r="E1080" s="86"/>
      <c r="F1080" s="86"/>
      <c r="G1080" s="86"/>
      <c r="H1080" s="86"/>
      <c r="I1080" s="86"/>
      <c r="J1080" s="86"/>
      <c r="K1080" s="86"/>
      <c r="L1080" s="86"/>
      <c r="M1080" s="86"/>
      <c r="N1080" s="86"/>
      <c r="O1080" s="86"/>
      <c r="P1080" s="86"/>
      <c r="Q1080" s="86"/>
      <c r="R1080" s="86"/>
      <c r="S1080" s="86"/>
      <c r="T1080" s="86"/>
      <c r="U1080" s="86"/>
      <c r="V1080" s="86"/>
      <c r="W1080" s="86"/>
      <c r="X1080" s="86"/>
      <c r="Y1080" s="86"/>
      <c r="Z1080" s="86"/>
      <c r="AA1080" s="86"/>
      <c r="AB1080" s="86"/>
      <c r="AC1080" s="86"/>
      <c r="AD1080" s="86"/>
      <c r="AE1080" s="86"/>
      <c r="AF1080" s="86"/>
      <c r="AG1080" s="86"/>
      <c r="AH1080" s="86"/>
      <c r="AI1080" s="86"/>
      <c r="AJ1080" s="86"/>
      <c r="AK1080" s="86"/>
      <c r="AL1080" s="86"/>
      <c r="AM1080" s="86"/>
      <c r="AN1080" s="86"/>
      <c r="AO1080" s="86"/>
      <c r="AP1080" s="86"/>
      <c r="AQ1080" s="86"/>
      <c r="AR1080" s="86"/>
      <c r="AS1080" s="86"/>
      <c r="AT1080" s="86"/>
      <c r="AU1080" s="86"/>
      <c r="AV1080" s="86"/>
      <c r="AW1080" s="86"/>
      <c r="AX1080" s="86"/>
      <c r="AY1080" s="86"/>
      <c r="AZ1080" s="86"/>
      <c r="BA1080" s="86"/>
      <c r="BB1080" s="86"/>
      <c r="BC1080" s="86"/>
      <c r="BD1080" s="86"/>
      <c r="BE1080" s="86"/>
      <c r="BF1080" s="86"/>
      <c r="BG1080" s="86"/>
      <c r="BH1080" s="86"/>
      <c r="BI1080" s="86"/>
    </row>
    <row r="1081" spans="1:61" ht="12.75" x14ac:dyDescent="0.2">
      <c r="A1081" s="86"/>
      <c r="B1081" s="86"/>
      <c r="C1081" s="86"/>
      <c r="D1081" s="86"/>
      <c r="E1081" s="86"/>
      <c r="F1081" s="86"/>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c r="AC1081" s="86"/>
      <c r="AD1081" s="86"/>
      <c r="AE1081" s="86"/>
      <c r="AF1081" s="86"/>
      <c r="AG1081" s="86"/>
      <c r="AH1081" s="86"/>
      <c r="AI1081" s="86"/>
      <c r="AJ1081" s="86"/>
      <c r="AK1081" s="86"/>
      <c r="AL1081" s="86"/>
      <c r="AM1081" s="86"/>
      <c r="AN1081" s="86"/>
      <c r="AO1081" s="86"/>
      <c r="AP1081" s="86"/>
      <c r="AQ1081" s="86"/>
      <c r="AR1081" s="86"/>
      <c r="AS1081" s="86"/>
      <c r="AT1081" s="86"/>
      <c r="AU1081" s="86"/>
      <c r="AV1081" s="86"/>
      <c r="AW1081" s="86"/>
      <c r="AX1081" s="86"/>
      <c r="AY1081" s="86"/>
      <c r="AZ1081" s="86"/>
      <c r="BA1081" s="86"/>
      <c r="BB1081" s="86"/>
      <c r="BC1081" s="86"/>
      <c r="BD1081" s="86"/>
      <c r="BE1081" s="86"/>
      <c r="BF1081" s="86"/>
      <c r="BG1081" s="86"/>
      <c r="BH1081" s="86"/>
      <c r="BI1081" s="86"/>
    </row>
    <row r="1082" spans="1:61" ht="12.75" x14ac:dyDescent="0.2">
      <c r="A1082" s="86"/>
      <c r="B1082" s="86"/>
      <c r="C1082" s="86"/>
      <c r="D1082" s="86"/>
      <c r="E1082" s="86"/>
      <c r="F1082" s="86"/>
      <c r="G1082" s="86"/>
      <c r="H1082" s="86"/>
      <c r="I1082" s="86"/>
      <c r="J1082" s="86"/>
      <c r="K1082" s="86"/>
      <c r="L1082" s="86"/>
      <c r="M1082" s="86"/>
      <c r="N1082" s="86"/>
      <c r="O1082" s="86"/>
      <c r="P1082" s="86"/>
      <c r="Q1082" s="86"/>
      <c r="R1082" s="86"/>
      <c r="S1082" s="86"/>
      <c r="T1082" s="86"/>
      <c r="U1082" s="86"/>
      <c r="V1082" s="86"/>
      <c r="W1082" s="86"/>
      <c r="X1082" s="86"/>
      <c r="Y1082" s="86"/>
      <c r="Z1082" s="86"/>
      <c r="AA1082" s="86"/>
      <c r="AB1082" s="86"/>
      <c r="AC1082" s="86"/>
      <c r="AD1082" s="86"/>
      <c r="AE1082" s="86"/>
      <c r="AF1082" s="86"/>
      <c r="AG1082" s="86"/>
      <c r="AH1082" s="86"/>
      <c r="AI1082" s="86"/>
      <c r="AJ1082" s="86"/>
      <c r="AK1082" s="86"/>
      <c r="AL1082" s="86"/>
      <c r="AM1082" s="86"/>
      <c r="AN1082" s="86"/>
      <c r="AO1082" s="86"/>
      <c r="AP1082" s="86"/>
      <c r="AQ1082" s="86"/>
      <c r="AR1082" s="86"/>
      <c r="AS1082" s="86"/>
      <c r="AT1082" s="86"/>
      <c r="AU1082" s="86"/>
      <c r="AV1082" s="86"/>
      <c r="AW1082" s="86"/>
      <c r="AX1082" s="86"/>
      <c r="AY1082" s="86"/>
      <c r="AZ1082" s="86"/>
      <c r="BA1082" s="86"/>
      <c r="BB1082" s="86"/>
      <c r="BC1082" s="86"/>
      <c r="BD1082" s="86"/>
      <c r="BE1082" s="86"/>
      <c r="BF1082" s="86"/>
      <c r="BG1082" s="86"/>
      <c r="BH1082" s="86"/>
      <c r="BI1082" s="86"/>
    </row>
    <row r="1083" spans="1:61" ht="12.75" x14ac:dyDescent="0.2">
      <c r="A1083" s="86"/>
      <c r="B1083" s="86"/>
      <c r="C1083" s="86"/>
      <c r="D1083" s="86"/>
      <c r="E1083" s="86"/>
      <c r="F1083" s="86"/>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c r="AC1083" s="86"/>
      <c r="AD1083" s="86"/>
      <c r="AE1083" s="86"/>
      <c r="AF1083" s="86"/>
      <c r="AG1083" s="86"/>
      <c r="AH1083" s="86"/>
      <c r="AI1083" s="86"/>
      <c r="AJ1083" s="86"/>
      <c r="AK1083" s="86"/>
      <c r="AL1083" s="86"/>
      <c r="AM1083" s="86"/>
      <c r="AN1083" s="86"/>
      <c r="AO1083" s="86"/>
      <c r="AP1083" s="86"/>
      <c r="AQ1083" s="86"/>
      <c r="AR1083" s="86"/>
      <c r="AS1083" s="86"/>
      <c r="AT1083" s="86"/>
      <c r="AU1083" s="86"/>
      <c r="AV1083" s="86"/>
      <c r="AW1083" s="86"/>
      <c r="AX1083" s="86"/>
      <c r="AY1083" s="86"/>
      <c r="AZ1083" s="86"/>
      <c r="BA1083" s="86"/>
      <c r="BB1083" s="86"/>
      <c r="BC1083" s="86"/>
      <c r="BD1083" s="86"/>
      <c r="BE1083" s="86"/>
      <c r="BF1083" s="86"/>
      <c r="BG1083" s="86"/>
      <c r="BH1083" s="86"/>
      <c r="BI1083" s="86"/>
    </row>
    <row r="1084" spans="1:61" ht="12.75" x14ac:dyDescent="0.2">
      <c r="A1084" s="86"/>
      <c r="B1084" s="86"/>
      <c r="C1084" s="86"/>
      <c r="D1084" s="86"/>
      <c r="E1084" s="86"/>
      <c r="F1084" s="86"/>
      <c r="G1084" s="86"/>
      <c r="H1084" s="86"/>
      <c r="I1084" s="86"/>
      <c r="J1084" s="86"/>
      <c r="K1084" s="86"/>
      <c r="L1084" s="86"/>
      <c r="M1084" s="86"/>
      <c r="N1084" s="86"/>
      <c r="O1084" s="86"/>
      <c r="P1084" s="86"/>
      <c r="Q1084" s="86"/>
      <c r="R1084" s="86"/>
      <c r="S1084" s="86"/>
      <c r="T1084" s="86"/>
      <c r="U1084" s="86"/>
      <c r="V1084" s="86"/>
      <c r="W1084" s="86"/>
      <c r="X1084" s="86"/>
      <c r="Y1084" s="86"/>
      <c r="Z1084" s="86"/>
      <c r="AA1084" s="86"/>
      <c r="AB1084" s="86"/>
      <c r="AC1084" s="86"/>
      <c r="AD1084" s="86"/>
      <c r="AE1084" s="86"/>
      <c r="AF1084" s="86"/>
      <c r="AG1084" s="86"/>
      <c r="AH1084" s="86"/>
      <c r="AI1084" s="86"/>
      <c r="AJ1084" s="86"/>
      <c r="AK1084" s="86"/>
      <c r="AL1084" s="86"/>
      <c r="AM1084" s="86"/>
      <c r="AN1084" s="86"/>
      <c r="AO1084" s="86"/>
      <c r="AP1084" s="86"/>
      <c r="AQ1084" s="86"/>
      <c r="AR1084" s="86"/>
      <c r="AS1084" s="86"/>
      <c r="AT1084" s="86"/>
      <c r="AU1084" s="86"/>
      <c r="AV1084" s="86"/>
      <c r="AW1084" s="86"/>
      <c r="AX1084" s="86"/>
      <c r="AY1084" s="86"/>
      <c r="AZ1084" s="86"/>
      <c r="BA1084" s="86"/>
      <c r="BB1084" s="86"/>
      <c r="BC1084" s="86"/>
      <c r="BD1084" s="86"/>
      <c r="BE1084" s="86"/>
      <c r="BF1084" s="86"/>
      <c r="BG1084" s="86"/>
      <c r="BH1084" s="86"/>
      <c r="BI1084" s="86"/>
    </row>
    <row r="1085" spans="1:61" ht="12.75" x14ac:dyDescent="0.2">
      <c r="A1085" s="86"/>
      <c r="B1085" s="86"/>
      <c r="C1085" s="86"/>
      <c r="D1085" s="86"/>
      <c r="E1085" s="86"/>
      <c r="F1085" s="86"/>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c r="AC1085" s="86"/>
      <c r="AD1085" s="86"/>
      <c r="AE1085" s="86"/>
      <c r="AF1085" s="86"/>
      <c r="AG1085" s="86"/>
      <c r="AH1085" s="86"/>
      <c r="AI1085" s="86"/>
      <c r="AJ1085" s="86"/>
      <c r="AK1085" s="86"/>
      <c r="AL1085" s="86"/>
      <c r="AM1085" s="86"/>
      <c r="AN1085" s="86"/>
      <c r="AO1085" s="86"/>
      <c r="AP1085" s="86"/>
      <c r="AQ1085" s="86"/>
      <c r="AR1085" s="86"/>
      <c r="AS1085" s="86"/>
      <c r="AT1085" s="86"/>
      <c r="AU1085" s="86"/>
      <c r="AV1085" s="86"/>
      <c r="AW1085" s="86"/>
      <c r="AX1085" s="86"/>
      <c r="AY1085" s="86"/>
      <c r="AZ1085" s="86"/>
      <c r="BA1085" s="86"/>
      <c r="BB1085" s="86"/>
      <c r="BC1085" s="86"/>
      <c r="BD1085" s="86"/>
      <c r="BE1085" s="86"/>
      <c r="BF1085" s="86"/>
      <c r="BG1085" s="86"/>
      <c r="BH1085" s="86"/>
      <c r="BI1085" s="86"/>
    </row>
    <row r="1086" spans="1:61" ht="12.75" x14ac:dyDescent="0.2">
      <c r="A1086" s="86"/>
      <c r="B1086" s="86"/>
      <c r="C1086" s="86"/>
      <c r="D1086" s="86"/>
      <c r="E1086" s="86"/>
      <c r="F1086" s="86"/>
      <c r="G1086" s="86"/>
      <c r="H1086" s="86"/>
      <c r="I1086" s="86"/>
      <c r="J1086" s="86"/>
      <c r="K1086" s="86"/>
      <c r="L1086" s="86"/>
      <c r="M1086" s="86"/>
      <c r="N1086" s="86"/>
      <c r="O1086" s="86"/>
      <c r="P1086" s="86"/>
      <c r="Q1086" s="86"/>
      <c r="R1086" s="86"/>
      <c r="S1086" s="86"/>
      <c r="T1086" s="86"/>
      <c r="U1086" s="86"/>
      <c r="V1086" s="86"/>
      <c r="W1086" s="86"/>
      <c r="X1086" s="86"/>
      <c r="Y1086" s="86"/>
      <c r="Z1086" s="86"/>
      <c r="AA1086" s="86"/>
      <c r="AB1086" s="86"/>
      <c r="AC1086" s="86"/>
      <c r="AD1086" s="86"/>
      <c r="AE1086" s="86"/>
      <c r="AF1086" s="86"/>
      <c r="AG1086" s="86"/>
      <c r="AH1086" s="86"/>
      <c r="AI1086" s="86"/>
      <c r="AJ1086" s="86"/>
      <c r="AK1086" s="86"/>
      <c r="AL1086" s="86"/>
      <c r="AM1086" s="86"/>
      <c r="AN1086" s="86"/>
      <c r="AO1086" s="86"/>
      <c r="AP1086" s="86"/>
      <c r="AQ1086" s="86"/>
      <c r="AR1086" s="86"/>
      <c r="AS1086" s="86"/>
      <c r="AT1086" s="86"/>
      <c r="AU1086" s="86"/>
      <c r="AV1086" s="86"/>
      <c r="AW1086" s="86"/>
      <c r="AX1086" s="86"/>
      <c r="AY1086" s="86"/>
      <c r="AZ1086" s="86"/>
      <c r="BA1086" s="86"/>
      <c r="BB1086" s="86"/>
      <c r="BC1086" s="86"/>
      <c r="BD1086" s="86"/>
      <c r="BE1086" s="86"/>
      <c r="BF1086" s="86"/>
      <c r="BG1086" s="86"/>
      <c r="BH1086" s="86"/>
      <c r="BI1086" s="86"/>
    </row>
    <row r="1087" spans="1:61" ht="12.75" x14ac:dyDescent="0.2">
      <c r="A1087" s="86"/>
      <c r="B1087" s="86"/>
      <c r="C1087" s="86"/>
      <c r="D1087" s="86"/>
      <c r="E1087" s="86"/>
      <c r="F1087" s="86"/>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c r="AC1087" s="86"/>
      <c r="AD1087" s="86"/>
      <c r="AE1087" s="86"/>
      <c r="AF1087" s="86"/>
      <c r="AG1087" s="86"/>
      <c r="AH1087" s="86"/>
      <c r="AI1087" s="86"/>
      <c r="AJ1087" s="86"/>
      <c r="AK1087" s="86"/>
      <c r="AL1087" s="86"/>
      <c r="AM1087" s="86"/>
      <c r="AN1087" s="86"/>
      <c r="AO1087" s="86"/>
      <c r="AP1087" s="86"/>
      <c r="AQ1087" s="86"/>
      <c r="AR1087" s="86"/>
      <c r="AS1087" s="86"/>
      <c r="AT1087" s="86"/>
      <c r="AU1087" s="86"/>
      <c r="AV1087" s="86"/>
      <c r="AW1087" s="86"/>
      <c r="AX1087" s="86"/>
      <c r="AY1087" s="86"/>
      <c r="AZ1087" s="86"/>
      <c r="BA1087" s="86"/>
      <c r="BB1087" s="86"/>
      <c r="BC1087" s="86"/>
      <c r="BD1087" s="86"/>
      <c r="BE1087" s="86"/>
      <c r="BF1087" s="86"/>
      <c r="BG1087" s="86"/>
      <c r="BH1087" s="86"/>
      <c r="BI1087" s="86"/>
    </row>
    <row r="1088" spans="1:61" ht="12.75" x14ac:dyDescent="0.2">
      <c r="A1088" s="86"/>
      <c r="B1088" s="86"/>
      <c r="C1088" s="86"/>
      <c r="D1088" s="86"/>
      <c r="E1088" s="86"/>
      <c r="F1088" s="86"/>
      <c r="G1088" s="86"/>
      <c r="H1088" s="86"/>
      <c r="I1088" s="86"/>
      <c r="J1088" s="86"/>
      <c r="K1088" s="86"/>
      <c r="L1088" s="86"/>
      <c r="M1088" s="86"/>
      <c r="N1088" s="86"/>
      <c r="O1088" s="86"/>
      <c r="P1088" s="86"/>
      <c r="Q1088" s="86"/>
      <c r="R1088" s="86"/>
      <c r="S1088" s="86"/>
      <c r="T1088" s="86"/>
      <c r="U1088" s="86"/>
      <c r="V1088" s="86"/>
      <c r="W1088" s="86"/>
      <c r="X1088" s="86"/>
      <c r="Y1088" s="86"/>
      <c r="Z1088" s="86"/>
      <c r="AA1088" s="86"/>
      <c r="AB1088" s="86"/>
      <c r="AC1088" s="86"/>
      <c r="AD1088" s="86"/>
      <c r="AE1088" s="86"/>
      <c r="AF1088" s="86"/>
      <c r="AG1088" s="86"/>
      <c r="AH1088" s="86"/>
      <c r="AI1088" s="86"/>
      <c r="AJ1088" s="86"/>
      <c r="AK1088" s="86"/>
      <c r="AL1088" s="86"/>
      <c r="AM1088" s="86"/>
      <c r="AN1088" s="86"/>
      <c r="AO1088" s="86"/>
      <c r="AP1088" s="86"/>
      <c r="AQ1088" s="86"/>
      <c r="AR1088" s="86"/>
      <c r="AS1088" s="86"/>
      <c r="AT1088" s="86"/>
      <c r="AU1088" s="86"/>
      <c r="AV1088" s="86"/>
      <c r="AW1088" s="86"/>
      <c r="AX1088" s="86"/>
      <c r="AY1088" s="86"/>
      <c r="AZ1088" s="86"/>
      <c r="BA1088" s="86"/>
      <c r="BB1088" s="86"/>
      <c r="BC1088" s="86"/>
      <c r="BD1088" s="86"/>
      <c r="BE1088" s="86"/>
      <c r="BF1088" s="86"/>
      <c r="BG1088" s="86"/>
      <c r="BH1088" s="86"/>
      <c r="BI1088" s="86"/>
    </row>
    <row r="1089" spans="1:61" ht="12.75" x14ac:dyDescent="0.2">
      <c r="A1089" s="86"/>
      <c r="B1089" s="86"/>
      <c r="C1089" s="86"/>
      <c r="D1089" s="86"/>
      <c r="E1089" s="86"/>
      <c r="F1089" s="86"/>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c r="AC1089" s="86"/>
      <c r="AD1089" s="86"/>
      <c r="AE1089" s="86"/>
      <c r="AF1089" s="86"/>
      <c r="AG1089" s="86"/>
      <c r="AH1089" s="86"/>
      <c r="AI1089" s="86"/>
      <c r="AJ1089" s="86"/>
      <c r="AK1089" s="86"/>
      <c r="AL1089" s="86"/>
      <c r="AM1089" s="86"/>
      <c r="AN1089" s="86"/>
      <c r="AO1089" s="86"/>
      <c r="AP1089" s="86"/>
      <c r="AQ1089" s="86"/>
      <c r="AR1089" s="86"/>
      <c r="AS1089" s="86"/>
      <c r="AT1089" s="86"/>
      <c r="AU1089" s="86"/>
      <c r="AV1089" s="86"/>
      <c r="AW1089" s="86"/>
      <c r="AX1089" s="86"/>
      <c r="AY1089" s="86"/>
      <c r="AZ1089" s="86"/>
      <c r="BA1089" s="86"/>
      <c r="BB1089" s="86"/>
      <c r="BC1089" s="86"/>
      <c r="BD1089" s="86"/>
      <c r="BE1089" s="86"/>
      <c r="BF1089" s="86"/>
      <c r="BG1089" s="86"/>
      <c r="BH1089" s="86"/>
      <c r="BI1089" s="86"/>
    </row>
    <row r="1090" spans="1:61" ht="12.75" x14ac:dyDescent="0.2">
      <c r="A1090" s="86"/>
      <c r="B1090" s="86"/>
      <c r="C1090" s="86"/>
      <c r="D1090" s="86"/>
      <c r="E1090" s="86"/>
      <c r="F1090" s="86"/>
      <c r="G1090" s="86"/>
      <c r="H1090" s="86"/>
      <c r="I1090" s="86"/>
      <c r="J1090" s="86"/>
      <c r="K1090" s="86"/>
      <c r="L1090" s="86"/>
      <c r="M1090" s="86"/>
      <c r="N1090" s="86"/>
      <c r="O1090" s="86"/>
      <c r="P1090" s="86"/>
      <c r="Q1090" s="86"/>
      <c r="R1090" s="86"/>
      <c r="S1090" s="86"/>
      <c r="T1090" s="86"/>
      <c r="U1090" s="86"/>
      <c r="V1090" s="86"/>
      <c r="W1090" s="86"/>
      <c r="X1090" s="86"/>
      <c r="Y1090" s="86"/>
      <c r="Z1090" s="86"/>
      <c r="AA1090" s="86"/>
      <c r="AB1090" s="86"/>
      <c r="AC1090" s="86"/>
      <c r="AD1090" s="86"/>
      <c r="AE1090" s="86"/>
      <c r="AF1090" s="86"/>
      <c r="AG1090" s="86"/>
      <c r="AH1090" s="86"/>
      <c r="AI1090" s="86"/>
      <c r="AJ1090" s="86"/>
      <c r="AK1090" s="86"/>
      <c r="AL1090" s="86"/>
      <c r="AM1090" s="86"/>
      <c r="AN1090" s="86"/>
      <c r="AO1090" s="86"/>
      <c r="AP1090" s="86"/>
      <c r="AQ1090" s="86"/>
      <c r="AR1090" s="86"/>
      <c r="AS1090" s="86"/>
      <c r="AT1090" s="86"/>
      <c r="AU1090" s="86"/>
      <c r="AV1090" s="86"/>
      <c r="AW1090" s="86"/>
      <c r="AX1090" s="86"/>
      <c r="AY1090" s="86"/>
      <c r="AZ1090" s="86"/>
      <c r="BA1090" s="86"/>
      <c r="BB1090" s="86"/>
      <c r="BC1090" s="86"/>
      <c r="BD1090" s="86"/>
      <c r="BE1090" s="86"/>
      <c r="BF1090" s="86"/>
      <c r="BG1090" s="86"/>
      <c r="BH1090" s="86"/>
      <c r="BI1090" s="86"/>
    </row>
    <row r="1091" spans="1:61" ht="12.75" x14ac:dyDescent="0.2">
      <c r="A1091" s="86"/>
      <c r="B1091" s="86"/>
      <c r="C1091" s="86"/>
      <c r="D1091" s="86"/>
      <c r="E1091" s="86"/>
      <c r="F1091" s="86"/>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c r="AC1091" s="86"/>
      <c r="AD1091" s="86"/>
      <c r="AE1091" s="86"/>
      <c r="AF1091" s="86"/>
      <c r="AG1091" s="86"/>
      <c r="AH1091" s="86"/>
      <c r="AI1091" s="86"/>
      <c r="AJ1091" s="86"/>
      <c r="AK1091" s="86"/>
      <c r="AL1091" s="86"/>
      <c r="AM1091" s="86"/>
      <c r="AN1091" s="86"/>
      <c r="AO1091" s="86"/>
      <c r="AP1091" s="86"/>
      <c r="AQ1091" s="86"/>
      <c r="AR1091" s="86"/>
      <c r="AS1091" s="86"/>
      <c r="AT1091" s="86"/>
      <c r="AU1091" s="86"/>
      <c r="AV1091" s="86"/>
      <c r="AW1091" s="86"/>
      <c r="AX1091" s="86"/>
      <c r="AY1091" s="86"/>
      <c r="AZ1091" s="86"/>
      <c r="BA1091" s="86"/>
      <c r="BB1091" s="86"/>
      <c r="BC1091" s="86"/>
      <c r="BD1091" s="86"/>
      <c r="BE1091" s="86"/>
      <c r="BF1091" s="86"/>
      <c r="BG1091" s="86"/>
      <c r="BH1091" s="86"/>
      <c r="BI1091" s="86"/>
    </row>
    <row r="1092" spans="1:61" ht="12.75" x14ac:dyDescent="0.2">
      <c r="A1092" s="86"/>
      <c r="B1092" s="86"/>
      <c r="C1092" s="86"/>
      <c r="D1092" s="86"/>
      <c r="E1092" s="86"/>
      <c r="F1092" s="86"/>
      <c r="G1092" s="86"/>
      <c r="H1092" s="86"/>
      <c r="I1092" s="86"/>
      <c r="J1092" s="86"/>
      <c r="K1092" s="86"/>
      <c r="L1092" s="86"/>
      <c r="M1092" s="86"/>
      <c r="N1092" s="86"/>
      <c r="O1092" s="86"/>
      <c r="P1092" s="86"/>
      <c r="Q1092" s="86"/>
      <c r="R1092" s="86"/>
      <c r="S1092" s="86"/>
      <c r="T1092" s="86"/>
      <c r="U1092" s="86"/>
      <c r="V1092" s="86"/>
      <c r="W1092" s="86"/>
      <c r="X1092" s="86"/>
      <c r="Y1092" s="86"/>
      <c r="Z1092" s="86"/>
      <c r="AA1092" s="86"/>
      <c r="AB1092" s="86"/>
      <c r="AC1092" s="86"/>
      <c r="AD1092" s="86"/>
      <c r="AE1092" s="86"/>
      <c r="AF1092" s="86"/>
      <c r="AG1092" s="86"/>
      <c r="AH1092" s="86"/>
      <c r="AI1092" s="86"/>
      <c r="AJ1092" s="86"/>
      <c r="AK1092" s="86"/>
      <c r="AL1092" s="86"/>
      <c r="AM1092" s="86"/>
      <c r="AN1092" s="86"/>
      <c r="AO1092" s="86"/>
      <c r="AP1092" s="86"/>
      <c r="AQ1092" s="86"/>
      <c r="AR1092" s="86"/>
      <c r="AS1092" s="86"/>
      <c r="AT1092" s="86"/>
      <c r="AU1092" s="86"/>
      <c r="AV1092" s="86"/>
      <c r="AW1092" s="86"/>
      <c r="AX1092" s="86"/>
      <c r="AY1092" s="86"/>
      <c r="AZ1092" s="86"/>
      <c r="BA1092" s="86"/>
      <c r="BB1092" s="86"/>
      <c r="BC1092" s="86"/>
      <c r="BD1092" s="86"/>
      <c r="BE1092" s="86"/>
      <c r="BF1092" s="86"/>
      <c r="BG1092" s="86"/>
      <c r="BH1092" s="86"/>
      <c r="BI1092" s="86"/>
    </row>
    <row r="1093" spans="1:61" ht="12.75" x14ac:dyDescent="0.2">
      <c r="A1093" s="86"/>
      <c r="B1093" s="86"/>
      <c r="C1093" s="86"/>
      <c r="D1093" s="86"/>
      <c r="E1093" s="86"/>
      <c r="F1093" s="86"/>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c r="AC1093" s="86"/>
      <c r="AD1093" s="86"/>
      <c r="AE1093" s="86"/>
      <c r="AF1093" s="86"/>
      <c r="AG1093" s="86"/>
      <c r="AH1093" s="86"/>
      <c r="AI1093" s="86"/>
      <c r="AJ1093" s="86"/>
      <c r="AK1093" s="86"/>
      <c r="AL1093" s="86"/>
      <c r="AM1093" s="86"/>
      <c r="AN1093" s="86"/>
      <c r="AO1093" s="86"/>
      <c r="AP1093" s="86"/>
      <c r="AQ1093" s="86"/>
      <c r="AR1093" s="86"/>
      <c r="AS1093" s="86"/>
      <c r="AT1093" s="86"/>
      <c r="AU1093" s="86"/>
      <c r="AV1093" s="86"/>
      <c r="AW1093" s="86"/>
      <c r="AX1093" s="86"/>
      <c r="AY1093" s="86"/>
      <c r="AZ1093" s="86"/>
      <c r="BA1093" s="86"/>
      <c r="BB1093" s="86"/>
      <c r="BC1093" s="86"/>
      <c r="BD1093" s="86"/>
      <c r="BE1093" s="86"/>
      <c r="BF1093" s="86"/>
      <c r="BG1093" s="86"/>
      <c r="BH1093" s="86"/>
      <c r="BI1093" s="86"/>
    </row>
    <row r="1094" spans="1:61" ht="12.75" x14ac:dyDescent="0.2">
      <c r="A1094" s="86"/>
      <c r="B1094" s="86"/>
      <c r="C1094" s="86"/>
      <c r="D1094" s="86"/>
      <c r="E1094" s="86"/>
      <c r="F1094" s="86"/>
      <c r="G1094" s="86"/>
      <c r="H1094" s="86"/>
      <c r="I1094" s="86"/>
      <c r="J1094" s="86"/>
      <c r="K1094" s="86"/>
      <c r="L1094" s="86"/>
      <c r="M1094" s="86"/>
      <c r="N1094" s="86"/>
      <c r="O1094" s="86"/>
      <c r="P1094" s="86"/>
      <c r="Q1094" s="86"/>
      <c r="R1094" s="86"/>
      <c r="S1094" s="86"/>
      <c r="T1094" s="86"/>
      <c r="U1094" s="86"/>
      <c r="V1094" s="86"/>
      <c r="W1094" s="86"/>
      <c r="X1094" s="86"/>
      <c r="Y1094" s="86"/>
      <c r="Z1094" s="86"/>
      <c r="AA1094" s="86"/>
      <c r="AB1094" s="86"/>
      <c r="AC1094" s="86"/>
      <c r="AD1094" s="86"/>
      <c r="AE1094" s="86"/>
      <c r="AF1094" s="86"/>
      <c r="AG1094" s="86"/>
      <c r="AH1094" s="86"/>
      <c r="AI1094" s="86"/>
      <c r="AJ1094" s="86"/>
      <c r="AK1094" s="86"/>
      <c r="AL1094" s="86"/>
      <c r="AM1094" s="86"/>
      <c r="AN1094" s="86"/>
      <c r="AO1094" s="86"/>
      <c r="AP1094" s="86"/>
      <c r="AQ1094" s="86"/>
      <c r="AR1094" s="86"/>
      <c r="AS1094" s="86"/>
      <c r="AT1094" s="86"/>
      <c r="AU1094" s="86"/>
      <c r="AV1094" s="86"/>
      <c r="AW1094" s="86"/>
      <c r="AX1094" s="86"/>
      <c r="AY1094" s="86"/>
      <c r="AZ1094" s="86"/>
      <c r="BA1094" s="86"/>
      <c r="BB1094" s="86"/>
      <c r="BC1094" s="86"/>
      <c r="BD1094" s="86"/>
      <c r="BE1094" s="86"/>
      <c r="BF1094" s="86"/>
      <c r="BG1094" s="86"/>
      <c r="BH1094" s="86"/>
      <c r="BI1094" s="86"/>
    </row>
    <row r="1095" spans="1:61" ht="12.75" x14ac:dyDescent="0.2">
      <c r="A1095" s="86"/>
      <c r="B1095" s="86"/>
      <c r="C1095" s="86"/>
      <c r="D1095" s="86"/>
      <c r="E1095" s="86"/>
      <c r="F1095" s="86"/>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c r="AC1095" s="86"/>
      <c r="AD1095" s="86"/>
      <c r="AE1095" s="86"/>
      <c r="AF1095" s="86"/>
      <c r="AG1095" s="86"/>
      <c r="AH1095" s="86"/>
      <c r="AI1095" s="86"/>
      <c r="AJ1095" s="86"/>
      <c r="AK1095" s="86"/>
      <c r="AL1095" s="86"/>
      <c r="AM1095" s="86"/>
      <c r="AN1095" s="86"/>
      <c r="AO1095" s="86"/>
      <c r="AP1095" s="86"/>
      <c r="AQ1095" s="86"/>
      <c r="AR1095" s="86"/>
      <c r="AS1095" s="86"/>
      <c r="AT1095" s="86"/>
      <c r="AU1095" s="86"/>
      <c r="AV1095" s="86"/>
      <c r="AW1095" s="86"/>
      <c r="AX1095" s="86"/>
      <c r="AY1095" s="86"/>
      <c r="AZ1095" s="86"/>
      <c r="BA1095" s="86"/>
      <c r="BB1095" s="86"/>
      <c r="BC1095" s="86"/>
      <c r="BD1095" s="86"/>
      <c r="BE1095" s="86"/>
      <c r="BF1095" s="86"/>
      <c r="BG1095" s="86"/>
      <c r="BH1095" s="86"/>
      <c r="BI1095" s="86"/>
    </row>
    <row r="1096" spans="1:61" ht="12.75" x14ac:dyDescent="0.2">
      <c r="A1096" s="86"/>
      <c r="B1096" s="86"/>
      <c r="C1096" s="86"/>
      <c r="D1096" s="86"/>
      <c r="E1096" s="86"/>
      <c r="F1096" s="86"/>
      <c r="G1096" s="86"/>
      <c r="H1096" s="86"/>
      <c r="I1096" s="86"/>
      <c r="J1096" s="86"/>
      <c r="K1096" s="86"/>
      <c r="L1096" s="86"/>
      <c r="M1096" s="86"/>
      <c r="N1096" s="86"/>
      <c r="O1096" s="86"/>
      <c r="P1096" s="86"/>
      <c r="Q1096" s="86"/>
      <c r="R1096" s="86"/>
      <c r="S1096" s="86"/>
      <c r="T1096" s="86"/>
      <c r="U1096" s="86"/>
      <c r="V1096" s="86"/>
      <c r="W1096" s="86"/>
      <c r="X1096" s="86"/>
      <c r="Y1096" s="86"/>
      <c r="Z1096" s="86"/>
      <c r="AA1096" s="86"/>
      <c r="AB1096" s="86"/>
      <c r="AC1096" s="86"/>
      <c r="AD1096" s="86"/>
      <c r="AE1096" s="86"/>
      <c r="AF1096" s="86"/>
      <c r="AG1096" s="86"/>
      <c r="AH1096" s="86"/>
      <c r="AI1096" s="86"/>
      <c r="AJ1096" s="86"/>
      <c r="AK1096" s="86"/>
      <c r="AL1096" s="86"/>
      <c r="AM1096" s="86"/>
      <c r="AN1096" s="86"/>
      <c r="AO1096" s="86"/>
      <c r="AP1096" s="86"/>
      <c r="AQ1096" s="86"/>
      <c r="AR1096" s="86"/>
      <c r="AS1096" s="86"/>
      <c r="AT1096" s="86"/>
      <c r="AU1096" s="86"/>
      <c r="AV1096" s="86"/>
      <c r="AW1096" s="86"/>
      <c r="AX1096" s="86"/>
      <c r="AY1096" s="86"/>
      <c r="AZ1096" s="86"/>
      <c r="BA1096" s="86"/>
      <c r="BB1096" s="86"/>
      <c r="BC1096" s="86"/>
      <c r="BD1096" s="86"/>
      <c r="BE1096" s="86"/>
      <c r="BF1096" s="86"/>
      <c r="BG1096" s="86"/>
      <c r="BH1096" s="86"/>
      <c r="BI1096" s="86"/>
    </row>
    <row r="1097" spans="1:61" ht="12.75" x14ac:dyDescent="0.2">
      <c r="A1097" s="86"/>
      <c r="B1097" s="86"/>
      <c r="C1097" s="86"/>
      <c r="D1097" s="86"/>
      <c r="E1097" s="86"/>
      <c r="F1097" s="86"/>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c r="AC1097" s="86"/>
      <c r="AD1097" s="86"/>
      <c r="AE1097" s="86"/>
      <c r="AF1097" s="86"/>
      <c r="AG1097" s="86"/>
      <c r="AH1097" s="86"/>
      <c r="AI1097" s="86"/>
      <c r="AJ1097" s="86"/>
      <c r="AK1097" s="86"/>
      <c r="AL1097" s="86"/>
      <c r="AM1097" s="86"/>
      <c r="AN1097" s="86"/>
      <c r="AO1097" s="86"/>
      <c r="AP1097" s="86"/>
      <c r="AQ1097" s="86"/>
      <c r="AR1097" s="86"/>
      <c r="AS1097" s="86"/>
      <c r="AT1097" s="86"/>
      <c r="AU1097" s="86"/>
      <c r="AV1097" s="86"/>
      <c r="AW1097" s="86"/>
      <c r="AX1097" s="86"/>
      <c r="AY1097" s="86"/>
      <c r="AZ1097" s="86"/>
      <c r="BA1097" s="86"/>
      <c r="BB1097" s="86"/>
      <c r="BC1097" s="86"/>
      <c r="BD1097" s="86"/>
      <c r="BE1097" s="86"/>
      <c r="BF1097" s="86"/>
      <c r="BG1097" s="86"/>
      <c r="BH1097" s="86"/>
      <c r="BI1097" s="86"/>
    </row>
    <row r="1098" spans="1:61" ht="12.75" x14ac:dyDescent="0.2">
      <c r="A1098" s="86"/>
      <c r="B1098" s="86"/>
      <c r="C1098" s="86"/>
      <c r="D1098" s="86"/>
      <c r="E1098" s="86"/>
      <c r="F1098" s="86"/>
      <c r="G1098" s="86"/>
      <c r="H1098" s="86"/>
      <c r="I1098" s="86"/>
      <c r="J1098" s="86"/>
      <c r="K1098" s="86"/>
      <c r="L1098" s="86"/>
      <c r="M1098" s="86"/>
      <c r="N1098" s="86"/>
      <c r="O1098" s="86"/>
      <c r="P1098" s="86"/>
      <c r="Q1098" s="86"/>
      <c r="R1098" s="86"/>
      <c r="S1098" s="86"/>
      <c r="T1098" s="86"/>
      <c r="U1098" s="86"/>
      <c r="V1098" s="86"/>
      <c r="W1098" s="86"/>
      <c r="X1098" s="86"/>
      <c r="Y1098" s="86"/>
      <c r="Z1098" s="86"/>
      <c r="AA1098" s="86"/>
      <c r="AB1098" s="86"/>
      <c r="AC1098" s="86"/>
      <c r="AD1098" s="86"/>
      <c r="AE1098" s="86"/>
      <c r="AF1098" s="86"/>
      <c r="AG1098" s="86"/>
      <c r="AH1098" s="86"/>
      <c r="AI1098" s="86"/>
      <c r="AJ1098" s="86"/>
      <c r="AK1098" s="86"/>
      <c r="AL1098" s="86"/>
      <c r="AM1098" s="86"/>
      <c r="AN1098" s="86"/>
      <c r="AO1098" s="86"/>
      <c r="AP1098" s="86"/>
      <c r="AQ1098" s="86"/>
      <c r="AR1098" s="86"/>
      <c r="AS1098" s="86"/>
      <c r="AT1098" s="86"/>
      <c r="AU1098" s="86"/>
      <c r="AV1098" s="86"/>
      <c r="AW1098" s="86"/>
      <c r="AX1098" s="86"/>
      <c r="AY1098" s="86"/>
      <c r="AZ1098" s="86"/>
      <c r="BA1098" s="86"/>
      <c r="BB1098" s="86"/>
      <c r="BC1098" s="86"/>
      <c r="BD1098" s="86"/>
      <c r="BE1098" s="86"/>
      <c r="BF1098" s="86"/>
      <c r="BG1098" s="86"/>
      <c r="BH1098" s="86"/>
      <c r="BI1098" s="86"/>
    </row>
    <row r="1099" spans="1:61" ht="12.75" x14ac:dyDescent="0.2">
      <c r="A1099" s="86"/>
      <c r="B1099" s="86"/>
      <c r="C1099" s="86"/>
      <c r="D1099" s="86"/>
      <c r="E1099" s="86"/>
      <c r="F1099" s="86"/>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c r="AC1099" s="86"/>
      <c r="AD1099" s="86"/>
      <c r="AE1099" s="86"/>
      <c r="AF1099" s="86"/>
      <c r="AG1099" s="86"/>
      <c r="AH1099" s="86"/>
      <c r="AI1099" s="86"/>
      <c r="AJ1099" s="86"/>
      <c r="AK1099" s="86"/>
      <c r="AL1099" s="86"/>
      <c r="AM1099" s="86"/>
      <c r="AN1099" s="86"/>
      <c r="AO1099" s="86"/>
      <c r="AP1099" s="86"/>
      <c r="AQ1099" s="86"/>
      <c r="AR1099" s="86"/>
      <c r="AS1099" s="86"/>
      <c r="AT1099" s="86"/>
      <c r="AU1099" s="86"/>
      <c r="AV1099" s="86"/>
      <c r="AW1099" s="86"/>
      <c r="AX1099" s="86"/>
      <c r="AY1099" s="86"/>
      <c r="AZ1099" s="86"/>
      <c r="BA1099" s="86"/>
      <c r="BB1099" s="86"/>
      <c r="BC1099" s="86"/>
      <c r="BD1099" s="86"/>
      <c r="BE1099" s="86"/>
      <c r="BF1099" s="86"/>
      <c r="BG1099" s="86"/>
      <c r="BH1099" s="86"/>
      <c r="BI1099" s="86"/>
    </row>
    <row r="1100" spans="1:61" ht="12.75" x14ac:dyDescent="0.2">
      <c r="A1100" s="86"/>
      <c r="B1100" s="86"/>
      <c r="C1100" s="86"/>
      <c r="D1100" s="86"/>
      <c r="E1100" s="86"/>
      <c r="F1100" s="86"/>
      <c r="G1100" s="86"/>
      <c r="H1100" s="86"/>
      <c r="I1100" s="86"/>
      <c r="J1100" s="86"/>
      <c r="K1100" s="86"/>
      <c r="L1100" s="86"/>
      <c r="M1100" s="86"/>
      <c r="N1100" s="86"/>
      <c r="O1100" s="86"/>
      <c r="P1100" s="86"/>
      <c r="Q1100" s="86"/>
      <c r="R1100" s="86"/>
      <c r="S1100" s="86"/>
      <c r="T1100" s="86"/>
      <c r="U1100" s="86"/>
      <c r="V1100" s="86"/>
      <c r="W1100" s="86"/>
      <c r="X1100" s="86"/>
      <c r="Y1100" s="86"/>
      <c r="Z1100" s="86"/>
      <c r="AA1100" s="86"/>
      <c r="AB1100" s="86"/>
      <c r="AC1100" s="86"/>
      <c r="AD1100" s="86"/>
      <c r="AE1100" s="86"/>
      <c r="AF1100" s="86"/>
      <c r="AG1100" s="86"/>
      <c r="AH1100" s="86"/>
      <c r="AI1100" s="86"/>
      <c r="AJ1100" s="86"/>
      <c r="AK1100" s="86"/>
      <c r="AL1100" s="86"/>
      <c r="AM1100" s="86"/>
      <c r="AN1100" s="86"/>
      <c r="AO1100" s="86"/>
      <c r="AP1100" s="86"/>
      <c r="AQ1100" s="86"/>
      <c r="AR1100" s="86"/>
      <c r="AS1100" s="86"/>
      <c r="AT1100" s="86"/>
      <c r="AU1100" s="86"/>
      <c r="AV1100" s="86"/>
      <c r="AW1100" s="86"/>
      <c r="AX1100" s="86"/>
      <c r="AY1100" s="86"/>
      <c r="AZ1100" s="86"/>
      <c r="BA1100" s="86"/>
      <c r="BB1100" s="86"/>
      <c r="BC1100" s="86"/>
      <c r="BD1100" s="86"/>
      <c r="BE1100" s="86"/>
      <c r="BF1100" s="86"/>
      <c r="BG1100" s="86"/>
      <c r="BH1100" s="86"/>
      <c r="BI1100" s="86"/>
    </row>
    <row r="1101" spans="1:61" ht="12.75" x14ac:dyDescent="0.2">
      <c r="A1101" s="86"/>
      <c r="B1101" s="86"/>
      <c r="C1101" s="86"/>
      <c r="D1101" s="86"/>
      <c r="E1101" s="86"/>
      <c r="F1101" s="86"/>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c r="AC1101" s="86"/>
      <c r="AD1101" s="86"/>
      <c r="AE1101" s="86"/>
      <c r="AF1101" s="86"/>
      <c r="AG1101" s="86"/>
      <c r="AH1101" s="86"/>
      <c r="AI1101" s="86"/>
      <c r="AJ1101" s="86"/>
      <c r="AK1101" s="86"/>
      <c r="AL1101" s="86"/>
      <c r="AM1101" s="86"/>
      <c r="AN1101" s="86"/>
      <c r="AO1101" s="86"/>
      <c r="AP1101" s="86"/>
      <c r="AQ1101" s="86"/>
      <c r="AR1101" s="86"/>
      <c r="AS1101" s="86"/>
      <c r="AT1101" s="86"/>
      <c r="AU1101" s="86"/>
      <c r="AV1101" s="86"/>
      <c r="AW1101" s="86"/>
      <c r="AX1101" s="86"/>
      <c r="AY1101" s="86"/>
      <c r="AZ1101" s="86"/>
      <c r="BA1101" s="86"/>
      <c r="BB1101" s="86"/>
      <c r="BC1101" s="86"/>
      <c r="BD1101" s="86"/>
      <c r="BE1101" s="86"/>
      <c r="BF1101" s="86"/>
      <c r="BG1101" s="86"/>
      <c r="BH1101" s="86"/>
      <c r="BI1101" s="86"/>
    </row>
    <row r="1102" spans="1:61" ht="12.75" x14ac:dyDescent="0.2">
      <c r="A1102" s="86"/>
      <c r="B1102" s="86"/>
      <c r="C1102" s="86"/>
      <c r="D1102" s="86"/>
      <c r="E1102" s="86"/>
      <c r="F1102" s="86"/>
      <c r="G1102" s="86"/>
      <c r="H1102" s="86"/>
      <c r="I1102" s="86"/>
      <c r="J1102" s="86"/>
      <c r="K1102" s="86"/>
      <c r="L1102" s="86"/>
      <c r="M1102" s="86"/>
      <c r="N1102" s="86"/>
      <c r="O1102" s="86"/>
      <c r="P1102" s="86"/>
      <c r="Q1102" s="86"/>
      <c r="R1102" s="86"/>
      <c r="S1102" s="86"/>
      <c r="T1102" s="86"/>
      <c r="U1102" s="86"/>
      <c r="V1102" s="86"/>
      <c r="W1102" s="86"/>
      <c r="X1102" s="86"/>
      <c r="Y1102" s="86"/>
      <c r="Z1102" s="86"/>
      <c r="AA1102" s="86"/>
      <c r="AB1102" s="86"/>
      <c r="AC1102" s="86"/>
      <c r="AD1102" s="86"/>
      <c r="AE1102" s="86"/>
      <c r="AF1102" s="86"/>
      <c r="AG1102" s="86"/>
      <c r="AH1102" s="86"/>
      <c r="AI1102" s="86"/>
      <c r="AJ1102" s="86"/>
      <c r="AK1102" s="86"/>
      <c r="AL1102" s="86"/>
      <c r="AM1102" s="86"/>
      <c r="AN1102" s="86"/>
      <c r="AO1102" s="86"/>
      <c r="AP1102" s="86"/>
      <c r="AQ1102" s="86"/>
      <c r="AR1102" s="86"/>
      <c r="AS1102" s="86"/>
      <c r="AT1102" s="86"/>
      <c r="AU1102" s="86"/>
      <c r="AV1102" s="86"/>
      <c r="AW1102" s="86"/>
      <c r="AX1102" s="86"/>
      <c r="AY1102" s="86"/>
      <c r="AZ1102" s="86"/>
      <c r="BA1102" s="86"/>
      <c r="BB1102" s="86"/>
      <c r="BC1102" s="86"/>
      <c r="BD1102" s="86"/>
      <c r="BE1102" s="86"/>
      <c r="BF1102" s="86"/>
      <c r="BG1102" s="86"/>
      <c r="BH1102" s="86"/>
      <c r="BI1102" s="86"/>
    </row>
    <row r="1103" spans="1:61" ht="12.75" x14ac:dyDescent="0.2">
      <c r="A1103" s="86"/>
      <c r="B1103" s="86"/>
      <c r="C1103" s="86"/>
      <c r="D1103" s="86"/>
      <c r="E1103" s="86"/>
      <c r="F1103" s="86"/>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c r="AC1103" s="86"/>
      <c r="AD1103" s="86"/>
      <c r="AE1103" s="86"/>
      <c r="AF1103" s="86"/>
      <c r="AG1103" s="86"/>
      <c r="AH1103" s="86"/>
      <c r="AI1103" s="86"/>
      <c r="AJ1103" s="86"/>
      <c r="AK1103" s="86"/>
      <c r="AL1103" s="86"/>
      <c r="AM1103" s="86"/>
      <c r="AN1103" s="86"/>
      <c r="AO1103" s="86"/>
      <c r="AP1103" s="86"/>
      <c r="AQ1103" s="86"/>
      <c r="AR1103" s="86"/>
      <c r="AS1103" s="86"/>
      <c r="AT1103" s="86"/>
      <c r="AU1103" s="86"/>
      <c r="AV1103" s="86"/>
      <c r="AW1103" s="86"/>
      <c r="AX1103" s="86"/>
      <c r="AY1103" s="86"/>
      <c r="AZ1103" s="86"/>
      <c r="BA1103" s="86"/>
      <c r="BB1103" s="86"/>
      <c r="BC1103" s="86"/>
      <c r="BD1103" s="86"/>
      <c r="BE1103" s="86"/>
      <c r="BF1103" s="86"/>
      <c r="BG1103" s="86"/>
      <c r="BH1103" s="86"/>
      <c r="BI1103" s="86"/>
    </row>
    <row r="1104" spans="1:61" ht="12.75" x14ac:dyDescent="0.2">
      <c r="A1104" s="86"/>
      <c r="B1104" s="86"/>
      <c r="C1104" s="86"/>
      <c r="D1104" s="86"/>
      <c r="E1104" s="86"/>
      <c r="F1104" s="86"/>
      <c r="G1104" s="86"/>
      <c r="H1104" s="86"/>
      <c r="I1104" s="86"/>
      <c r="J1104" s="86"/>
      <c r="K1104" s="86"/>
      <c r="L1104" s="86"/>
      <c r="M1104" s="86"/>
      <c r="N1104" s="86"/>
      <c r="O1104" s="86"/>
      <c r="P1104" s="86"/>
      <c r="Q1104" s="86"/>
      <c r="R1104" s="86"/>
      <c r="S1104" s="86"/>
      <c r="T1104" s="86"/>
      <c r="U1104" s="86"/>
      <c r="V1104" s="86"/>
      <c r="W1104" s="86"/>
      <c r="X1104" s="86"/>
      <c r="Y1104" s="86"/>
      <c r="Z1104" s="86"/>
      <c r="AA1104" s="86"/>
      <c r="AB1104" s="86"/>
      <c r="AC1104" s="86"/>
      <c r="AD1104" s="86"/>
      <c r="AE1104" s="86"/>
      <c r="AF1104" s="86"/>
      <c r="AG1104" s="86"/>
      <c r="AH1104" s="86"/>
      <c r="AI1104" s="86"/>
      <c r="AJ1104" s="86"/>
      <c r="AK1104" s="86"/>
      <c r="AL1104" s="86"/>
      <c r="AM1104" s="86"/>
      <c r="AN1104" s="86"/>
      <c r="AO1104" s="86"/>
      <c r="AP1104" s="86"/>
      <c r="AQ1104" s="86"/>
      <c r="AR1104" s="86"/>
      <c r="AS1104" s="86"/>
      <c r="AT1104" s="86"/>
      <c r="AU1104" s="86"/>
      <c r="AV1104" s="86"/>
      <c r="AW1104" s="86"/>
      <c r="AX1104" s="86"/>
      <c r="AY1104" s="86"/>
      <c r="AZ1104" s="86"/>
      <c r="BA1104" s="86"/>
      <c r="BB1104" s="86"/>
      <c r="BC1104" s="86"/>
      <c r="BD1104" s="86"/>
      <c r="BE1104" s="86"/>
      <c r="BF1104" s="86"/>
      <c r="BG1104" s="86"/>
      <c r="BH1104" s="86"/>
      <c r="BI1104" s="86"/>
    </row>
    <row r="1105" spans="1:61" ht="12.75" x14ac:dyDescent="0.2">
      <c r="A1105" s="86"/>
      <c r="B1105" s="86"/>
      <c r="C1105" s="86"/>
      <c r="D1105" s="86"/>
      <c r="E1105" s="86"/>
      <c r="F1105" s="86"/>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c r="AC1105" s="86"/>
      <c r="AD1105" s="86"/>
      <c r="AE1105" s="86"/>
      <c r="AF1105" s="86"/>
      <c r="AG1105" s="86"/>
      <c r="AH1105" s="86"/>
      <c r="AI1105" s="86"/>
      <c r="AJ1105" s="86"/>
      <c r="AK1105" s="86"/>
      <c r="AL1105" s="86"/>
      <c r="AM1105" s="86"/>
      <c r="AN1105" s="86"/>
      <c r="AO1105" s="86"/>
      <c r="AP1105" s="86"/>
      <c r="AQ1105" s="86"/>
      <c r="AR1105" s="86"/>
      <c r="AS1105" s="86"/>
      <c r="AT1105" s="86"/>
      <c r="AU1105" s="86"/>
      <c r="AV1105" s="86"/>
      <c r="AW1105" s="86"/>
      <c r="AX1105" s="86"/>
      <c r="AY1105" s="86"/>
      <c r="AZ1105" s="86"/>
      <c r="BA1105" s="86"/>
      <c r="BB1105" s="86"/>
      <c r="BC1105" s="86"/>
      <c r="BD1105" s="86"/>
      <c r="BE1105" s="86"/>
      <c r="BF1105" s="86"/>
      <c r="BG1105" s="86"/>
      <c r="BH1105" s="86"/>
      <c r="BI1105" s="86"/>
    </row>
    <row r="1106" spans="1:61" ht="12.75" x14ac:dyDescent="0.2">
      <c r="A1106" s="86"/>
      <c r="B1106" s="86"/>
      <c r="C1106" s="86"/>
      <c r="D1106" s="86"/>
      <c r="E1106" s="86"/>
      <c r="F1106" s="86"/>
      <c r="G1106" s="86"/>
      <c r="H1106" s="86"/>
      <c r="I1106" s="86"/>
      <c r="J1106" s="86"/>
      <c r="K1106" s="86"/>
      <c r="L1106" s="86"/>
      <c r="M1106" s="86"/>
      <c r="N1106" s="86"/>
      <c r="O1106" s="86"/>
      <c r="P1106" s="86"/>
      <c r="Q1106" s="86"/>
      <c r="R1106" s="86"/>
      <c r="S1106" s="86"/>
      <c r="T1106" s="86"/>
      <c r="U1106" s="86"/>
      <c r="V1106" s="86"/>
      <c r="W1106" s="86"/>
      <c r="X1106" s="86"/>
      <c r="Y1106" s="86"/>
      <c r="Z1106" s="86"/>
      <c r="AA1106" s="86"/>
      <c r="AB1106" s="86"/>
      <c r="AC1106" s="86"/>
      <c r="AD1106" s="86"/>
      <c r="AE1106" s="86"/>
      <c r="AF1106" s="86"/>
      <c r="AG1106" s="86"/>
      <c r="AH1106" s="86"/>
      <c r="AI1106" s="86"/>
      <c r="AJ1106" s="86"/>
      <c r="AK1106" s="86"/>
      <c r="AL1106" s="86"/>
      <c r="AM1106" s="86"/>
      <c r="AN1106" s="86"/>
      <c r="AO1106" s="86"/>
      <c r="AP1106" s="86"/>
      <c r="AQ1106" s="86"/>
      <c r="AR1106" s="86"/>
      <c r="AS1106" s="86"/>
      <c r="AT1106" s="86"/>
      <c r="AU1106" s="86"/>
      <c r="AV1106" s="86"/>
      <c r="AW1106" s="86"/>
      <c r="AX1106" s="86"/>
      <c r="AY1106" s="86"/>
      <c r="AZ1106" s="86"/>
      <c r="BA1106" s="86"/>
      <c r="BB1106" s="86"/>
      <c r="BC1106" s="86"/>
      <c r="BD1106" s="86"/>
      <c r="BE1106" s="86"/>
      <c r="BF1106" s="86"/>
      <c r="BG1106" s="86"/>
      <c r="BH1106" s="86"/>
      <c r="BI1106" s="86"/>
    </row>
    <row r="1107" spans="1:61" ht="12.75" x14ac:dyDescent="0.2">
      <c r="A1107" s="86"/>
      <c r="B1107" s="86"/>
      <c r="C1107" s="86"/>
      <c r="D1107" s="86"/>
      <c r="E1107" s="86"/>
      <c r="F1107" s="86"/>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c r="AC1107" s="86"/>
      <c r="AD1107" s="86"/>
      <c r="AE1107" s="86"/>
      <c r="AF1107" s="86"/>
      <c r="AG1107" s="86"/>
      <c r="AH1107" s="86"/>
      <c r="AI1107" s="86"/>
      <c r="AJ1107" s="86"/>
      <c r="AK1107" s="86"/>
      <c r="AL1107" s="86"/>
      <c r="AM1107" s="86"/>
      <c r="AN1107" s="86"/>
      <c r="AO1107" s="86"/>
      <c r="AP1107" s="86"/>
      <c r="AQ1107" s="86"/>
      <c r="AR1107" s="86"/>
      <c r="AS1107" s="86"/>
      <c r="AT1107" s="86"/>
      <c r="AU1107" s="86"/>
      <c r="AV1107" s="86"/>
      <c r="AW1107" s="86"/>
      <c r="AX1107" s="86"/>
      <c r="AY1107" s="86"/>
      <c r="AZ1107" s="86"/>
      <c r="BA1107" s="86"/>
      <c r="BB1107" s="86"/>
      <c r="BC1107" s="86"/>
      <c r="BD1107" s="86"/>
      <c r="BE1107" s="86"/>
      <c r="BF1107" s="86"/>
      <c r="BG1107" s="86"/>
      <c r="BH1107" s="86"/>
      <c r="BI1107" s="86"/>
    </row>
    <row r="1108" spans="1:61" ht="12.75" x14ac:dyDescent="0.2">
      <c r="A1108" s="86"/>
      <c r="B1108" s="86"/>
      <c r="C1108" s="86"/>
      <c r="D1108" s="86"/>
      <c r="E1108" s="86"/>
      <c r="F1108" s="86"/>
      <c r="G1108" s="86"/>
      <c r="H1108" s="86"/>
      <c r="I1108" s="86"/>
      <c r="J1108" s="86"/>
      <c r="K1108" s="86"/>
      <c r="L1108" s="86"/>
      <c r="M1108" s="86"/>
      <c r="N1108" s="86"/>
      <c r="O1108" s="86"/>
      <c r="P1108" s="86"/>
      <c r="Q1108" s="86"/>
      <c r="R1108" s="86"/>
      <c r="S1108" s="86"/>
      <c r="T1108" s="86"/>
      <c r="U1108" s="86"/>
      <c r="V1108" s="86"/>
      <c r="W1108" s="86"/>
      <c r="X1108" s="86"/>
      <c r="Y1108" s="86"/>
      <c r="Z1108" s="86"/>
      <c r="AA1108" s="86"/>
      <c r="AB1108" s="86"/>
      <c r="AC1108" s="86"/>
      <c r="AD1108" s="86"/>
      <c r="AE1108" s="86"/>
      <c r="AF1108" s="86"/>
      <c r="AG1108" s="86"/>
      <c r="AH1108" s="86"/>
      <c r="AI1108" s="86"/>
      <c r="AJ1108" s="86"/>
      <c r="AK1108" s="86"/>
      <c r="AL1108" s="86"/>
      <c r="AM1108" s="86"/>
      <c r="AN1108" s="86"/>
      <c r="AO1108" s="86"/>
      <c r="AP1108" s="86"/>
      <c r="AQ1108" s="86"/>
      <c r="AR1108" s="86"/>
      <c r="AS1108" s="86"/>
      <c r="AT1108" s="86"/>
      <c r="AU1108" s="86"/>
      <c r="AV1108" s="86"/>
      <c r="AW1108" s="86"/>
      <c r="AX1108" s="86"/>
      <c r="AY1108" s="86"/>
      <c r="AZ1108" s="86"/>
      <c r="BA1108" s="86"/>
      <c r="BB1108" s="86"/>
      <c r="BC1108" s="86"/>
      <c r="BD1108" s="86"/>
      <c r="BE1108" s="86"/>
      <c r="BF1108" s="86"/>
      <c r="BG1108" s="86"/>
      <c r="BH1108" s="86"/>
      <c r="BI1108" s="86"/>
    </row>
    <row r="1109" spans="1:61" ht="12.75" x14ac:dyDescent="0.2">
      <c r="A1109" s="86"/>
      <c r="B1109" s="86"/>
      <c r="C1109" s="86"/>
      <c r="D1109" s="86"/>
      <c r="E1109" s="86"/>
      <c r="F1109" s="86"/>
      <c r="G1109" s="86"/>
      <c r="H1109" s="86"/>
      <c r="I1109" s="86"/>
      <c r="J1109" s="86"/>
      <c r="K1109" s="86"/>
      <c r="L1109" s="86"/>
      <c r="M1109" s="86"/>
      <c r="N1109" s="86"/>
      <c r="O1109" s="86"/>
      <c r="P1109" s="86"/>
      <c r="Q1109" s="86"/>
      <c r="R1109" s="86"/>
      <c r="S1109" s="86"/>
      <c r="T1109" s="86"/>
      <c r="U1109" s="86"/>
      <c r="V1109" s="86"/>
      <c r="W1109" s="86"/>
      <c r="X1109" s="86"/>
      <c r="Y1109" s="86"/>
      <c r="Z1109" s="86"/>
      <c r="AA1109" s="86"/>
      <c r="AB1109" s="86"/>
      <c r="AC1109" s="86"/>
      <c r="AD1109" s="86"/>
      <c r="AE1109" s="86"/>
      <c r="AF1109" s="86"/>
      <c r="AG1109" s="86"/>
      <c r="AH1109" s="86"/>
      <c r="AI1109" s="86"/>
      <c r="AJ1109" s="86"/>
      <c r="AK1109" s="86"/>
      <c r="AL1109" s="86"/>
      <c r="AM1109" s="86"/>
      <c r="AN1109" s="86"/>
      <c r="AO1109" s="86"/>
      <c r="AP1109" s="86"/>
      <c r="AQ1109" s="86"/>
      <c r="AR1109" s="86"/>
      <c r="AS1109" s="86"/>
      <c r="AT1109" s="86"/>
      <c r="AU1109" s="86"/>
      <c r="AV1109" s="86"/>
      <c r="AW1109" s="86"/>
      <c r="AX1109" s="86"/>
      <c r="AY1109" s="86"/>
      <c r="AZ1109" s="86"/>
      <c r="BA1109" s="86"/>
      <c r="BB1109" s="86"/>
      <c r="BC1109" s="86"/>
      <c r="BD1109" s="86"/>
      <c r="BE1109" s="86"/>
      <c r="BF1109" s="86"/>
      <c r="BG1109" s="86"/>
      <c r="BH1109" s="86"/>
      <c r="BI1109" s="86"/>
    </row>
    <row r="1110" spans="1:61" ht="12.75" x14ac:dyDescent="0.2">
      <c r="A1110" s="86"/>
      <c r="B1110" s="86"/>
      <c r="C1110" s="86"/>
      <c r="D1110" s="86"/>
      <c r="E1110" s="86"/>
      <c r="F1110" s="86"/>
      <c r="G1110" s="86"/>
      <c r="H1110" s="86"/>
      <c r="I1110" s="86"/>
      <c r="J1110" s="86"/>
      <c r="K1110" s="86"/>
      <c r="L1110" s="86"/>
      <c r="M1110" s="86"/>
      <c r="N1110" s="86"/>
      <c r="O1110" s="86"/>
      <c r="P1110" s="86"/>
      <c r="Q1110" s="86"/>
      <c r="R1110" s="86"/>
      <c r="S1110" s="86"/>
      <c r="T1110" s="86"/>
      <c r="U1110" s="86"/>
      <c r="V1110" s="86"/>
      <c r="W1110" s="86"/>
      <c r="X1110" s="86"/>
      <c r="Y1110" s="86"/>
      <c r="Z1110" s="86"/>
      <c r="AA1110" s="86"/>
      <c r="AB1110" s="86"/>
      <c r="AC1110" s="86"/>
      <c r="AD1110" s="86"/>
      <c r="AE1110" s="86"/>
      <c r="AF1110" s="86"/>
      <c r="AG1110" s="86"/>
      <c r="AH1110" s="86"/>
      <c r="AI1110" s="86"/>
      <c r="AJ1110" s="86"/>
      <c r="AK1110" s="86"/>
      <c r="AL1110" s="86"/>
      <c r="AM1110" s="86"/>
      <c r="AN1110" s="86"/>
      <c r="AO1110" s="86"/>
      <c r="AP1110" s="86"/>
      <c r="AQ1110" s="86"/>
      <c r="AR1110" s="86"/>
      <c r="AS1110" s="86"/>
      <c r="AT1110" s="86"/>
      <c r="AU1110" s="86"/>
      <c r="AV1110" s="86"/>
      <c r="AW1110" s="86"/>
      <c r="AX1110" s="86"/>
      <c r="AY1110" s="86"/>
      <c r="AZ1110" s="86"/>
      <c r="BA1110" s="86"/>
      <c r="BB1110" s="86"/>
      <c r="BC1110" s="86"/>
      <c r="BD1110" s="86"/>
      <c r="BE1110" s="86"/>
      <c r="BF1110" s="86"/>
      <c r="BG1110" s="86"/>
      <c r="BH1110" s="86"/>
      <c r="BI1110" s="86"/>
    </row>
    <row r="1111" spans="1:61" ht="12.75" x14ac:dyDescent="0.2">
      <c r="A1111" s="86"/>
      <c r="B1111" s="86"/>
      <c r="C1111" s="86"/>
      <c r="D1111" s="86"/>
      <c r="E1111" s="86"/>
      <c r="F1111" s="86"/>
      <c r="G1111" s="86"/>
      <c r="H1111" s="86"/>
      <c r="I1111" s="86"/>
      <c r="J1111" s="86"/>
      <c r="K1111" s="86"/>
      <c r="L1111" s="86"/>
      <c r="M1111" s="86"/>
      <c r="N1111" s="86"/>
      <c r="O1111" s="86"/>
      <c r="P1111" s="86"/>
      <c r="Q1111" s="86"/>
      <c r="R1111" s="86"/>
      <c r="S1111" s="86"/>
      <c r="T1111" s="86"/>
      <c r="U1111" s="86"/>
      <c r="V1111" s="86"/>
      <c r="W1111" s="86"/>
      <c r="X1111" s="86"/>
      <c r="Y1111" s="86"/>
      <c r="Z1111" s="86"/>
      <c r="AA1111" s="86"/>
      <c r="AB1111" s="86"/>
      <c r="AC1111" s="86"/>
      <c r="AD1111" s="86"/>
      <c r="AE1111" s="86"/>
      <c r="AF1111" s="86"/>
      <c r="AG1111" s="86"/>
      <c r="AH1111" s="86"/>
      <c r="AI1111" s="86"/>
      <c r="AJ1111" s="86"/>
      <c r="AK1111" s="86"/>
      <c r="AL1111" s="86"/>
      <c r="AM1111" s="86"/>
      <c r="AN1111" s="86"/>
      <c r="AO1111" s="86"/>
      <c r="AP1111" s="86"/>
      <c r="AQ1111" s="86"/>
      <c r="AR1111" s="86"/>
      <c r="AS1111" s="86"/>
      <c r="AT1111" s="86"/>
      <c r="AU1111" s="86"/>
      <c r="AV1111" s="86"/>
      <c r="AW1111" s="86"/>
      <c r="AX1111" s="86"/>
      <c r="AY1111" s="86"/>
      <c r="AZ1111" s="86"/>
      <c r="BA1111" s="86"/>
      <c r="BB1111" s="86"/>
      <c r="BC1111" s="86"/>
      <c r="BD1111" s="86"/>
      <c r="BE1111" s="86"/>
      <c r="BF1111" s="86"/>
      <c r="BG1111" s="86"/>
      <c r="BH1111" s="86"/>
      <c r="BI1111" s="86"/>
    </row>
    <row r="1112" spans="1:61" ht="12.75" x14ac:dyDescent="0.2">
      <c r="A1112" s="86"/>
      <c r="B1112" s="86"/>
      <c r="C1112" s="86"/>
      <c r="D1112" s="86"/>
      <c r="E1112" s="86"/>
      <c r="F1112" s="86"/>
      <c r="G1112" s="86"/>
      <c r="H1112" s="86"/>
      <c r="I1112" s="86"/>
      <c r="J1112" s="86"/>
      <c r="K1112" s="86"/>
      <c r="L1112" s="86"/>
      <c r="M1112" s="86"/>
      <c r="N1112" s="86"/>
      <c r="O1112" s="86"/>
      <c r="P1112" s="86"/>
      <c r="Q1112" s="86"/>
      <c r="R1112" s="86"/>
      <c r="S1112" s="86"/>
      <c r="T1112" s="86"/>
      <c r="U1112" s="86"/>
      <c r="V1112" s="86"/>
      <c r="W1112" s="86"/>
      <c r="X1112" s="86"/>
      <c r="Y1112" s="86"/>
      <c r="Z1112" s="86"/>
      <c r="AA1112" s="86"/>
      <c r="AB1112" s="86"/>
      <c r="AC1112" s="86"/>
      <c r="AD1112" s="86"/>
      <c r="AE1112" s="86"/>
      <c r="AF1112" s="86"/>
      <c r="AG1112" s="86"/>
      <c r="AH1112" s="86"/>
      <c r="AI1112" s="86"/>
      <c r="AJ1112" s="86"/>
      <c r="AK1112" s="86"/>
      <c r="AL1112" s="86"/>
      <c r="AM1112" s="86"/>
      <c r="AN1112" s="86"/>
      <c r="AO1112" s="86"/>
      <c r="AP1112" s="86"/>
      <c r="AQ1112" s="86"/>
      <c r="AR1112" s="86"/>
      <c r="AS1112" s="86"/>
      <c r="AT1112" s="86"/>
      <c r="AU1112" s="86"/>
      <c r="AV1112" s="86"/>
      <c r="AW1112" s="86"/>
      <c r="AX1112" s="86"/>
      <c r="AY1112" s="86"/>
      <c r="AZ1112" s="86"/>
      <c r="BA1112" s="86"/>
      <c r="BB1112" s="86"/>
      <c r="BC1112" s="86"/>
      <c r="BD1112" s="86"/>
      <c r="BE1112" s="86"/>
      <c r="BF1112" s="86"/>
      <c r="BG1112" s="86"/>
      <c r="BH1112" s="86"/>
      <c r="BI1112" s="86"/>
    </row>
    <row r="1113" spans="1:61" ht="12.75" x14ac:dyDescent="0.2">
      <c r="A1113" s="86"/>
      <c r="B1113" s="86"/>
      <c r="C1113" s="86"/>
      <c r="D1113" s="86"/>
      <c r="E1113" s="86"/>
      <c r="F1113" s="86"/>
      <c r="G1113" s="86"/>
      <c r="H1113" s="86"/>
      <c r="I1113" s="86"/>
      <c r="J1113" s="86"/>
      <c r="K1113" s="86"/>
      <c r="L1113" s="86"/>
      <c r="M1113" s="86"/>
      <c r="N1113" s="86"/>
      <c r="O1113" s="86"/>
      <c r="P1113" s="86"/>
      <c r="Q1113" s="86"/>
      <c r="R1113" s="86"/>
      <c r="S1113" s="86"/>
      <c r="T1113" s="86"/>
      <c r="U1113" s="86"/>
      <c r="V1113" s="86"/>
      <c r="W1113" s="86"/>
      <c r="X1113" s="86"/>
      <c r="Y1113" s="86"/>
      <c r="Z1113" s="86"/>
      <c r="AA1113" s="86"/>
      <c r="AB1113" s="86"/>
      <c r="AC1113" s="86"/>
      <c r="AD1113" s="86"/>
      <c r="AE1113" s="86"/>
      <c r="AF1113" s="86"/>
      <c r="AG1113" s="86"/>
      <c r="AH1113" s="86"/>
      <c r="AI1113" s="86"/>
      <c r="AJ1113" s="86"/>
      <c r="AK1113" s="86"/>
      <c r="AL1113" s="86"/>
      <c r="AM1113" s="86"/>
      <c r="AN1113" s="86"/>
      <c r="AO1113" s="86"/>
      <c r="AP1113" s="86"/>
      <c r="AQ1113" s="86"/>
      <c r="AR1113" s="86"/>
      <c r="AS1113" s="86"/>
      <c r="AT1113" s="86"/>
      <c r="AU1113" s="86"/>
      <c r="AV1113" s="86"/>
      <c r="AW1113" s="86"/>
      <c r="AX1113" s="86"/>
      <c r="AY1113" s="86"/>
      <c r="AZ1113" s="86"/>
      <c r="BA1113" s="86"/>
      <c r="BB1113" s="86"/>
      <c r="BC1113" s="86"/>
      <c r="BD1113" s="86"/>
      <c r="BE1113" s="86"/>
      <c r="BF1113" s="86"/>
      <c r="BG1113" s="86"/>
      <c r="BH1113" s="86"/>
      <c r="BI1113" s="86"/>
    </row>
    <row r="1114" spans="1:61" ht="12.75" x14ac:dyDescent="0.2">
      <c r="A1114" s="86"/>
      <c r="B1114" s="86"/>
      <c r="C1114" s="86"/>
      <c r="D1114" s="86"/>
      <c r="E1114" s="86"/>
      <c r="F1114" s="86"/>
      <c r="G1114" s="86"/>
      <c r="H1114" s="86"/>
      <c r="I1114" s="86"/>
      <c r="J1114" s="86"/>
      <c r="K1114" s="86"/>
      <c r="L1114" s="86"/>
      <c r="M1114" s="86"/>
      <c r="N1114" s="86"/>
      <c r="O1114" s="86"/>
      <c r="P1114" s="86"/>
      <c r="Q1114" s="86"/>
      <c r="R1114" s="86"/>
      <c r="S1114" s="86"/>
      <c r="T1114" s="86"/>
      <c r="U1114" s="86"/>
      <c r="V1114" s="86"/>
      <c r="W1114" s="86"/>
      <c r="X1114" s="86"/>
      <c r="Y1114" s="86"/>
      <c r="Z1114" s="86"/>
      <c r="AA1114" s="86"/>
      <c r="AB1114" s="86"/>
      <c r="AC1114" s="86"/>
      <c r="AD1114" s="86"/>
      <c r="AE1114" s="86"/>
      <c r="AF1114" s="86"/>
      <c r="AG1114" s="86"/>
      <c r="AH1114" s="86"/>
      <c r="AI1114" s="86"/>
      <c r="AJ1114" s="86"/>
      <c r="AK1114" s="86"/>
      <c r="AL1114" s="86"/>
      <c r="AM1114" s="86"/>
      <c r="AN1114" s="86"/>
      <c r="AO1114" s="86"/>
      <c r="AP1114" s="86"/>
      <c r="AQ1114" s="86"/>
      <c r="AR1114" s="86"/>
      <c r="AS1114" s="86"/>
      <c r="AT1114" s="86"/>
      <c r="AU1114" s="86"/>
      <c r="AV1114" s="86"/>
      <c r="AW1114" s="86"/>
      <c r="AX1114" s="86"/>
      <c r="AY1114" s="86"/>
      <c r="AZ1114" s="86"/>
      <c r="BA1114" s="86"/>
      <c r="BB1114" s="86"/>
      <c r="BC1114" s="86"/>
      <c r="BD1114" s="86"/>
      <c r="BE1114" s="86"/>
      <c r="BF1114" s="86"/>
      <c r="BG1114" s="86"/>
      <c r="BH1114" s="86"/>
      <c r="BI1114" s="86"/>
    </row>
    <row r="1115" spans="1:61" ht="12.75" x14ac:dyDescent="0.2">
      <c r="A1115" s="86"/>
      <c r="B1115" s="86"/>
      <c r="C1115" s="86"/>
      <c r="D1115" s="86"/>
      <c r="E1115" s="86"/>
      <c r="F1115" s="86"/>
      <c r="G1115" s="86"/>
      <c r="H1115" s="86"/>
      <c r="I1115" s="86"/>
      <c r="J1115" s="86"/>
      <c r="K1115" s="86"/>
      <c r="L1115" s="86"/>
      <c r="M1115" s="86"/>
      <c r="N1115" s="86"/>
      <c r="O1115" s="86"/>
      <c r="P1115" s="86"/>
      <c r="Q1115" s="86"/>
      <c r="R1115" s="86"/>
      <c r="S1115" s="86"/>
      <c r="T1115" s="86"/>
      <c r="U1115" s="86"/>
      <c r="V1115" s="86"/>
      <c r="W1115" s="86"/>
      <c r="X1115" s="86"/>
      <c r="Y1115" s="86"/>
      <c r="Z1115" s="86"/>
      <c r="AA1115" s="86"/>
      <c r="AB1115" s="86"/>
      <c r="AC1115" s="86"/>
      <c r="AD1115" s="86"/>
      <c r="AE1115" s="86"/>
      <c r="AF1115" s="86"/>
      <c r="AG1115" s="86"/>
      <c r="AH1115" s="86"/>
      <c r="AI1115" s="86"/>
      <c r="AJ1115" s="86"/>
      <c r="AK1115" s="86"/>
      <c r="AL1115" s="86"/>
      <c r="AM1115" s="86"/>
      <c r="AN1115" s="86"/>
      <c r="AO1115" s="86"/>
      <c r="AP1115" s="86"/>
      <c r="AQ1115" s="86"/>
      <c r="AR1115" s="86"/>
      <c r="AS1115" s="86"/>
      <c r="AT1115" s="86"/>
      <c r="AU1115" s="86"/>
      <c r="AV1115" s="86"/>
      <c r="AW1115" s="86"/>
      <c r="AX1115" s="86"/>
      <c r="AY1115" s="86"/>
      <c r="AZ1115" s="86"/>
      <c r="BA1115" s="86"/>
      <c r="BB1115" s="86"/>
      <c r="BC1115" s="86"/>
      <c r="BD1115" s="86"/>
      <c r="BE1115" s="86"/>
      <c r="BF1115" s="86"/>
      <c r="BG1115" s="86"/>
      <c r="BH1115" s="86"/>
      <c r="BI1115" s="86"/>
    </row>
    <row r="1116" spans="1:61" ht="12.75" x14ac:dyDescent="0.2">
      <c r="A1116" s="86"/>
      <c r="B1116" s="86"/>
      <c r="C1116" s="86"/>
      <c r="D1116" s="86"/>
      <c r="E1116" s="86"/>
      <c r="F1116" s="86"/>
      <c r="G1116" s="86"/>
      <c r="H1116" s="86"/>
      <c r="I1116" s="86"/>
      <c r="J1116" s="86"/>
      <c r="K1116" s="86"/>
      <c r="L1116" s="86"/>
      <c r="M1116" s="86"/>
      <c r="N1116" s="86"/>
      <c r="O1116" s="86"/>
      <c r="P1116" s="86"/>
      <c r="Q1116" s="86"/>
      <c r="R1116" s="86"/>
      <c r="S1116" s="86"/>
      <c r="T1116" s="86"/>
      <c r="U1116" s="86"/>
      <c r="V1116" s="86"/>
      <c r="W1116" s="86"/>
      <c r="X1116" s="86"/>
      <c r="Y1116" s="86"/>
      <c r="Z1116" s="86"/>
      <c r="AA1116" s="86"/>
      <c r="AB1116" s="86"/>
      <c r="AC1116" s="86"/>
      <c r="AD1116" s="86"/>
      <c r="AE1116" s="86"/>
      <c r="AF1116" s="86"/>
      <c r="AG1116" s="86"/>
      <c r="AH1116" s="86"/>
      <c r="AI1116" s="86"/>
      <c r="AJ1116" s="86"/>
      <c r="AK1116" s="86"/>
      <c r="AL1116" s="86"/>
      <c r="AM1116" s="86"/>
      <c r="AN1116" s="86"/>
      <c r="AO1116" s="86"/>
      <c r="AP1116" s="86"/>
      <c r="AQ1116" s="86"/>
      <c r="AR1116" s="86"/>
      <c r="AS1116" s="86"/>
      <c r="AT1116" s="86"/>
      <c r="AU1116" s="86"/>
      <c r="AV1116" s="86"/>
      <c r="AW1116" s="86"/>
      <c r="AX1116" s="86"/>
      <c r="AY1116" s="86"/>
      <c r="AZ1116" s="86"/>
      <c r="BA1116" s="86"/>
      <c r="BB1116" s="86"/>
      <c r="BC1116" s="86"/>
      <c r="BD1116" s="86"/>
      <c r="BE1116" s="86"/>
      <c r="BF1116" s="86"/>
      <c r="BG1116" s="86"/>
      <c r="BH1116" s="86"/>
      <c r="BI1116" s="86"/>
    </row>
    <row r="1117" spans="1:61" ht="12.75" x14ac:dyDescent="0.2">
      <c r="A1117" s="86"/>
      <c r="B1117" s="86"/>
      <c r="C1117" s="86"/>
      <c r="D1117" s="86"/>
      <c r="E1117" s="86"/>
      <c r="F1117" s="86"/>
      <c r="G1117" s="86"/>
      <c r="H1117" s="86"/>
      <c r="I1117" s="86"/>
      <c r="J1117" s="86"/>
      <c r="K1117" s="86"/>
      <c r="L1117" s="86"/>
      <c r="M1117" s="86"/>
      <c r="N1117" s="86"/>
      <c r="O1117" s="86"/>
      <c r="P1117" s="86"/>
      <c r="Q1117" s="86"/>
      <c r="R1117" s="86"/>
      <c r="S1117" s="86"/>
      <c r="T1117" s="86"/>
      <c r="U1117" s="86"/>
      <c r="V1117" s="86"/>
      <c r="W1117" s="86"/>
      <c r="X1117" s="86"/>
      <c r="Y1117" s="86"/>
      <c r="Z1117" s="86"/>
      <c r="AA1117" s="86"/>
      <c r="AB1117" s="86"/>
      <c r="AC1117" s="86"/>
      <c r="AD1117" s="86"/>
      <c r="AE1117" s="86"/>
      <c r="AF1117" s="86"/>
      <c r="AG1117" s="86"/>
      <c r="AH1117" s="86"/>
      <c r="AI1117" s="86"/>
      <c r="AJ1117" s="86"/>
      <c r="AK1117" s="86"/>
      <c r="AL1117" s="86"/>
      <c r="AM1117" s="86"/>
      <c r="AN1117" s="86"/>
      <c r="AO1117" s="86"/>
      <c r="AP1117" s="86"/>
      <c r="AQ1117" s="86"/>
      <c r="AR1117" s="86"/>
      <c r="AS1117" s="86"/>
      <c r="AT1117" s="86"/>
      <c r="AU1117" s="86"/>
      <c r="AV1117" s="86"/>
      <c r="AW1117" s="86"/>
      <c r="AX1117" s="86"/>
      <c r="AY1117" s="86"/>
      <c r="AZ1117" s="86"/>
      <c r="BA1117" s="86"/>
      <c r="BB1117" s="86"/>
      <c r="BC1117" s="86"/>
      <c r="BD1117" s="86"/>
      <c r="BE1117" s="86"/>
      <c r="BF1117" s="86"/>
      <c r="BG1117" s="86"/>
      <c r="BH1117" s="86"/>
      <c r="BI1117" s="86"/>
    </row>
    <row r="1118" spans="1:61" ht="12.75" x14ac:dyDescent="0.2">
      <c r="A1118" s="86"/>
      <c r="B1118" s="86"/>
      <c r="C1118" s="86"/>
      <c r="D1118" s="86"/>
      <c r="E1118" s="86"/>
      <c r="F1118" s="86"/>
      <c r="G1118" s="86"/>
      <c r="H1118" s="86"/>
      <c r="I1118" s="86"/>
      <c r="J1118" s="86"/>
      <c r="K1118" s="86"/>
      <c r="L1118" s="86"/>
      <c r="M1118" s="86"/>
      <c r="N1118" s="86"/>
      <c r="O1118" s="86"/>
      <c r="P1118" s="86"/>
      <c r="Q1118" s="86"/>
      <c r="R1118" s="86"/>
      <c r="S1118" s="86"/>
      <c r="T1118" s="86"/>
      <c r="U1118" s="86"/>
      <c r="V1118" s="86"/>
      <c r="W1118" s="86"/>
      <c r="X1118" s="86"/>
      <c r="Y1118" s="86"/>
      <c r="Z1118" s="86"/>
      <c r="AA1118" s="86"/>
      <c r="AB1118" s="86"/>
      <c r="AC1118" s="86"/>
      <c r="AD1118" s="86"/>
      <c r="AE1118" s="86"/>
      <c r="AF1118" s="86"/>
      <c r="AG1118" s="86"/>
      <c r="AH1118" s="86"/>
      <c r="AI1118" s="86"/>
      <c r="AJ1118" s="86"/>
      <c r="AK1118" s="86"/>
      <c r="AL1118" s="86"/>
      <c r="AM1118" s="86"/>
      <c r="AN1118" s="86"/>
      <c r="AO1118" s="86"/>
      <c r="AP1118" s="86"/>
      <c r="AQ1118" s="86"/>
      <c r="AR1118" s="86"/>
      <c r="AS1118" s="86"/>
      <c r="AT1118" s="86"/>
      <c r="AU1118" s="86"/>
      <c r="AV1118" s="86"/>
      <c r="AW1118" s="86"/>
      <c r="AX1118" s="86"/>
      <c r="AY1118" s="86"/>
      <c r="AZ1118" s="86"/>
      <c r="BA1118" s="86"/>
      <c r="BB1118" s="86"/>
      <c r="BC1118" s="86"/>
      <c r="BD1118" s="86"/>
      <c r="BE1118" s="86"/>
      <c r="BF1118" s="86"/>
      <c r="BG1118" s="86"/>
      <c r="BH1118" s="86"/>
      <c r="BI1118" s="86"/>
    </row>
    <row r="1119" spans="1:61" ht="12.75" x14ac:dyDescent="0.2">
      <c r="A1119" s="86"/>
      <c r="B1119" s="86"/>
      <c r="C1119" s="86"/>
      <c r="D1119" s="86"/>
      <c r="E1119" s="86"/>
      <c r="F1119" s="86"/>
      <c r="G1119" s="86"/>
      <c r="H1119" s="86"/>
      <c r="I1119" s="86"/>
      <c r="J1119" s="86"/>
      <c r="K1119" s="86"/>
      <c r="L1119" s="86"/>
      <c r="M1119" s="86"/>
      <c r="N1119" s="86"/>
      <c r="O1119" s="86"/>
      <c r="P1119" s="86"/>
      <c r="Q1119" s="86"/>
      <c r="R1119" s="86"/>
      <c r="S1119" s="86"/>
      <c r="T1119" s="86"/>
      <c r="U1119" s="86"/>
      <c r="V1119" s="86"/>
      <c r="W1119" s="86"/>
      <c r="X1119" s="86"/>
      <c r="Y1119" s="86"/>
      <c r="Z1119" s="86"/>
      <c r="AA1119" s="86"/>
      <c r="AB1119" s="86"/>
      <c r="AC1119" s="86"/>
      <c r="AD1119" s="86"/>
      <c r="AE1119" s="86"/>
      <c r="AF1119" s="86"/>
      <c r="AG1119" s="86"/>
      <c r="AH1119" s="86"/>
      <c r="AI1119" s="86"/>
      <c r="AJ1119" s="86"/>
      <c r="AK1119" s="86"/>
      <c r="AL1119" s="86"/>
      <c r="AM1119" s="86"/>
      <c r="AN1119" s="86"/>
      <c r="AO1119" s="86"/>
      <c r="AP1119" s="86"/>
      <c r="AQ1119" s="86"/>
      <c r="AR1119" s="86"/>
      <c r="AS1119" s="86"/>
      <c r="AT1119" s="86"/>
      <c r="AU1119" s="86"/>
      <c r="AV1119" s="86"/>
      <c r="AW1119" s="86"/>
      <c r="AX1119" s="86"/>
      <c r="AY1119" s="86"/>
      <c r="AZ1119" s="86"/>
      <c r="BA1119" s="86"/>
      <c r="BB1119" s="86"/>
      <c r="BC1119" s="86"/>
      <c r="BD1119" s="86"/>
      <c r="BE1119" s="86"/>
      <c r="BF1119" s="86"/>
      <c r="BG1119" s="86"/>
      <c r="BH1119" s="86"/>
      <c r="BI1119" s="86"/>
    </row>
    <row r="1120" spans="1:61" ht="12.75" x14ac:dyDescent="0.2">
      <c r="A1120" s="86"/>
      <c r="B1120" s="86"/>
      <c r="C1120" s="86"/>
      <c r="D1120" s="86"/>
      <c r="E1120" s="86"/>
      <c r="F1120" s="86"/>
      <c r="G1120" s="86"/>
      <c r="H1120" s="86"/>
      <c r="I1120" s="86"/>
      <c r="J1120" s="86"/>
      <c r="K1120" s="86"/>
      <c r="L1120" s="86"/>
      <c r="M1120" s="86"/>
      <c r="N1120" s="86"/>
      <c r="O1120" s="86"/>
      <c r="P1120" s="86"/>
      <c r="Q1120" s="86"/>
      <c r="R1120" s="86"/>
      <c r="S1120" s="86"/>
      <c r="T1120" s="86"/>
      <c r="U1120" s="86"/>
      <c r="V1120" s="86"/>
      <c r="W1120" s="86"/>
      <c r="X1120" s="86"/>
      <c r="Y1120" s="86"/>
      <c r="Z1120" s="86"/>
      <c r="AA1120" s="86"/>
      <c r="AB1120" s="86"/>
      <c r="AC1120" s="86"/>
      <c r="AD1120" s="86"/>
      <c r="AE1120" s="86"/>
      <c r="AF1120" s="86"/>
      <c r="AG1120" s="86"/>
      <c r="AH1120" s="86"/>
      <c r="AI1120" s="86"/>
      <c r="AJ1120" s="86"/>
      <c r="AK1120" s="86"/>
      <c r="AL1120" s="86"/>
      <c r="AM1120" s="86"/>
      <c r="AN1120" s="86"/>
      <c r="AO1120" s="86"/>
      <c r="AP1120" s="86"/>
      <c r="AQ1120" s="86"/>
      <c r="AR1120" s="86"/>
      <c r="AS1120" s="86"/>
      <c r="AT1120" s="86"/>
      <c r="AU1120" s="86"/>
      <c r="AV1120" s="86"/>
      <c r="AW1120" s="86"/>
      <c r="AX1120" s="86"/>
      <c r="AY1120" s="86"/>
      <c r="AZ1120" s="86"/>
      <c r="BA1120" s="86"/>
      <c r="BB1120" s="86"/>
      <c r="BC1120" s="86"/>
      <c r="BD1120" s="86"/>
      <c r="BE1120" s="86"/>
      <c r="BF1120" s="86"/>
      <c r="BG1120" s="86"/>
      <c r="BH1120" s="86"/>
      <c r="BI1120" s="86"/>
    </row>
    <row r="1121" spans="1:61" ht="12.75" x14ac:dyDescent="0.2">
      <c r="A1121" s="86"/>
      <c r="B1121" s="86"/>
      <c r="C1121" s="86"/>
      <c r="D1121" s="86"/>
      <c r="E1121" s="86"/>
      <c r="F1121" s="86"/>
      <c r="G1121" s="86"/>
      <c r="H1121" s="86"/>
      <c r="I1121" s="86"/>
      <c r="J1121" s="86"/>
      <c r="K1121" s="86"/>
      <c r="L1121" s="86"/>
      <c r="M1121" s="86"/>
      <c r="N1121" s="86"/>
      <c r="O1121" s="86"/>
      <c r="P1121" s="86"/>
      <c r="Q1121" s="86"/>
      <c r="R1121" s="86"/>
      <c r="S1121" s="86"/>
      <c r="T1121" s="86"/>
      <c r="U1121" s="86"/>
      <c r="V1121" s="86"/>
      <c r="W1121" s="86"/>
      <c r="X1121" s="86"/>
      <c r="Y1121" s="86"/>
      <c r="Z1121" s="86"/>
      <c r="AA1121" s="86"/>
      <c r="AB1121" s="86"/>
      <c r="AC1121" s="86"/>
      <c r="AD1121" s="86"/>
      <c r="AE1121" s="86"/>
      <c r="AF1121" s="86"/>
      <c r="AG1121" s="86"/>
      <c r="AH1121" s="86"/>
      <c r="AI1121" s="86"/>
      <c r="AJ1121" s="86"/>
      <c r="AK1121" s="86"/>
      <c r="AL1121" s="86"/>
      <c r="AM1121" s="86"/>
      <c r="AN1121" s="86"/>
      <c r="AO1121" s="86"/>
      <c r="AP1121" s="86"/>
      <c r="AQ1121" s="86"/>
      <c r="AR1121" s="86"/>
      <c r="AS1121" s="86"/>
      <c r="AT1121" s="86"/>
      <c r="AU1121" s="86"/>
      <c r="AV1121" s="86"/>
      <c r="AW1121" s="86"/>
      <c r="AX1121" s="86"/>
      <c r="AY1121" s="86"/>
      <c r="AZ1121" s="86"/>
      <c r="BA1121" s="86"/>
      <c r="BB1121" s="86"/>
      <c r="BC1121" s="86"/>
      <c r="BD1121" s="86"/>
      <c r="BE1121" s="86"/>
      <c r="BF1121" s="86"/>
      <c r="BG1121" s="86"/>
      <c r="BH1121" s="86"/>
      <c r="BI1121" s="86"/>
    </row>
  </sheetData>
  <hyperlinks>
    <hyperlink ref="BD69" r:id="rId1"/>
    <hyperlink ref="BD70" r:id="rId2"/>
    <hyperlink ref="BD71" r:id="rId3"/>
    <hyperlink ref="BD72" r:id="rId4"/>
    <hyperlink ref="BD73" r:id="rId5"/>
    <hyperlink ref="BD74" r:id="rId6"/>
    <hyperlink ref="BD75" r:id="rId7"/>
    <hyperlink ref="BD76" r:id="rId8"/>
    <hyperlink ref="BD77" r:id="rId9"/>
    <hyperlink ref="BD78" r:id="rId10"/>
    <hyperlink ref="BD79" r:id="rId11"/>
    <hyperlink ref="BD80" r:id="rId12"/>
    <hyperlink ref="BD140" r:id="rId13"/>
    <hyperlink ref="BD141" r:id="rId14"/>
    <hyperlink ref="BD142" r:id="rId15"/>
    <hyperlink ref="BD143" r:id="rId16"/>
    <hyperlink ref="BD144" r:id="rId17"/>
    <hyperlink ref="BD146" r:id="rId18"/>
    <hyperlink ref="BD147" r:id="rId19"/>
    <hyperlink ref="BD148" r:id="rId20"/>
    <hyperlink ref="BD149" r:id="rId21"/>
    <hyperlink ref="BD150" r:id="rId22"/>
    <hyperlink ref="BD151" r:id="rId23"/>
    <hyperlink ref="BD152" r:id="rId24"/>
    <hyperlink ref="AX154" r:id="rId25" display="https://www.leroymerlin.com.br/cola-para-taco-polyfort-1kg-pulvitec_85057133"/>
    <hyperlink ref="BD154" r:id="rId26"/>
    <hyperlink ref="AX155" r:id="rId27" display="https://www.leroymerlin.com.br/fita-antiderrapante-adesiva-escadas-5-metros-piso-antiqueda_1570491748"/>
    <hyperlink ref="BD155" r:id="rId28"/>
    <hyperlink ref="BD157" r:id="rId29"/>
    <hyperlink ref="BD158" r:id="rId30"/>
    <hyperlink ref="BD159" r:id="rId31"/>
    <hyperlink ref="BD160" r:id="rId32"/>
    <hyperlink ref="BD168" r:id="rId33"/>
    <hyperlink ref="BD169" r:id="rId34"/>
    <hyperlink ref="BD206" r:id="rId35"/>
    <hyperlink ref="BD207" r:id="rId36"/>
    <hyperlink ref="BD208" r:id="rId37"/>
    <hyperlink ref="BD209" r:id="rId38"/>
    <hyperlink ref="BD210" r:id="rId39"/>
    <hyperlink ref="BD211" r:id="rId40"/>
    <hyperlink ref="BD213" r:id="rId41"/>
    <hyperlink ref="BD215" r:id="rId42"/>
    <hyperlink ref="BD216" r:id="rId43"/>
    <hyperlink ref="BD217" r:id="rId44"/>
    <hyperlink ref="BD221" r:id="rId45"/>
    <hyperlink ref="BD223" r:id="rId46"/>
    <hyperlink ref="BD227" r:id="rId47"/>
    <hyperlink ref="BD231" r:id="rId48"/>
    <hyperlink ref="BD233" r:id="rId49"/>
    <hyperlink ref="BD235" r:id="rId50"/>
    <hyperlink ref="BD252" r:id="rId51"/>
    <hyperlink ref="BD253" r:id="rId52"/>
    <hyperlink ref="BD261" r:id="rId53"/>
    <hyperlink ref="BD262" r:id="rId54"/>
    <hyperlink ref="BD264" r:id="rId55"/>
    <hyperlink ref="BD265" r:id="rId56"/>
    <hyperlink ref="BD266" r:id="rId57"/>
    <hyperlink ref="BD269" r:id="rId58"/>
    <hyperlink ref="BD270" r:id="rId59"/>
    <hyperlink ref="BD271" r:id="rId60"/>
    <hyperlink ref="BD272" r:id="rId61"/>
    <hyperlink ref="BD273" r:id="rId62"/>
    <hyperlink ref="BD274" r:id="rId63"/>
    <hyperlink ref="BD276" r:id="rId64"/>
    <hyperlink ref="BD277" r:id="rId65"/>
    <hyperlink ref="BD284" r:id="rId66"/>
    <hyperlink ref="BD285" r:id="rId67"/>
  </hyperlinks>
  <pageMargins left="0.511811024" right="0.511811024" top="0.78740157499999996" bottom="0.78740157499999996" header="0.31496062000000002" footer="0.31496062000000002"/>
  <legacyDrawing r:id="rId68"/>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I52"/>
  <sheetViews>
    <sheetView workbookViewId="0">
      <pane xSplit="3" topLeftCell="D1" activePane="topRight" state="frozen"/>
      <selection pane="topRight" activeCell="E2" sqref="E2"/>
    </sheetView>
  </sheetViews>
  <sheetFormatPr defaultColWidth="12.5703125" defaultRowHeight="15.75" customHeight="1" x14ac:dyDescent="0.2"/>
  <cols>
    <col min="1" max="1" width="18.140625" customWidth="1"/>
    <col min="2" max="2" width="22.42578125" customWidth="1"/>
    <col min="3" max="3" width="33.28515625" customWidth="1"/>
    <col min="4" max="4" width="22.7109375" customWidth="1"/>
    <col min="5" max="5" width="21.42578125" customWidth="1"/>
    <col min="6" max="6" width="17.5703125" customWidth="1"/>
    <col min="7" max="7" width="17.85546875" customWidth="1"/>
    <col min="11" max="11" width="18.42578125" customWidth="1"/>
    <col min="12" max="12" width="25.85546875" customWidth="1"/>
    <col min="13" max="13" width="19.42578125" customWidth="1"/>
    <col min="14" max="14" width="48.85546875" customWidth="1"/>
    <col min="15" max="15" width="88.85546875" customWidth="1"/>
    <col min="16" max="16" width="26.28515625" customWidth="1"/>
    <col min="18" max="18" width="34.140625" customWidth="1"/>
    <col min="19" max="19" width="31" hidden="1" customWidth="1"/>
    <col min="20" max="20" width="33.140625" hidden="1" customWidth="1"/>
    <col min="21" max="21" width="37.85546875" hidden="1" customWidth="1"/>
    <col min="22" max="22" width="26.85546875" hidden="1" customWidth="1"/>
    <col min="23" max="23" width="25.42578125" hidden="1" customWidth="1"/>
    <col min="24" max="24" width="45.7109375" hidden="1" customWidth="1"/>
    <col min="25" max="30" width="12.5703125" hidden="1"/>
    <col min="32" max="44" width="12.5703125" hidden="1"/>
    <col min="50" max="50" width="12.5703125" hidden="1"/>
    <col min="51" max="51" width="47.5703125" hidden="1" customWidth="1"/>
    <col min="52" max="52" width="12.5703125" hidden="1"/>
    <col min="53" max="53" width="40" hidden="1" customWidth="1"/>
    <col min="54" max="54" width="55.140625" hidden="1" customWidth="1"/>
    <col min="55" max="55" width="12.5703125" hidden="1"/>
    <col min="56" max="56" width="69.42578125" hidden="1" customWidth="1"/>
    <col min="57" max="57" width="26.140625" hidden="1" customWidth="1"/>
    <col min="58" max="59" width="12.5703125" hidden="1"/>
    <col min="60" max="60" width="19.85546875" hidden="1" customWidth="1"/>
    <col min="61" max="61" width="42.42578125" hidden="1" customWidth="1"/>
  </cols>
  <sheetData>
    <row r="1" spans="1:61" ht="63.75" x14ac:dyDescent="0.2">
      <c r="A1" s="7" t="s">
        <v>12</v>
      </c>
      <c r="B1" s="8" t="s">
        <v>13</v>
      </c>
      <c r="C1" s="8" t="s">
        <v>14</v>
      </c>
      <c r="D1" s="9" t="s">
        <v>15</v>
      </c>
      <c r="E1" s="9" t="s">
        <v>16</v>
      </c>
      <c r="F1" s="9" t="s">
        <v>17</v>
      </c>
      <c r="G1" s="9" t="s">
        <v>18</v>
      </c>
      <c r="H1" s="9" t="s">
        <v>19</v>
      </c>
      <c r="I1" s="9" t="s">
        <v>20</v>
      </c>
      <c r="J1" s="9" t="s">
        <v>21</v>
      </c>
      <c r="K1" s="10" t="s">
        <v>22</v>
      </c>
      <c r="L1" s="10" t="s">
        <v>23</v>
      </c>
      <c r="M1" s="10" t="s">
        <v>24</v>
      </c>
      <c r="N1" s="9" t="s">
        <v>25</v>
      </c>
      <c r="O1" s="9" t="s">
        <v>26</v>
      </c>
      <c r="P1" s="9" t="s">
        <v>6324</v>
      </c>
      <c r="Q1" s="9" t="s">
        <v>8</v>
      </c>
      <c r="R1" s="9" t="s">
        <v>27</v>
      </c>
      <c r="S1" s="11" t="s">
        <v>28</v>
      </c>
      <c r="T1" s="11" t="s">
        <v>29</v>
      </c>
      <c r="U1" s="9" t="s">
        <v>30</v>
      </c>
      <c r="V1" s="9" t="s">
        <v>31</v>
      </c>
      <c r="W1" s="12" t="s">
        <v>32</v>
      </c>
      <c r="X1" s="13" t="s">
        <v>33</v>
      </c>
      <c r="Y1" s="13" t="s">
        <v>34</v>
      </c>
      <c r="Z1" s="13" t="s">
        <v>35</v>
      </c>
      <c r="AA1" s="13" t="s">
        <v>36</v>
      </c>
      <c r="AB1" s="14" t="s">
        <v>37</v>
      </c>
      <c r="AC1" s="11" t="s">
        <v>38</v>
      </c>
      <c r="AD1" s="15" t="s">
        <v>39</v>
      </c>
      <c r="AE1" s="16" t="s">
        <v>40</v>
      </c>
      <c r="AF1" s="17" t="s">
        <v>41</v>
      </c>
      <c r="AG1" s="18" t="s">
        <v>42</v>
      </c>
      <c r="AH1" s="18" t="s">
        <v>43</v>
      </c>
      <c r="AI1" s="18" t="s">
        <v>44</v>
      </c>
      <c r="AJ1" s="11" t="s">
        <v>45</v>
      </c>
      <c r="AK1" s="11" t="s">
        <v>46</v>
      </c>
      <c r="AL1" s="13" t="s">
        <v>47</v>
      </c>
      <c r="AM1" s="13" t="s">
        <v>48</v>
      </c>
      <c r="AN1" s="13" t="s">
        <v>49</v>
      </c>
      <c r="AO1" s="19" t="s">
        <v>50</v>
      </c>
      <c r="AP1" s="18" t="s">
        <v>51</v>
      </c>
      <c r="AQ1" s="17" t="s">
        <v>52</v>
      </c>
      <c r="AR1" s="15" t="s">
        <v>53</v>
      </c>
      <c r="AS1" s="20" t="s">
        <v>54</v>
      </c>
      <c r="AT1" s="20" t="s">
        <v>55</v>
      </c>
      <c r="AU1" s="20" t="s">
        <v>56</v>
      </c>
      <c r="AV1" s="20" t="s">
        <v>57</v>
      </c>
      <c r="AW1" s="9" t="s">
        <v>58</v>
      </c>
      <c r="AX1" s="9" t="s">
        <v>59</v>
      </c>
      <c r="AY1" s="9" t="s">
        <v>6325</v>
      </c>
      <c r="AZ1" s="21"/>
      <c r="BA1" s="9" t="s">
        <v>60</v>
      </c>
      <c r="BB1" s="9" t="s">
        <v>6326</v>
      </c>
      <c r="BC1" s="9" t="s">
        <v>6327</v>
      </c>
      <c r="BD1" s="9" t="s">
        <v>61</v>
      </c>
      <c r="BE1" s="9" t="s">
        <v>62</v>
      </c>
      <c r="BF1" s="9" t="s">
        <v>63</v>
      </c>
      <c r="BG1" s="22" t="s">
        <v>64</v>
      </c>
      <c r="BH1" s="9" t="s">
        <v>65</v>
      </c>
      <c r="BI1" s="9" t="s">
        <v>66</v>
      </c>
    </row>
    <row r="2" spans="1:61" ht="25.5" hidden="1" x14ac:dyDescent="0.2">
      <c r="A2" s="23" t="s">
        <v>6328</v>
      </c>
      <c r="B2" s="24"/>
      <c r="C2" s="24" t="s">
        <v>68</v>
      </c>
      <c r="D2" s="24" t="s">
        <v>68</v>
      </c>
      <c r="E2" s="24" t="s">
        <v>68</v>
      </c>
      <c r="F2" s="24" t="s">
        <v>68</v>
      </c>
      <c r="G2" s="24" t="s">
        <v>68</v>
      </c>
      <c r="H2" s="24" t="s">
        <v>68</v>
      </c>
      <c r="I2" s="24" t="s">
        <v>68</v>
      </c>
      <c r="J2" s="24" t="s">
        <v>68</v>
      </c>
      <c r="K2" s="25" t="s">
        <v>68</v>
      </c>
      <c r="L2" s="25" t="s">
        <v>68</v>
      </c>
      <c r="M2" s="25" t="s">
        <v>68</v>
      </c>
      <c r="N2" s="24"/>
      <c r="O2" s="24" t="s">
        <v>68</v>
      </c>
      <c r="P2" s="26"/>
      <c r="Q2" s="27" t="s">
        <v>6329</v>
      </c>
      <c r="R2" s="24" t="s">
        <v>68</v>
      </c>
      <c r="S2" s="25" t="s">
        <v>68</v>
      </c>
      <c r="T2" s="25" t="s">
        <v>68</v>
      </c>
      <c r="U2" s="28" t="s">
        <v>68</v>
      </c>
      <c r="V2" s="28" t="s">
        <v>68</v>
      </c>
      <c r="W2" s="29" t="s">
        <v>68</v>
      </c>
      <c r="X2" s="25" t="s">
        <v>68</v>
      </c>
      <c r="Y2" s="25" t="s">
        <v>68</v>
      </c>
      <c r="Z2" s="25" t="s">
        <v>68</v>
      </c>
      <c r="AA2" s="25" t="s">
        <v>68</v>
      </c>
      <c r="AB2" s="28" t="s">
        <v>68</v>
      </c>
      <c r="AC2" s="25" t="s">
        <v>68</v>
      </c>
      <c r="AD2" s="28" t="s">
        <v>68</v>
      </c>
      <c r="AE2" s="30"/>
      <c r="AF2" s="31" t="s">
        <v>68</v>
      </c>
      <c r="AG2" s="25" t="s">
        <v>68</v>
      </c>
      <c r="AH2" s="25" t="s">
        <v>68</v>
      </c>
      <c r="AI2" s="25" t="s">
        <v>68</v>
      </c>
      <c r="AJ2" s="25" t="s">
        <v>68</v>
      </c>
      <c r="AK2" s="25" t="s">
        <v>68</v>
      </c>
      <c r="AL2" s="25" t="s">
        <v>68</v>
      </c>
      <c r="AM2" s="25" t="s">
        <v>68</v>
      </c>
      <c r="AN2" s="25" t="s">
        <v>68</v>
      </c>
      <c r="AO2" s="32" t="s">
        <v>68</v>
      </c>
      <c r="AP2" s="25" t="s">
        <v>68</v>
      </c>
      <c r="AQ2" s="28" t="s">
        <v>68</v>
      </c>
      <c r="AR2" s="25" t="s">
        <v>68</v>
      </c>
      <c r="AS2" s="25" t="s">
        <v>68</v>
      </c>
      <c r="AT2" s="25" t="s">
        <v>68</v>
      </c>
      <c r="AU2" s="25" t="s">
        <v>68</v>
      </c>
      <c r="AV2" s="25" t="s">
        <v>68</v>
      </c>
      <c r="AW2" s="24"/>
      <c r="AX2" s="26"/>
      <c r="AY2" s="26" t="s">
        <v>68</v>
      </c>
      <c r="BA2" s="26"/>
      <c r="BB2" s="26"/>
      <c r="BC2" s="26"/>
      <c r="BD2" s="24"/>
      <c r="BE2" s="27" t="s">
        <v>6328</v>
      </c>
      <c r="BF2" s="24"/>
      <c r="BG2" s="33"/>
      <c r="BH2" s="27" t="s">
        <v>6330</v>
      </c>
      <c r="BI2" s="24" t="s">
        <v>68</v>
      </c>
    </row>
    <row r="3" spans="1:61" ht="25.5" hidden="1" x14ac:dyDescent="0.2">
      <c r="A3" s="34" t="s">
        <v>6331</v>
      </c>
      <c r="B3" s="35"/>
      <c r="C3" s="35" t="s">
        <v>68</v>
      </c>
      <c r="D3" s="35" t="s">
        <v>68</v>
      </c>
      <c r="E3" s="35" t="s">
        <v>68</v>
      </c>
      <c r="F3" s="35" t="s">
        <v>68</v>
      </c>
      <c r="G3" s="35" t="s">
        <v>68</v>
      </c>
      <c r="H3" s="35" t="s">
        <v>68</v>
      </c>
      <c r="I3" s="35" t="s">
        <v>68</v>
      </c>
      <c r="J3" s="35" t="s">
        <v>68</v>
      </c>
      <c r="K3" s="36" t="s">
        <v>68</v>
      </c>
      <c r="L3" s="36" t="s">
        <v>68</v>
      </c>
      <c r="M3" s="36" t="s">
        <v>68</v>
      </c>
      <c r="N3" s="35"/>
      <c r="O3" s="35" t="s">
        <v>68</v>
      </c>
      <c r="P3" s="37"/>
      <c r="Q3" s="38" t="s">
        <v>6329</v>
      </c>
      <c r="R3" s="38" t="s">
        <v>6332</v>
      </c>
      <c r="S3" s="36" t="s">
        <v>68</v>
      </c>
      <c r="T3" s="36" t="s">
        <v>68</v>
      </c>
      <c r="U3" s="39" t="s">
        <v>68</v>
      </c>
      <c r="V3" s="39" t="s">
        <v>68</v>
      </c>
      <c r="W3" s="40" t="s">
        <v>68</v>
      </c>
      <c r="X3" s="36" t="s">
        <v>68</v>
      </c>
      <c r="Y3" s="36" t="s">
        <v>68</v>
      </c>
      <c r="Z3" s="36" t="s">
        <v>68</v>
      </c>
      <c r="AA3" s="36" t="s">
        <v>68</v>
      </c>
      <c r="AB3" s="39" t="s">
        <v>68</v>
      </c>
      <c r="AC3" s="36" t="s">
        <v>68</v>
      </c>
      <c r="AD3" s="39" t="s">
        <v>68</v>
      </c>
      <c r="AE3" s="41"/>
      <c r="AF3" s="42" t="s">
        <v>68</v>
      </c>
      <c r="AG3" s="36" t="s">
        <v>68</v>
      </c>
      <c r="AH3" s="36" t="s">
        <v>68</v>
      </c>
      <c r="AI3" s="36" t="s">
        <v>68</v>
      </c>
      <c r="AJ3" s="36" t="s">
        <v>68</v>
      </c>
      <c r="AK3" s="36" t="s">
        <v>68</v>
      </c>
      <c r="AL3" s="36" t="s">
        <v>68</v>
      </c>
      <c r="AM3" s="36" t="s">
        <v>68</v>
      </c>
      <c r="AN3" s="36" t="s">
        <v>68</v>
      </c>
      <c r="AO3" s="43" t="s">
        <v>68</v>
      </c>
      <c r="AP3" s="36" t="s">
        <v>68</v>
      </c>
      <c r="AQ3" s="39" t="s">
        <v>68</v>
      </c>
      <c r="AR3" s="36" t="s">
        <v>68</v>
      </c>
      <c r="AS3" s="36" t="s">
        <v>68</v>
      </c>
      <c r="AT3" s="36" t="s">
        <v>68</v>
      </c>
      <c r="AU3" s="36" t="s">
        <v>68</v>
      </c>
      <c r="AV3" s="36" t="s">
        <v>68</v>
      </c>
      <c r="AW3" s="35"/>
      <c r="AX3" s="37"/>
      <c r="AY3" s="37" t="s">
        <v>68</v>
      </c>
      <c r="BA3" s="37"/>
      <c r="BB3" s="37"/>
      <c r="BC3" s="37"/>
      <c r="BD3" s="35"/>
      <c r="BE3" s="35" t="e">
        <v>#REF!</v>
      </c>
      <c r="BF3" s="35"/>
      <c r="BG3" s="44"/>
      <c r="BH3" s="38" t="s">
        <v>6333</v>
      </c>
      <c r="BI3" s="35" t="s">
        <v>68</v>
      </c>
    </row>
    <row r="4" spans="1:61" ht="25.5" x14ac:dyDescent="0.2">
      <c r="A4" s="45" t="s">
        <v>6334</v>
      </c>
      <c r="B4" s="46"/>
      <c r="C4" s="46" t="s">
        <v>6335</v>
      </c>
      <c r="D4" s="46" t="s">
        <v>68</v>
      </c>
      <c r="E4" s="46" t="s">
        <v>68</v>
      </c>
      <c r="F4" s="46" t="s">
        <v>68</v>
      </c>
      <c r="G4" s="46" t="s">
        <v>6336</v>
      </c>
      <c r="H4" s="46" t="s">
        <v>68</v>
      </c>
      <c r="I4" s="46" t="s">
        <v>5076</v>
      </c>
      <c r="J4" s="46" t="s">
        <v>71</v>
      </c>
      <c r="K4" s="47">
        <v>150</v>
      </c>
      <c r="L4" s="47">
        <v>0</v>
      </c>
      <c r="M4" s="47">
        <v>150</v>
      </c>
      <c r="N4" s="46"/>
      <c r="O4" s="71" t="s">
        <v>68</v>
      </c>
      <c r="P4" s="64"/>
      <c r="Q4" s="46" t="s">
        <v>6329</v>
      </c>
      <c r="R4" s="46" t="s">
        <v>6332</v>
      </c>
      <c r="S4" s="49">
        <v>37.5</v>
      </c>
      <c r="T4" s="49">
        <v>187.5</v>
      </c>
      <c r="U4" s="67">
        <v>0.54</v>
      </c>
      <c r="V4" s="67">
        <v>0.7</v>
      </c>
      <c r="W4" s="51">
        <v>0</v>
      </c>
      <c r="X4" s="52">
        <v>18.75</v>
      </c>
      <c r="Y4" s="52">
        <v>30</v>
      </c>
      <c r="Z4" s="52">
        <v>37.5</v>
      </c>
      <c r="AA4" s="52">
        <v>86.25</v>
      </c>
      <c r="AB4" s="53">
        <v>0.46</v>
      </c>
      <c r="AC4" s="54">
        <v>101.25</v>
      </c>
      <c r="AD4" s="55">
        <v>0.54</v>
      </c>
      <c r="AE4" s="56">
        <v>2</v>
      </c>
      <c r="AF4" s="57" t="s">
        <v>72</v>
      </c>
      <c r="AG4" s="58">
        <v>75</v>
      </c>
      <c r="AH4" s="58">
        <v>0</v>
      </c>
      <c r="AI4" s="58">
        <v>75</v>
      </c>
      <c r="AJ4" s="49">
        <v>18.75</v>
      </c>
      <c r="AK4" s="49">
        <v>93.75</v>
      </c>
      <c r="AL4" s="52">
        <v>9.375</v>
      </c>
      <c r="AM4" s="52">
        <v>18.75</v>
      </c>
      <c r="AN4" s="52">
        <v>28.125</v>
      </c>
      <c r="AO4" s="59">
        <v>0.3</v>
      </c>
      <c r="AP4" s="60">
        <v>65.625</v>
      </c>
      <c r="AQ4" s="61">
        <v>0.7</v>
      </c>
      <c r="AR4" s="60" t="s">
        <v>78</v>
      </c>
      <c r="AS4" s="62">
        <v>225</v>
      </c>
      <c r="AT4" s="62">
        <v>0</v>
      </c>
      <c r="AU4" s="62">
        <v>225</v>
      </c>
      <c r="AV4" s="62">
        <v>281.25</v>
      </c>
      <c r="AW4" s="47" t="s">
        <v>74</v>
      </c>
      <c r="AX4" s="64">
        <v>44980</v>
      </c>
      <c r="AY4" s="64" t="s">
        <v>6337</v>
      </c>
      <c r="BA4" s="64"/>
      <c r="BB4" s="64"/>
      <c r="BC4" s="64"/>
      <c r="BD4" s="46"/>
      <c r="BE4" s="46" t="e">
        <v>#REF!</v>
      </c>
      <c r="BF4" s="46" t="s">
        <v>75</v>
      </c>
      <c r="BG4" s="65"/>
      <c r="BH4" s="66" t="s">
        <v>6338</v>
      </c>
      <c r="BI4" s="63" t="s">
        <v>6339</v>
      </c>
    </row>
    <row r="5" spans="1:61" ht="25.5" x14ac:dyDescent="0.2">
      <c r="A5" s="45" t="s">
        <v>6340</v>
      </c>
      <c r="B5" s="46"/>
      <c r="C5" s="46" t="s">
        <v>6341</v>
      </c>
      <c r="D5" s="46" t="s">
        <v>68</v>
      </c>
      <c r="E5" s="46" t="s">
        <v>68</v>
      </c>
      <c r="F5" s="46" t="s">
        <v>68</v>
      </c>
      <c r="G5" s="46" t="s">
        <v>6336</v>
      </c>
      <c r="H5" s="46" t="s">
        <v>68</v>
      </c>
      <c r="I5" s="46" t="s">
        <v>5076</v>
      </c>
      <c r="J5" s="46" t="s">
        <v>71</v>
      </c>
      <c r="K5" s="47">
        <v>150</v>
      </c>
      <c r="L5" s="47">
        <v>0</v>
      </c>
      <c r="M5" s="47">
        <v>150</v>
      </c>
      <c r="N5" s="46"/>
      <c r="O5" s="71" t="s">
        <v>68</v>
      </c>
      <c r="P5" s="64"/>
      <c r="Q5" s="46" t="s">
        <v>6329</v>
      </c>
      <c r="R5" s="46" t="s">
        <v>6332</v>
      </c>
      <c r="S5" s="49">
        <v>37.5</v>
      </c>
      <c r="T5" s="49">
        <v>187.5</v>
      </c>
      <c r="U5" s="67">
        <v>0.54</v>
      </c>
      <c r="V5" s="67">
        <v>0.7</v>
      </c>
      <c r="W5" s="51">
        <v>0</v>
      </c>
      <c r="X5" s="52">
        <v>18.75</v>
      </c>
      <c r="Y5" s="52">
        <v>30</v>
      </c>
      <c r="Z5" s="52">
        <v>37.5</v>
      </c>
      <c r="AA5" s="52">
        <v>86.25</v>
      </c>
      <c r="AB5" s="53">
        <v>0.46</v>
      </c>
      <c r="AC5" s="54">
        <v>101.25</v>
      </c>
      <c r="AD5" s="55">
        <v>0.54</v>
      </c>
      <c r="AE5" s="56">
        <v>2</v>
      </c>
      <c r="AF5" s="57" t="s">
        <v>72</v>
      </c>
      <c r="AG5" s="58">
        <v>75</v>
      </c>
      <c r="AH5" s="58">
        <v>0</v>
      </c>
      <c r="AI5" s="58">
        <v>75</v>
      </c>
      <c r="AJ5" s="49">
        <v>18.75</v>
      </c>
      <c r="AK5" s="49">
        <v>93.75</v>
      </c>
      <c r="AL5" s="52">
        <v>9.375</v>
      </c>
      <c r="AM5" s="52">
        <v>18.75</v>
      </c>
      <c r="AN5" s="52">
        <v>28.125</v>
      </c>
      <c r="AO5" s="59">
        <v>0.3</v>
      </c>
      <c r="AP5" s="60">
        <v>65.625</v>
      </c>
      <c r="AQ5" s="61">
        <v>0.7</v>
      </c>
      <c r="AR5" s="60" t="s">
        <v>78</v>
      </c>
      <c r="AS5" s="62">
        <v>225</v>
      </c>
      <c r="AT5" s="62">
        <v>0</v>
      </c>
      <c r="AU5" s="62">
        <v>225</v>
      </c>
      <c r="AV5" s="62">
        <v>281.25</v>
      </c>
      <c r="AW5" s="47" t="s">
        <v>74</v>
      </c>
      <c r="AX5" s="64">
        <v>44980</v>
      </c>
      <c r="AY5" s="64" t="s">
        <v>6342</v>
      </c>
      <c r="BA5" s="64"/>
      <c r="BB5" s="64"/>
      <c r="BC5" s="64"/>
      <c r="BD5" s="46"/>
      <c r="BE5" s="46" t="e">
        <v>#REF!</v>
      </c>
      <c r="BF5" s="46" t="s">
        <v>75</v>
      </c>
      <c r="BG5" s="65"/>
      <c r="BH5" s="66" t="s">
        <v>6343</v>
      </c>
      <c r="BI5" s="63" t="s">
        <v>6344</v>
      </c>
    </row>
    <row r="6" spans="1:61" ht="25.5" x14ac:dyDescent="0.2">
      <c r="A6" s="45" t="s">
        <v>6345</v>
      </c>
      <c r="B6" s="46"/>
      <c r="C6" s="46" t="s">
        <v>6346</v>
      </c>
      <c r="D6" s="46" t="s">
        <v>68</v>
      </c>
      <c r="E6" s="46" t="s">
        <v>68</v>
      </c>
      <c r="F6" s="46" t="s">
        <v>68</v>
      </c>
      <c r="G6" s="46" t="s">
        <v>68</v>
      </c>
      <c r="H6" s="46" t="s">
        <v>68</v>
      </c>
      <c r="I6" s="46" t="s">
        <v>68</v>
      </c>
      <c r="J6" s="46" t="s">
        <v>68</v>
      </c>
      <c r="K6" s="47" t="s">
        <v>68</v>
      </c>
      <c r="L6" s="47" t="s">
        <v>68</v>
      </c>
      <c r="M6" s="47" t="s">
        <v>68</v>
      </c>
      <c r="N6" s="46"/>
      <c r="O6" s="71" t="s">
        <v>68</v>
      </c>
      <c r="P6" s="64"/>
      <c r="Q6" s="46" t="s">
        <v>6329</v>
      </c>
      <c r="R6" s="46" t="s">
        <v>6332</v>
      </c>
      <c r="S6" s="83" t="s">
        <v>68</v>
      </c>
      <c r="T6" s="83" t="s">
        <v>68</v>
      </c>
      <c r="U6" s="28" t="s">
        <v>68</v>
      </c>
      <c r="V6" s="28" t="s">
        <v>68</v>
      </c>
      <c r="W6" s="29" t="s">
        <v>68</v>
      </c>
      <c r="X6" s="83" t="s">
        <v>68</v>
      </c>
      <c r="Y6" s="83" t="s">
        <v>68</v>
      </c>
      <c r="Z6" s="83" t="s">
        <v>68</v>
      </c>
      <c r="AA6" s="83" t="s">
        <v>68</v>
      </c>
      <c r="AB6" s="84" t="s">
        <v>68</v>
      </c>
      <c r="AC6" s="83" t="s">
        <v>68</v>
      </c>
      <c r="AD6" s="84" t="s">
        <v>68</v>
      </c>
      <c r="AE6" s="56">
        <v>2</v>
      </c>
      <c r="AF6" s="57" t="s">
        <v>72</v>
      </c>
      <c r="AG6" s="47" t="s">
        <v>68</v>
      </c>
      <c r="AH6" s="47" t="s">
        <v>68</v>
      </c>
      <c r="AI6" s="58">
        <v>0</v>
      </c>
      <c r="AJ6" s="83" t="s">
        <v>68</v>
      </c>
      <c r="AK6" s="83" t="s">
        <v>68</v>
      </c>
      <c r="AL6" s="83" t="s">
        <v>68</v>
      </c>
      <c r="AM6" s="83" t="s">
        <v>68</v>
      </c>
      <c r="AN6" s="83" t="s">
        <v>68</v>
      </c>
      <c r="AO6" s="85" t="s">
        <v>68</v>
      </c>
      <c r="AP6" s="83" t="s">
        <v>68</v>
      </c>
      <c r="AQ6" s="84" t="s">
        <v>68</v>
      </c>
      <c r="AR6" s="83" t="s">
        <v>68</v>
      </c>
      <c r="AS6" s="47" t="s">
        <v>68</v>
      </c>
      <c r="AT6" s="47" t="s">
        <v>68</v>
      </c>
      <c r="AU6" s="47" t="s">
        <v>68</v>
      </c>
      <c r="AV6" s="47" t="s">
        <v>68</v>
      </c>
      <c r="AW6" s="47" t="s">
        <v>107</v>
      </c>
      <c r="AX6" s="64"/>
      <c r="AY6" s="64" t="s">
        <v>6347</v>
      </c>
      <c r="BA6" s="64"/>
      <c r="BB6" s="64"/>
      <c r="BC6" s="64"/>
      <c r="BD6" s="46"/>
      <c r="BE6" s="46" t="e">
        <v>#REF!</v>
      </c>
      <c r="BF6" s="46" t="s">
        <v>3837</v>
      </c>
      <c r="BG6" s="65"/>
      <c r="BH6" s="66" t="s">
        <v>6348</v>
      </c>
      <c r="BI6" s="63" t="s">
        <v>6346</v>
      </c>
    </row>
    <row r="7" spans="1:61" ht="25.5" x14ac:dyDescent="0.2">
      <c r="A7" s="45" t="s">
        <v>6349</v>
      </c>
      <c r="B7" s="46"/>
      <c r="C7" s="46" t="s">
        <v>6350</v>
      </c>
      <c r="D7" s="46" t="s">
        <v>68</v>
      </c>
      <c r="E7" s="46" t="s">
        <v>68</v>
      </c>
      <c r="F7" s="46" t="s">
        <v>68</v>
      </c>
      <c r="G7" s="46" t="s">
        <v>68</v>
      </c>
      <c r="H7" s="46" t="s">
        <v>68</v>
      </c>
      <c r="I7" s="46" t="s">
        <v>68</v>
      </c>
      <c r="J7" s="46" t="s">
        <v>68</v>
      </c>
      <c r="K7" s="47" t="s">
        <v>68</v>
      </c>
      <c r="L7" s="47" t="s">
        <v>68</v>
      </c>
      <c r="M7" s="47" t="s">
        <v>68</v>
      </c>
      <c r="N7" s="46"/>
      <c r="O7" s="71" t="s">
        <v>68</v>
      </c>
      <c r="P7" s="64"/>
      <c r="Q7" s="46" t="s">
        <v>6329</v>
      </c>
      <c r="R7" s="46" t="s">
        <v>6332</v>
      </c>
      <c r="S7" s="83" t="s">
        <v>68</v>
      </c>
      <c r="T7" s="83" t="s">
        <v>68</v>
      </c>
      <c r="U7" s="28" t="s">
        <v>68</v>
      </c>
      <c r="V7" s="28" t="s">
        <v>68</v>
      </c>
      <c r="W7" s="29" t="s">
        <v>68</v>
      </c>
      <c r="X7" s="83" t="s">
        <v>68</v>
      </c>
      <c r="Y7" s="83" t="s">
        <v>68</v>
      </c>
      <c r="Z7" s="83" t="s">
        <v>68</v>
      </c>
      <c r="AA7" s="83" t="s">
        <v>68</v>
      </c>
      <c r="AB7" s="84" t="s">
        <v>68</v>
      </c>
      <c r="AC7" s="83" t="s">
        <v>68</v>
      </c>
      <c r="AD7" s="84" t="s">
        <v>68</v>
      </c>
      <c r="AE7" s="56">
        <v>2</v>
      </c>
      <c r="AF7" s="57" t="s">
        <v>72</v>
      </c>
      <c r="AG7" s="47" t="s">
        <v>68</v>
      </c>
      <c r="AH7" s="47" t="s">
        <v>68</v>
      </c>
      <c r="AI7" s="58">
        <v>0</v>
      </c>
      <c r="AJ7" s="83" t="s">
        <v>68</v>
      </c>
      <c r="AK7" s="83" t="s">
        <v>68</v>
      </c>
      <c r="AL7" s="83" t="s">
        <v>68</v>
      </c>
      <c r="AM7" s="83" t="s">
        <v>68</v>
      </c>
      <c r="AN7" s="83" t="s">
        <v>68</v>
      </c>
      <c r="AO7" s="85" t="s">
        <v>68</v>
      </c>
      <c r="AP7" s="83" t="s">
        <v>68</v>
      </c>
      <c r="AQ7" s="84" t="s">
        <v>68</v>
      </c>
      <c r="AR7" s="83" t="s">
        <v>68</v>
      </c>
      <c r="AS7" s="47" t="s">
        <v>68</v>
      </c>
      <c r="AT7" s="47" t="s">
        <v>68</v>
      </c>
      <c r="AU7" s="47" t="s">
        <v>68</v>
      </c>
      <c r="AV7" s="47" t="s">
        <v>68</v>
      </c>
      <c r="AW7" s="47" t="s">
        <v>107</v>
      </c>
      <c r="AX7" s="64"/>
      <c r="AY7" s="64" t="s">
        <v>6351</v>
      </c>
      <c r="BA7" s="64"/>
      <c r="BB7" s="64"/>
      <c r="BC7" s="64"/>
      <c r="BD7" s="46"/>
      <c r="BE7" s="46" t="e">
        <v>#REF!</v>
      </c>
      <c r="BF7" s="46" t="s">
        <v>4330</v>
      </c>
      <c r="BG7" s="65"/>
      <c r="BH7" s="66" t="s">
        <v>6352</v>
      </c>
      <c r="BI7" s="63" t="s">
        <v>6350</v>
      </c>
    </row>
    <row r="8" spans="1:61" ht="25.5" x14ac:dyDescent="0.2">
      <c r="A8" s="34" t="s">
        <v>6353</v>
      </c>
      <c r="B8" s="35"/>
      <c r="C8" s="35"/>
      <c r="D8" s="35"/>
      <c r="E8" s="35"/>
      <c r="F8" s="35"/>
      <c r="G8" s="35"/>
      <c r="H8" s="35"/>
      <c r="I8" s="35"/>
      <c r="J8" s="35"/>
      <c r="K8" s="36"/>
      <c r="L8" s="36"/>
      <c r="M8" s="36" t="s">
        <v>68</v>
      </c>
      <c r="N8" s="35"/>
      <c r="O8" s="35"/>
      <c r="P8" s="37"/>
      <c r="Q8" s="38" t="s">
        <v>6329</v>
      </c>
      <c r="R8" s="38" t="s">
        <v>6354</v>
      </c>
      <c r="S8" s="36" t="s">
        <v>68</v>
      </c>
      <c r="T8" s="36" t="s">
        <v>68</v>
      </c>
      <c r="U8" s="39" t="s">
        <v>68</v>
      </c>
      <c r="V8" s="39" t="s">
        <v>68</v>
      </c>
      <c r="W8" s="40" t="s">
        <v>68</v>
      </c>
      <c r="X8" s="36" t="s">
        <v>68</v>
      </c>
      <c r="Y8" s="36" t="s">
        <v>68</v>
      </c>
      <c r="Z8" s="36" t="s">
        <v>68</v>
      </c>
      <c r="AA8" s="36" t="s">
        <v>68</v>
      </c>
      <c r="AB8" s="39" t="s">
        <v>68</v>
      </c>
      <c r="AC8" s="36" t="s">
        <v>68</v>
      </c>
      <c r="AD8" s="39" t="s">
        <v>68</v>
      </c>
      <c r="AE8" s="41"/>
      <c r="AF8" s="42" t="s">
        <v>68</v>
      </c>
      <c r="AG8" s="36" t="s">
        <v>68</v>
      </c>
      <c r="AH8" s="36" t="s">
        <v>68</v>
      </c>
      <c r="AI8" s="36" t="s">
        <v>68</v>
      </c>
      <c r="AJ8" s="36" t="s">
        <v>68</v>
      </c>
      <c r="AK8" s="36" t="s">
        <v>68</v>
      </c>
      <c r="AL8" s="36" t="s">
        <v>68</v>
      </c>
      <c r="AM8" s="36" t="s">
        <v>68</v>
      </c>
      <c r="AN8" s="36" t="s">
        <v>68</v>
      </c>
      <c r="AO8" s="43" t="s">
        <v>68</v>
      </c>
      <c r="AP8" s="36" t="s">
        <v>68</v>
      </c>
      <c r="AQ8" s="39" t="s">
        <v>68</v>
      </c>
      <c r="AR8" s="36" t="s">
        <v>68</v>
      </c>
      <c r="AS8" s="36" t="s">
        <v>68</v>
      </c>
      <c r="AT8" s="36" t="s">
        <v>68</v>
      </c>
      <c r="AU8" s="36" t="s">
        <v>68</v>
      </c>
      <c r="AV8" s="36" t="s">
        <v>68</v>
      </c>
      <c r="AW8" s="35"/>
      <c r="AX8" s="37"/>
      <c r="AY8" s="37" t="s">
        <v>68</v>
      </c>
      <c r="BA8" s="37"/>
      <c r="BB8" s="37"/>
      <c r="BC8" s="37"/>
      <c r="BD8" s="35"/>
      <c r="BE8" s="35" t="e">
        <v>#REF!</v>
      </c>
      <c r="BF8" s="35"/>
      <c r="BG8" s="44"/>
      <c r="BH8" s="35"/>
      <c r="BI8" s="35" t="s">
        <v>68</v>
      </c>
    </row>
    <row r="9" spans="1:61" ht="114.75" x14ac:dyDescent="0.2">
      <c r="A9" s="45" t="s">
        <v>6355</v>
      </c>
      <c r="B9" s="46"/>
      <c r="C9" s="46" t="s">
        <v>6356</v>
      </c>
      <c r="D9" s="46"/>
      <c r="E9" s="46"/>
      <c r="F9" s="46"/>
      <c r="G9" s="46"/>
      <c r="H9" s="46"/>
      <c r="I9" s="46"/>
      <c r="J9" s="46" t="s">
        <v>71</v>
      </c>
      <c r="K9" s="47">
        <v>250</v>
      </c>
      <c r="L9" s="47">
        <v>0</v>
      </c>
      <c r="M9" s="47">
        <v>250</v>
      </c>
      <c r="N9" s="46" t="s">
        <v>6357</v>
      </c>
      <c r="O9" s="71" t="s">
        <v>6358</v>
      </c>
      <c r="P9" s="46"/>
      <c r="Q9" s="46" t="s">
        <v>6329</v>
      </c>
      <c r="R9" s="46" t="s">
        <v>6354</v>
      </c>
      <c r="S9" s="49">
        <v>62.5</v>
      </c>
      <c r="T9" s="49">
        <v>312.5</v>
      </c>
      <c r="U9" s="67">
        <v>0.60399999999999998</v>
      </c>
      <c r="V9" s="67">
        <v>0.7</v>
      </c>
      <c r="W9" s="51">
        <v>0</v>
      </c>
      <c r="X9" s="52">
        <v>31.25</v>
      </c>
      <c r="Y9" s="52">
        <v>30</v>
      </c>
      <c r="Z9" s="52">
        <v>62.5</v>
      </c>
      <c r="AA9" s="52">
        <v>123.75</v>
      </c>
      <c r="AB9" s="53">
        <v>0.39600000000000002</v>
      </c>
      <c r="AC9" s="72">
        <v>188.75</v>
      </c>
      <c r="AD9" s="55">
        <v>0.60399999999999998</v>
      </c>
      <c r="AE9" s="73">
        <v>4</v>
      </c>
      <c r="AF9" s="57" t="s">
        <v>95</v>
      </c>
      <c r="AG9" s="58">
        <v>250</v>
      </c>
      <c r="AH9" s="58">
        <v>0</v>
      </c>
      <c r="AI9" s="58">
        <v>250</v>
      </c>
      <c r="AJ9" s="49">
        <v>62.5</v>
      </c>
      <c r="AK9" s="49">
        <v>312.5</v>
      </c>
      <c r="AL9" s="52">
        <v>31.25</v>
      </c>
      <c r="AM9" s="52">
        <v>62.5</v>
      </c>
      <c r="AN9" s="52">
        <v>93.75</v>
      </c>
      <c r="AO9" s="59">
        <v>0.3</v>
      </c>
      <c r="AP9" s="60">
        <v>218.75</v>
      </c>
      <c r="AQ9" s="61">
        <v>0.7</v>
      </c>
      <c r="AR9" s="60" t="s">
        <v>78</v>
      </c>
      <c r="AS9" s="62">
        <v>425</v>
      </c>
      <c r="AT9" s="62">
        <v>0</v>
      </c>
      <c r="AU9" s="62">
        <v>425</v>
      </c>
      <c r="AV9" s="62">
        <v>531.25</v>
      </c>
      <c r="AW9" s="47" t="s">
        <v>74</v>
      </c>
      <c r="AX9" s="64">
        <v>45460</v>
      </c>
      <c r="AY9" s="64" t="s">
        <v>6359</v>
      </c>
      <c r="BA9" s="64"/>
      <c r="BB9" s="64"/>
      <c r="BC9" s="64"/>
      <c r="BD9" s="46"/>
      <c r="BE9" s="46" t="e">
        <v>#REF!</v>
      </c>
      <c r="BF9" s="46"/>
      <c r="BG9" s="65"/>
      <c r="BH9" s="66"/>
      <c r="BI9" s="63" t="s">
        <v>6356</v>
      </c>
    </row>
    <row r="10" spans="1:61" ht="25.5" x14ac:dyDescent="0.2">
      <c r="A10" s="23" t="s">
        <v>6360</v>
      </c>
      <c r="B10" s="24"/>
      <c r="C10" s="24" t="s">
        <v>68</v>
      </c>
      <c r="D10" s="24" t="s">
        <v>68</v>
      </c>
      <c r="E10" s="24" t="s">
        <v>68</v>
      </c>
      <c r="F10" s="24" t="s">
        <v>68</v>
      </c>
      <c r="G10" s="24" t="s">
        <v>68</v>
      </c>
      <c r="H10" s="24" t="s">
        <v>68</v>
      </c>
      <c r="I10" s="24" t="s">
        <v>68</v>
      </c>
      <c r="J10" s="24" t="s">
        <v>68</v>
      </c>
      <c r="K10" s="25" t="s">
        <v>68</v>
      </c>
      <c r="L10" s="25" t="s">
        <v>68</v>
      </c>
      <c r="M10" s="25" t="s">
        <v>68</v>
      </c>
      <c r="N10" s="24"/>
      <c r="O10" s="24" t="s">
        <v>68</v>
      </c>
      <c r="P10" s="26"/>
      <c r="Q10" s="27" t="s">
        <v>6361</v>
      </c>
      <c r="R10" s="24" t="s">
        <v>68</v>
      </c>
      <c r="S10" s="25" t="s">
        <v>68</v>
      </c>
      <c r="T10" s="25" t="s">
        <v>68</v>
      </c>
      <c r="U10" s="28" t="s">
        <v>68</v>
      </c>
      <c r="V10" s="28" t="s">
        <v>68</v>
      </c>
      <c r="W10" s="29" t="s">
        <v>68</v>
      </c>
      <c r="X10" s="25" t="s">
        <v>68</v>
      </c>
      <c r="Y10" s="25" t="s">
        <v>68</v>
      </c>
      <c r="Z10" s="25" t="s">
        <v>68</v>
      </c>
      <c r="AA10" s="25" t="s">
        <v>68</v>
      </c>
      <c r="AB10" s="28" t="s">
        <v>68</v>
      </c>
      <c r="AC10" s="25" t="s">
        <v>68</v>
      </c>
      <c r="AD10" s="28" t="s">
        <v>68</v>
      </c>
      <c r="AE10" s="30"/>
      <c r="AF10" s="31" t="s">
        <v>68</v>
      </c>
      <c r="AG10" s="25" t="s">
        <v>68</v>
      </c>
      <c r="AH10" s="25" t="s">
        <v>68</v>
      </c>
      <c r="AI10" s="25" t="s">
        <v>68</v>
      </c>
      <c r="AJ10" s="25" t="s">
        <v>68</v>
      </c>
      <c r="AK10" s="25" t="s">
        <v>68</v>
      </c>
      <c r="AL10" s="25" t="s">
        <v>68</v>
      </c>
      <c r="AM10" s="25" t="s">
        <v>68</v>
      </c>
      <c r="AN10" s="25" t="s">
        <v>68</v>
      </c>
      <c r="AO10" s="32" t="s">
        <v>68</v>
      </c>
      <c r="AP10" s="25" t="s">
        <v>68</v>
      </c>
      <c r="AQ10" s="28" t="s">
        <v>68</v>
      </c>
      <c r="AR10" s="25" t="s">
        <v>68</v>
      </c>
      <c r="AS10" s="25" t="s">
        <v>68</v>
      </c>
      <c r="AT10" s="25" t="s">
        <v>68</v>
      </c>
      <c r="AU10" s="25" t="s">
        <v>68</v>
      </c>
      <c r="AV10" s="25" t="s">
        <v>68</v>
      </c>
      <c r="AW10" s="24"/>
      <c r="AX10" s="26"/>
      <c r="AY10" s="26" t="s">
        <v>68</v>
      </c>
      <c r="BA10" s="26"/>
      <c r="BB10" s="26"/>
      <c r="BC10" s="26"/>
      <c r="BD10" s="24"/>
      <c r="BE10" s="27" t="s">
        <v>6360</v>
      </c>
      <c r="BF10" s="24"/>
      <c r="BG10" s="33"/>
      <c r="BH10" s="27" t="s">
        <v>6362</v>
      </c>
      <c r="BI10" s="24" t="s">
        <v>68</v>
      </c>
    </row>
    <row r="11" spans="1:61" ht="25.5" x14ac:dyDescent="0.2">
      <c r="A11" s="34" t="s">
        <v>6363</v>
      </c>
      <c r="B11" s="35"/>
      <c r="C11" s="35" t="s">
        <v>68</v>
      </c>
      <c r="D11" s="35" t="s">
        <v>68</v>
      </c>
      <c r="E11" s="35" t="s">
        <v>68</v>
      </c>
      <c r="F11" s="35" t="s">
        <v>68</v>
      </c>
      <c r="G11" s="35" t="s">
        <v>68</v>
      </c>
      <c r="H11" s="35" t="s">
        <v>68</v>
      </c>
      <c r="I11" s="35" t="s">
        <v>68</v>
      </c>
      <c r="J11" s="35" t="s">
        <v>68</v>
      </c>
      <c r="K11" s="36" t="s">
        <v>68</v>
      </c>
      <c r="L11" s="36" t="s">
        <v>68</v>
      </c>
      <c r="M11" s="36" t="s">
        <v>68</v>
      </c>
      <c r="N11" s="35"/>
      <c r="O11" s="35" t="s">
        <v>68</v>
      </c>
      <c r="P11" s="37"/>
      <c r="Q11" s="38" t="s">
        <v>6361</v>
      </c>
      <c r="R11" s="38" t="s">
        <v>6364</v>
      </c>
      <c r="S11" s="36" t="s">
        <v>68</v>
      </c>
      <c r="T11" s="36" t="s">
        <v>68</v>
      </c>
      <c r="U11" s="39" t="s">
        <v>68</v>
      </c>
      <c r="V11" s="39" t="s">
        <v>68</v>
      </c>
      <c r="W11" s="40" t="s">
        <v>68</v>
      </c>
      <c r="X11" s="36" t="s">
        <v>68</v>
      </c>
      <c r="Y11" s="36" t="s">
        <v>68</v>
      </c>
      <c r="Z11" s="36" t="s">
        <v>68</v>
      </c>
      <c r="AA11" s="36" t="s">
        <v>68</v>
      </c>
      <c r="AB11" s="39" t="s">
        <v>68</v>
      </c>
      <c r="AC11" s="36" t="s">
        <v>68</v>
      </c>
      <c r="AD11" s="39" t="s">
        <v>68</v>
      </c>
      <c r="AE11" s="41"/>
      <c r="AF11" s="42" t="s">
        <v>68</v>
      </c>
      <c r="AG11" s="36" t="s">
        <v>68</v>
      </c>
      <c r="AH11" s="36" t="s">
        <v>68</v>
      </c>
      <c r="AI11" s="36" t="s">
        <v>68</v>
      </c>
      <c r="AJ11" s="36" t="s">
        <v>68</v>
      </c>
      <c r="AK11" s="36" t="s">
        <v>68</v>
      </c>
      <c r="AL11" s="36" t="s">
        <v>68</v>
      </c>
      <c r="AM11" s="36" t="s">
        <v>68</v>
      </c>
      <c r="AN11" s="36" t="s">
        <v>68</v>
      </c>
      <c r="AO11" s="43" t="s">
        <v>68</v>
      </c>
      <c r="AP11" s="36" t="s">
        <v>68</v>
      </c>
      <c r="AQ11" s="39" t="s">
        <v>68</v>
      </c>
      <c r="AR11" s="36" t="s">
        <v>68</v>
      </c>
      <c r="AS11" s="36" t="s">
        <v>68</v>
      </c>
      <c r="AT11" s="36" t="s">
        <v>68</v>
      </c>
      <c r="AU11" s="36" t="s">
        <v>68</v>
      </c>
      <c r="AV11" s="36" t="s">
        <v>68</v>
      </c>
      <c r="AW11" s="35"/>
      <c r="AX11" s="37"/>
      <c r="AY11" s="37" t="s">
        <v>68</v>
      </c>
      <c r="BA11" s="37"/>
      <c r="BB11" s="37"/>
      <c r="BC11" s="37"/>
      <c r="BD11" s="35"/>
      <c r="BE11" s="35" t="e">
        <v>#REF!</v>
      </c>
      <c r="BF11" s="35"/>
      <c r="BG11" s="44"/>
      <c r="BH11" s="38" t="s">
        <v>6365</v>
      </c>
      <c r="BI11" s="35" t="s">
        <v>68</v>
      </c>
    </row>
    <row r="12" spans="1:61" ht="25.5" x14ac:dyDescent="0.2">
      <c r="A12" s="45" t="s">
        <v>6366</v>
      </c>
      <c r="B12" s="46"/>
      <c r="C12" s="46" t="s">
        <v>6367</v>
      </c>
      <c r="D12" s="46" t="s">
        <v>5290</v>
      </c>
      <c r="E12" s="46" t="s">
        <v>68</v>
      </c>
      <c r="F12" s="46" t="s">
        <v>68</v>
      </c>
      <c r="G12" s="46" t="s">
        <v>68</v>
      </c>
      <c r="H12" s="46" t="s">
        <v>68</v>
      </c>
      <c r="I12" s="46" t="s">
        <v>68</v>
      </c>
      <c r="J12" s="46" t="s">
        <v>71</v>
      </c>
      <c r="K12" s="47">
        <v>0</v>
      </c>
      <c r="L12" s="47">
        <v>600</v>
      </c>
      <c r="M12" s="47">
        <v>600</v>
      </c>
      <c r="N12" s="46"/>
      <c r="O12" s="71" t="s">
        <v>68</v>
      </c>
      <c r="P12" s="64"/>
      <c r="Q12" s="46" t="s">
        <v>6361</v>
      </c>
      <c r="R12" s="46" t="s">
        <v>6364</v>
      </c>
      <c r="S12" s="49">
        <v>150</v>
      </c>
      <c r="T12" s="49">
        <v>750</v>
      </c>
      <c r="U12" s="50">
        <v>0</v>
      </c>
      <c r="V12" s="78">
        <v>-0.1</v>
      </c>
      <c r="W12" s="29" t="e">
        <v>#DIV/0!</v>
      </c>
      <c r="X12" s="52">
        <v>75</v>
      </c>
      <c r="Y12" s="52">
        <v>30</v>
      </c>
      <c r="Z12" s="52">
        <v>750</v>
      </c>
      <c r="AA12" s="52">
        <v>855</v>
      </c>
      <c r="AB12" s="53">
        <v>1.1399999999999999</v>
      </c>
      <c r="AC12" s="75">
        <v>0</v>
      </c>
      <c r="AD12" s="55">
        <v>0</v>
      </c>
      <c r="AE12" s="56">
        <v>2</v>
      </c>
      <c r="AF12" s="57" t="s">
        <v>72</v>
      </c>
      <c r="AG12" s="58">
        <v>0</v>
      </c>
      <c r="AH12" s="58">
        <v>600</v>
      </c>
      <c r="AI12" s="58">
        <v>600</v>
      </c>
      <c r="AJ12" s="49">
        <v>150</v>
      </c>
      <c r="AK12" s="49">
        <v>750</v>
      </c>
      <c r="AL12" s="52">
        <v>75</v>
      </c>
      <c r="AM12" s="52">
        <v>750</v>
      </c>
      <c r="AN12" s="52">
        <v>825</v>
      </c>
      <c r="AO12" s="59">
        <v>1.1000000000000001</v>
      </c>
      <c r="AP12" s="79">
        <v>-75</v>
      </c>
      <c r="AQ12" s="80">
        <v>-0.1</v>
      </c>
      <c r="AR12" s="60" t="s">
        <v>73</v>
      </c>
      <c r="AS12" s="62">
        <v>0</v>
      </c>
      <c r="AT12" s="62">
        <v>900</v>
      </c>
      <c r="AU12" s="62">
        <v>900</v>
      </c>
      <c r="AV12" s="62">
        <v>1125</v>
      </c>
      <c r="AW12" s="47" t="s">
        <v>107</v>
      </c>
      <c r="AX12" s="64"/>
      <c r="AY12" s="64" t="s">
        <v>6368</v>
      </c>
      <c r="BA12" s="64"/>
      <c r="BB12" s="64"/>
      <c r="BC12" s="64"/>
      <c r="BD12" s="46"/>
      <c r="BE12" s="46" t="e">
        <v>#REF!</v>
      </c>
      <c r="BF12" s="46" t="s">
        <v>6361</v>
      </c>
      <c r="BG12" s="65">
        <v>4</v>
      </c>
      <c r="BH12" s="66" t="s">
        <v>6369</v>
      </c>
      <c r="BI12" s="63" t="s">
        <v>6370</v>
      </c>
    </row>
    <row r="13" spans="1:61" ht="25.5" x14ac:dyDescent="0.2">
      <c r="A13" s="45" t="s">
        <v>6371</v>
      </c>
      <c r="B13" s="46"/>
      <c r="C13" s="46" t="s">
        <v>6367</v>
      </c>
      <c r="D13" s="46" t="s">
        <v>6372</v>
      </c>
      <c r="E13" s="46" t="s">
        <v>6373</v>
      </c>
      <c r="F13" s="46" t="s">
        <v>68</v>
      </c>
      <c r="G13" s="46" t="s">
        <v>68</v>
      </c>
      <c r="H13" s="46" t="s">
        <v>68</v>
      </c>
      <c r="I13" s="46" t="s">
        <v>68</v>
      </c>
      <c r="J13" s="46" t="s">
        <v>71</v>
      </c>
      <c r="K13" s="47">
        <v>0</v>
      </c>
      <c r="L13" s="47">
        <v>400</v>
      </c>
      <c r="M13" s="47">
        <v>400</v>
      </c>
      <c r="N13" s="46"/>
      <c r="O13" s="71" t="s">
        <v>68</v>
      </c>
      <c r="P13" s="64"/>
      <c r="Q13" s="46" t="s">
        <v>6361</v>
      </c>
      <c r="R13" s="46" t="s">
        <v>6364</v>
      </c>
      <c r="S13" s="49">
        <v>100</v>
      </c>
      <c r="T13" s="49">
        <v>500</v>
      </c>
      <c r="U13" s="50">
        <v>0</v>
      </c>
      <c r="V13" s="78">
        <v>-0.1</v>
      </c>
      <c r="W13" s="29" t="e">
        <v>#DIV/0!</v>
      </c>
      <c r="X13" s="52">
        <v>50</v>
      </c>
      <c r="Y13" s="52">
        <v>30</v>
      </c>
      <c r="Z13" s="52">
        <v>500</v>
      </c>
      <c r="AA13" s="52">
        <v>580</v>
      </c>
      <c r="AB13" s="53">
        <v>1.1599999999999999</v>
      </c>
      <c r="AC13" s="75">
        <v>0</v>
      </c>
      <c r="AD13" s="55">
        <v>0</v>
      </c>
      <c r="AE13" s="56">
        <v>2</v>
      </c>
      <c r="AF13" s="57" t="s">
        <v>72</v>
      </c>
      <c r="AG13" s="58">
        <v>0</v>
      </c>
      <c r="AH13" s="58">
        <v>400</v>
      </c>
      <c r="AI13" s="58">
        <v>400</v>
      </c>
      <c r="AJ13" s="49">
        <v>100</v>
      </c>
      <c r="AK13" s="49">
        <v>500</v>
      </c>
      <c r="AL13" s="52">
        <v>50</v>
      </c>
      <c r="AM13" s="52">
        <v>500</v>
      </c>
      <c r="AN13" s="52">
        <v>550</v>
      </c>
      <c r="AO13" s="59">
        <v>1.1000000000000001</v>
      </c>
      <c r="AP13" s="79">
        <v>-50</v>
      </c>
      <c r="AQ13" s="80">
        <v>-0.1</v>
      </c>
      <c r="AR13" s="60" t="s">
        <v>73</v>
      </c>
      <c r="AS13" s="62">
        <v>0</v>
      </c>
      <c r="AT13" s="62">
        <v>600</v>
      </c>
      <c r="AU13" s="62">
        <v>600</v>
      </c>
      <c r="AV13" s="62">
        <v>750</v>
      </c>
      <c r="AW13" s="47" t="s">
        <v>107</v>
      </c>
      <c r="AX13" s="64"/>
      <c r="AY13" s="64" t="s">
        <v>6374</v>
      </c>
      <c r="BA13" s="64"/>
      <c r="BB13" s="64"/>
      <c r="BC13" s="64"/>
      <c r="BD13" s="46"/>
      <c r="BE13" s="46" t="e">
        <v>#REF!</v>
      </c>
      <c r="BF13" s="46" t="s">
        <v>6361</v>
      </c>
      <c r="BG13" s="65">
        <v>4</v>
      </c>
      <c r="BH13" s="66" t="s">
        <v>6375</v>
      </c>
      <c r="BI13" s="63" t="s">
        <v>6376</v>
      </c>
    </row>
    <row r="14" spans="1:61" ht="25.5" x14ac:dyDescent="0.2">
      <c r="A14" s="45" t="s">
        <v>6377</v>
      </c>
      <c r="B14" s="46"/>
      <c r="C14" s="46" t="s">
        <v>6367</v>
      </c>
      <c r="D14" s="46" t="s">
        <v>6372</v>
      </c>
      <c r="E14" s="46" t="s">
        <v>6378</v>
      </c>
      <c r="F14" s="46" t="s">
        <v>68</v>
      </c>
      <c r="G14" s="46" t="s">
        <v>68</v>
      </c>
      <c r="H14" s="46" t="s">
        <v>68</v>
      </c>
      <c r="I14" s="46" t="s">
        <v>68</v>
      </c>
      <c r="J14" s="46" t="s">
        <v>71</v>
      </c>
      <c r="K14" s="47">
        <v>0</v>
      </c>
      <c r="L14" s="47">
        <v>200</v>
      </c>
      <c r="M14" s="47">
        <v>200</v>
      </c>
      <c r="N14" s="46"/>
      <c r="O14" s="71" t="s">
        <v>68</v>
      </c>
      <c r="P14" s="64"/>
      <c r="Q14" s="46" t="s">
        <v>6361</v>
      </c>
      <c r="R14" s="46" t="s">
        <v>6364</v>
      </c>
      <c r="S14" s="49">
        <v>50</v>
      </c>
      <c r="T14" s="49">
        <v>250</v>
      </c>
      <c r="U14" s="50">
        <v>0</v>
      </c>
      <c r="V14" s="78">
        <v>-0.1</v>
      </c>
      <c r="W14" s="29" t="e">
        <v>#DIV/0!</v>
      </c>
      <c r="X14" s="52">
        <v>25</v>
      </c>
      <c r="Y14" s="52">
        <v>30</v>
      </c>
      <c r="Z14" s="52">
        <v>250</v>
      </c>
      <c r="AA14" s="52">
        <v>305</v>
      </c>
      <c r="AB14" s="53">
        <v>1.22</v>
      </c>
      <c r="AC14" s="75">
        <v>0</v>
      </c>
      <c r="AD14" s="55">
        <v>0</v>
      </c>
      <c r="AE14" s="56">
        <v>2</v>
      </c>
      <c r="AF14" s="57" t="s">
        <v>72</v>
      </c>
      <c r="AG14" s="58">
        <v>0</v>
      </c>
      <c r="AH14" s="58">
        <v>200</v>
      </c>
      <c r="AI14" s="58">
        <v>200</v>
      </c>
      <c r="AJ14" s="49">
        <v>50</v>
      </c>
      <c r="AK14" s="49">
        <v>250</v>
      </c>
      <c r="AL14" s="52">
        <v>25</v>
      </c>
      <c r="AM14" s="52">
        <v>250</v>
      </c>
      <c r="AN14" s="52">
        <v>275</v>
      </c>
      <c r="AO14" s="59">
        <v>1.1000000000000001</v>
      </c>
      <c r="AP14" s="79">
        <v>-25</v>
      </c>
      <c r="AQ14" s="80">
        <v>-0.1</v>
      </c>
      <c r="AR14" s="60" t="s">
        <v>73</v>
      </c>
      <c r="AS14" s="62">
        <v>0</v>
      </c>
      <c r="AT14" s="62">
        <v>300</v>
      </c>
      <c r="AU14" s="62">
        <v>300</v>
      </c>
      <c r="AV14" s="62">
        <v>375</v>
      </c>
      <c r="AW14" s="47" t="s">
        <v>107</v>
      </c>
      <c r="AX14" s="64"/>
      <c r="AY14" s="64" t="s">
        <v>6379</v>
      </c>
      <c r="BA14" s="64"/>
      <c r="BB14" s="64"/>
      <c r="BC14" s="64"/>
      <c r="BD14" s="46"/>
      <c r="BE14" s="46" t="e">
        <v>#REF!</v>
      </c>
      <c r="BF14" s="46" t="s">
        <v>79</v>
      </c>
      <c r="BG14" s="65">
        <v>4</v>
      </c>
      <c r="BH14" s="66" t="s">
        <v>6380</v>
      </c>
      <c r="BI14" s="63" t="s">
        <v>6381</v>
      </c>
    </row>
    <row r="15" spans="1:61" ht="25.5" x14ac:dyDescent="0.2">
      <c r="A15" s="45" t="s">
        <v>6382</v>
      </c>
      <c r="B15" s="46"/>
      <c r="C15" s="46" t="s">
        <v>6367</v>
      </c>
      <c r="D15" s="46" t="s">
        <v>6383</v>
      </c>
      <c r="E15" s="46"/>
      <c r="F15" s="46"/>
      <c r="G15" s="46"/>
      <c r="H15" s="46"/>
      <c r="I15" s="46"/>
      <c r="J15" s="46" t="s">
        <v>71</v>
      </c>
      <c r="K15" s="47">
        <v>10</v>
      </c>
      <c r="L15" s="47">
        <v>2</v>
      </c>
      <c r="M15" s="47">
        <v>12</v>
      </c>
      <c r="N15" s="46"/>
      <c r="O15" s="71" t="s">
        <v>68</v>
      </c>
      <c r="P15" s="64"/>
      <c r="Q15" s="46" t="s">
        <v>6361</v>
      </c>
      <c r="R15" s="46" t="s">
        <v>6364</v>
      </c>
      <c r="S15" s="49">
        <v>3</v>
      </c>
      <c r="T15" s="49">
        <v>15</v>
      </c>
      <c r="U15" s="67">
        <v>0.41666666666666669</v>
      </c>
      <c r="V15" s="67">
        <v>0.3</v>
      </c>
      <c r="W15" s="51">
        <v>0.2</v>
      </c>
      <c r="X15" s="52">
        <v>1.5</v>
      </c>
      <c r="Y15" s="52">
        <v>30</v>
      </c>
      <c r="Z15" s="52">
        <v>5</v>
      </c>
      <c r="AA15" s="52">
        <v>36.5</v>
      </c>
      <c r="AB15" s="53">
        <v>2.4333333333333331</v>
      </c>
      <c r="AC15" s="75">
        <v>6.25</v>
      </c>
      <c r="AD15" s="55">
        <v>0.41666666666666669</v>
      </c>
      <c r="AE15" s="69">
        <v>1</v>
      </c>
      <c r="AF15" s="57" t="s">
        <v>77</v>
      </c>
      <c r="AG15" s="58">
        <v>2</v>
      </c>
      <c r="AH15" s="58">
        <v>2</v>
      </c>
      <c r="AI15" s="58">
        <v>4</v>
      </c>
      <c r="AJ15" s="49">
        <v>1</v>
      </c>
      <c r="AK15" s="49">
        <v>5</v>
      </c>
      <c r="AL15" s="52">
        <v>0.5</v>
      </c>
      <c r="AM15" s="52">
        <v>3</v>
      </c>
      <c r="AN15" s="52">
        <v>3.5</v>
      </c>
      <c r="AO15" s="59">
        <v>0.7</v>
      </c>
      <c r="AP15" s="60">
        <v>1.5</v>
      </c>
      <c r="AQ15" s="61">
        <v>0.3</v>
      </c>
      <c r="AR15" s="60" t="s">
        <v>78</v>
      </c>
      <c r="AS15" s="62">
        <v>13</v>
      </c>
      <c r="AT15" s="62">
        <v>3</v>
      </c>
      <c r="AU15" s="62">
        <v>16</v>
      </c>
      <c r="AV15" s="62">
        <v>20</v>
      </c>
      <c r="AW15" s="47" t="s">
        <v>107</v>
      </c>
      <c r="AX15" s="64"/>
      <c r="AY15" s="64" t="s">
        <v>6384</v>
      </c>
      <c r="BA15" s="64"/>
      <c r="BB15" s="64"/>
      <c r="BC15" s="64"/>
      <c r="BD15" s="46"/>
      <c r="BE15" s="46" t="e">
        <v>#REF!</v>
      </c>
      <c r="BF15" s="46"/>
      <c r="BG15" s="65"/>
      <c r="BH15" s="66"/>
      <c r="BI15" s="63" t="s">
        <v>6385</v>
      </c>
    </row>
    <row r="16" spans="1:61" ht="25.5" x14ac:dyDescent="0.2">
      <c r="A16" s="34" t="s">
        <v>6386</v>
      </c>
      <c r="B16" s="35"/>
      <c r="C16" s="35" t="s">
        <v>68</v>
      </c>
      <c r="D16" s="35" t="s">
        <v>68</v>
      </c>
      <c r="E16" s="35" t="s">
        <v>68</v>
      </c>
      <c r="F16" s="35" t="s">
        <v>68</v>
      </c>
      <c r="G16" s="35" t="s">
        <v>68</v>
      </c>
      <c r="H16" s="35" t="s">
        <v>68</v>
      </c>
      <c r="I16" s="35" t="s">
        <v>68</v>
      </c>
      <c r="J16" s="35" t="s">
        <v>68</v>
      </c>
      <c r="K16" s="36" t="s">
        <v>68</v>
      </c>
      <c r="L16" s="36" t="s">
        <v>68</v>
      </c>
      <c r="M16" s="36" t="s">
        <v>68</v>
      </c>
      <c r="N16" s="35"/>
      <c r="O16" s="35" t="s">
        <v>68</v>
      </c>
      <c r="P16" s="37"/>
      <c r="Q16" s="38" t="s">
        <v>6361</v>
      </c>
      <c r="R16" s="38" t="s">
        <v>6387</v>
      </c>
      <c r="S16" s="36" t="s">
        <v>68</v>
      </c>
      <c r="T16" s="36" t="s">
        <v>68</v>
      </c>
      <c r="U16" s="39" t="s">
        <v>68</v>
      </c>
      <c r="V16" s="39" t="s">
        <v>68</v>
      </c>
      <c r="W16" s="40" t="s">
        <v>68</v>
      </c>
      <c r="X16" s="36" t="s">
        <v>68</v>
      </c>
      <c r="Y16" s="36" t="s">
        <v>68</v>
      </c>
      <c r="Z16" s="36" t="s">
        <v>68</v>
      </c>
      <c r="AA16" s="36" t="s">
        <v>68</v>
      </c>
      <c r="AB16" s="39" t="s">
        <v>68</v>
      </c>
      <c r="AC16" s="36" t="s">
        <v>68</v>
      </c>
      <c r="AD16" s="39" t="s">
        <v>68</v>
      </c>
      <c r="AE16" s="41"/>
      <c r="AF16" s="42" t="s">
        <v>68</v>
      </c>
      <c r="AG16" s="36" t="s">
        <v>68</v>
      </c>
      <c r="AH16" s="36" t="s">
        <v>68</v>
      </c>
      <c r="AI16" s="36" t="s">
        <v>68</v>
      </c>
      <c r="AJ16" s="36" t="s">
        <v>68</v>
      </c>
      <c r="AK16" s="36" t="s">
        <v>68</v>
      </c>
      <c r="AL16" s="36" t="s">
        <v>68</v>
      </c>
      <c r="AM16" s="36" t="s">
        <v>68</v>
      </c>
      <c r="AN16" s="36" t="s">
        <v>68</v>
      </c>
      <c r="AO16" s="43" t="s">
        <v>68</v>
      </c>
      <c r="AP16" s="36" t="s">
        <v>68</v>
      </c>
      <c r="AQ16" s="39" t="s">
        <v>68</v>
      </c>
      <c r="AR16" s="36" t="s">
        <v>68</v>
      </c>
      <c r="AS16" s="36" t="s">
        <v>68</v>
      </c>
      <c r="AT16" s="36" t="s">
        <v>68</v>
      </c>
      <c r="AU16" s="36" t="s">
        <v>68</v>
      </c>
      <c r="AV16" s="36" t="s">
        <v>68</v>
      </c>
      <c r="AW16" s="35"/>
      <c r="AX16" s="37"/>
      <c r="AY16" s="37" t="s">
        <v>68</v>
      </c>
      <c r="BA16" s="37"/>
      <c r="BB16" s="37"/>
      <c r="BC16" s="37"/>
      <c r="BD16" s="35"/>
      <c r="BE16" s="35" t="e">
        <v>#REF!</v>
      </c>
      <c r="BF16" s="35"/>
      <c r="BG16" s="44"/>
      <c r="BH16" s="38" t="s">
        <v>6388</v>
      </c>
      <c r="BI16" s="35" t="s">
        <v>68</v>
      </c>
    </row>
    <row r="17" spans="1:61" ht="25.5" x14ac:dyDescent="0.2">
      <c r="A17" s="45" t="s">
        <v>6389</v>
      </c>
      <c r="B17" s="46"/>
      <c r="C17" s="46" t="s">
        <v>6390</v>
      </c>
      <c r="D17" s="46" t="s">
        <v>676</v>
      </c>
      <c r="E17" s="46" t="s">
        <v>68</v>
      </c>
      <c r="F17" s="46" t="s">
        <v>68</v>
      </c>
      <c r="G17" s="46" t="s">
        <v>68</v>
      </c>
      <c r="H17" s="46" t="s">
        <v>6391</v>
      </c>
      <c r="I17" s="46" t="s">
        <v>68</v>
      </c>
      <c r="J17" s="46" t="s">
        <v>71</v>
      </c>
      <c r="K17" s="47">
        <v>150</v>
      </c>
      <c r="L17" s="47">
        <v>30</v>
      </c>
      <c r="M17" s="47">
        <v>180</v>
      </c>
      <c r="N17" s="46"/>
      <c r="O17" s="71" t="s">
        <v>68</v>
      </c>
      <c r="P17" s="64"/>
      <c r="Q17" s="46" t="s">
        <v>6361</v>
      </c>
      <c r="R17" s="46" t="s">
        <v>6387</v>
      </c>
      <c r="S17" s="49">
        <v>45</v>
      </c>
      <c r="T17" s="49">
        <v>225</v>
      </c>
      <c r="U17" s="67">
        <v>0.43333333333333335</v>
      </c>
      <c r="V17" s="67">
        <v>0.56666666666666665</v>
      </c>
      <c r="W17" s="51">
        <v>0.2</v>
      </c>
      <c r="X17" s="52">
        <v>22.5</v>
      </c>
      <c r="Y17" s="52">
        <v>30</v>
      </c>
      <c r="Z17" s="52">
        <v>75</v>
      </c>
      <c r="AA17" s="52">
        <v>127.5</v>
      </c>
      <c r="AB17" s="53">
        <v>0.56666666666666665</v>
      </c>
      <c r="AC17" s="54">
        <v>97.5</v>
      </c>
      <c r="AD17" s="55">
        <v>0.43333333333333335</v>
      </c>
      <c r="AE17" s="73">
        <v>3</v>
      </c>
      <c r="AF17" s="57" t="s">
        <v>95</v>
      </c>
      <c r="AG17" s="58">
        <v>150</v>
      </c>
      <c r="AH17" s="58">
        <v>30</v>
      </c>
      <c r="AI17" s="58">
        <v>180</v>
      </c>
      <c r="AJ17" s="49">
        <v>45</v>
      </c>
      <c r="AK17" s="49">
        <v>225</v>
      </c>
      <c r="AL17" s="52">
        <v>22.5</v>
      </c>
      <c r="AM17" s="52">
        <v>75</v>
      </c>
      <c r="AN17" s="52">
        <v>97.5</v>
      </c>
      <c r="AO17" s="59">
        <v>0.43333333333333335</v>
      </c>
      <c r="AP17" s="60">
        <v>127.5</v>
      </c>
      <c r="AQ17" s="61">
        <v>0.56666666666666665</v>
      </c>
      <c r="AR17" s="60" t="s">
        <v>78</v>
      </c>
      <c r="AS17" s="62">
        <v>240</v>
      </c>
      <c r="AT17" s="62">
        <v>48</v>
      </c>
      <c r="AU17" s="62">
        <v>288</v>
      </c>
      <c r="AV17" s="62">
        <v>360</v>
      </c>
      <c r="AW17" s="47" t="s">
        <v>74</v>
      </c>
      <c r="AX17" s="64"/>
      <c r="AY17" s="64" t="s">
        <v>6392</v>
      </c>
      <c r="BA17" s="64"/>
      <c r="BB17" s="64"/>
      <c r="BC17" s="64"/>
      <c r="BD17" s="46"/>
      <c r="BE17" s="46" t="e">
        <v>#REF!</v>
      </c>
      <c r="BF17" s="46" t="s">
        <v>6361</v>
      </c>
      <c r="BG17" s="65">
        <v>4</v>
      </c>
      <c r="BH17" s="66" t="s">
        <v>6393</v>
      </c>
      <c r="BI17" s="63" t="s">
        <v>6394</v>
      </c>
    </row>
    <row r="18" spans="1:61" ht="25.5" x14ac:dyDescent="0.2">
      <c r="A18" s="45" t="s">
        <v>6395</v>
      </c>
      <c r="B18" s="46"/>
      <c r="C18" s="46" t="s">
        <v>6390</v>
      </c>
      <c r="D18" s="46" t="s">
        <v>676</v>
      </c>
      <c r="E18" s="46" t="s">
        <v>68</v>
      </c>
      <c r="F18" s="46" t="s">
        <v>68</v>
      </c>
      <c r="G18" s="46" t="s">
        <v>68</v>
      </c>
      <c r="H18" s="46" t="s">
        <v>6396</v>
      </c>
      <c r="I18" s="46" t="s">
        <v>68</v>
      </c>
      <c r="J18" s="46" t="s">
        <v>71</v>
      </c>
      <c r="K18" s="47">
        <v>180</v>
      </c>
      <c r="L18" s="47">
        <v>40</v>
      </c>
      <c r="M18" s="47">
        <v>220</v>
      </c>
      <c r="N18" s="46"/>
      <c r="O18" s="71" t="s">
        <v>68</v>
      </c>
      <c r="P18" s="64"/>
      <c r="Q18" s="46" t="s">
        <v>6361</v>
      </c>
      <c r="R18" s="46" t="s">
        <v>6387</v>
      </c>
      <c r="S18" s="49">
        <v>55</v>
      </c>
      <c r="T18" s="49">
        <v>275</v>
      </c>
      <c r="U18" s="67">
        <v>0.44545454545454544</v>
      </c>
      <c r="V18" s="67">
        <v>0.55454545454545456</v>
      </c>
      <c r="W18" s="51">
        <v>0.22222222222222221</v>
      </c>
      <c r="X18" s="52">
        <v>27.5</v>
      </c>
      <c r="Y18" s="52">
        <v>30</v>
      </c>
      <c r="Z18" s="52">
        <v>95</v>
      </c>
      <c r="AA18" s="52">
        <v>152.5</v>
      </c>
      <c r="AB18" s="53">
        <v>0.55454545454545456</v>
      </c>
      <c r="AC18" s="72">
        <v>122.5</v>
      </c>
      <c r="AD18" s="55">
        <v>0.44545454545454544</v>
      </c>
      <c r="AE18" s="73">
        <v>3</v>
      </c>
      <c r="AF18" s="57" t="s">
        <v>95</v>
      </c>
      <c r="AG18" s="58">
        <v>180</v>
      </c>
      <c r="AH18" s="58">
        <v>40</v>
      </c>
      <c r="AI18" s="58">
        <v>220</v>
      </c>
      <c r="AJ18" s="49">
        <v>55</v>
      </c>
      <c r="AK18" s="49">
        <v>275</v>
      </c>
      <c r="AL18" s="52">
        <v>27.5</v>
      </c>
      <c r="AM18" s="52">
        <v>95</v>
      </c>
      <c r="AN18" s="52">
        <v>122.5</v>
      </c>
      <c r="AO18" s="59">
        <v>0.44545454545454544</v>
      </c>
      <c r="AP18" s="60">
        <v>152.5</v>
      </c>
      <c r="AQ18" s="61">
        <v>0.55454545454545456</v>
      </c>
      <c r="AR18" s="60" t="s">
        <v>78</v>
      </c>
      <c r="AS18" s="62">
        <v>288</v>
      </c>
      <c r="AT18" s="62">
        <v>64</v>
      </c>
      <c r="AU18" s="62">
        <v>352</v>
      </c>
      <c r="AV18" s="62">
        <v>440</v>
      </c>
      <c r="AW18" s="47" t="s">
        <v>74</v>
      </c>
      <c r="AX18" s="64"/>
      <c r="AY18" s="64" t="s">
        <v>6397</v>
      </c>
      <c r="BA18" s="64"/>
      <c r="BB18" s="64"/>
      <c r="BC18" s="64"/>
      <c r="BD18" s="46"/>
      <c r="BE18" s="46" t="e">
        <v>#REF!</v>
      </c>
      <c r="BF18" s="46" t="s">
        <v>6361</v>
      </c>
      <c r="BG18" s="65">
        <v>6</v>
      </c>
      <c r="BH18" s="66" t="s">
        <v>6398</v>
      </c>
      <c r="BI18" s="63" t="s">
        <v>6399</v>
      </c>
    </row>
    <row r="19" spans="1:61" ht="25.5" x14ac:dyDescent="0.2">
      <c r="A19" s="45" t="s">
        <v>6400</v>
      </c>
      <c r="B19" s="46"/>
      <c r="C19" s="46" t="s">
        <v>6390</v>
      </c>
      <c r="D19" s="46" t="s">
        <v>676</v>
      </c>
      <c r="E19" s="46" t="s">
        <v>68</v>
      </c>
      <c r="F19" s="46" t="s">
        <v>68</v>
      </c>
      <c r="G19" s="46" t="s">
        <v>68</v>
      </c>
      <c r="H19" s="46" t="s">
        <v>6401</v>
      </c>
      <c r="I19" s="46" t="s">
        <v>68</v>
      </c>
      <c r="J19" s="46" t="s">
        <v>71</v>
      </c>
      <c r="K19" s="47">
        <v>240</v>
      </c>
      <c r="L19" s="47">
        <v>60</v>
      </c>
      <c r="M19" s="47">
        <v>300</v>
      </c>
      <c r="N19" s="46"/>
      <c r="O19" s="71" t="s">
        <v>68</v>
      </c>
      <c r="P19" s="64"/>
      <c r="Q19" s="46" t="s">
        <v>6361</v>
      </c>
      <c r="R19" s="46" t="s">
        <v>6387</v>
      </c>
      <c r="S19" s="49">
        <v>75</v>
      </c>
      <c r="T19" s="49">
        <v>375</v>
      </c>
      <c r="U19" s="67">
        <v>0.46</v>
      </c>
      <c r="V19" s="67">
        <v>0.54</v>
      </c>
      <c r="W19" s="51">
        <v>0.25</v>
      </c>
      <c r="X19" s="52">
        <v>37.5</v>
      </c>
      <c r="Y19" s="52">
        <v>30</v>
      </c>
      <c r="Z19" s="52">
        <v>135</v>
      </c>
      <c r="AA19" s="52">
        <v>202.5</v>
      </c>
      <c r="AB19" s="53">
        <v>0.54</v>
      </c>
      <c r="AC19" s="72">
        <v>172.5</v>
      </c>
      <c r="AD19" s="55">
        <v>0.46</v>
      </c>
      <c r="AE19" s="73">
        <v>3</v>
      </c>
      <c r="AF19" s="57" t="s">
        <v>95</v>
      </c>
      <c r="AG19" s="58">
        <v>240</v>
      </c>
      <c r="AH19" s="58">
        <v>60</v>
      </c>
      <c r="AI19" s="58">
        <v>300</v>
      </c>
      <c r="AJ19" s="49">
        <v>75</v>
      </c>
      <c r="AK19" s="49">
        <v>375</v>
      </c>
      <c r="AL19" s="52">
        <v>37.5</v>
      </c>
      <c r="AM19" s="52">
        <v>135</v>
      </c>
      <c r="AN19" s="52">
        <v>172.5</v>
      </c>
      <c r="AO19" s="59">
        <v>0.46</v>
      </c>
      <c r="AP19" s="60">
        <v>202.5</v>
      </c>
      <c r="AQ19" s="61">
        <v>0.54</v>
      </c>
      <c r="AR19" s="60" t="s">
        <v>78</v>
      </c>
      <c r="AS19" s="62">
        <v>384</v>
      </c>
      <c r="AT19" s="62">
        <v>96</v>
      </c>
      <c r="AU19" s="62">
        <v>480</v>
      </c>
      <c r="AV19" s="62">
        <v>600</v>
      </c>
      <c r="AW19" s="47" t="s">
        <v>74</v>
      </c>
      <c r="AX19" s="64"/>
      <c r="AY19" s="64" t="s">
        <v>6402</v>
      </c>
      <c r="BA19" s="64"/>
      <c r="BB19" s="64"/>
      <c r="BC19" s="64"/>
      <c r="BD19" s="46"/>
      <c r="BE19" s="46" t="e">
        <v>#REF!</v>
      </c>
      <c r="BF19" s="46" t="s">
        <v>6361</v>
      </c>
      <c r="BG19" s="65">
        <v>8</v>
      </c>
      <c r="BH19" s="66" t="s">
        <v>6403</v>
      </c>
      <c r="BI19" s="63" t="s">
        <v>6404</v>
      </c>
    </row>
    <row r="20" spans="1:61" ht="25.5" x14ac:dyDescent="0.2">
      <c r="A20" s="34" t="s">
        <v>6405</v>
      </c>
      <c r="B20" s="35"/>
      <c r="C20" s="35" t="s">
        <v>68</v>
      </c>
      <c r="D20" s="35" t="s">
        <v>68</v>
      </c>
      <c r="E20" s="35" t="s">
        <v>68</v>
      </c>
      <c r="F20" s="35" t="s">
        <v>68</v>
      </c>
      <c r="G20" s="35" t="s">
        <v>68</v>
      </c>
      <c r="H20" s="35" t="s">
        <v>68</v>
      </c>
      <c r="I20" s="35" t="s">
        <v>68</v>
      </c>
      <c r="J20" s="35" t="s">
        <v>68</v>
      </c>
      <c r="K20" s="36" t="s">
        <v>68</v>
      </c>
      <c r="L20" s="36" t="s">
        <v>68</v>
      </c>
      <c r="M20" s="36" t="s">
        <v>68</v>
      </c>
      <c r="N20" s="35"/>
      <c r="O20" s="35" t="s">
        <v>68</v>
      </c>
      <c r="P20" s="37"/>
      <c r="Q20" s="38" t="s">
        <v>6361</v>
      </c>
      <c r="R20" s="38" t="s">
        <v>6406</v>
      </c>
      <c r="S20" s="36" t="s">
        <v>68</v>
      </c>
      <c r="T20" s="36" t="s">
        <v>68</v>
      </c>
      <c r="U20" s="39" t="s">
        <v>68</v>
      </c>
      <c r="V20" s="39" t="s">
        <v>68</v>
      </c>
      <c r="W20" s="40" t="s">
        <v>68</v>
      </c>
      <c r="X20" s="36" t="s">
        <v>68</v>
      </c>
      <c r="Y20" s="36" t="s">
        <v>68</v>
      </c>
      <c r="Z20" s="36" t="s">
        <v>68</v>
      </c>
      <c r="AA20" s="36" t="s">
        <v>68</v>
      </c>
      <c r="AB20" s="39" t="s">
        <v>68</v>
      </c>
      <c r="AC20" s="36" t="s">
        <v>68</v>
      </c>
      <c r="AD20" s="39" t="s">
        <v>68</v>
      </c>
      <c r="AE20" s="41"/>
      <c r="AF20" s="42" t="s">
        <v>68</v>
      </c>
      <c r="AG20" s="36" t="s">
        <v>68</v>
      </c>
      <c r="AH20" s="36" t="s">
        <v>68</v>
      </c>
      <c r="AI20" s="36" t="s">
        <v>68</v>
      </c>
      <c r="AJ20" s="36" t="s">
        <v>68</v>
      </c>
      <c r="AK20" s="36" t="s">
        <v>68</v>
      </c>
      <c r="AL20" s="36" t="s">
        <v>68</v>
      </c>
      <c r="AM20" s="36" t="s">
        <v>68</v>
      </c>
      <c r="AN20" s="36" t="s">
        <v>68</v>
      </c>
      <c r="AO20" s="43" t="s">
        <v>68</v>
      </c>
      <c r="AP20" s="36" t="s">
        <v>68</v>
      </c>
      <c r="AQ20" s="39" t="s">
        <v>68</v>
      </c>
      <c r="AR20" s="36" t="s">
        <v>68</v>
      </c>
      <c r="AS20" s="36" t="s">
        <v>68</v>
      </c>
      <c r="AT20" s="36" t="s">
        <v>68</v>
      </c>
      <c r="AU20" s="36" t="s">
        <v>68</v>
      </c>
      <c r="AV20" s="36" t="s">
        <v>68</v>
      </c>
      <c r="AW20" s="35"/>
      <c r="AX20" s="37"/>
      <c r="AY20" s="37" t="s">
        <v>68</v>
      </c>
      <c r="BA20" s="37"/>
      <c r="BB20" s="37"/>
      <c r="BC20" s="37"/>
      <c r="BD20" s="35"/>
      <c r="BE20" s="35" t="e">
        <v>#REF!</v>
      </c>
      <c r="BF20" s="35"/>
      <c r="BG20" s="44"/>
      <c r="BH20" s="38" t="s">
        <v>6407</v>
      </c>
      <c r="BI20" s="35" t="s">
        <v>68</v>
      </c>
    </row>
    <row r="21" spans="1:61" ht="51" x14ac:dyDescent="0.2">
      <c r="A21" s="45" t="s">
        <v>6408</v>
      </c>
      <c r="B21" s="46"/>
      <c r="C21" s="46" t="s">
        <v>6409</v>
      </c>
      <c r="D21" s="46" t="s">
        <v>6410</v>
      </c>
      <c r="E21" s="46" t="s">
        <v>6411</v>
      </c>
      <c r="F21" s="46" t="s">
        <v>68</v>
      </c>
      <c r="G21" s="46" t="s">
        <v>68</v>
      </c>
      <c r="H21" s="46" t="s">
        <v>68</v>
      </c>
      <c r="I21" s="46" t="s">
        <v>68</v>
      </c>
      <c r="J21" s="46" t="s">
        <v>2996</v>
      </c>
      <c r="K21" s="47">
        <v>6</v>
      </c>
      <c r="L21" s="47">
        <v>4</v>
      </c>
      <c r="M21" s="47">
        <v>10</v>
      </c>
      <c r="N21" s="46"/>
      <c r="O21" s="71" t="s">
        <v>68</v>
      </c>
      <c r="P21" s="64"/>
      <c r="Q21" s="46" t="s">
        <v>6361</v>
      </c>
      <c r="R21" s="46" t="s">
        <v>6406</v>
      </c>
      <c r="S21" s="49">
        <v>2.5</v>
      </c>
      <c r="T21" s="49">
        <v>12.5</v>
      </c>
      <c r="U21" s="67">
        <v>0.3</v>
      </c>
      <c r="V21" s="67">
        <v>0.38</v>
      </c>
      <c r="W21" s="51">
        <v>0.66666666666666663</v>
      </c>
      <c r="X21" s="52">
        <v>1.25</v>
      </c>
      <c r="Y21" s="52">
        <v>30</v>
      </c>
      <c r="Z21" s="52">
        <v>6.5</v>
      </c>
      <c r="AA21" s="52">
        <v>37.75</v>
      </c>
      <c r="AB21" s="53">
        <v>3.02</v>
      </c>
      <c r="AC21" s="75">
        <v>3.75</v>
      </c>
      <c r="AD21" s="55">
        <v>0.3</v>
      </c>
      <c r="AE21" s="73">
        <v>3</v>
      </c>
      <c r="AF21" s="57" t="s">
        <v>95</v>
      </c>
      <c r="AG21" s="58">
        <v>6</v>
      </c>
      <c r="AH21" s="58">
        <v>4</v>
      </c>
      <c r="AI21" s="58">
        <v>10</v>
      </c>
      <c r="AJ21" s="49">
        <v>2.5</v>
      </c>
      <c r="AK21" s="49">
        <v>12.5</v>
      </c>
      <c r="AL21" s="52">
        <v>1.25</v>
      </c>
      <c r="AM21" s="52">
        <v>6.5</v>
      </c>
      <c r="AN21" s="52">
        <v>7.75</v>
      </c>
      <c r="AO21" s="59">
        <v>0.62</v>
      </c>
      <c r="AP21" s="60">
        <v>4.75</v>
      </c>
      <c r="AQ21" s="61">
        <v>0.38</v>
      </c>
      <c r="AR21" s="60" t="s">
        <v>78</v>
      </c>
      <c r="AS21" s="62">
        <v>10</v>
      </c>
      <c r="AT21" s="62">
        <v>7</v>
      </c>
      <c r="AU21" s="62">
        <v>17</v>
      </c>
      <c r="AV21" s="62">
        <v>21.25</v>
      </c>
      <c r="AW21" s="47" t="s">
        <v>74</v>
      </c>
      <c r="AX21" s="64">
        <v>44950</v>
      </c>
      <c r="AY21" s="64" t="s">
        <v>6412</v>
      </c>
      <c r="BA21" s="64"/>
      <c r="BB21" s="64"/>
      <c r="BC21" s="64"/>
      <c r="BD21" s="46"/>
      <c r="BE21" s="46" t="e">
        <v>#REF!</v>
      </c>
      <c r="BF21" s="46" t="s">
        <v>79</v>
      </c>
      <c r="BG21" s="65">
        <v>2</v>
      </c>
      <c r="BH21" s="66" t="s">
        <v>6413</v>
      </c>
      <c r="BI21" s="63" t="s">
        <v>6414</v>
      </c>
    </row>
    <row r="22" spans="1:61" ht="51" x14ac:dyDescent="0.2">
      <c r="A22" s="45" t="s">
        <v>6415</v>
      </c>
      <c r="B22" s="46"/>
      <c r="C22" s="46" t="s">
        <v>6409</v>
      </c>
      <c r="D22" s="46" t="s">
        <v>6410</v>
      </c>
      <c r="E22" s="46" t="s">
        <v>6416</v>
      </c>
      <c r="F22" s="46" t="s">
        <v>68</v>
      </c>
      <c r="G22" s="46" t="s">
        <v>68</v>
      </c>
      <c r="H22" s="46" t="s">
        <v>68</v>
      </c>
      <c r="I22" s="46" t="s">
        <v>68</v>
      </c>
      <c r="J22" s="46" t="s">
        <v>2996</v>
      </c>
      <c r="K22" s="47">
        <v>10</v>
      </c>
      <c r="L22" s="47">
        <v>10</v>
      </c>
      <c r="M22" s="47">
        <v>20</v>
      </c>
      <c r="N22" s="46"/>
      <c r="O22" s="71" t="s">
        <v>68</v>
      </c>
      <c r="P22" s="64"/>
      <c r="Q22" s="46" t="s">
        <v>6361</v>
      </c>
      <c r="R22" s="46" t="s">
        <v>6406</v>
      </c>
      <c r="S22" s="49">
        <v>5</v>
      </c>
      <c r="T22" s="49">
        <v>25</v>
      </c>
      <c r="U22" s="28">
        <v>0.25</v>
      </c>
      <c r="V22" s="67">
        <v>0.3</v>
      </c>
      <c r="W22" s="51">
        <v>1</v>
      </c>
      <c r="X22" s="52">
        <v>2.5</v>
      </c>
      <c r="Y22" s="52">
        <v>30</v>
      </c>
      <c r="Z22" s="52">
        <v>15</v>
      </c>
      <c r="AA22" s="52">
        <v>47.5</v>
      </c>
      <c r="AB22" s="53">
        <v>1.9</v>
      </c>
      <c r="AC22" s="75">
        <v>6.25</v>
      </c>
      <c r="AD22" s="55">
        <v>0.25</v>
      </c>
      <c r="AE22" s="73">
        <v>3</v>
      </c>
      <c r="AF22" s="57" t="s">
        <v>95</v>
      </c>
      <c r="AG22" s="58">
        <v>10</v>
      </c>
      <c r="AH22" s="58">
        <v>10</v>
      </c>
      <c r="AI22" s="58">
        <v>20</v>
      </c>
      <c r="AJ22" s="49">
        <v>5</v>
      </c>
      <c r="AK22" s="49">
        <v>25</v>
      </c>
      <c r="AL22" s="52">
        <v>2.5</v>
      </c>
      <c r="AM22" s="52">
        <v>15</v>
      </c>
      <c r="AN22" s="52">
        <v>17.5</v>
      </c>
      <c r="AO22" s="59">
        <v>0.7</v>
      </c>
      <c r="AP22" s="60">
        <v>7.5</v>
      </c>
      <c r="AQ22" s="61">
        <v>0.3</v>
      </c>
      <c r="AR22" s="60" t="s">
        <v>78</v>
      </c>
      <c r="AS22" s="62">
        <v>16</v>
      </c>
      <c r="AT22" s="62">
        <v>16</v>
      </c>
      <c r="AU22" s="62">
        <v>32</v>
      </c>
      <c r="AV22" s="62">
        <v>40</v>
      </c>
      <c r="AW22" s="47" t="s">
        <v>107</v>
      </c>
      <c r="AX22" s="64">
        <v>44950</v>
      </c>
      <c r="AY22" s="64" t="s">
        <v>6417</v>
      </c>
      <c r="BA22" s="64"/>
      <c r="BB22" s="64"/>
      <c r="BC22" s="64"/>
      <c r="BD22" s="46"/>
      <c r="BE22" s="46" t="e">
        <v>#REF!</v>
      </c>
      <c r="BF22" s="46" t="s">
        <v>79</v>
      </c>
      <c r="BG22" s="65">
        <v>3</v>
      </c>
      <c r="BH22" s="66" t="s">
        <v>6418</v>
      </c>
      <c r="BI22" s="63" t="s">
        <v>6419</v>
      </c>
    </row>
    <row r="23" spans="1:61" ht="25.5" x14ac:dyDescent="0.2">
      <c r="A23" s="45" t="s">
        <v>6420</v>
      </c>
      <c r="B23" s="46"/>
      <c r="C23" s="46" t="s">
        <v>6409</v>
      </c>
      <c r="D23" s="46" t="s">
        <v>6421</v>
      </c>
      <c r="E23" s="46" t="s">
        <v>6422</v>
      </c>
      <c r="F23" s="46" t="s">
        <v>68</v>
      </c>
      <c r="G23" s="46" t="s">
        <v>68</v>
      </c>
      <c r="H23" s="46" t="s">
        <v>6423</v>
      </c>
      <c r="I23" s="46" t="s">
        <v>68</v>
      </c>
      <c r="J23" s="46" t="s">
        <v>71</v>
      </c>
      <c r="K23" s="47">
        <v>350</v>
      </c>
      <c r="L23" s="47">
        <v>100</v>
      </c>
      <c r="M23" s="47">
        <v>450</v>
      </c>
      <c r="N23" s="46"/>
      <c r="O23" s="71" t="s">
        <v>68</v>
      </c>
      <c r="P23" s="64"/>
      <c r="Q23" s="46" t="s">
        <v>6361</v>
      </c>
      <c r="R23" s="46" t="s">
        <v>6406</v>
      </c>
      <c r="S23" s="49">
        <v>112.5</v>
      </c>
      <c r="T23" s="49">
        <v>562.5</v>
      </c>
      <c r="U23" s="67">
        <v>0.46888888888888891</v>
      </c>
      <c r="V23" s="67">
        <v>0.52222222222222225</v>
      </c>
      <c r="W23" s="51">
        <v>0.2857142857142857</v>
      </c>
      <c r="X23" s="52">
        <v>56.25</v>
      </c>
      <c r="Y23" s="52">
        <v>30</v>
      </c>
      <c r="Z23" s="52">
        <v>212.5</v>
      </c>
      <c r="AA23" s="52">
        <v>298.75</v>
      </c>
      <c r="AB23" s="53">
        <v>0.53111111111111109</v>
      </c>
      <c r="AC23" s="72">
        <v>263.75</v>
      </c>
      <c r="AD23" s="55">
        <v>0.46888888888888891</v>
      </c>
      <c r="AE23" s="73">
        <v>3</v>
      </c>
      <c r="AF23" s="57" t="s">
        <v>95</v>
      </c>
      <c r="AG23" s="58">
        <v>350</v>
      </c>
      <c r="AH23" s="58">
        <v>100</v>
      </c>
      <c r="AI23" s="58">
        <v>450</v>
      </c>
      <c r="AJ23" s="49">
        <v>112.5</v>
      </c>
      <c r="AK23" s="49">
        <v>562.5</v>
      </c>
      <c r="AL23" s="52">
        <v>56.25</v>
      </c>
      <c r="AM23" s="52">
        <v>212.5</v>
      </c>
      <c r="AN23" s="52">
        <v>268.75</v>
      </c>
      <c r="AO23" s="59">
        <v>0.4777777777777778</v>
      </c>
      <c r="AP23" s="60">
        <v>293.75</v>
      </c>
      <c r="AQ23" s="61">
        <v>0.52222222222222225</v>
      </c>
      <c r="AR23" s="60" t="s">
        <v>78</v>
      </c>
      <c r="AS23" s="62">
        <v>560</v>
      </c>
      <c r="AT23" s="62">
        <v>160</v>
      </c>
      <c r="AU23" s="62">
        <v>720</v>
      </c>
      <c r="AV23" s="62">
        <v>900</v>
      </c>
      <c r="AW23" s="47" t="s">
        <v>107</v>
      </c>
      <c r="AX23" s="64">
        <v>44966</v>
      </c>
      <c r="AY23" s="64" t="s">
        <v>6424</v>
      </c>
      <c r="BA23" s="64"/>
      <c r="BB23" s="64"/>
      <c r="BC23" s="64"/>
      <c r="BD23" s="46"/>
      <c r="BE23" s="46" t="e">
        <v>#REF!</v>
      </c>
      <c r="BF23" s="46" t="s">
        <v>79</v>
      </c>
      <c r="BG23" s="65">
        <v>4</v>
      </c>
      <c r="BH23" s="66" t="s">
        <v>6425</v>
      </c>
      <c r="BI23" s="63" t="s">
        <v>6426</v>
      </c>
    </row>
    <row r="24" spans="1:61" ht="25.5" x14ac:dyDescent="0.2">
      <c r="A24" s="45" t="s">
        <v>6427</v>
      </c>
      <c r="B24" s="46"/>
      <c r="C24" s="46" t="s">
        <v>6409</v>
      </c>
      <c r="D24" s="46" t="s">
        <v>6421</v>
      </c>
      <c r="E24" s="46" t="s">
        <v>6422</v>
      </c>
      <c r="F24" s="46" t="s">
        <v>68</v>
      </c>
      <c r="G24" s="46" t="s">
        <v>68</v>
      </c>
      <c r="H24" s="46" t="s">
        <v>6428</v>
      </c>
      <c r="I24" s="46" t="s">
        <v>68</v>
      </c>
      <c r="J24" s="46" t="s">
        <v>71</v>
      </c>
      <c r="K24" s="47">
        <v>450</v>
      </c>
      <c r="L24" s="47">
        <v>100</v>
      </c>
      <c r="M24" s="47">
        <v>550</v>
      </c>
      <c r="N24" s="46"/>
      <c r="O24" s="71" t="s">
        <v>68</v>
      </c>
      <c r="P24" s="64"/>
      <c r="Q24" s="46" t="s">
        <v>6361</v>
      </c>
      <c r="R24" s="46" t="s">
        <v>6406</v>
      </c>
      <c r="S24" s="49">
        <v>137.5</v>
      </c>
      <c r="T24" s="49">
        <v>687.5</v>
      </c>
      <c r="U24" s="67">
        <v>0.51090909090909087</v>
      </c>
      <c r="V24" s="67">
        <v>0.55454545454545456</v>
      </c>
      <c r="W24" s="51">
        <v>0.22222222222222221</v>
      </c>
      <c r="X24" s="52">
        <v>68.75</v>
      </c>
      <c r="Y24" s="52">
        <v>30</v>
      </c>
      <c r="Z24" s="52">
        <v>237.5</v>
      </c>
      <c r="AA24" s="52">
        <v>336.25</v>
      </c>
      <c r="AB24" s="53">
        <v>0.48909090909090908</v>
      </c>
      <c r="AC24" s="72">
        <v>351.25</v>
      </c>
      <c r="AD24" s="55">
        <v>0.51090909090909087</v>
      </c>
      <c r="AE24" s="73">
        <v>3</v>
      </c>
      <c r="AF24" s="57" t="s">
        <v>95</v>
      </c>
      <c r="AG24" s="58">
        <v>450</v>
      </c>
      <c r="AH24" s="58">
        <v>100</v>
      </c>
      <c r="AI24" s="58">
        <v>550</v>
      </c>
      <c r="AJ24" s="49">
        <v>137.5</v>
      </c>
      <c r="AK24" s="49">
        <v>687.5</v>
      </c>
      <c r="AL24" s="52">
        <v>68.75</v>
      </c>
      <c r="AM24" s="52">
        <v>237.5</v>
      </c>
      <c r="AN24" s="52">
        <v>306.25</v>
      </c>
      <c r="AO24" s="59">
        <v>0.44545454545454544</v>
      </c>
      <c r="AP24" s="60">
        <v>381.25</v>
      </c>
      <c r="AQ24" s="61">
        <v>0.55454545454545456</v>
      </c>
      <c r="AR24" s="60" t="s">
        <v>78</v>
      </c>
      <c r="AS24" s="62">
        <v>720</v>
      </c>
      <c r="AT24" s="62">
        <v>160</v>
      </c>
      <c r="AU24" s="62">
        <v>880</v>
      </c>
      <c r="AV24" s="62">
        <v>1100</v>
      </c>
      <c r="AW24" s="47" t="s">
        <v>107</v>
      </c>
      <c r="AX24" s="64">
        <v>44966</v>
      </c>
      <c r="AY24" s="64" t="s">
        <v>6429</v>
      </c>
      <c r="BA24" s="64"/>
      <c r="BB24" s="64"/>
      <c r="BC24" s="64"/>
      <c r="BD24" s="46"/>
      <c r="BE24" s="46" t="e">
        <v>#REF!</v>
      </c>
      <c r="BF24" s="46" t="s">
        <v>79</v>
      </c>
      <c r="BG24" s="65">
        <v>8</v>
      </c>
      <c r="BH24" s="66" t="s">
        <v>6430</v>
      </c>
      <c r="BI24" s="63" t="s">
        <v>6431</v>
      </c>
    </row>
    <row r="25" spans="1:61" ht="25.5" x14ac:dyDescent="0.2">
      <c r="A25" s="45" t="s">
        <v>6432</v>
      </c>
      <c r="B25" s="46"/>
      <c r="C25" s="46" t="s">
        <v>6409</v>
      </c>
      <c r="D25" s="46" t="s">
        <v>6421</v>
      </c>
      <c r="E25" s="46" t="s">
        <v>6422</v>
      </c>
      <c r="F25" s="46" t="s">
        <v>68</v>
      </c>
      <c r="G25" s="46" t="s">
        <v>68</v>
      </c>
      <c r="H25" s="46" t="s">
        <v>6433</v>
      </c>
      <c r="I25" s="46" t="s">
        <v>68</v>
      </c>
      <c r="J25" s="46" t="s">
        <v>71</v>
      </c>
      <c r="K25" s="47">
        <v>550</v>
      </c>
      <c r="L25" s="47">
        <v>100</v>
      </c>
      <c r="M25" s="47">
        <v>650</v>
      </c>
      <c r="N25" s="46"/>
      <c r="O25" s="71" t="s">
        <v>68</v>
      </c>
      <c r="P25" s="64"/>
      <c r="Q25" s="46" t="s">
        <v>6361</v>
      </c>
      <c r="R25" s="46" t="s">
        <v>6406</v>
      </c>
      <c r="S25" s="49">
        <v>162.5</v>
      </c>
      <c r="T25" s="49">
        <v>812.5</v>
      </c>
      <c r="U25" s="67">
        <v>0.54</v>
      </c>
      <c r="V25" s="67">
        <v>0.57692307692307687</v>
      </c>
      <c r="W25" s="51">
        <v>0.18181818181818182</v>
      </c>
      <c r="X25" s="52">
        <v>81.25</v>
      </c>
      <c r="Y25" s="52">
        <v>30</v>
      </c>
      <c r="Z25" s="52">
        <v>262.5</v>
      </c>
      <c r="AA25" s="52">
        <v>373.75</v>
      </c>
      <c r="AB25" s="53">
        <v>0.46</v>
      </c>
      <c r="AC25" s="72">
        <v>438.75</v>
      </c>
      <c r="AD25" s="55">
        <v>0.54</v>
      </c>
      <c r="AE25" s="73">
        <v>3</v>
      </c>
      <c r="AF25" s="57" t="s">
        <v>95</v>
      </c>
      <c r="AG25" s="58">
        <v>550</v>
      </c>
      <c r="AH25" s="58">
        <v>100</v>
      </c>
      <c r="AI25" s="58">
        <v>650</v>
      </c>
      <c r="AJ25" s="49">
        <v>162.5</v>
      </c>
      <c r="AK25" s="49">
        <v>812.5</v>
      </c>
      <c r="AL25" s="52">
        <v>81.25</v>
      </c>
      <c r="AM25" s="52">
        <v>262.5</v>
      </c>
      <c r="AN25" s="52">
        <v>343.75</v>
      </c>
      <c r="AO25" s="59">
        <v>0.42307692307692307</v>
      </c>
      <c r="AP25" s="60">
        <v>468.75</v>
      </c>
      <c r="AQ25" s="61">
        <v>0.57692307692307687</v>
      </c>
      <c r="AR25" s="60" t="s">
        <v>78</v>
      </c>
      <c r="AS25" s="62">
        <v>880</v>
      </c>
      <c r="AT25" s="62">
        <v>160</v>
      </c>
      <c r="AU25" s="62">
        <v>1040</v>
      </c>
      <c r="AV25" s="62">
        <v>1300</v>
      </c>
      <c r="AW25" s="47" t="s">
        <v>107</v>
      </c>
      <c r="AX25" s="64">
        <v>44966</v>
      </c>
      <c r="AY25" s="64" t="s">
        <v>6434</v>
      </c>
      <c r="BA25" s="64"/>
      <c r="BB25" s="64"/>
      <c r="BC25" s="64"/>
      <c r="BD25" s="46"/>
      <c r="BE25" s="46" t="e">
        <v>#REF!</v>
      </c>
      <c r="BF25" s="46" t="s">
        <v>79</v>
      </c>
      <c r="BG25" s="65">
        <v>10</v>
      </c>
      <c r="BH25" s="66" t="s">
        <v>6435</v>
      </c>
      <c r="BI25" s="63" t="s">
        <v>6436</v>
      </c>
    </row>
    <row r="26" spans="1:61" ht="25.5" x14ac:dyDescent="0.2">
      <c r="A26" s="45" t="s">
        <v>6437</v>
      </c>
      <c r="B26" s="46"/>
      <c r="C26" s="46" t="s">
        <v>6409</v>
      </c>
      <c r="D26" s="46" t="s">
        <v>6421</v>
      </c>
      <c r="E26" s="46" t="s">
        <v>6422</v>
      </c>
      <c r="F26" s="46" t="s">
        <v>68</v>
      </c>
      <c r="G26" s="46" t="s">
        <v>68</v>
      </c>
      <c r="H26" s="46" t="s">
        <v>6438</v>
      </c>
      <c r="I26" s="46" t="s">
        <v>68</v>
      </c>
      <c r="J26" s="46" t="s">
        <v>71</v>
      </c>
      <c r="K26" s="47">
        <v>650</v>
      </c>
      <c r="L26" s="47">
        <v>100</v>
      </c>
      <c r="M26" s="47">
        <v>750</v>
      </c>
      <c r="N26" s="46"/>
      <c r="O26" s="71" t="s">
        <v>68</v>
      </c>
      <c r="P26" s="64"/>
      <c r="Q26" s="46" t="s">
        <v>6361</v>
      </c>
      <c r="R26" s="46" t="s">
        <v>6406</v>
      </c>
      <c r="S26" s="49">
        <v>187.5</v>
      </c>
      <c r="T26" s="49">
        <v>937.5</v>
      </c>
      <c r="U26" s="67">
        <v>0.56133333333333335</v>
      </c>
      <c r="V26" s="67">
        <v>0.59333333333333338</v>
      </c>
      <c r="W26" s="51">
        <v>0.15384615384615385</v>
      </c>
      <c r="X26" s="52">
        <v>93.75</v>
      </c>
      <c r="Y26" s="52">
        <v>30</v>
      </c>
      <c r="Z26" s="52">
        <v>287.5</v>
      </c>
      <c r="AA26" s="52">
        <v>411.25</v>
      </c>
      <c r="AB26" s="53">
        <v>0.43866666666666665</v>
      </c>
      <c r="AC26" s="72">
        <v>526.25</v>
      </c>
      <c r="AD26" s="55">
        <v>0.56133333333333335</v>
      </c>
      <c r="AE26" s="73">
        <v>3</v>
      </c>
      <c r="AF26" s="57" t="s">
        <v>95</v>
      </c>
      <c r="AG26" s="58">
        <v>650</v>
      </c>
      <c r="AH26" s="58">
        <v>100</v>
      </c>
      <c r="AI26" s="58">
        <v>750</v>
      </c>
      <c r="AJ26" s="49">
        <v>187.5</v>
      </c>
      <c r="AK26" s="49">
        <v>937.5</v>
      </c>
      <c r="AL26" s="52">
        <v>93.75</v>
      </c>
      <c r="AM26" s="52">
        <v>287.5</v>
      </c>
      <c r="AN26" s="52">
        <v>381.25</v>
      </c>
      <c r="AO26" s="59">
        <v>0.40666666666666668</v>
      </c>
      <c r="AP26" s="60">
        <v>556.25</v>
      </c>
      <c r="AQ26" s="61">
        <v>0.59333333333333338</v>
      </c>
      <c r="AR26" s="60" t="s">
        <v>78</v>
      </c>
      <c r="AS26" s="62">
        <v>1040</v>
      </c>
      <c r="AT26" s="62">
        <v>160</v>
      </c>
      <c r="AU26" s="62">
        <v>1200</v>
      </c>
      <c r="AV26" s="62">
        <v>1500</v>
      </c>
      <c r="AW26" s="47" t="s">
        <v>107</v>
      </c>
      <c r="AX26" s="64">
        <v>44966</v>
      </c>
      <c r="AY26" s="64" t="s">
        <v>6439</v>
      </c>
      <c r="BA26" s="64"/>
      <c r="BB26" s="64"/>
      <c r="BC26" s="64"/>
      <c r="BD26" s="46"/>
      <c r="BE26" s="46" t="e">
        <v>#REF!</v>
      </c>
      <c r="BF26" s="46" t="s">
        <v>79</v>
      </c>
      <c r="BG26" s="65">
        <v>10</v>
      </c>
      <c r="BH26" s="66" t="s">
        <v>6440</v>
      </c>
      <c r="BI26" s="63" t="s">
        <v>6441</v>
      </c>
    </row>
    <row r="27" spans="1:61" ht="25.5" x14ac:dyDescent="0.2">
      <c r="A27" s="45" t="s">
        <v>6442</v>
      </c>
      <c r="B27" s="46"/>
      <c r="C27" s="46" t="s">
        <v>6409</v>
      </c>
      <c r="D27" s="46" t="s">
        <v>6443</v>
      </c>
      <c r="E27" s="46" t="s">
        <v>6422</v>
      </c>
      <c r="F27" s="46" t="s">
        <v>68</v>
      </c>
      <c r="G27" s="46" t="s">
        <v>68</v>
      </c>
      <c r="H27" s="46" t="s">
        <v>68</v>
      </c>
      <c r="I27" s="46" t="s">
        <v>68</v>
      </c>
      <c r="J27" s="46" t="s">
        <v>2996</v>
      </c>
      <c r="K27" s="47">
        <v>30</v>
      </c>
      <c r="L27" s="47">
        <v>0</v>
      </c>
      <c r="M27" s="47">
        <v>30</v>
      </c>
      <c r="N27" s="46"/>
      <c r="O27" s="71" t="s">
        <v>68</v>
      </c>
      <c r="P27" s="64"/>
      <c r="Q27" s="46" t="s">
        <v>6361</v>
      </c>
      <c r="R27" s="46" t="s">
        <v>6406</v>
      </c>
      <c r="S27" s="49">
        <v>7.5</v>
      </c>
      <c r="T27" s="49">
        <v>37.5</v>
      </c>
      <c r="U27" s="67">
        <v>0.5</v>
      </c>
      <c r="V27" s="67">
        <v>0.7</v>
      </c>
      <c r="W27" s="51">
        <v>0</v>
      </c>
      <c r="X27" s="52">
        <v>3.75</v>
      </c>
      <c r="Y27" s="52">
        <v>30</v>
      </c>
      <c r="Z27" s="52">
        <v>7.5</v>
      </c>
      <c r="AA27" s="52">
        <v>41.25</v>
      </c>
      <c r="AB27" s="53">
        <v>1.1000000000000001</v>
      </c>
      <c r="AC27" s="75">
        <v>18.75</v>
      </c>
      <c r="AD27" s="55">
        <v>0.5</v>
      </c>
      <c r="AE27" s="73">
        <v>3</v>
      </c>
      <c r="AF27" s="57" t="s">
        <v>95</v>
      </c>
      <c r="AG27" s="58">
        <v>30</v>
      </c>
      <c r="AH27" s="58">
        <v>0</v>
      </c>
      <c r="AI27" s="58">
        <v>30</v>
      </c>
      <c r="AJ27" s="49">
        <v>7.5</v>
      </c>
      <c r="AK27" s="49">
        <v>37.5</v>
      </c>
      <c r="AL27" s="52">
        <v>3.75</v>
      </c>
      <c r="AM27" s="52">
        <v>7.5</v>
      </c>
      <c r="AN27" s="52">
        <v>11.25</v>
      </c>
      <c r="AO27" s="59">
        <v>0.3</v>
      </c>
      <c r="AP27" s="60">
        <v>26.25</v>
      </c>
      <c r="AQ27" s="61">
        <v>0.7</v>
      </c>
      <c r="AR27" s="60" t="s">
        <v>78</v>
      </c>
      <c r="AS27" s="62">
        <v>48</v>
      </c>
      <c r="AT27" s="62">
        <v>0</v>
      </c>
      <c r="AU27" s="62">
        <v>48</v>
      </c>
      <c r="AV27" s="62">
        <v>60</v>
      </c>
      <c r="AW27" s="47" t="s">
        <v>107</v>
      </c>
      <c r="AX27" s="64">
        <v>44966</v>
      </c>
      <c r="AY27" s="64" t="s">
        <v>6444</v>
      </c>
      <c r="BA27" s="64"/>
      <c r="BB27" s="64"/>
      <c r="BC27" s="64"/>
      <c r="BD27" s="46"/>
      <c r="BE27" s="46" t="e">
        <v>#REF!</v>
      </c>
      <c r="BF27" s="46" t="s">
        <v>79</v>
      </c>
      <c r="BG27" s="65">
        <v>3</v>
      </c>
      <c r="BH27" s="66" t="s">
        <v>6445</v>
      </c>
      <c r="BI27" s="63" t="s">
        <v>6446</v>
      </c>
    </row>
    <row r="28" spans="1:61" ht="25.5" x14ac:dyDescent="0.2">
      <c r="A28" s="34" t="s">
        <v>6447</v>
      </c>
      <c r="B28" s="35"/>
      <c r="C28" s="35" t="s">
        <v>68</v>
      </c>
      <c r="D28" s="35" t="s">
        <v>68</v>
      </c>
      <c r="E28" s="35" t="s">
        <v>68</v>
      </c>
      <c r="F28" s="35" t="s">
        <v>68</v>
      </c>
      <c r="G28" s="35" t="s">
        <v>68</v>
      </c>
      <c r="H28" s="35" t="s">
        <v>68</v>
      </c>
      <c r="I28" s="35" t="s">
        <v>68</v>
      </c>
      <c r="J28" s="35" t="s">
        <v>68</v>
      </c>
      <c r="K28" s="36" t="s">
        <v>68</v>
      </c>
      <c r="L28" s="36" t="s">
        <v>68</v>
      </c>
      <c r="M28" s="36" t="s">
        <v>68</v>
      </c>
      <c r="N28" s="35"/>
      <c r="O28" s="35" t="s">
        <v>68</v>
      </c>
      <c r="P28" s="37"/>
      <c r="Q28" s="38" t="s">
        <v>6361</v>
      </c>
      <c r="R28" s="38" t="s">
        <v>6448</v>
      </c>
      <c r="S28" s="36" t="s">
        <v>68</v>
      </c>
      <c r="T28" s="36" t="s">
        <v>68</v>
      </c>
      <c r="U28" s="39" t="s">
        <v>68</v>
      </c>
      <c r="V28" s="39" t="s">
        <v>68</v>
      </c>
      <c r="W28" s="40" t="s">
        <v>68</v>
      </c>
      <c r="X28" s="36" t="s">
        <v>68</v>
      </c>
      <c r="Y28" s="36" t="s">
        <v>68</v>
      </c>
      <c r="Z28" s="36" t="s">
        <v>68</v>
      </c>
      <c r="AA28" s="36" t="s">
        <v>68</v>
      </c>
      <c r="AB28" s="39" t="s">
        <v>68</v>
      </c>
      <c r="AC28" s="36" t="s">
        <v>68</v>
      </c>
      <c r="AD28" s="39" t="s">
        <v>68</v>
      </c>
      <c r="AE28" s="41"/>
      <c r="AF28" s="42" t="s">
        <v>68</v>
      </c>
      <c r="AG28" s="36" t="s">
        <v>68</v>
      </c>
      <c r="AH28" s="36" t="s">
        <v>68</v>
      </c>
      <c r="AI28" s="36" t="s">
        <v>68</v>
      </c>
      <c r="AJ28" s="36" t="s">
        <v>68</v>
      </c>
      <c r="AK28" s="36" t="s">
        <v>68</v>
      </c>
      <c r="AL28" s="36" t="s">
        <v>68</v>
      </c>
      <c r="AM28" s="36" t="s">
        <v>68</v>
      </c>
      <c r="AN28" s="36" t="s">
        <v>68</v>
      </c>
      <c r="AO28" s="43" t="s">
        <v>68</v>
      </c>
      <c r="AP28" s="36" t="s">
        <v>68</v>
      </c>
      <c r="AQ28" s="39" t="s">
        <v>68</v>
      </c>
      <c r="AR28" s="36" t="s">
        <v>68</v>
      </c>
      <c r="AS28" s="36" t="s">
        <v>68</v>
      </c>
      <c r="AT28" s="36" t="s">
        <v>68</v>
      </c>
      <c r="AU28" s="36" t="s">
        <v>68</v>
      </c>
      <c r="AV28" s="36" t="s">
        <v>68</v>
      </c>
      <c r="AW28" s="35"/>
      <c r="AX28" s="37"/>
      <c r="AY28" s="37" t="s">
        <v>68</v>
      </c>
      <c r="BA28" s="37"/>
      <c r="BB28" s="37"/>
      <c r="BC28" s="37"/>
      <c r="BD28" s="35"/>
      <c r="BE28" s="35" t="e">
        <v>#REF!</v>
      </c>
      <c r="BF28" s="35"/>
      <c r="BG28" s="44"/>
      <c r="BH28" s="38" t="s">
        <v>6449</v>
      </c>
      <c r="BI28" s="35" t="s">
        <v>68</v>
      </c>
    </row>
    <row r="29" spans="1:61" ht="25.5" x14ac:dyDescent="0.2">
      <c r="A29" s="45" t="s">
        <v>6450</v>
      </c>
      <c r="B29" s="46"/>
      <c r="C29" s="46" t="s">
        <v>6451</v>
      </c>
      <c r="D29" s="46" t="s">
        <v>68</v>
      </c>
      <c r="E29" s="46" t="s">
        <v>68</v>
      </c>
      <c r="F29" s="46" t="s">
        <v>68</v>
      </c>
      <c r="G29" s="46" t="s">
        <v>68</v>
      </c>
      <c r="H29" s="46" t="s">
        <v>6423</v>
      </c>
      <c r="I29" s="46" t="s">
        <v>68</v>
      </c>
      <c r="J29" s="46" t="s">
        <v>71</v>
      </c>
      <c r="K29" s="47">
        <v>200</v>
      </c>
      <c r="L29" s="47">
        <v>0</v>
      </c>
      <c r="M29" s="47">
        <v>200</v>
      </c>
      <c r="N29" s="46"/>
      <c r="O29" s="71" t="s">
        <v>68</v>
      </c>
      <c r="P29" s="64"/>
      <c r="Q29" s="46" t="s">
        <v>6361</v>
      </c>
      <c r="R29" s="46" t="s">
        <v>6448</v>
      </c>
      <c r="S29" s="49">
        <v>50</v>
      </c>
      <c r="T29" s="49">
        <v>250</v>
      </c>
      <c r="U29" s="67">
        <v>0.57999999999999996</v>
      </c>
      <c r="V29" s="67">
        <v>0.7</v>
      </c>
      <c r="W29" s="51">
        <v>0</v>
      </c>
      <c r="X29" s="52">
        <v>25</v>
      </c>
      <c r="Y29" s="52">
        <v>30</v>
      </c>
      <c r="Z29" s="52">
        <v>50</v>
      </c>
      <c r="AA29" s="52">
        <v>105</v>
      </c>
      <c r="AB29" s="53">
        <v>0.42</v>
      </c>
      <c r="AC29" s="72">
        <v>145</v>
      </c>
      <c r="AD29" s="55">
        <v>0.57999999999999996</v>
      </c>
      <c r="AE29" s="73">
        <v>3</v>
      </c>
      <c r="AF29" s="57" t="s">
        <v>95</v>
      </c>
      <c r="AG29" s="58">
        <v>200</v>
      </c>
      <c r="AH29" s="58">
        <v>0</v>
      </c>
      <c r="AI29" s="58">
        <v>200</v>
      </c>
      <c r="AJ29" s="49">
        <v>50</v>
      </c>
      <c r="AK29" s="49">
        <v>250</v>
      </c>
      <c r="AL29" s="52">
        <v>25</v>
      </c>
      <c r="AM29" s="52">
        <v>50</v>
      </c>
      <c r="AN29" s="52">
        <v>75</v>
      </c>
      <c r="AO29" s="59">
        <v>0.3</v>
      </c>
      <c r="AP29" s="60">
        <v>175</v>
      </c>
      <c r="AQ29" s="61">
        <v>0.7</v>
      </c>
      <c r="AR29" s="60" t="s">
        <v>78</v>
      </c>
      <c r="AS29" s="62">
        <v>320</v>
      </c>
      <c r="AT29" s="62">
        <v>0</v>
      </c>
      <c r="AU29" s="62">
        <v>320</v>
      </c>
      <c r="AV29" s="62">
        <v>400</v>
      </c>
      <c r="AW29" s="47" t="s">
        <v>74</v>
      </c>
      <c r="AX29" s="64">
        <v>44950</v>
      </c>
      <c r="AY29" s="64" t="s">
        <v>6452</v>
      </c>
      <c r="BA29" s="64"/>
      <c r="BB29" s="64"/>
      <c r="BC29" s="64"/>
      <c r="BD29" s="46"/>
      <c r="BE29" s="46" t="e">
        <v>#REF!</v>
      </c>
      <c r="BF29" s="46" t="s">
        <v>79</v>
      </c>
      <c r="BG29" s="65">
        <v>3</v>
      </c>
      <c r="BH29" s="66" t="s">
        <v>6453</v>
      </c>
      <c r="BI29" s="63" t="s">
        <v>6454</v>
      </c>
    </row>
    <row r="30" spans="1:61" ht="25.5" x14ac:dyDescent="0.2">
      <c r="A30" s="45" t="s">
        <v>6455</v>
      </c>
      <c r="B30" s="46"/>
      <c r="C30" s="46" t="s">
        <v>6451</v>
      </c>
      <c r="D30" s="46" t="s">
        <v>68</v>
      </c>
      <c r="E30" s="46" t="s">
        <v>68</v>
      </c>
      <c r="F30" s="46" t="s">
        <v>68</v>
      </c>
      <c r="G30" s="46" t="s">
        <v>68</v>
      </c>
      <c r="H30" s="46" t="s">
        <v>6456</v>
      </c>
      <c r="I30" s="46" t="s">
        <v>68</v>
      </c>
      <c r="J30" s="46" t="s">
        <v>2996</v>
      </c>
      <c r="K30" s="47">
        <v>4</v>
      </c>
      <c r="L30" s="47">
        <v>0</v>
      </c>
      <c r="M30" s="47">
        <v>4</v>
      </c>
      <c r="N30" s="46"/>
      <c r="O30" s="71" t="s">
        <v>68</v>
      </c>
      <c r="P30" s="64"/>
      <c r="Q30" s="46" t="s">
        <v>6361</v>
      </c>
      <c r="R30" s="46" t="s">
        <v>6448</v>
      </c>
      <c r="S30" s="49">
        <v>1</v>
      </c>
      <c r="T30" s="49">
        <v>5</v>
      </c>
      <c r="U30" s="67">
        <v>0.5</v>
      </c>
      <c r="V30" s="67">
        <v>0.7</v>
      </c>
      <c r="W30" s="51">
        <v>0</v>
      </c>
      <c r="X30" s="52">
        <v>0.5</v>
      </c>
      <c r="Y30" s="52">
        <v>30</v>
      </c>
      <c r="Z30" s="52">
        <v>1</v>
      </c>
      <c r="AA30" s="52">
        <v>31.5</v>
      </c>
      <c r="AB30" s="53">
        <v>6.3</v>
      </c>
      <c r="AC30" s="75">
        <v>2.5</v>
      </c>
      <c r="AD30" s="55">
        <v>0.5</v>
      </c>
      <c r="AE30" s="73">
        <v>3</v>
      </c>
      <c r="AF30" s="57" t="s">
        <v>95</v>
      </c>
      <c r="AG30" s="58">
        <v>4</v>
      </c>
      <c r="AH30" s="58">
        <v>0</v>
      </c>
      <c r="AI30" s="58">
        <v>4</v>
      </c>
      <c r="AJ30" s="49">
        <v>1</v>
      </c>
      <c r="AK30" s="49">
        <v>5</v>
      </c>
      <c r="AL30" s="52">
        <v>0.5</v>
      </c>
      <c r="AM30" s="52">
        <v>1</v>
      </c>
      <c r="AN30" s="52">
        <v>1.5</v>
      </c>
      <c r="AO30" s="59">
        <v>0.3</v>
      </c>
      <c r="AP30" s="60">
        <v>3.5</v>
      </c>
      <c r="AQ30" s="61">
        <v>0.7</v>
      </c>
      <c r="AR30" s="60" t="s">
        <v>78</v>
      </c>
      <c r="AS30" s="62">
        <v>7</v>
      </c>
      <c r="AT30" s="62">
        <v>0</v>
      </c>
      <c r="AU30" s="62">
        <v>7</v>
      </c>
      <c r="AV30" s="62">
        <v>8.75</v>
      </c>
      <c r="AW30" s="47" t="s">
        <v>74</v>
      </c>
      <c r="AX30" s="64">
        <v>44950</v>
      </c>
      <c r="AY30" s="64" t="s">
        <v>6457</v>
      </c>
      <c r="BA30" s="64"/>
      <c r="BB30" s="64"/>
      <c r="BC30" s="64"/>
      <c r="BD30" s="46"/>
      <c r="BE30" s="46" t="e">
        <v>#REF!</v>
      </c>
      <c r="BF30" s="46" t="s">
        <v>79</v>
      </c>
      <c r="BG30" s="65">
        <v>6</v>
      </c>
      <c r="BH30" s="66" t="s">
        <v>6458</v>
      </c>
      <c r="BI30" s="63" t="s">
        <v>6459</v>
      </c>
    </row>
    <row r="31" spans="1:61" ht="25.5" x14ac:dyDescent="0.2">
      <c r="A31" s="45" t="s">
        <v>6460</v>
      </c>
      <c r="B31" s="46"/>
      <c r="C31" s="46" t="s">
        <v>6461</v>
      </c>
      <c r="D31" s="46" t="s">
        <v>6462</v>
      </c>
      <c r="E31" s="46" t="s">
        <v>68</v>
      </c>
      <c r="F31" s="46" t="s">
        <v>68</v>
      </c>
      <c r="G31" s="46" t="s">
        <v>68</v>
      </c>
      <c r="H31" s="46" t="s">
        <v>68</v>
      </c>
      <c r="I31" s="46" t="s">
        <v>68</v>
      </c>
      <c r="J31" s="46" t="s">
        <v>71</v>
      </c>
      <c r="K31" s="47">
        <v>200</v>
      </c>
      <c r="L31" s="47">
        <v>0</v>
      </c>
      <c r="M31" s="47">
        <v>200</v>
      </c>
      <c r="N31" s="46"/>
      <c r="O31" s="71" t="s">
        <v>68</v>
      </c>
      <c r="P31" s="64"/>
      <c r="Q31" s="46" t="s">
        <v>6361</v>
      </c>
      <c r="R31" s="46" t="s">
        <v>6448</v>
      </c>
      <c r="S31" s="49">
        <v>50</v>
      </c>
      <c r="T31" s="49">
        <v>250</v>
      </c>
      <c r="U31" s="67">
        <v>0.57999999999999996</v>
      </c>
      <c r="V31" s="67">
        <v>0.7</v>
      </c>
      <c r="W31" s="51">
        <v>0</v>
      </c>
      <c r="X31" s="52">
        <v>25</v>
      </c>
      <c r="Y31" s="52">
        <v>30</v>
      </c>
      <c r="Z31" s="52">
        <v>50</v>
      </c>
      <c r="AA31" s="52">
        <v>105</v>
      </c>
      <c r="AB31" s="53">
        <v>0.42</v>
      </c>
      <c r="AC31" s="72">
        <v>145</v>
      </c>
      <c r="AD31" s="55">
        <v>0.57999999999999996</v>
      </c>
      <c r="AE31" s="73">
        <v>3</v>
      </c>
      <c r="AF31" s="57" t="s">
        <v>95</v>
      </c>
      <c r="AG31" s="58">
        <v>200</v>
      </c>
      <c r="AH31" s="58">
        <v>0</v>
      </c>
      <c r="AI31" s="58">
        <v>200</v>
      </c>
      <c r="AJ31" s="49">
        <v>50</v>
      </c>
      <c r="AK31" s="49">
        <v>250</v>
      </c>
      <c r="AL31" s="52">
        <v>25</v>
      </c>
      <c r="AM31" s="52">
        <v>50</v>
      </c>
      <c r="AN31" s="52">
        <v>75</v>
      </c>
      <c r="AO31" s="59">
        <v>0.3</v>
      </c>
      <c r="AP31" s="60">
        <v>175</v>
      </c>
      <c r="AQ31" s="61">
        <v>0.7</v>
      </c>
      <c r="AR31" s="60" t="s">
        <v>78</v>
      </c>
      <c r="AS31" s="62">
        <v>320</v>
      </c>
      <c r="AT31" s="62">
        <v>0</v>
      </c>
      <c r="AU31" s="62">
        <v>320</v>
      </c>
      <c r="AV31" s="62">
        <v>400</v>
      </c>
      <c r="AW31" s="47" t="s">
        <v>107</v>
      </c>
      <c r="AX31" s="64">
        <v>44950</v>
      </c>
      <c r="AY31" s="64" t="s">
        <v>6463</v>
      </c>
      <c r="BA31" s="64"/>
      <c r="BB31" s="64"/>
      <c r="BC31" s="64"/>
      <c r="BD31" s="46"/>
      <c r="BE31" s="46" t="e">
        <v>#REF!</v>
      </c>
      <c r="BF31" s="46" t="s">
        <v>79</v>
      </c>
      <c r="BG31" s="65">
        <v>3</v>
      </c>
      <c r="BH31" s="66" t="s">
        <v>6464</v>
      </c>
      <c r="BI31" s="63" t="s">
        <v>6465</v>
      </c>
    </row>
    <row r="32" spans="1:61" ht="25.5" x14ac:dyDescent="0.2">
      <c r="A32" s="45" t="s">
        <v>6466</v>
      </c>
      <c r="B32" s="46"/>
      <c r="C32" s="46" t="s">
        <v>6467</v>
      </c>
      <c r="D32" s="46" t="s">
        <v>6468</v>
      </c>
      <c r="E32" s="46" t="s">
        <v>6469</v>
      </c>
      <c r="F32" s="46"/>
      <c r="G32" s="46"/>
      <c r="H32" s="46"/>
      <c r="I32" s="46"/>
      <c r="J32" s="46" t="s">
        <v>71</v>
      </c>
      <c r="K32" s="47">
        <f>5*50</f>
        <v>250</v>
      </c>
      <c r="L32" s="47">
        <f>15*50</f>
        <v>750</v>
      </c>
      <c r="M32" s="47">
        <v>1000</v>
      </c>
      <c r="N32" s="46"/>
      <c r="O32" s="71"/>
      <c r="P32" s="64"/>
      <c r="Q32" s="46" t="s">
        <v>6361</v>
      </c>
      <c r="R32" s="46" t="s">
        <v>6448</v>
      </c>
      <c r="S32" s="49">
        <v>250</v>
      </c>
      <c r="T32" s="49">
        <v>1250</v>
      </c>
      <c r="U32" s="50">
        <v>7.5999999999999998E-2</v>
      </c>
      <c r="V32" s="50">
        <v>0.1</v>
      </c>
      <c r="W32" s="77">
        <v>3</v>
      </c>
      <c r="X32" s="52">
        <v>125</v>
      </c>
      <c r="Y32" s="52">
        <v>30</v>
      </c>
      <c r="Z32" s="52">
        <v>1000</v>
      </c>
      <c r="AA32" s="52">
        <v>1155</v>
      </c>
      <c r="AB32" s="53">
        <v>0.92400000000000004</v>
      </c>
      <c r="AC32" s="54">
        <v>95</v>
      </c>
      <c r="AD32" s="55">
        <v>7.5999999999999998E-2</v>
      </c>
      <c r="AE32" s="73">
        <v>3</v>
      </c>
      <c r="AF32" s="57" t="s">
        <v>95</v>
      </c>
      <c r="AG32" s="58">
        <v>250</v>
      </c>
      <c r="AH32" s="58">
        <v>750</v>
      </c>
      <c r="AI32" s="58">
        <v>1000</v>
      </c>
      <c r="AJ32" s="49">
        <v>250</v>
      </c>
      <c r="AK32" s="49">
        <v>1250</v>
      </c>
      <c r="AL32" s="52">
        <v>125</v>
      </c>
      <c r="AM32" s="52">
        <v>1000</v>
      </c>
      <c r="AN32" s="52">
        <v>1125</v>
      </c>
      <c r="AO32" s="59">
        <v>0.9</v>
      </c>
      <c r="AP32" s="60">
        <v>125</v>
      </c>
      <c r="AQ32" s="61">
        <v>0.1</v>
      </c>
      <c r="AR32" s="60" t="s">
        <v>73</v>
      </c>
      <c r="AS32" s="62">
        <v>400</v>
      </c>
      <c r="AT32" s="62">
        <v>1200</v>
      </c>
      <c r="AU32" s="62">
        <v>1600</v>
      </c>
      <c r="AV32" s="62">
        <v>2000</v>
      </c>
      <c r="AW32" s="63"/>
      <c r="AX32" s="64">
        <v>45502</v>
      </c>
      <c r="AY32" s="64" t="s">
        <v>6470</v>
      </c>
      <c r="BA32" s="64"/>
      <c r="BB32" s="64"/>
      <c r="BC32" s="64"/>
      <c r="BD32" s="46"/>
      <c r="BE32" s="46" t="e">
        <v>#REF!</v>
      </c>
      <c r="BF32" s="46" t="s">
        <v>79</v>
      </c>
      <c r="BG32" s="65">
        <v>4</v>
      </c>
      <c r="BH32" s="66"/>
      <c r="BI32" s="63" t="s">
        <v>6471</v>
      </c>
    </row>
    <row r="33" spans="1:61" ht="25.5" x14ac:dyDescent="0.2">
      <c r="A33" s="45" t="s">
        <v>6472</v>
      </c>
      <c r="B33" s="46"/>
      <c r="C33" s="46" t="s">
        <v>6467</v>
      </c>
      <c r="D33" s="46" t="s">
        <v>6468</v>
      </c>
      <c r="E33" s="46" t="s">
        <v>5061</v>
      </c>
      <c r="F33" s="46"/>
      <c r="G33" s="46"/>
      <c r="H33" s="46"/>
      <c r="I33" s="46"/>
      <c r="J33" s="46" t="s">
        <v>71</v>
      </c>
      <c r="K33" s="47">
        <f t="shared" ref="K33:L33" si="0">K32*3</f>
        <v>750</v>
      </c>
      <c r="L33" s="47">
        <f t="shared" si="0"/>
        <v>2250</v>
      </c>
      <c r="M33" s="47">
        <v>3000</v>
      </c>
      <c r="N33" s="46"/>
      <c r="O33" s="71"/>
      <c r="P33" s="64"/>
      <c r="Q33" s="46" t="s">
        <v>6361</v>
      </c>
      <c r="R33" s="46" t="s">
        <v>6448</v>
      </c>
      <c r="S33" s="49">
        <v>750</v>
      </c>
      <c r="T33" s="49">
        <v>3750</v>
      </c>
      <c r="U33" s="50">
        <v>9.1999999999999998E-2</v>
      </c>
      <c r="V33" s="50">
        <v>0.1</v>
      </c>
      <c r="W33" s="77">
        <v>3</v>
      </c>
      <c r="X33" s="52">
        <v>375</v>
      </c>
      <c r="Y33" s="52">
        <v>30</v>
      </c>
      <c r="Z33" s="52">
        <v>3000</v>
      </c>
      <c r="AA33" s="52">
        <v>3405</v>
      </c>
      <c r="AB33" s="53">
        <v>0.90800000000000003</v>
      </c>
      <c r="AC33" s="72">
        <v>345</v>
      </c>
      <c r="AD33" s="55">
        <v>9.1999999999999998E-2</v>
      </c>
      <c r="AE33" s="73">
        <v>3</v>
      </c>
      <c r="AF33" s="57" t="s">
        <v>95</v>
      </c>
      <c r="AG33" s="58">
        <v>750</v>
      </c>
      <c r="AH33" s="58">
        <v>2250</v>
      </c>
      <c r="AI33" s="58">
        <v>3000</v>
      </c>
      <c r="AJ33" s="49">
        <v>750</v>
      </c>
      <c r="AK33" s="49">
        <v>3750</v>
      </c>
      <c r="AL33" s="52">
        <v>375</v>
      </c>
      <c r="AM33" s="52">
        <v>3000</v>
      </c>
      <c r="AN33" s="52">
        <v>3375</v>
      </c>
      <c r="AO33" s="59">
        <v>0.9</v>
      </c>
      <c r="AP33" s="60">
        <v>375</v>
      </c>
      <c r="AQ33" s="61">
        <v>0.1</v>
      </c>
      <c r="AR33" s="60" t="s">
        <v>73</v>
      </c>
      <c r="AS33" s="62">
        <v>1200</v>
      </c>
      <c r="AT33" s="62">
        <v>3600</v>
      </c>
      <c r="AU33" s="62">
        <v>4800</v>
      </c>
      <c r="AV33" s="62">
        <v>6000</v>
      </c>
      <c r="AW33" s="63"/>
      <c r="AX33" s="64">
        <v>45502</v>
      </c>
      <c r="AY33" s="64" t="s">
        <v>6473</v>
      </c>
      <c r="BA33" s="64"/>
      <c r="BB33" s="64"/>
      <c r="BC33" s="64"/>
      <c r="BD33" s="46"/>
      <c r="BE33" s="46" t="e">
        <v>#REF!</v>
      </c>
      <c r="BF33" s="46" t="s">
        <v>79</v>
      </c>
      <c r="BG33" s="65">
        <v>12</v>
      </c>
      <c r="BH33" s="66"/>
      <c r="BI33" s="63" t="s">
        <v>6474</v>
      </c>
    </row>
    <row r="34" spans="1:61" ht="25.5" x14ac:dyDescent="0.2">
      <c r="A34" s="45" t="s">
        <v>6475</v>
      </c>
      <c r="B34" s="46"/>
      <c r="C34" s="46" t="s">
        <v>6476</v>
      </c>
      <c r="D34" s="46" t="s">
        <v>6468</v>
      </c>
      <c r="E34" s="46" t="s">
        <v>6469</v>
      </c>
      <c r="F34" s="46"/>
      <c r="G34" s="46"/>
      <c r="H34" s="46"/>
      <c r="I34" s="46"/>
      <c r="J34" s="46" t="s">
        <v>71</v>
      </c>
      <c r="K34" s="47">
        <v>250</v>
      </c>
      <c r="L34" s="47">
        <f>2.5*130</f>
        <v>325</v>
      </c>
      <c r="M34" s="47">
        <v>575</v>
      </c>
      <c r="N34" s="46"/>
      <c r="O34" s="71"/>
      <c r="P34" s="64"/>
      <c r="Q34" s="46" t="s">
        <v>6361</v>
      </c>
      <c r="R34" s="46" t="s">
        <v>6448</v>
      </c>
      <c r="S34" s="49">
        <v>143.75</v>
      </c>
      <c r="T34" s="49">
        <v>718.75</v>
      </c>
      <c r="U34" s="28">
        <v>0.20608695652173914</v>
      </c>
      <c r="V34" s="28">
        <v>0.24782608695652175</v>
      </c>
      <c r="W34" s="74">
        <v>1.3</v>
      </c>
      <c r="X34" s="52">
        <v>71.875</v>
      </c>
      <c r="Y34" s="52">
        <v>30</v>
      </c>
      <c r="Z34" s="52">
        <v>468.75</v>
      </c>
      <c r="AA34" s="52">
        <v>570.625</v>
      </c>
      <c r="AB34" s="53">
        <v>0.79391304347826086</v>
      </c>
      <c r="AC34" s="72">
        <v>148.125</v>
      </c>
      <c r="AD34" s="55">
        <v>0.20608695652173914</v>
      </c>
      <c r="AE34" s="73">
        <v>3</v>
      </c>
      <c r="AF34" s="57" t="s">
        <v>95</v>
      </c>
      <c r="AG34" s="58">
        <v>250</v>
      </c>
      <c r="AH34" s="58">
        <v>325</v>
      </c>
      <c r="AI34" s="58">
        <v>575</v>
      </c>
      <c r="AJ34" s="49">
        <v>143.75</v>
      </c>
      <c r="AK34" s="49">
        <v>718.75</v>
      </c>
      <c r="AL34" s="52">
        <v>71.875</v>
      </c>
      <c r="AM34" s="52">
        <v>468.75</v>
      </c>
      <c r="AN34" s="52">
        <v>540.625</v>
      </c>
      <c r="AO34" s="59">
        <v>0.75217391304347825</v>
      </c>
      <c r="AP34" s="60">
        <v>178.125</v>
      </c>
      <c r="AQ34" s="61">
        <v>0.24782608695652175</v>
      </c>
      <c r="AR34" s="60" t="s">
        <v>78</v>
      </c>
      <c r="AS34" s="62">
        <v>400</v>
      </c>
      <c r="AT34" s="62">
        <v>520</v>
      </c>
      <c r="AU34" s="62">
        <v>920</v>
      </c>
      <c r="AV34" s="62">
        <v>1150</v>
      </c>
      <c r="AW34" s="63"/>
      <c r="AX34" s="64">
        <v>45502</v>
      </c>
      <c r="AY34" s="64" t="s">
        <v>6477</v>
      </c>
      <c r="BA34" s="64"/>
      <c r="BB34" s="64"/>
      <c r="BC34" s="64"/>
      <c r="BD34" s="46"/>
      <c r="BE34" s="46" t="e">
        <v>#REF!</v>
      </c>
      <c r="BF34" s="46" t="s">
        <v>79</v>
      </c>
      <c r="BG34" s="65">
        <v>4</v>
      </c>
      <c r="BH34" s="66"/>
      <c r="BI34" s="63" t="s">
        <v>6478</v>
      </c>
    </row>
    <row r="35" spans="1:61" ht="25.5" x14ac:dyDescent="0.2">
      <c r="A35" s="45" t="s">
        <v>6479</v>
      </c>
      <c r="B35" s="46"/>
      <c r="C35" s="46" t="s">
        <v>6476</v>
      </c>
      <c r="D35" s="46" t="s">
        <v>6468</v>
      </c>
      <c r="E35" s="46" t="s">
        <v>5061</v>
      </c>
      <c r="F35" s="46"/>
      <c r="G35" s="46"/>
      <c r="H35" s="46"/>
      <c r="I35" s="46"/>
      <c r="J35" s="46" t="s">
        <v>71</v>
      </c>
      <c r="K35" s="47">
        <f t="shared" ref="K35:L35" si="1">K34*3</f>
        <v>750</v>
      </c>
      <c r="L35" s="47">
        <f t="shared" si="1"/>
        <v>975</v>
      </c>
      <c r="M35" s="47">
        <v>1725</v>
      </c>
      <c r="N35" s="46"/>
      <c r="O35" s="71"/>
      <c r="P35" s="64"/>
      <c r="Q35" s="46" t="s">
        <v>6361</v>
      </c>
      <c r="R35" s="46" t="s">
        <v>6448</v>
      </c>
      <c r="S35" s="49">
        <v>431.25</v>
      </c>
      <c r="T35" s="49">
        <v>2156.25</v>
      </c>
      <c r="U35" s="28">
        <v>0.23391304347826086</v>
      </c>
      <c r="V35" s="28">
        <v>0.24782608695652175</v>
      </c>
      <c r="W35" s="74">
        <v>1.3</v>
      </c>
      <c r="X35" s="52">
        <v>215.625</v>
      </c>
      <c r="Y35" s="52">
        <v>30</v>
      </c>
      <c r="Z35" s="52">
        <v>1406.25</v>
      </c>
      <c r="AA35" s="52">
        <v>1651.875</v>
      </c>
      <c r="AB35" s="53">
        <v>0.76608695652173908</v>
      </c>
      <c r="AC35" s="72">
        <v>504.375</v>
      </c>
      <c r="AD35" s="55">
        <v>0.23391304347826086</v>
      </c>
      <c r="AE35" s="73">
        <v>3</v>
      </c>
      <c r="AF35" s="57" t="s">
        <v>95</v>
      </c>
      <c r="AG35" s="58">
        <v>750</v>
      </c>
      <c r="AH35" s="58">
        <v>975</v>
      </c>
      <c r="AI35" s="58">
        <v>1725</v>
      </c>
      <c r="AJ35" s="49">
        <v>431.25</v>
      </c>
      <c r="AK35" s="49">
        <v>2156.25</v>
      </c>
      <c r="AL35" s="52">
        <v>215.625</v>
      </c>
      <c r="AM35" s="52">
        <v>1406.25</v>
      </c>
      <c r="AN35" s="52">
        <v>1621.875</v>
      </c>
      <c r="AO35" s="59">
        <v>0.75217391304347825</v>
      </c>
      <c r="AP35" s="60">
        <v>534.375</v>
      </c>
      <c r="AQ35" s="61">
        <v>0.24782608695652175</v>
      </c>
      <c r="AR35" s="60" t="s">
        <v>78</v>
      </c>
      <c r="AS35" s="62">
        <v>1200</v>
      </c>
      <c r="AT35" s="62">
        <v>1560</v>
      </c>
      <c r="AU35" s="62">
        <v>2760</v>
      </c>
      <c r="AV35" s="62">
        <v>3450</v>
      </c>
      <c r="AW35" s="63"/>
      <c r="AX35" s="64">
        <v>45502</v>
      </c>
      <c r="AY35" s="64" t="s">
        <v>6480</v>
      </c>
      <c r="BA35" s="64"/>
      <c r="BB35" s="64"/>
      <c r="BC35" s="64"/>
      <c r="BD35" s="46"/>
      <c r="BE35" s="46" t="e">
        <v>#REF!</v>
      </c>
      <c r="BF35" s="46" t="s">
        <v>79</v>
      </c>
      <c r="BG35" s="65">
        <v>12</v>
      </c>
      <c r="BH35" s="66"/>
      <c r="BI35" s="63" t="s">
        <v>6481</v>
      </c>
    </row>
    <row r="36" spans="1:61" ht="25.5" x14ac:dyDescent="0.2">
      <c r="A36" s="34" t="s">
        <v>6482</v>
      </c>
      <c r="B36" s="35"/>
      <c r="C36" s="35" t="s">
        <v>68</v>
      </c>
      <c r="D36" s="35" t="s">
        <v>68</v>
      </c>
      <c r="E36" s="35" t="s">
        <v>68</v>
      </c>
      <c r="F36" s="35" t="s">
        <v>68</v>
      </c>
      <c r="G36" s="35" t="s">
        <v>68</v>
      </c>
      <c r="H36" s="35" t="s">
        <v>68</v>
      </c>
      <c r="I36" s="35" t="s">
        <v>68</v>
      </c>
      <c r="J36" s="35" t="s">
        <v>68</v>
      </c>
      <c r="K36" s="36" t="s">
        <v>68</v>
      </c>
      <c r="L36" s="36" t="s">
        <v>68</v>
      </c>
      <c r="M36" s="36" t="s">
        <v>68</v>
      </c>
      <c r="N36" s="35"/>
      <c r="O36" s="35" t="s">
        <v>68</v>
      </c>
      <c r="P36" s="37"/>
      <c r="Q36" s="38" t="s">
        <v>6361</v>
      </c>
      <c r="R36" s="38" t="s">
        <v>6483</v>
      </c>
      <c r="S36" s="36" t="s">
        <v>68</v>
      </c>
      <c r="T36" s="36" t="s">
        <v>68</v>
      </c>
      <c r="U36" s="39" t="s">
        <v>68</v>
      </c>
      <c r="V36" s="39" t="s">
        <v>68</v>
      </c>
      <c r="W36" s="40" t="s">
        <v>68</v>
      </c>
      <c r="X36" s="36" t="s">
        <v>68</v>
      </c>
      <c r="Y36" s="36" t="s">
        <v>68</v>
      </c>
      <c r="Z36" s="36" t="s">
        <v>68</v>
      </c>
      <c r="AA36" s="36" t="s">
        <v>68</v>
      </c>
      <c r="AB36" s="39" t="s">
        <v>68</v>
      </c>
      <c r="AC36" s="36" t="s">
        <v>68</v>
      </c>
      <c r="AD36" s="39" t="s">
        <v>68</v>
      </c>
      <c r="AE36" s="41"/>
      <c r="AF36" s="42" t="s">
        <v>68</v>
      </c>
      <c r="AG36" s="36" t="s">
        <v>68</v>
      </c>
      <c r="AH36" s="36" t="s">
        <v>68</v>
      </c>
      <c r="AI36" s="36" t="s">
        <v>68</v>
      </c>
      <c r="AJ36" s="36" t="s">
        <v>68</v>
      </c>
      <c r="AK36" s="36" t="s">
        <v>68</v>
      </c>
      <c r="AL36" s="36" t="s">
        <v>68</v>
      </c>
      <c r="AM36" s="36" t="s">
        <v>68</v>
      </c>
      <c r="AN36" s="36" t="s">
        <v>68</v>
      </c>
      <c r="AO36" s="43" t="s">
        <v>68</v>
      </c>
      <c r="AP36" s="36" t="s">
        <v>68</v>
      </c>
      <c r="AQ36" s="39" t="s">
        <v>68</v>
      </c>
      <c r="AR36" s="36" t="s">
        <v>68</v>
      </c>
      <c r="AS36" s="36" t="s">
        <v>68</v>
      </c>
      <c r="AT36" s="36" t="s">
        <v>68</v>
      </c>
      <c r="AU36" s="36" t="s">
        <v>68</v>
      </c>
      <c r="AV36" s="36" t="s">
        <v>68</v>
      </c>
      <c r="AW36" s="35"/>
      <c r="AX36" s="37"/>
      <c r="AY36" s="37" t="s">
        <v>68</v>
      </c>
      <c r="BA36" s="37"/>
      <c r="BB36" s="37"/>
      <c r="BC36" s="37"/>
      <c r="BD36" s="35"/>
      <c r="BE36" s="35" t="e">
        <v>#REF!</v>
      </c>
      <c r="BF36" s="35"/>
      <c r="BG36" s="44"/>
      <c r="BH36" s="38" t="s">
        <v>6484</v>
      </c>
      <c r="BI36" s="35" t="s">
        <v>68</v>
      </c>
    </row>
    <row r="37" spans="1:61" ht="25.5" x14ac:dyDescent="0.2">
      <c r="A37" s="45" t="s">
        <v>6485</v>
      </c>
      <c r="B37" s="46"/>
      <c r="C37" s="46" t="s">
        <v>6486</v>
      </c>
      <c r="D37" s="46" t="s">
        <v>68</v>
      </c>
      <c r="E37" s="46" t="s">
        <v>68</v>
      </c>
      <c r="F37" s="46" t="s">
        <v>68</v>
      </c>
      <c r="G37" s="46" t="s">
        <v>68</v>
      </c>
      <c r="H37" s="46" t="s">
        <v>6423</v>
      </c>
      <c r="I37" s="46" t="s">
        <v>68</v>
      </c>
      <c r="J37" s="46" t="s">
        <v>71</v>
      </c>
      <c r="K37" s="47">
        <v>300</v>
      </c>
      <c r="L37" s="47">
        <v>0</v>
      </c>
      <c r="M37" s="47">
        <v>300</v>
      </c>
      <c r="N37" s="46"/>
      <c r="O37" s="71" t="s">
        <v>68</v>
      </c>
      <c r="P37" s="64"/>
      <c r="Q37" s="46" t="s">
        <v>6361</v>
      </c>
      <c r="R37" s="46" t="s">
        <v>6483</v>
      </c>
      <c r="S37" s="49">
        <v>75</v>
      </c>
      <c r="T37" s="49">
        <v>375</v>
      </c>
      <c r="U37" s="67">
        <v>0.62</v>
      </c>
      <c r="V37" s="67">
        <v>0.7</v>
      </c>
      <c r="W37" s="51">
        <v>0</v>
      </c>
      <c r="X37" s="52">
        <v>37.5</v>
      </c>
      <c r="Y37" s="52">
        <v>30</v>
      </c>
      <c r="Z37" s="52">
        <v>75</v>
      </c>
      <c r="AA37" s="52">
        <v>142.5</v>
      </c>
      <c r="AB37" s="53">
        <v>0.38</v>
      </c>
      <c r="AC37" s="72">
        <v>232.5</v>
      </c>
      <c r="AD37" s="55">
        <v>0.62</v>
      </c>
      <c r="AE37" s="73">
        <v>3</v>
      </c>
      <c r="AF37" s="57" t="s">
        <v>95</v>
      </c>
      <c r="AG37" s="58">
        <v>300</v>
      </c>
      <c r="AH37" s="58">
        <v>0</v>
      </c>
      <c r="AI37" s="58">
        <v>300</v>
      </c>
      <c r="AJ37" s="49">
        <v>75</v>
      </c>
      <c r="AK37" s="49">
        <v>375</v>
      </c>
      <c r="AL37" s="52">
        <v>37.5</v>
      </c>
      <c r="AM37" s="52">
        <v>75</v>
      </c>
      <c r="AN37" s="52">
        <v>112.5</v>
      </c>
      <c r="AO37" s="59">
        <v>0.3</v>
      </c>
      <c r="AP37" s="60">
        <v>262.5</v>
      </c>
      <c r="AQ37" s="61">
        <v>0.7</v>
      </c>
      <c r="AR37" s="60" t="s">
        <v>78</v>
      </c>
      <c r="AS37" s="62">
        <v>480</v>
      </c>
      <c r="AT37" s="62">
        <v>0</v>
      </c>
      <c r="AU37" s="62">
        <v>480</v>
      </c>
      <c r="AV37" s="62">
        <v>600</v>
      </c>
      <c r="AW37" s="47" t="s">
        <v>74</v>
      </c>
      <c r="AX37" s="64">
        <v>44950</v>
      </c>
      <c r="AY37" s="64" t="s">
        <v>6487</v>
      </c>
      <c r="BA37" s="64"/>
      <c r="BB37" s="64"/>
      <c r="BC37" s="64"/>
      <c r="BD37" s="46"/>
      <c r="BE37" s="46" t="e">
        <v>#REF!</v>
      </c>
      <c r="BF37" s="46" t="s">
        <v>79</v>
      </c>
      <c r="BG37" s="65">
        <v>3</v>
      </c>
      <c r="BH37" s="66" t="s">
        <v>6488</v>
      </c>
      <c r="BI37" s="63" t="s">
        <v>6489</v>
      </c>
    </row>
    <row r="38" spans="1:61" ht="25.5" x14ac:dyDescent="0.2">
      <c r="A38" s="45" t="s">
        <v>6490</v>
      </c>
      <c r="B38" s="46"/>
      <c r="C38" s="46" t="s">
        <v>6486</v>
      </c>
      <c r="D38" s="46" t="s">
        <v>68</v>
      </c>
      <c r="E38" s="46" t="s">
        <v>68</v>
      </c>
      <c r="F38" s="46" t="s">
        <v>68</v>
      </c>
      <c r="G38" s="46" t="s">
        <v>68</v>
      </c>
      <c r="H38" s="46" t="s">
        <v>6456</v>
      </c>
      <c r="I38" s="46" t="s">
        <v>68</v>
      </c>
      <c r="J38" s="46" t="s">
        <v>2996</v>
      </c>
      <c r="K38" s="47">
        <v>6</v>
      </c>
      <c r="L38" s="47">
        <v>0</v>
      </c>
      <c r="M38" s="47">
        <v>6</v>
      </c>
      <c r="N38" s="46"/>
      <c r="O38" s="71" t="s">
        <v>68</v>
      </c>
      <c r="P38" s="64"/>
      <c r="Q38" s="46" t="s">
        <v>6361</v>
      </c>
      <c r="R38" s="46" t="s">
        <v>6483</v>
      </c>
      <c r="S38" s="49">
        <v>1.5</v>
      </c>
      <c r="T38" s="49">
        <v>7.5</v>
      </c>
      <c r="U38" s="67">
        <v>0.5</v>
      </c>
      <c r="V38" s="67">
        <v>0.7</v>
      </c>
      <c r="W38" s="51">
        <v>0</v>
      </c>
      <c r="X38" s="52">
        <v>0.75</v>
      </c>
      <c r="Y38" s="52">
        <v>30</v>
      </c>
      <c r="Z38" s="52">
        <v>1.5</v>
      </c>
      <c r="AA38" s="52">
        <v>32.25</v>
      </c>
      <c r="AB38" s="53">
        <v>4.3</v>
      </c>
      <c r="AC38" s="75">
        <v>3.75</v>
      </c>
      <c r="AD38" s="55">
        <v>0.5</v>
      </c>
      <c r="AE38" s="73">
        <v>3</v>
      </c>
      <c r="AF38" s="57" t="s">
        <v>95</v>
      </c>
      <c r="AG38" s="58">
        <v>6</v>
      </c>
      <c r="AH38" s="58">
        <v>0</v>
      </c>
      <c r="AI38" s="58">
        <v>6</v>
      </c>
      <c r="AJ38" s="49">
        <v>1.5</v>
      </c>
      <c r="AK38" s="49">
        <v>7.5</v>
      </c>
      <c r="AL38" s="52">
        <v>0.75</v>
      </c>
      <c r="AM38" s="52">
        <v>1.5</v>
      </c>
      <c r="AN38" s="52">
        <v>2.25</v>
      </c>
      <c r="AO38" s="59">
        <v>0.3</v>
      </c>
      <c r="AP38" s="60">
        <v>5.25</v>
      </c>
      <c r="AQ38" s="61">
        <v>0.7</v>
      </c>
      <c r="AR38" s="60" t="s">
        <v>78</v>
      </c>
      <c r="AS38" s="62">
        <v>10</v>
      </c>
      <c r="AT38" s="62">
        <v>0</v>
      </c>
      <c r="AU38" s="62">
        <v>10</v>
      </c>
      <c r="AV38" s="62">
        <v>12.5</v>
      </c>
      <c r="AW38" s="47" t="s">
        <v>74</v>
      </c>
      <c r="AX38" s="64">
        <v>44950</v>
      </c>
      <c r="AY38" s="64" t="s">
        <v>6491</v>
      </c>
      <c r="BA38" s="64"/>
      <c r="BB38" s="64"/>
      <c r="BC38" s="64"/>
      <c r="BD38" s="46"/>
      <c r="BE38" s="46" t="e">
        <v>#REF!</v>
      </c>
      <c r="BF38" s="46" t="s">
        <v>79</v>
      </c>
      <c r="BG38" s="65">
        <v>6</v>
      </c>
      <c r="BH38" s="66" t="s">
        <v>6492</v>
      </c>
      <c r="BI38" s="63" t="s">
        <v>6493</v>
      </c>
    </row>
    <row r="39" spans="1:61" ht="25.5" x14ac:dyDescent="0.2">
      <c r="A39" s="45" t="s">
        <v>6494</v>
      </c>
      <c r="B39" s="46"/>
      <c r="C39" s="46" t="s">
        <v>6486</v>
      </c>
      <c r="D39" s="46" t="s">
        <v>6495</v>
      </c>
      <c r="E39" s="46" t="s">
        <v>68</v>
      </c>
      <c r="F39" s="46" t="s">
        <v>68</v>
      </c>
      <c r="G39" s="46" t="s">
        <v>68</v>
      </c>
      <c r="H39" s="46" t="s">
        <v>6423</v>
      </c>
      <c r="I39" s="46" t="s">
        <v>68</v>
      </c>
      <c r="J39" s="46" t="s">
        <v>71</v>
      </c>
      <c r="K39" s="47">
        <v>330</v>
      </c>
      <c r="L39" s="47">
        <v>50</v>
      </c>
      <c r="M39" s="47">
        <v>380</v>
      </c>
      <c r="N39" s="46"/>
      <c r="O39" s="71" t="s">
        <v>68</v>
      </c>
      <c r="P39" s="64"/>
      <c r="Q39" s="46" t="s">
        <v>6361</v>
      </c>
      <c r="R39" s="46" t="s">
        <v>6483</v>
      </c>
      <c r="S39" s="49">
        <v>95</v>
      </c>
      <c r="T39" s="49">
        <v>475</v>
      </c>
      <c r="U39" s="67">
        <v>0.53157894736842104</v>
      </c>
      <c r="V39" s="67">
        <v>0.59473684210526312</v>
      </c>
      <c r="W39" s="51">
        <v>0.15151515151515152</v>
      </c>
      <c r="X39" s="52">
        <v>47.5</v>
      </c>
      <c r="Y39" s="52">
        <v>30</v>
      </c>
      <c r="Z39" s="52">
        <v>145</v>
      </c>
      <c r="AA39" s="52">
        <v>222.5</v>
      </c>
      <c r="AB39" s="53">
        <v>0.46842105263157896</v>
      </c>
      <c r="AC39" s="72">
        <v>252.5</v>
      </c>
      <c r="AD39" s="55">
        <v>0.53157894736842104</v>
      </c>
      <c r="AE39" s="73">
        <v>3</v>
      </c>
      <c r="AF39" s="57" t="s">
        <v>95</v>
      </c>
      <c r="AG39" s="58">
        <v>330</v>
      </c>
      <c r="AH39" s="58">
        <v>50</v>
      </c>
      <c r="AI39" s="58">
        <v>380</v>
      </c>
      <c r="AJ39" s="49">
        <v>95</v>
      </c>
      <c r="AK39" s="49">
        <v>475</v>
      </c>
      <c r="AL39" s="52">
        <v>47.5</v>
      </c>
      <c r="AM39" s="52">
        <v>145</v>
      </c>
      <c r="AN39" s="52">
        <v>192.5</v>
      </c>
      <c r="AO39" s="59">
        <v>0.40526315789473683</v>
      </c>
      <c r="AP39" s="60">
        <v>282.5</v>
      </c>
      <c r="AQ39" s="61">
        <v>0.59473684210526312</v>
      </c>
      <c r="AR39" s="60" t="s">
        <v>78</v>
      </c>
      <c r="AS39" s="62">
        <v>528</v>
      </c>
      <c r="AT39" s="62">
        <v>80</v>
      </c>
      <c r="AU39" s="62">
        <v>608</v>
      </c>
      <c r="AV39" s="62">
        <v>760</v>
      </c>
      <c r="AW39" s="47" t="s">
        <v>74</v>
      </c>
      <c r="AX39" s="64">
        <v>44950</v>
      </c>
      <c r="AY39" s="64" t="s">
        <v>6496</v>
      </c>
      <c r="BA39" s="64"/>
      <c r="BB39" s="64"/>
      <c r="BC39" s="64"/>
      <c r="BD39" s="46"/>
      <c r="BE39" s="46" t="e">
        <v>#REF!</v>
      </c>
      <c r="BF39" s="46" t="s">
        <v>79</v>
      </c>
      <c r="BG39" s="65">
        <v>3</v>
      </c>
      <c r="BH39" s="66" t="s">
        <v>6497</v>
      </c>
      <c r="BI39" s="63" t="s">
        <v>6498</v>
      </c>
    </row>
    <row r="40" spans="1:61" ht="25.5" x14ac:dyDescent="0.2">
      <c r="A40" s="45" t="s">
        <v>6499</v>
      </c>
      <c r="B40" s="46"/>
      <c r="C40" s="46" t="s">
        <v>6486</v>
      </c>
      <c r="D40" s="46" t="s">
        <v>6495</v>
      </c>
      <c r="E40" s="46" t="s">
        <v>68</v>
      </c>
      <c r="F40" s="46" t="s">
        <v>68</v>
      </c>
      <c r="G40" s="46" t="s">
        <v>68</v>
      </c>
      <c r="H40" s="46" t="s">
        <v>6456</v>
      </c>
      <c r="I40" s="46" t="s">
        <v>68</v>
      </c>
      <c r="J40" s="46" t="s">
        <v>2996</v>
      </c>
      <c r="K40" s="47">
        <v>8</v>
      </c>
      <c r="L40" s="47">
        <v>2</v>
      </c>
      <c r="M40" s="47">
        <v>10</v>
      </c>
      <c r="N40" s="46"/>
      <c r="O40" s="71" t="s">
        <v>68</v>
      </c>
      <c r="P40" s="64"/>
      <c r="Q40" s="46" t="s">
        <v>6361</v>
      </c>
      <c r="R40" s="46" t="s">
        <v>6483</v>
      </c>
      <c r="S40" s="49">
        <v>2.5</v>
      </c>
      <c r="T40" s="49">
        <v>12.5</v>
      </c>
      <c r="U40" s="67">
        <v>0.4</v>
      </c>
      <c r="V40" s="67">
        <v>0.54</v>
      </c>
      <c r="W40" s="51">
        <v>0.25</v>
      </c>
      <c r="X40" s="52">
        <v>1.25</v>
      </c>
      <c r="Y40" s="52">
        <v>30</v>
      </c>
      <c r="Z40" s="52">
        <v>4.5</v>
      </c>
      <c r="AA40" s="52">
        <v>35.75</v>
      </c>
      <c r="AB40" s="53">
        <v>2.86</v>
      </c>
      <c r="AC40" s="75">
        <v>5</v>
      </c>
      <c r="AD40" s="55">
        <v>0.4</v>
      </c>
      <c r="AE40" s="73">
        <v>3</v>
      </c>
      <c r="AF40" s="57" t="s">
        <v>95</v>
      </c>
      <c r="AG40" s="58">
        <v>8</v>
      </c>
      <c r="AH40" s="58">
        <v>2</v>
      </c>
      <c r="AI40" s="58">
        <v>10</v>
      </c>
      <c r="AJ40" s="49">
        <v>2.5</v>
      </c>
      <c r="AK40" s="49">
        <v>12.5</v>
      </c>
      <c r="AL40" s="52">
        <v>1.25</v>
      </c>
      <c r="AM40" s="52">
        <v>4.5</v>
      </c>
      <c r="AN40" s="52">
        <v>5.75</v>
      </c>
      <c r="AO40" s="59">
        <v>0.46</v>
      </c>
      <c r="AP40" s="60">
        <v>6.75</v>
      </c>
      <c r="AQ40" s="61">
        <v>0.54</v>
      </c>
      <c r="AR40" s="60" t="s">
        <v>78</v>
      </c>
      <c r="AS40" s="62">
        <v>13</v>
      </c>
      <c r="AT40" s="62">
        <v>4</v>
      </c>
      <c r="AU40" s="62">
        <v>17</v>
      </c>
      <c r="AV40" s="62">
        <v>21.25</v>
      </c>
      <c r="AW40" s="47" t="s">
        <v>74</v>
      </c>
      <c r="AX40" s="64">
        <v>44950</v>
      </c>
      <c r="AY40" s="64" t="s">
        <v>6500</v>
      </c>
      <c r="BA40" s="64"/>
      <c r="BB40" s="64"/>
      <c r="BC40" s="64"/>
      <c r="BD40" s="46"/>
      <c r="BE40" s="46" t="e">
        <v>#REF!</v>
      </c>
      <c r="BF40" s="46" t="s">
        <v>79</v>
      </c>
      <c r="BG40" s="65">
        <v>6</v>
      </c>
      <c r="BH40" s="66" t="s">
        <v>6501</v>
      </c>
      <c r="BI40" s="63" t="s">
        <v>6502</v>
      </c>
    </row>
    <row r="41" spans="1:61" ht="25.5" x14ac:dyDescent="0.2">
      <c r="A41" s="34" t="s">
        <v>6503</v>
      </c>
      <c r="B41" s="35"/>
      <c r="C41" s="35" t="s">
        <v>68</v>
      </c>
      <c r="D41" s="35" t="s">
        <v>68</v>
      </c>
      <c r="E41" s="35" t="s">
        <v>68</v>
      </c>
      <c r="F41" s="35" t="s">
        <v>68</v>
      </c>
      <c r="G41" s="35" t="s">
        <v>68</v>
      </c>
      <c r="H41" s="35" t="s">
        <v>68</v>
      </c>
      <c r="I41" s="35" t="s">
        <v>68</v>
      </c>
      <c r="J41" s="35" t="s">
        <v>68</v>
      </c>
      <c r="K41" s="36" t="s">
        <v>68</v>
      </c>
      <c r="L41" s="36" t="s">
        <v>68</v>
      </c>
      <c r="M41" s="36" t="s">
        <v>68</v>
      </c>
      <c r="N41" s="35"/>
      <c r="O41" s="35" t="s">
        <v>68</v>
      </c>
      <c r="P41" s="37"/>
      <c r="Q41" s="38" t="s">
        <v>6361</v>
      </c>
      <c r="R41" s="38" t="s">
        <v>6504</v>
      </c>
      <c r="S41" s="36" t="s">
        <v>68</v>
      </c>
      <c r="T41" s="36" t="s">
        <v>68</v>
      </c>
      <c r="U41" s="39" t="s">
        <v>68</v>
      </c>
      <c r="V41" s="39" t="s">
        <v>68</v>
      </c>
      <c r="W41" s="40" t="s">
        <v>68</v>
      </c>
      <c r="X41" s="36" t="s">
        <v>68</v>
      </c>
      <c r="Y41" s="36" t="s">
        <v>68</v>
      </c>
      <c r="Z41" s="36" t="s">
        <v>68</v>
      </c>
      <c r="AA41" s="36" t="s">
        <v>68</v>
      </c>
      <c r="AB41" s="39" t="s">
        <v>68</v>
      </c>
      <c r="AC41" s="36" t="s">
        <v>68</v>
      </c>
      <c r="AD41" s="39" t="s">
        <v>68</v>
      </c>
      <c r="AE41" s="41"/>
      <c r="AF41" s="42" t="s">
        <v>68</v>
      </c>
      <c r="AG41" s="36" t="s">
        <v>68</v>
      </c>
      <c r="AH41" s="36" t="s">
        <v>68</v>
      </c>
      <c r="AI41" s="36" t="s">
        <v>68</v>
      </c>
      <c r="AJ41" s="36" t="s">
        <v>68</v>
      </c>
      <c r="AK41" s="36" t="s">
        <v>68</v>
      </c>
      <c r="AL41" s="36" t="s">
        <v>68</v>
      </c>
      <c r="AM41" s="36" t="s">
        <v>68</v>
      </c>
      <c r="AN41" s="36" t="s">
        <v>68</v>
      </c>
      <c r="AO41" s="43" t="s">
        <v>68</v>
      </c>
      <c r="AP41" s="36" t="s">
        <v>68</v>
      </c>
      <c r="AQ41" s="39" t="s">
        <v>68</v>
      </c>
      <c r="AR41" s="36" t="s">
        <v>68</v>
      </c>
      <c r="AS41" s="36" t="s">
        <v>68</v>
      </c>
      <c r="AT41" s="36" t="s">
        <v>68</v>
      </c>
      <c r="AU41" s="36" t="s">
        <v>68</v>
      </c>
      <c r="AV41" s="36" t="s">
        <v>68</v>
      </c>
      <c r="AW41" s="35"/>
      <c r="AX41" s="37"/>
      <c r="AY41" s="37" t="s">
        <v>68</v>
      </c>
      <c r="BA41" s="37"/>
      <c r="BB41" s="37"/>
      <c r="BC41" s="37"/>
      <c r="BD41" s="35"/>
      <c r="BE41" s="35" t="e">
        <v>#REF!</v>
      </c>
      <c r="BF41" s="35"/>
      <c r="BG41" s="44"/>
      <c r="BH41" s="38" t="s">
        <v>6505</v>
      </c>
      <c r="BI41" s="35" t="s">
        <v>68</v>
      </c>
    </row>
    <row r="42" spans="1:61" ht="25.5" x14ac:dyDescent="0.2">
      <c r="A42" s="45" t="s">
        <v>6506</v>
      </c>
      <c r="B42" s="46"/>
      <c r="C42" s="46" t="s">
        <v>6507</v>
      </c>
      <c r="D42" s="46" t="s">
        <v>6508</v>
      </c>
      <c r="E42" s="46" t="s">
        <v>68</v>
      </c>
      <c r="F42" s="46" t="s">
        <v>68</v>
      </c>
      <c r="G42" s="46" t="s">
        <v>68</v>
      </c>
      <c r="H42" s="46" t="s">
        <v>68</v>
      </c>
      <c r="I42" s="46" t="s">
        <v>68</v>
      </c>
      <c r="J42" s="46" t="s">
        <v>71</v>
      </c>
      <c r="K42" s="47">
        <v>250</v>
      </c>
      <c r="L42" s="47">
        <v>50</v>
      </c>
      <c r="M42" s="47">
        <v>300</v>
      </c>
      <c r="N42" s="46"/>
      <c r="O42" s="71" t="s">
        <v>68</v>
      </c>
      <c r="P42" s="64"/>
      <c r="Q42" s="46" t="s">
        <v>6361</v>
      </c>
      <c r="R42" s="46" t="s">
        <v>6504</v>
      </c>
      <c r="S42" s="49">
        <v>75</v>
      </c>
      <c r="T42" s="49">
        <v>375</v>
      </c>
      <c r="U42" s="67">
        <v>0.48666666666666669</v>
      </c>
      <c r="V42" s="67">
        <v>0.56666666666666665</v>
      </c>
      <c r="W42" s="51">
        <v>0.2</v>
      </c>
      <c r="X42" s="52">
        <v>37.5</v>
      </c>
      <c r="Y42" s="52">
        <v>30</v>
      </c>
      <c r="Z42" s="52">
        <v>125</v>
      </c>
      <c r="AA42" s="52">
        <v>192.5</v>
      </c>
      <c r="AB42" s="53">
        <v>0.51333333333333331</v>
      </c>
      <c r="AC42" s="72">
        <v>182.5</v>
      </c>
      <c r="AD42" s="55">
        <v>0.48666666666666669</v>
      </c>
      <c r="AE42" s="73">
        <v>3</v>
      </c>
      <c r="AF42" s="57" t="s">
        <v>95</v>
      </c>
      <c r="AG42" s="58">
        <v>250</v>
      </c>
      <c r="AH42" s="58">
        <v>50</v>
      </c>
      <c r="AI42" s="58">
        <v>300</v>
      </c>
      <c r="AJ42" s="49">
        <v>75</v>
      </c>
      <c r="AK42" s="49">
        <v>375</v>
      </c>
      <c r="AL42" s="52">
        <v>37.5</v>
      </c>
      <c r="AM42" s="52">
        <v>125</v>
      </c>
      <c r="AN42" s="52">
        <v>162.5</v>
      </c>
      <c r="AO42" s="59">
        <v>0.43333333333333335</v>
      </c>
      <c r="AP42" s="60">
        <v>212.5</v>
      </c>
      <c r="AQ42" s="61">
        <v>0.56666666666666665</v>
      </c>
      <c r="AR42" s="60" t="s">
        <v>78</v>
      </c>
      <c r="AS42" s="62">
        <v>400</v>
      </c>
      <c r="AT42" s="62">
        <v>80</v>
      </c>
      <c r="AU42" s="62">
        <v>480</v>
      </c>
      <c r="AV42" s="62">
        <v>600</v>
      </c>
      <c r="AW42" s="47" t="s">
        <v>74</v>
      </c>
      <c r="AX42" s="64">
        <v>45013</v>
      </c>
      <c r="AY42" s="64" t="s">
        <v>6509</v>
      </c>
      <c r="BA42" s="64"/>
      <c r="BB42" s="64"/>
      <c r="BC42" s="64"/>
      <c r="BD42" s="46"/>
      <c r="BE42" s="46" t="e">
        <v>#REF!</v>
      </c>
      <c r="BF42" s="46" t="s">
        <v>79</v>
      </c>
      <c r="BG42" s="65">
        <v>4</v>
      </c>
      <c r="BH42" s="66" t="s">
        <v>6510</v>
      </c>
      <c r="BI42" s="63" t="s">
        <v>6511</v>
      </c>
    </row>
    <row r="43" spans="1:61" ht="25.5" x14ac:dyDescent="0.2">
      <c r="A43" s="23" t="s">
        <v>6512</v>
      </c>
      <c r="B43" s="24"/>
      <c r="C43" s="24" t="s">
        <v>68</v>
      </c>
      <c r="D43" s="24" t="s">
        <v>68</v>
      </c>
      <c r="E43" s="24" t="s">
        <v>68</v>
      </c>
      <c r="F43" s="24" t="s">
        <v>68</v>
      </c>
      <c r="G43" s="24" t="s">
        <v>68</v>
      </c>
      <c r="H43" s="24" t="s">
        <v>68</v>
      </c>
      <c r="I43" s="24" t="s">
        <v>68</v>
      </c>
      <c r="J43" s="24" t="s">
        <v>68</v>
      </c>
      <c r="K43" s="25" t="s">
        <v>68</v>
      </c>
      <c r="L43" s="25" t="s">
        <v>68</v>
      </c>
      <c r="M43" s="25" t="s">
        <v>68</v>
      </c>
      <c r="N43" s="24"/>
      <c r="O43" s="24" t="s">
        <v>68</v>
      </c>
      <c r="P43" s="26"/>
      <c r="Q43" s="27" t="s">
        <v>6513</v>
      </c>
      <c r="R43" s="24" t="s">
        <v>68</v>
      </c>
      <c r="S43" s="25" t="s">
        <v>68</v>
      </c>
      <c r="T43" s="25" t="s">
        <v>68</v>
      </c>
      <c r="U43" s="28" t="s">
        <v>68</v>
      </c>
      <c r="V43" s="28" t="s">
        <v>68</v>
      </c>
      <c r="W43" s="29" t="s">
        <v>68</v>
      </c>
      <c r="X43" s="25" t="s">
        <v>68</v>
      </c>
      <c r="Y43" s="25" t="s">
        <v>68</v>
      </c>
      <c r="Z43" s="25" t="s">
        <v>68</v>
      </c>
      <c r="AA43" s="25" t="s">
        <v>68</v>
      </c>
      <c r="AB43" s="28" t="s">
        <v>68</v>
      </c>
      <c r="AC43" s="25" t="s">
        <v>68</v>
      </c>
      <c r="AD43" s="28" t="s">
        <v>68</v>
      </c>
      <c r="AE43" s="30"/>
      <c r="AF43" s="31" t="s">
        <v>68</v>
      </c>
      <c r="AG43" s="25" t="s">
        <v>68</v>
      </c>
      <c r="AH43" s="25" t="s">
        <v>68</v>
      </c>
      <c r="AI43" s="25" t="s">
        <v>68</v>
      </c>
      <c r="AJ43" s="25" t="s">
        <v>68</v>
      </c>
      <c r="AK43" s="25" t="s">
        <v>68</v>
      </c>
      <c r="AL43" s="25" t="s">
        <v>68</v>
      </c>
      <c r="AM43" s="25" t="s">
        <v>68</v>
      </c>
      <c r="AN43" s="25" t="s">
        <v>68</v>
      </c>
      <c r="AO43" s="32" t="s">
        <v>68</v>
      </c>
      <c r="AP43" s="25" t="s">
        <v>68</v>
      </c>
      <c r="AQ43" s="28" t="s">
        <v>68</v>
      </c>
      <c r="AR43" s="25" t="s">
        <v>68</v>
      </c>
      <c r="AS43" s="25" t="s">
        <v>68</v>
      </c>
      <c r="AT43" s="25" t="s">
        <v>68</v>
      </c>
      <c r="AU43" s="25" t="s">
        <v>68</v>
      </c>
      <c r="AV43" s="25" t="s">
        <v>68</v>
      </c>
      <c r="AW43" s="25"/>
      <c r="AX43" s="26"/>
      <c r="AY43" s="26" t="s">
        <v>68</v>
      </c>
      <c r="BA43" s="26"/>
      <c r="BB43" s="26"/>
      <c r="BC43" s="26"/>
      <c r="BD43" s="24"/>
      <c r="BE43" s="27" t="s">
        <v>6512</v>
      </c>
      <c r="BF43" s="24"/>
      <c r="BG43" s="24"/>
      <c r="BH43" s="24"/>
      <c r="BI43" s="24" t="s">
        <v>68</v>
      </c>
    </row>
    <row r="44" spans="1:61" ht="25.5" x14ac:dyDescent="0.2">
      <c r="A44" s="23" t="s">
        <v>6514</v>
      </c>
      <c r="B44" s="24"/>
      <c r="C44" s="24"/>
      <c r="D44" s="24"/>
      <c r="E44" s="24"/>
      <c r="F44" s="24"/>
      <c r="G44" s="24"/>
      <c r="H44" s="24"/>
      <c r="I44" s="24"/>
      <c r="J44" s="24"/>
      <c r="K44" s="25"/>
      <c r="L44" s="25"/>
      <c r="M44" s="24" t="s">
        <v>68</v>
      </c>
      <c r="N44" s="24"/>
      <c r="O44" s="24" t="s">
        <v>68</v>
      </c>
      <c r="P44" s="24"/>
      <c r="Q44" s="27" t="s">
        <v>6513</v>
      </c>
      <c r="R44" s="24"/>
      <c r="S44" s="25" t="s">
        <v>68</v>
      </c>
      <c r="T44" s="25" t="s">
        <v>68</v>
      </c>
      <c r="U44" s="28" t="s">
        <v>68</v>
      </c>
      <c r="V44" s="28" t="s">
        <v>68</v>
      </c>
      <c r="W44" s="29" t="s">
        <v>68</v>
      </c>
      <c r="X44" s="25" t="s">
        <v>68</v>
      </c>
      <c r="Y44" s="25" t="s">
        <v>68</v>
      </c>
      <c r="Z44" s="25" t="s">
        <v>68</v>
      </c>
      <c r="AA44" s="25" t="s">
        <v>68</v>
      </c>
      <c r="AB44" s="28" t="s">
        <v>68</v>
      </c>
      <c r="AC44" s="25" t="s">
        <v>68</v>
      </c>
      <c r="AD44" s="28" t="s">
        <v>68</v>
      </c>
      <c r="AE44" s="30"/>
      <c r="AF44" s="31" t="s">
        <v>68</v>
      </c>
      <c r="AG44" s="24" t="s">
        <v>68</v>
      </c>
      <c r="AH44" s="24" t="s">
        <v>68</v>
      </c>
      <c r="AI44" s="24" t="s">
        <v>68</v>
      </c>
      <c r="AJ44" s="24" t="s">
        <v>68</v>
      </c>
      <c r="AK44" s="24" t="s">
        <v>68</v>
      </c>
      <c r="AL44" s="24" t="s">
        <v>68</v>
      </c>
      <c r="AM44" s="24" t="s">
        <v>68</v>
      </c>
      <c r="AN44" s="24" t="s">
        <v>68</v>
      </c>
      <c r="AO44" s="32" t="s">
        <v>68</v>
      </c>
      <c r="AP44" s="24" t="s">
        <v>68</v>
      </c>
      <c r="AQ44" s="28" t="s">
        <v>68</v>
      </c>
      <c r="AR44" s="24" t="s">
        <v>68</v>
      </c>
      <c r="AS44" s="24" t="s">
        <v>68</v>
      </c>
      <c r="AT44" s="24" t="s">
        <v>68</v>
      </c>
      <c r="AU44" s="24" t="s">
        <v>68</v>
      </c>
      <c r="AV44" s="24" t="s">
        <v>68</v>
      </c>
      <c r="AW44" s="24"/>
      <c r="AX44" s="24"/>
      <c r="AY44" s="24" t="s">
        <v>68</v>
      </c>
      <c r="BA44" s="24"/>
      <c r="BB44" s="24"/>
      <c r="BC44" s="24"/>
      <c r="BD44" s="24"/>
      <c r="BE44" s="27" t="s">
        <v>6514</v>
      </c>
      <c r="BF44" s="24"/>
      <c r="BG44" s="24"/>
      <c r="BH44" s="24"/>
      <c r="BI44" s="24" t="s">
        <v>68</v>
      </c>
    </row>
    <row r="45" spans="1:61" ht="140.25" x14ac:dyDescent="0.2">
      <c r="A45" s="23" t="s">
        <v>6515</v>
      </c>
      <c r="B45" s="27"/>
      <c r="C45" s="27" t="s">
        <v>6516</v>
      </c>
      <c r="D45" s="24"/>
      <c r="E45" s="24"/>
      <c r="F45" s="24"/>
      <c r="G45" s="24"/>
      <c r="H45" s="24"/>
      <c r="I45" s="24"/>
      <c r="J45" s="27" t="s">
        <v>71</v>
      </c>
      <c r="K45" s="90">
        <v>4430.3999999999996</v>
      </c>
      <c r="L45" s="91">
        <v>0</v>
      </c>
      <c r="M45" s="91">
        <v>4430.3999999999996</v>
      </c>
      <c r="N45" s="27" t="s">
        <v>6517</v>
      </c>
      <c r="O45" s="27" t="s">
        <v>6518</v>
      </c>
      <c r="P45" s="26"/>
      <c r="Q45" s="27" t="s">
        <v>6513</v>
      </c>
      <c r="R45" s="24"/>
      <c r="S45" s="92">
        <v>1107.5999999999999</v>
      </c>
      <c r="T45" s="92">
        <v>5538</v>
      </c>
      <c r="U45" s="93">
        <v>0.6945828819068256</v>
      </c>
      <c r="V45" s="93">
        <v>0.7</v>
      </c>
      <c r="W45" s="90">
        <v>0</v>
      </c>
      <c r="X45" s="94">
        <v>553.80000000000007</v>
      </c>
      <c r="Y45" s="94">
        <v>30</v>
      </c>
      <c r="Z45" s="94">
        <v>1107.5999999999999</v>
      </c>
      <c r="AA45" s="94">
        <v>1691.4</v>
      </c>
      <c r="AB45" s="95">
        <v>0.30541711809317446</v>
      </c>
      <c r="AC45" s="92">
        <v>3846.6</v>
      </c>
      <c r="AD45" s="96">
        <v>0.6945828819068256</v>
      </c>
      <c r="AE45" s="97">
        <v>4</v>
      </c>
      <c r="AF45" s="98" t="s">
        <v>95</v>
      </c>
      <c r="AG45" s="99">
        <v>4430.3999999999996</v>
      </c>
      <c r="AH45" s="99">
        <v>0</v>
      </c>
      <c r="AI45" s="99">
        <v>4430.3999999999996</v>
      </c>
      <c r="AJ45" s="92">
        <v>1107.5999999999999</v>
      </c>
      <c r="AK45" s="92">
        <v>5538</v>
      </c>
      <c r="AL45" s="94">
        <v>553.80000000000007</v>
      </c>
      <c r="AM45" s="94">
        <v>1107.5999999999999</v>
      </c>
      <c r="AN45" s="94">
        <v>1661.4</v>
      </c>
      <c r="AO45" s="100">
        <v>0.3</v>
      </c>
      <c r="AP45" s="99">
        <v>3876.6</v>
      </c>
      <c r="AQ45" s="101">
        <v>0.7</v>
      </c>
      <c r="AR45" s="99" t="s">
        <v>78</v>
      </c>
      <c r="AS45" s="102">
        <v>7532</v>
      </c>
      <c r="AT45" s="102">
        <v>0</v>
      </c>
      <c r="AU45" s="102">
        <v>7532</v>
      </c>
      <c r="AV45" s="102">
        <v>9415</v>
      </c>
      <c r="AW45" s="91" t="s">
        <v>107</v>
      </c>
      <c r="AX45" s="103">
        <v>45448</v>
      </c>
      <c r="AY45" s="103" t="s">
        <v>6519</v>
      </c>
      <c r="BA45" s="26"/>
      <c r="BB45" s="26"/>
      <c r="BC45" s="26"/>
      <c r="BD45" s="24"/>
      <c r="BE45" s="27" t="s">
        <v>6515</v>
      </c>
      <c r="BF45" s="24"/>
      <c r="BG45" s="24"/>
      <c r="BH45" s="24"/>
      <c r="BI45" s="27" t="s">
        <v>6516</v>
      </c>
    </row>
    <row r="46" spans="1:61" ht="140.25" x14ac:dyDescent="0.2">
      <c r="A46" s="23" t="s">
        <v>6520</v>
      </c>
      <c r="B46" s="27"/>
      <c r="C46" s="27" t="s">
        <v>6521</v>
      </c>
      <c r="D46" s="24"/>
      <c r="E46" s="24"/>
      <c r="F46" s="24"/>
      <c r="G46" s="24"/>
      <c r="H46" s="24"/>
      <c r="I46" s="24"/>
      <c r="J46" s="27" t="s">
        <v>71</v>
      </c>
      <c r="K46" s="90">
        <v>7826.4</v>
      </c>
      <c r="L46" s="91">
        <v>0</v>
      </c>
      <c r="M46" s="91">
        <v>7826.4</v>
      </c>
      <c r="N46" s="27" t="s">
        <v>6522</v>
      </c>
      <c r="O46" s="27" t="s">
        <v>6518</v>
      </c>
      <c r="P46" s="26"/>
      <c r="Q46" s="27" t="s">
        <v>6513</v>
      </c>
      <c r="R46" s="24"/>
      <c r="S46" s="92">
        <v>1956.6</v>
      </c>
      <c r="T46" s="92">
        <v>9783</v>
      </c>
      <c r="U46" s="93">
        <v>0.6969334559950936</v>
      </c>
      <c r="V46" s="93">
        <v>0.70000000000000007</v>
      </c>
      <c r="W46" s="90">
        <v>0</v>
      </c>
      <c r="X46" s="94">
        <v>978.30000000000007</v>
      </c>
      <c r="Y46" s="94">
        <v>30</v>
      </c>
      <c r="Z46" s="94">
        <v>1956.6</v>
      </c>
      <c r="AA46" s="94">
        <v>2964.9</v>
      </c>
      <c r="AB46" s="95">
        <v>0.30306654400490646</v>
      </c>
      <c r="AC46" s="92">
        <v>6818.1</v>
      </c>
      <c r="AD46" s="96">
        <v>0.6969334559950936</v>
      </c>
      <c r="AE46" s="97">
        <v>4</v>
      </c>
      <c r="AF46" s="98" t="s">
        <v>95</v>
      </c>
      <c r="AG46" s="99">
        <v>7826.4</v>
      </c>
      <c r="AH46" s="99">
        <v>0</v>
      </c>
      <c r="AI46" s="99">
        <v>7826.4</v>
      </c>
      <c r="AJ46" s="92">
        <v>1956.6</v>
      </c>
      <c r="AK46" s="92">
        <v>9783</v>
      </c>
      <c r="AL46" s="94">
        <v>978.30000000000007</v>
      </c>
      <c r="AM46" s="94">
        <v>1956.6</v>
      </c>
      <c r="AN46" s="94">
        <v>2934.9</v>
      </c>
      <c r="AO46" s="100">
        <v>0.3</v>
      </c>
      <c r="AP46" s="99">
        <v>6848.1</v>
      </c>
      <c r="AQ46" s="101">
        <v>0.70000000000000007</v>
      </c>
      <c r="AR46" s="99" t="s">
        <v>78</v>
      </c>
      <c r="AS46" s="102">
        <v>13305</v>
      </c>
      <c r="AT46" s="102">
        <v>0</v>
      </c>
      <c r="AU46" s="102">
        <v>13305</v>
      </c>
      <c r="AV46" s="102">
        <v>16631.25</v>
      </c>
      <c r="AW46" s="91" t="s">
        <v>107</v>
      </c>
      <c r="AX46" s="103">
        <v>45448</v>
      </c>
      <c r="AY46" s="103" t="s">
        <v>6523</v>
      </c>
      <c r="BA46" s="26"/>
      <c r="BB46" s="26"/>
      <c r="BC46" s="26"/>
      <c r="BD46" s="24"/>
      <c r="BE46" s="27" t="s">
        <v>6520</v>
      </c>
      <c r="BF46" s="24"/>
      <c r="BG46" s="24"/>
      <c r="BH46" s="24"/>
      <c r="BI46" s="27" t="s">
        <v>6521</v>
      </c>
    </row>
    <row r="47" spans="1:61" ht="140.25" x14ac:dyDescent="0.2">
      <c r="A47" s="23" t="s">
        <v>6524</v>
      </c>
      <c r="B47" s="27"/>
      <c r="C47" s="27" t="s">
        <v>6525</v>
      </c>
      <c r="D47" s="24"/>
      <c r="E47" s="24"/>
      <c r="F47" s="24"/>
      <c r="G47" s="24"/>
      <c r="H47" s="24"/>
      <c r="I47" s="24"/>
      <c r="J47" s="27" t="s">
        <v>71</v>
      </c>
      <c r="K47" s="90">
        <v>12191.2</v>
      </c>
      <c r="L47" s="91">
        <v>0</v>
      </c>
      <c r="M47" s="91">
        <v>12191.2</v>
      </c>
      <c r="N47" s="27" t="s">
        <v>6526</v>
      </c>
      <c r="O47" s="27" t="s">
        <v>6518</v>
      </c>
      <c r="P47" s="26"/>
      <c r="Q47" s="27" t="s">
        <v>6513</v>
      </c>
      <c r="R47" s="24"/>
      <c r="S47" s="92">
        <v>3047.8</v>
      </c>
      <c r="T47" s="92">
        <v>15239</v>
      </c>
      <c r="U47" s="93">
        <v>0.69803136688759104</v>
      </c>
      <c r="V47" s="93">
        <v>0.7</v>
      </c>
      <c r="W47" s="90">
        <v>0</v>
      </c>
      <c r="X47" s="94">
        <v>1523.9</v>
      </c>
      <c r="Y47" s="94">
        <v>30</v>
      </c>
      <c r="Z47" s="94">
        <v>3047.8</v>
      </c>
      <c r="AA47" s="94">
        <v>4601.7000000000007</v>
      </c>
      <c r="AB47" s="95">
        <v>0.30196863311240901</v>
      </c>
      <c r="AC47" s="92">
        <v>10637.3</v>
      </c>
      <c r="AD47" s="96">
        <v>0.69803136688759104</v>
      </c>
      <c r="AE47" s="97">
        <v>4</v>
      </c>
      <c r="AF47" s="98" t="s">
        <v>95</v>
      </c>
      <c r="AG47" s="99">
        <v>12191.2</v>
      </c>
      <c r="AH47" s="99">
        <v>0</v>
      </c>
      <c r="AI47" s="99">
        <v>12191.2</v>
      </c>
      <c r="AJ47" s="92">
        <v>3047.8</v>
      </c>
      <c r="AK47" s="92">
        <v>15239</v>
      </c>
      <c r="AL47" s="94">
        <v>1523.9</v>
      </c>
      <c r="AM47" s="94">
        <v>3047.8</v>
      </c>
      <c r="AN47" s="94">
        <v>4571.7000000000007</v>
      </c>
      <c r="AO47" s="100">
        <v>0.30000000000000004</v>
      </c>
      <c r="AP47" s="99">
        <v>10667.3</v>
      </c>
      <c r="AQ47" s="101">
        <v>0.7</v>
      </c>
      <c r="AR47" s="99" t="s">
        <v>78</v>
      </c>
      <c r="AS47" s="102">
        <v>20726</v>
      </c>
      <c r="AT47" s="102">
        <v>0</v>
      </c>
      <c r="AU47" s="102">
        <v>20726</v>
      </c>
      <c r="AV47" s="102">
        <v>25907.5</v>
      </c>
      <c r="AW47" s="91" t="s">
        <v>107</v>
      </c>
      <c r="AX47" s="103">
        <v>45448</v>
      </c>
      <c r="AY47" s="103" t="s">
        <v>6527</v>
      </c>
      <c r="BA47" s="26"/>
      <c r="BB47" s="26"/>
      <c r="BC47" s="26"/>
      <c r="BD47" s="24"/>
      <c r="BE47" s="27" t="s">
        <v>6524</v>
      </c>
      <c r="BF47" s="24"/>
      <c r="BG47" s="24"/>
      <c r="BH47" s="24"/>
      <c r="BI47" s="27" t="s">
        <v>6525</v>
      </c>
    </row>
    <row r="48" spans="1:61" ht="140.25" x14ac:dyDescent="0.2">
      <c r="A48" s="23" t="s">
        <v>6528</v>
      </c>
      <c r="B48" s="27"/>
      <c r="C48" s="27" t="s">
        <v>6529</v>
      </c>
      <c r="D48" s="24"/>
      <c r="E48" s="24"/>
      <c r="F48" s="24"/>
      <c r="G48" s="24"/>
      <c r="H48" s="24"/>
      <c r="I48" s="24"/>
      <c r="J48" s="27" t="s">
        <v>71</v>
      </c>
      <c r="K48" s="90">
        <v>16266.4</v>
      </c>
      <c r="L48" s="91">
        <v>0</v>
      </c>
      <c r="M48" s="91">
        <v>16266.4</v>
      </c>
      <c r="N48" s="27" t="s">
        <v>6530</v>
      </c>
      <c r="O48" s="27" t="s">
        <v>6518</v>
      </c>
      <c r="P48" s="26"/>
      <c r="Q48" s="27" t="s">
        <v>6513</v>
      </c>
      <c r="R48" s="24"/>
      <c r="S48" s="92">
        <v>4066.6</v>
      </c>
      <c r="T48" s="92">
        <v>20333</v>
      </c>
      <c r="U48" s="93">
        <v>0.69852456597649148</v>
      </c>
      <c r="V48" s="93">
        <v>0.70000000000000007</v>
      </c>
      <c r="W48" s="90">
        <v>0</v>
      </c>
      <c r="X48" s="94">
        <v>2033.3000000000002</v>
      </c>
      <c r="Y48" s="94">
        <v>30</v>
      </c>
      <c r="Z48" s="94">
        <v>4066.6</v>
      </c>
      <c r="AA48" s="94">
        <v>6129.9</v>
      </c>
      <c r="AB48" s="95">
        <v>0.30147543402350857</v>
      </c>
      <c r="AC48" s="92">
        <v>14203.1</v>
      </c>
      <c r="AD48" s="96">
        <v>0.69852456597649148</v>
      </c>
      <c r="AE48" s="97">
        <v>4</v>
      </c>
      <c r="AF48" s="98" t="s">
        <v>95</v>
      </c>
      <c r="AG48" s="99">
        <v>16266.4</v>
      </c>
      <c r="AH48" s="99">
        <v>0</v>
      </c>
      <c r="AI48" s="99">
        <v>16266.4</v>
      </c>
      <c r="AJ48" s="92">
        <v>4066.6</v>
      </c>
      <c r="AK48" s="92">
        <v>20333</v>
      </c>
      <c r="AL48" s="94">
        <v>2033.3000000000002</v>
      </c>
      <c r="AM48" s="94">
        <v>4066.6</v>
      </c>
      <c r="AN48" s="94">
        <v>6099.9</v>
      </c>
      <c r="AO48" s="100">
        <v>0.3</v>
      </c>
      <c r="AP48" s="99">
        <v>14233.1</v>
      </c>
      <c r="AQ48" s="101">
        <v>0.70000000000000007</v>
      </c>
      <c r="AR48" s="99" t="s">
        <v>78</v>
      </c>
      <c r="AS48" s="102">
        <v>27653</v>
      </c>
      <c r="AT48" s="102">
        <v>0</v>
      </c>
      <c r="AU48" s="102">
        <v>27653</v>
      </c>
      <c r="AV48" s="102">
        <v>34566.25</v>
      </c>
      <c r="AW48" s="91" t="s">
        <v>107</v>
      </c>
      <c r="AX48" s="103">
        <v>45448</v>
      </c>
      <c r="AY48" s="103" t="s">
        <v>6531</v>
      </c>
      <c r="BA48" s="26"/>
      <c r="BB48" s="26"/>
      <c r="BC48" s="26"/>
      <c r="BD48" s="24"/>
      <c r="BE48" s="27" t="s">
        <v>6528</v>
      </c>
      <c r="BF48" s="24"/>
      <c r="BG48" s="24"/>
      <c r="BH48" s="24"/>
      <c r="BI48" s="27" t="s">
        <v>6529</v>
      </c>
    </row>
    <row r="49" spans="1:61" ht="38.25" x14ac:dyDescent="0.2">
      <c r="A49" s="23" t="s">
        <v>6532</v>
      </c>
      <c r="B49" s="27"/>
      <c r="C49" s="27" t="s">
        <v>6533</v>
      </c>
      <c r="D49" s="24"/>
      <c r="E49" s="24"/>
      <c r="F49" s="24"/>
      <c r="G49" s="24"/>
      <c r="H49" s="24"/>
      <c r="I49" s="24"/>
      <c r="J49" s="27" t="s">
        <v>71</v>
      </c>
      <c r="K49" s="90">
        <v>600</v>
      </c>
      <c r="L49" s="91">
        <v>0</v>
      </c>
      <c r="M49" s="91">
        <v>600</v>
      </c>
      <c r="N49" s="27" t="s">
        <v>6534</v>
      </c>
      <c r="O49" s="27" t="s">
        <v>6535</v>
      </c>
      <c r="P49" s="26"/>
      <c r="Q49" s="27" t="s">
        <v>6513</v>
      </c>
      <c r="R49" s="24"/>
      <c r="S49" s="92">
        <v>150</v>
      </c>
      <c r="T49" s="92">
        <v>750</v>
      </c>
      <c r="U49" s="93">
        <v>0.66</v>
      </c>
      <c r="V49" s="93">
        <v>0.7</v>
      </c>
      <c r="W49" s="90">
        <v>0</v>
      </c>
      <c r="X49" s="94">
        <v>75</v>
      </c>
      <c r="Y49" s="94">
        <v>30</v>
      </c>
      <c r="Z49" s="94">
        <v>150</v>
      </c>
      <c r="AA49" s="94">
        <v>255</v>
      </c>
      <c r="AB49" s="95">
        <v>0.34</v>
      </c>
      <c r="AC49" s="92">
        <v>495</v>
      </c>
      <c r="AD49" s="96">
        <v>0.66</v>
      </c>
      <c r="AE49" s="97">
        <v>4</v>
      </c>
      <c r="AF49" s="98" t="s">
        <v>95</v>
      </c>
      <c r="AG49" s="99">
        <v>600</v>
      </c>
      <c r="AH49" s="99">
        <v>0</v>
      </c>
      <c r="AI49" s="99">
        <v>600</v>
      </c>
      <c r="AJ49" s="92">
        <v>150</v>
      </c>
      <c r="AK49" s="92">
        <v>750</v>
      </c>
      <c r="AL49" s="94">
        <v>75</v>
      </c>
      <c r="AM49" s="94">
        <v>150</v>
      </c>
      <c r="AN49" s="94">
        <v>225</v>
      </c>
      <c r="AO49" s="100">
        <v>0.3</v>
      </c>
      <c r="AP49" s="99">
        <v>525</v>
      </c>
      <c r="AQ49" s="101">
        <v>0.7</v>
      </c>
      <c r="AR49" s="99" t="s">
        <v>78</v>
      </c>
      <c r="AS49" s="102">
        <v>1020</v>
      </c>
      <c r="AT49" s="102">
        <v>0</v>
      </c>
      <c r="AU49" s="102">
        <v>1020</v>
      </c>
      <c r="AV49" s="102">
        <v>1275</v>
      </c>
      <c r="AW49" s="91" t="s">
        <v>107</v>
      </c>
      <c r="AX49" s="103">
        <v>45448</v>
      </c>
      <c r="AY49" s="103" t="s">
        <v>6536</v>
      </c>
      <c r="BA49" s="26"/>
      <c r="BB49" s="26"/>
      <c r="BC49" s="26"/>
      <c r="BD49" s="24"/>
      <c r="BE49" s="27" t="s">
        <v>6532</v>
      </c>
      <c r="BF49" s="24"/>
      <c r="BG49" s="24"/>
      <c r="BH49" s="24"/>
      <c r="BI49" s="27" t="s">
        <v>6533</v>
      </c>
    </row>
    <row r="50" spans="1:61" ht="25.5" x14ac:dyDescent="0.2">
      <c r="A50" s="23" t="s">
        <v>6537</v>
      </c>
      <c r="B50" s="24"/>
      <c r="C50" s="24"/>
      <c r="D50" s="24"/>
      <c r="E50" s="24"/>
      <c r="F50" s="24"/>
      <c r="G50" s="24"/>
      <c r="H50" s="24"/>
      <c r="I50" s="24"/>
      <c r="J50" s="24"/>
      <c r="K50" s="29"/>
      <c r="L50" s="25"/>
      <c r="M50" s="25" t="s">
        <v>68</v>
      </c>
      <c r="N50" s="24"/>
      <c r="O50" s="24"/>
      <c r="P50" s="26"/>
      <c r="Q50" s="27" t="s">
        <v>6538</v>
      </c>
      <c r="R50" s="24"/>
      <c r="S50" s="25" t="s">
        <v>68</v>
      </c>
      <c r="T50" s="25" t="s">
        <v>68</v>
      </c>
      <c r="U50" s="28" t="s">
        <v>68</v>
      </c>
      <c r="V50" s="28" t="s">
        <v>68</v>
      </c>
      <c r="W50" s="29" t="s">
        <v>68</v>
      </c>
      <c r="X50" s="25" t="s">
        <v>68</v>
      </c>
      <c r="Y50" s="25" t="s">
        <v>68</v>
      </c>
      <c r="Z50" s="25" t="s">
        <v>68</v>
      </c>
      <c r="AA50" s="25" t="s">
        <v>68</v>
      </c>
      <c r="AB50" s="28" t="s">
        <v>68</v>
      </c>
      <c r="AC50" s="25" t="s">
        <v>68</v>
      </c>
      <c r="AD50" s="28" t="s">
        <v>68</v>
      </c>
      <c r="AE50" s="30"/>
      <c r="AF50" s="31" t="s">
        <v>68</v>
      </c>
      <c r="AG50" s="25" t="s">
        <v>68</v>
      </c>
      <c r="AH50" s="25" t="s">
        <v>68</v>
      </c>
      <c r="AI50" s="25" t="s">
        <v>68</v>
      </c>
      <c r="AJ50" s="25" t="s">
        <v>68</v>
      </c>
      <c r="AK50" s="25" t="s">
        <v>68</v>
      </c>
      <c r="AL50" s="25" t="s">
        <v>68</v>
      </c>
      <c r="AM50" s="25" t="s">
        <v>68</v>
      </c>
      <c r="AN50" s="25" t="s">
        <v>68</v>
      </c>
      <c r="AO50" s="32" t="s">
        <v>68</v>
      </c>
      <c r="AP50" s="25" t="s">
        <v>68</v>
      </c>
      <c r="AQ50" s="28" t="s">
        <v>68</v>
      </c>
      <c r="AR50" s="25" t="s">
        <v>68</v>
      </c>
      <c r="AS50" s="25" t="s">
        <v>68</v>
      </c>
      <c r="AT50" s="25" t="s">
        <v>68</v>
      </c>
      <c r="AU50" s="25" t="s">
        <v>68</v>
      </c>
      <c r="AV50" s="25" t="s">
        <v>68</v>
      </c>
      <c r="AW50" s="25"/>
      <c r="AX50" s="26"/>
      <c r="AY50" s="26" t="s">
        <v>68</v>
      </c>
      <c r="BA50" s="26"/>
      <c r="BB50" s="26"/>
      <c r="BC50" s="26"/>
      <c r="BD50" s="24"/>
      <c r="BE50" s="27" t="s">
        <v>6537</v>
      </c>
      <c r="BF50" s="24"/>
      <c r="BG50" s="24"/>
      <c r="BH50" s="24"/>
      <c r="BI50" s="24" t="s">
        <v>68</v>
      </c>
    </row>
    <row r="51" spans="1:61" ht="25.5" x14ac:dyDescent="0.2">
      <c r="A51" s="23" t="s">
        <v>6539</v>
      </c>
      <c r="B51" s="24"/>
      <c r="C51" s="24"/>
      <c r="D51" s="24"/>
      <c r="E51" s="24"/>
      <c r="F51" s="24"/>
      <c r="G51" s="24"/>
      <c r="H51" s="24"/>
      <c r="I51" s="24"/>
      <c r="J51" s="24"/>
      <c r="K51" s="29"/>
      <c r="L51" s="25"/>
      <c r="M51" s="25" t="s">
        <v>68</v>
      </c>
      <c r="N51" s="24"/>
      <c r="O51" s="24"/>
      <c r="P51" s="26"/>
      <c r="Q51" s="27" t="s">
        <v>6538</v>
      </c>
      <c r="R51" s="24"/>
      <c r="S51" s="25" t="s">
        <v>68</v>
      </c>
      <c r="T51" s="25" t="s">
        <v>68</v>
      </c>
      <c r="U51" s="28" t="s">
        <v>68</v>
      </c>
      <c r="V51" s="28" t="s">
        <v>68</v>
      </c>
      <c r="W51" s="29" t="s">
        <v>68</v>
      </c>
      <c r="X51" s="25" t="s">
        <v>68</v>
      </c>
      <c r="Y51" s="25" t="s">
        <v>68</v>
      </c>
      <c r="Z51" s="25" t="s">
        <v>68</v>
      </c>
      <c r="AA51" s="25" t="s">
        <v>68</v>
      </c>
      <c r="AB51" s="28" t="s">
        <v>68</v>
      </c>
      <c r="AC51" s="25" t="s">
        <v>68</v>
      </c>
      <c r="AD51" s="28" t="s">
        <v>68</v>
      </c>
      <c r="AE51" s="30"/>
      <c r="AF51" s="31" t="s">
        <v>68</v>
      </c>
      <c r="AG51" s="25" t="s">
        <v>68</v>
      </c>
      <c r="AH51" s="25" t="s">
        <v>68</v>
      </c>
      <c r="AI51" s="25" t="s">
        <v>68</v>
      </c>
      <c r="AJ51" s="25" t="s">
        <v>68</v>
      </c>
      <c r="AK51" s="25" t="s">
        <v>68</v>
      </c>
      <c r="AL51" s="25" t="s">
        <v>68</v>
      </c>
      <c r="AM51" s="25" t="s">
        <v>68</v>
      </c>
      <c r="AN51" s="25" t="s">
        <v>68</v>
      </c>
      <c r="AO51" s="32" t="s">
        <v>68</v>
      </c>
      <c r="AP51" s="25" t="s">
        <v>68</v>
      </c>
      <c r="AQ51" s="28" t="s">
        <v>68</v>
      </c>
      <c r="AR51" s="25" t="s">
        <v>68</v>
      </c>
      <c r="AS51" s="25" t="s">
        <v>68</v>
      </c>
      <c r="AT51" s="25" t="s">
        <v>68</v>
      </c>
      <c r="AU51" s="25" t="s">
        <v>68</v>
      </c>
      <c r="AV51" s="25" t="s">
        <v>68</v>
      </c>
      <c r="AW51" s="25"/>
      <c r="AX51" s="26"/>
      <c r="AY51" s="26" t="s">
        <v>68</v>
      </c>
      <c r="BA51" s="26"/>
      <c r="BB51" s="26"/>
      <c r="BC51" s="26"/>
      <c r="BD51" s="24"/>
      <c r="BE51" s="27" t="s">
        <v>6539</v>
      </c>
      <c r="BF51" s="24"/>
      <c r="BG51" s="24"/>
      <c r="BH51" s="24"/>
      <c r="BI51" s="24" t="s">
        <v>68</v>
      </c>
    </row>
    <row r="52" spans="1:61" ht="140.25" x14ac:dyDescent="0.2">
      <c r="A52" s="23" t="s">
        <v>6540</v>
      </c>
      <c r="B52" s="27"/>
      <c r="C52" s="27" t="s">
        <v>6541</v>
      </c>
      <c r="D52" s="24"/>
      <c r="E52" s="24"/>
      <c r="F52" s="24"/>
      <c r="G52" s="24"/>
      <c r="H52" s="24"/>
      <c r="I52" s="24"/>
      <c r="J52" s="27" t="s">
        <v>71</v>
      </c>
      <c r="K52" s="90">
        <v>1560</v>
      </c>
      <c r="L52" s="91">
        <v>0</v>
      </c>
      <c r="M52" s="91">
        <v>1560</v>
      </c>
      <c r="N52" s="27" t="s">
        <v>6517</v>
      </c>
      <c r="O52" s="27" t="s">
        <v>6518</v>
      </c>
      <c r="P52" s="26"/>
      <c r="Q52" s="27" t="s">
        <v>6538</v>
      </c>
      <c r="R52" s="24"/>
      <c r="S52" s="92">
        <v>390</v>
      </c>
      <c r="T52" s="92">
        <v>1950</v>
      </c>
      <c r="U52" s="93">
        <v>0.68461538461538463</v>
      </c>
      <c r="V52" s="93">
        <v>0.7</v>
      </c>
      <c r="W52" s="90">
        <v>0</v>
      </c>
      <c r="X52" s="94">
        <v>195</v>
      </c>
      <c r="Y52" s="94">
        <v>30</v>
      </c>
      <c r="Z52" s="94">
        <v>390</v>
      </c>
      <c r="AA52" s="94">
        <v>615</v>
      </c>
      <c r="AB52" s="95">
        <v>0.31538461538461537</v>
      </c>
      <c r="AC52" s="92">
        <v>1335</v>
      </c>
      <c r="AD52" s="96">
        <v>0.68461538461538463</v>
      </c>
      <c r="AE52" s="97">
        <v>4</v>
      </c>
      <c r="AF52" s="98" t="s">
        <v>95</v>
      </c>
      <c r="AG52" s="99">
        <v>1560</v>
      </c>
      <c r="AH52" s="99">
        <v>0</v>
      </c>
      <c r="AI52" s="99">
        <v>1560</v>
      </c>
      <c r="AJ52" s="92">
        <v>390</v>
      </c>
      <c r="AK52" s="92">
        <v>1950</v>
      </c>
      <c r="AL52" s="94">
        <v>195</v>
      </c>
      <c r="AM52" s="94">
        <v>390</v>
      </c>
      <c r="AN52" s="94">
        <v>585</v>
      </c>
      <c r="AO52" s="100">
        <v>0.3</v>
      </c>
      <c r="AP52" s="99">
        <v>1365</v>
      </c>
      <c r="AQ52" s="101">
        <v>0.7</v>
      </c>
      <c r="AR52" s="99" t="s">
        <v>78</v>
      </c>
      <c r="AS52" s="102">
        <v>2652</v>
      </c>
      <c r="AT52" s="102">
        <v>0</v>
      </c>
      <c r="AU52" s="102">
        <v>2652</v>
      </c>
      <c r="AV52" s="102">
        <v>3315</v>
      </c>
      <c r="AW52" s="91" t="s">
        <v>107</v>
      </c>
      <c r="AX52" s="103">
        <v>45448</v>
      </c>
      <c r="AY52" s="103" t="s">
        <v>6542</v>
      </c>
      <c r="BA52" s="26"/>
      <c r="BB52" s="26"/>
      <c r="BC52" s="26"/>
      <c r="BD52" s="24"/>
      <c r="BE52" s="27" t="s">
        <v>6540</v>
      </c>
      <c r="BF52" s="24"/>
      <c r="BG52" s="24"/>
      <c r="BH52" s="24"/>
      <c r="BI52" s="27" t="s">
        <v>6541</v>
      </c>
    </row>
  </sheetData>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Melhorias</vt:lpstr>
      <vt:lpstr>Hidráulica</vt:lpstr>
      <vt:lpstr>Hidráulica (2)</vt:lpstr>
      <vt:lpstr>Elétrica</vt:lpstr>
      <vt:lpstr>Vidros e Esquadrias</vt:lpstr>
      <vt:lpstr>Serralheria</vt:lpstr>
      <vt:lpstr>Marcenaria</vt:lpstr>
      <vt:lpstr>Equipamentos Eletrônicos</vt:lpstr>
      <vt:lpstr>Persiana</vt:lpstr>
      <vt:lpstr>Dedetização</vt:lpstr>
      <vt:lpstr>RevestimentosInfiltraçãoPintura</vt:lpstr>
      <vt:lpstr>Outros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DOCUMENTOS</dc:creator>
  <cp:lastModifiedBy>DOCUMENTOS</cp:lastModifiedBy>
  <dcterms:created xsi:type="dcterms:W3CDTF">2024-09-22T03:15:31Z</dcterms:created>
  <dcterms:modified xsi:type="dcterms:W3CDTF">2024-09-23T00:04:37Z</dcterms:modified>
</cp:coreProperties>
</file>