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Metricas\"/>
    </mc:Choice>
  </mc:AlternateContent>
  <xr:revisionPtr revIDLastSave="0" documentId="13_ncr:1_{2E3678AA-EC1B-4103-9B1F-600C2B5108AF}" xr6:coauthVersionLast="47" xr6:coauthVersionMax="47" xr10:uidLastSave="{00000000-0000-0000-0000-000000000000}"/>
  <bookViews>
    <workbookView xWindow="28680" yWindow="-120" windowWidth="29040" windowHeight="15720" activeTab="3" xr2:uid="{B78635EB-C461-4BA1-A73A-53CD5139855B}"/>
  </bookViews>
  <sheets>
    <sheet name="Ejemplo" sheetId="1" r:id="rId1"/>
    <sheet name="Natura CU" sheetId="3" r:id="rId2"/>
    <sheet name="Natura PF" sheetId="7" r:id="rId3"/>
    <sheet name="Agente Arrow CU" sheetId="6" r:id="rId4"/>
    <sheet name="Agente Arrow PF" sheetId="10" r:id="rId5"/>
    <sheet name="Hoja1 (3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0" l="1"/>
  <c r="H64" i="10"/>
  <c r="H63" i="10"/>
  <c r="H62" i="10"/>
  <c r="H61" i="10"/>
  <c r="K75" i="10"/>
  <c r="C75" i="10" s="1"/>
  <c r="L86" i="7"/>
  <c r="C85" i="7" s="1"/>
  <c r="H76" i="7"/>
  <c r="B85" i="7" s="1"/>
  <c r="D25" i="6"/>
  <c r="J18" i="6" s="1"/>
  <c r="R95" i="6"/>
  <c r="P95" i="6"/>
  <c r="P97" i="6" s="1"/>
  <c r="R84" i="6"/>
  <c r="P84" i="6"/>
  <c r="P86" i="6" s="1"/>
  <c r="E63" i="6"/>
  <c r="E62" i="6"/>
  <c r="E61" i="6"/>
  <c r="E60" i="6"/>
  <c r="E59" i="6"/>
  <c r="E58" i="6"/>
  <c r="E57" i="6"/>
  <c r="E56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12" i="6"/>
  <c r="E11" i="6"/>
  <c r="E10" i="6"/>
  <c r="R95" i="3"/>
  <c r="P95" i="3"/>
  <c r="P97" i="3" s="1"/>
  <c r="P86" i="3"/>
  <c r="R84" i="3"/>
  <c r="P84" i="3"/>
  <c r="I81" i="3"/>
  <c r="E12" i="3"/>
  <c r="D23" i="3"/>
  <c r="J18" i="3" s="1"/>
  <c r="E64" i="4"/>
  <c r="E63" i="4"/>
  <c r="E62" i="4"/>
  <c r="E61" i="4"/>
  <c r="E60" i="4"/>
  <c r="E59" i="4"/>
  <c r="E65" i="4" s="1"/>
  <c r="J58" i="4" s="1"/>
  <c r="K58" i="4" s="1"/>
  <c r="D84" i="4" s="1" a="1"/>
  <c r="D84" i="4" s="1"/>
  <c r="E58" i="4"/>
  <c r="E57" i="4"/>
  <c r="E47" i="4"/>
  <c r="E46" i="4"/>
  <c r="E45" i="4"/>
  <c r="E44" i="4"/>
  <c r="E43" i="4"/>
  <c r="E42" i="4"/>
  <c r="E41" i="4"/>
  <c r="E40" i="4"/>
  <c r="E39" i="4"/>
  <c r="E38" i="4"/>
  <c r="E37" i="4"/>
  <c r="E36" i="4"/>
  <c r="E48" i="4" s="1"/>
  <c r="J37" i="4" s="1"/>
  <c r="K37" i="4" s="1"/>
  <c r="C84" i="4" s="1" a="1"/>
  <c r="C84" i="4" s="1"/>
  <c r="E35" i="4"/>
  <c r="E23" i="4"/>
  <c r="F23" i="4" s="1"/>
  <c r="E22" i="4"/>
  <c r="F22" i="4" s="1"/>
  <c r="F21" i="4"/>
  <c r="E21" i="4"/>
  <c r="F20" i="4"/>
  <c r="F19" i="4"/>
  <c r="J18" i="4"/>
  <c r="F18" i="4"/>
  <c r="E12" i="4"/>
  <c r="I18" i="4" s="1"/>
  <c r="K18" i="4" s="1"/>
  <c r="B84" i="4" s="1" a="1"/>
  <c r="B84" i="4" s="1"/>
  <c r="E84" i="4" s="1"/>
  <c r="C93" i="4" s="1" a="1"/>
  <c r="C93" i="4" s="1"/>
  <c r="E93" i="4" s="1"/>
  <c r="I77" i="4" s="1" a="1"/>
  <c r="I77" i="4" s="1"/>
  <c r="I80" i="4" s="1"/>
  <c r="E11" i="4"/>
  <c r="E10" i="4"/>
  <c r="E63" i="3"/>
  <c r="E62" i="3"/>
  <c r="E61" i="3"/>
  <c r="E60" i="3"/>
  <c r="E59" i="3"/>
  <c r="E58" i="3"/>
  <c r="E57" i="3"/>
  <c r="E56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11" i="3"/>
  <c r="E10" i="3"/>
  <c r="E13" i="3" s="1"/>
  <c r="I18" i="3" s="1"/>
  <c r="I78" i="1"/>
  <c r="C82" i="1" a="1"/>
  <c r="C82" i="1" s="1"/>
  <c r="B82" i="1" a="1"/>
  <c r="B82" i="1" s="1"/>
  <c r="J18" i="1"/>
  <c r="E62" i="1"/>
  <c r="E61" i="1"/>
  <c r="E60" i="1"/>
  <c r="E59" i="1"/>
  <c r="E58" i="1"/>
  <c r="E57" i="1"/>
  <c r="E56" i="1"/>
  <c r="E55" i="1"/>
  <c r="E34" i="1"/>
  <c r="E35" i="1"/>
  <c r="E36" i="1"/>
  <c r="E37" i="1"/>
  <c r="E38" i="1"/>
  <c r="E39" i="1"/>
  <c r="E40" i="1"/>
  <c r="E41" i="1"/>
  <c r="E42" i="1"/>
  <c r="E43" i="1"/>
  <c r="E44" i="1"/>
  <c r="E45" i="1"/>
  <c r="E33" i="1"/>
  <c r="E11" i="1"/>
  <c r="E10" i="1"/>
  <c r="E21" i="1"/>
  <c r="I18" i="1" s="1"/>
  <c r="H66" i="10" l="1"/>
  <c r="B75" i="10" s="1"/>
  <c r="D75" i="10" s="1"/>
  <c r="AB70" i="10" s="1"/>
  <c r="D89" i="10" s="1"/>
  <c r="D85" i="7"/>
  <c r="AC80" i="7" s="1"/>
  <c r="D99" i="7" s="1"/>
  <c r="AC81" i="7" s="1"/>
  <c r="D108" i="7" s="1"/>
  <c r="F108" i="7" s="1"/>
  <c r="E13" i="6"/>
  <c r="I18" i="6" s="1"/>
  <c r="K18" i="6" s="1"/>
  <c r="B83" i="6" s="1" a="1"/>
  <c r="B83" i="6" s="1"/>
  <c r="E64" i="6"/>
  <c r="J59" i="6" s="1"/>
  <c r="K59" i="6" s="1"/>
  <c r="D83" i="6" s="1" a="1"/>
  <c r="D83" i="6" s="1"/>
  <c r="E47" i="6"/>
  <c r="J36" i="6" s="1"/>
  <c r="K36" i="6" s="1"/>
  <c r="C83" i="6" s="1" a="1"/>
  <c r="C83" i="6" s="1"/>
  <c r="F24" i="4"/>
  <c r="K18" i="3"/>
  <c r="B83" i="3" s="1" a="1"/>
  <c r="B83" i="3" s="1"/>
  <c r="E47" i="3"/>
  <c r="J36" i="3" s="1"/>
  <c r="K36" i="3" s="1"/>
  <c r="C83" i="3" s="1" a="1"/>
  <c r="C83" i="3" s="1"/>
  <c r="E64" i="3"/>
  <c r="J59" i="3" s="1"/>
  <c r="K59" i="3" s="1"/>
  <c r="D83" i="3" s="1" a="1"/>
  <c r="D83" i="3" s="1"/>
  <c r="E63" i="1"/>
  <c r="J56" i="1" s="1"/>
  <c r="K56" i="1" s="1"/>
  <c r="D82" i="1" s="1" a="1"/>
  <c r="D82" i="1" s="1"/>
  <c r="E82" i="1" s="1"/>
  <c r="C91" i="1" s="1" a="1"/>
  <c r="C91" i="1" s="1"/>
  <c r="E91" i="1" s="1"/>
  <c r="I75" i="1" s="1" a="1"/>
  <c r="I75" i="1" s="1"/>
  <c r="E46" i="1"/>
  <c r="J35" i="1" s="1"/>
  <c r="K35" i="1" s="1"/>
  <c r="E12" i="1"/>
  <c r="H18" i="1" s="1"/>
  <c r="F82" i="10" l="1"/>
  <c r="AB71" i="10"/>
  <c r="F89" i="10" s="1"/>
  <c r="F92" i="7"/>
  <c r="F99" i="7"/>
  <c r="D112" i="7"/>
  <c r="G112" i="7" s="1"/>
  <c r="E83" i="6"/>
  <c r="C92" i="6" s="1" a="1"/>
  <c r="C92" i="6" s="1"/>
  <c r="E92" i="6" s="1"/>
  <c r="I76" i="6" s="1" a="1"/>
  <c r="I76" i="6" s="1"/>
  <c r="I79" i="6" s="1"/>
  <c r="AD81" i="6" s="1"/>
  <c r="I81" i="6" s="1"/>
  <c r="E83" i="3"/>
  <c r="C92" i="3" s="1" a="1"/>
  <c r="C92" i="3" s="1"/>
  <c r="E92" i="3" s="1"/>
  <c r="I76" i="3" s="1" a="1"/>
  <c r="I76" i="3" s="1"/>
  <c r="I79" i="3" s="1"/>
  <c r="D102" i="10" l="1"/>
  <c r="G102" i="10" s="1"/>
  <c r="D98" i="10"/>
  <c r="F98" i="10" s="1"/>
  <c r="AD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<sst xmlns="http://schemas.openxmlformats.org/spreadsheetml/2006/main" count="820" uniqueCount="306">
  <si>
    <t xml:space="preserve">UUCP = UAW + UUCW </t>
  </si>
  <si>
    <t>(Pesos de los Actores sin Ajustar + Pesos de los Casos de Uso sin Ajustar)</t>
  </si>
  <si>
    <t>Actor</t>
  </si>
  <si>
    <t>Núm. De Actores</t>
  </si>
  <si>
    <t>Peso</t>
  </si>
  <si>
    <t>Resultado</t>
  </si>
  <si>
    <t>Sistema bancario</t>
  </si>
  <si>
    <t>Cliente</t>
  </si>
  <si>
    <t>UAW</t>
  </si>
  <si>
    <t>Caso de Uso</t>
  </si>
  <si>
    <t>Tipo</t>
  </si>
  <si>
    <t>Transferencia entre cuentas</t>
  </si>
  <si>
    <t>UUCW</t>
  </si>
  <si>
    <t>Ingresar dinero</t>
  </si>
  <si>
    <t>Sacar dinero</t>
  </si>
  <si>
    <t>UUCP = UAW + UUCW = 5 + 15 = 20</t>
  </si>
  <si>
    <r>
      <rPr>
        <b/>
        <sz val="11"/>
        <color theme="1"/>
        <rFont val="Aptos Narrow"/>
        <family val="2"/>
        <scheme val="minor"/>
      </rPr>
      <t>PASO 1:</t>
    </r>
    <r>
      <rPr>
        <sz val="11"/>
        <color theme="1"/>
        <rFont val="Aptos Narrow"/>
        <family val="2"/>
        <scheme val="minor"/>
      </rPr>
      <t xml:space="preserve"> Calcular Puntos de Casos de Uso sin Ajustar</t>
    </r>
  </si>
  <si>
    <r>
      <rPr>
        <b/>
        <sz val="11"/>
        <color theme="1"/>
        <rFont val="Aptos Narrow"/>
        <family val="2"/>
        <scheme val="minor"/>
      </rPr>
      <t>UAW</t>
    </r>
    <r>
      <rPr>
        <sz val="11"/>
        <color theme="1"/>
        <rFont val="Aptos Narrow"/>
        <family val="2"/>
        <scheme val="minor"/>
      </rPr>
      <t>=Z(cantidad de un Tipo de Actor*Factor)</t>
    </r>
  </si>
  <si>
    <r>
      <rPr>
        <b/>
        <sz val="11"/>
        <color theme="1"/>
        <rFont val="Aptos Narrow"/>
        <family val="2"/>
        <scheme val="minor"/>
      </rPr>
      <t>UUCW</t>
    </r>
    <r>
      <rPr>
        <sz val="11"/>
        <color theme="1"/>
        <rFont val="Aptos Narrow"/>
        <family val="2"/>
        <scheme val="minor"/>
      </rPr>
      <t xml:space="preserve"> =  (cantidad de un Tipo de Caso Uso*Factor)</t>
    </r>
  </si>
  <si>
    <r>
      <rPr>
        <b/>
        <sz val="11"/>
        <color theme="1"/>
        <rFont val="Aptos Narrow"/>
        <family val="2"/>
        <scheme val="minor"/>
      </rPr>
      <t>PASO 2:</t>
    </r>
    <r>
      <rPr>
        <sz val="11"/>
        <color theme="1"/>
        <rFont val="Aptos Narrow"/>
        <family val="2"/>
        <scheme val="minor"/>
      </rPr>
      <t xml:space="preserve"> Cálculo de TCP</t>
    </r>
  </si>
  <si>
    <t>Factor técnico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</si>
  <si>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</si>
  <si>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</si>
  <si>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</si>
  <si>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</si>
  <si>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</si>
  <si>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</si>
  <si>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</si>
  <si>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</si>
  <si>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</si>
  <si>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</si>
  <si>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</si>
  <si>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</si>
  <si>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</si>
  <si>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Sistema distribuido</t>
  </si>
  <si>
    <t>Rendimiento o tiempo de respuesta</t>
  </si>
  <si>
    <t>Eficiencia del usuario final</t>
  </si>
  <si>
    <t>Procesamiento interno complejo</t>
  </si>
  <si>
    <t>El codigo debe ser reutilizable</t>
  </si>
  <si>
    <t>Facilidad de instalación</t>
  </si>
  <si>
    <t>Facilidad de uso</t>
  </si>
  <si>
    <t>Portabilidad</t>
  </si>
  <si>
    <t>Facilidad de cambio</t>
  </si>
  <si>
    <t>Concurrencia</t>
  </si>
  <si>
    <t>Características especiales de seguridad</t>
  </si>
  <si>
    <t>Provee acceso directo a terceras partes</t>
  </si>
  <si>
    <t>Se requiere facilidades especiales de entrenamiento a usuario</t>
  </si>
  <si>
    <t>Descripción</t>
  </si>
  <si>
    <t>Peso (valor fijo)</t>
  </si>
  <si>
    <t>Impacto percibido</t>
  </si>
  <si>
    <t xml:space="preserve">              Factor Total Técnico</t>
  </si>
  <si>
    <t>0-2</t>
  </si>
  <si>
    <t>3-4</t>
  </si>
  <si>
    <t>Irrelevante</t>
  </si>
  <si>
    <t>Medio</t>
  </si>
  <si>
    <t>Esencial</t>
  </si>
  <si>
    <r>
      <rPr>
        <b/>
        <sz val="11"/>
        <color theme="1"/>
        <rFont val="Aptos Narrow"/>
        <family val="2"/>
        <scheme val="minor"/>
      </rPr>
      <t xml:space="preserve">Paso 3: </t>
    </r>
    <r>
      <rPr>
        <sz val="11"/>
        <color theme="1"/>
        <rFont val="Aptos Narrow"/>
        <family val="2"/>
        <scheme val="minor"/>
      </rPr>
      <t>Cálculo de ECF</t>
    </r>
  </si>
  <si>
    <r>
      <rPr>
        <b/>
        <i/>
        <sz val="11"/>
        <color theme="1"/>
        <rFont val="Aptos Narrow"/>
        <family val="2"/>
        <scheme val="minor"/>
      </rPr>
      <t>ECF</t>
    </r>
    <r>
      <rPr>
        <i/>
        <sz val="11"/>
        <color theme="1"/>
        <rFont val="Aptos Narrow"/>
        <family val="2"/>
        <scheme val="minor"/>
      </rPr>
      <t xml:space="preserve"> = 1.4 + (-0.03 * Factor Ambiental Total) = 0.665</t>
    </r>
  </si>
  <si>
    <t>E1</t>
  </si>
  <si>
    <t>E2</t>
  </si>
  <si>
    <t>E3</t>
  </si>
  <si>
    <t>E4</t>
  </si>
  <si>
    <t>E5</t>
  </si>
  <si>
    <t>E6</t>
  </si>
  <si>
    <t>E7</t>
  </si>
  <si>
    <t>E8</t>
  </si>
  <si>
    <t>Familiaridad con el modelo de proyecto utilizado</t>
  </si>
  <si>
    <t>Personal tiempo parcial</t>
  </si>
  <si>
    <t>Capacidad del analista líder</t>
  </si>
  <si>
    <t>Experiencia en la aplicación</t>
  </si>
  <si>
    <t>Experiencia en orientación a objetos</t>
  </si>
  <si>
    <t>Motivación</t>
  </si>
  <si>
    <t>Dificultad del lenguaje de programación</t>
  </si>
  <si>
    <t>Estabilidad de los requerimientos</t>
  </si>
  <si>
    <t>Factor calculado</t>
  </si>
  <si>
    <t xml:space="preserve">              Factor Ambiental Total</t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</si>
  <si>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   significa que el factor tiene un fuerte impacto negativo para el proyecto</t>
    </r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</si>
  <si>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   es medio</t>
    </r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</si>
  <si>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   significa que tiene un fuerte impacto positivo</t>
    </r>
  </si>
  <si>
    <t xml:space="preserve">Paso 4 y 5: </t>
  </si>
  <si>
    <t>Cálculo de UCP sin productividad</t>
  </si>
  <si>
    <t>Cálculo de UCP con productividad</t>
  </si>
  <si>
    <t>Paso 4:</t>
  </si>
  <si>
    <t>UCP = UUCP * TCF * ECF</t>
  </si>
  <si>
    <t>Paso 5:</t>
  </si>
  <si>
    <t>Dado que es un equipo nuevo usaremos PF = 20</t>
  </si>
  <si>
    <t>Interpretación</t>
  </si>
  <si>
    <t>Dado que:</t>
  </si>
  <si>
    <t>UUCP</t>
  </si>
  <si>
    <t>TCF</t>
  </si>
  <si>
    <t>ECF</t>
  </si>
  <si>
    <t>UCP</t>
  </si>
  <si>
    <t>UCP2</t>
  </si>
  <si>
    <t>PF</t>
  </si>
  <si>
    <t>Factor calculado ECF</t>
  </si>
  <si>
    <t>V. Fijo</t>
  </si>
  <si>
    <t>V. Fijo2</t>
  </si>
  <si>
    <t>ECF Final</t>
  </si>
  <si>
    <t>Factor calculado TCP</t>
  </si>
  <si>
    <r>
      <rPr>
        <b/>
        <sz val="11"/>
        <color theme="1"/>
        <rFont val="Aptos Narrow"/>
        <family val="2"/>
        <scheme val="minor"/>
      </rPr>
      <t xml:space="preserve">TCP </t>
    </r>
    <r>
      <rPr>
        <sz val="11"/>
        <color theme="1"/>
        <rFont val="Aptos Narrow"/>
        <family val="2"/>
        <scheme val="minor"/>
      </rPr>
      <t>= 0.6 +( 0.01*Factor Total Técnico) = 0.98</t>
    </r>
  </si>
  <si>
    <t>TCP Final</t>
  </si>
  <si>
    <t>UCP = 20 * 0.98 * 0.665 = 13.034</t>
  </si>
  <si>
    <r>
      <t xml:space="preserve">UCP = 13.034 * 20 = </t>
    </r>
    <r>
      <rPr>
        <i/>
        <u/>
        <sz val="11"/>
        <color theme="1"/>
        <rFont val="Aptos Narrow"/>
        <family val="2"/>
        <scheme val="minor"/>
      </rPr>
      <t>260.68</t>
    </r>
  </si>
  <si>
    <t>horas a la semana</t>
  </si>
  <si>
    <t>Suponiendo</t>
  </si>
  <si>
    <t xml:space="preserve">UCP resultó: </t>
  </si>
  <si>
    <t>El sistema se desarrollará en</t>
  </si>
  <si>
    <t>(aprox. 6 semanas)</t>
  </si>
  <si>
    <t>UCP = 13.034 * PF</t>
  </si>
  <si>
    <t>Simple</t>
  </si>
  <si>
    <t xml:space="preserve"> </t>
  </si>
  <si>
    <t>Realizar denuncia</t>
  </si>
  <si>
    <t>Confirmar o rechazar un punto de interés (POI)</t>
  </si>
  <si>
    <t>Crear un evento de limpieza</t>
  </si>
  <si>
    <r>
      <t>Consultar eventos de limpieza</t>
    </r>
    <r>
      <rPr>
        <sz val="10"/>
        <color theme="1"/>
        <rFont val="Segoe UI"/>
        <family val="2"/>
      </rPr>
      <t> (</t>
    </r>
    <r>
      <rPr>
        <sz val="10"/>
        <color theme="1"/>
        <rFont val="Segoe UI"/>
        <family val="2"/>
      </rPr>
      <t>Pro-Natura)</t>
    </r>
  </si>
  <si>
    <t>Consultar indicadores y métricas (Pro-Natura)</t>
  </si>
  <si>
    <t>Buscar basureros reportados con filtros (Pro-Natura)</t>
  </si>
  <si>
    <t>Complejo</t>
  </si>
  <si>
    <t>Resultados</t>
  </si>
  <si>
    <t>Peso (factor)</t>
  </si>
  <si>
    <t>Núm Casos de Uso</t>
  </si>
  <si>
    <r>
      <rPr>
        <b/>
        <sz val="11"/>
        <color theme="1"/>
        <rFont val="Aptos Narrow"/>
        <family val="2"/>
        <scheme val="minor"/>
      </rPr>
      <t>UUCW</t>
    </r>
    <r>
      <rPr>
        <sz val="11"/>
        <color theme="1"/>
        <rFont val="Aptos Narrow"/>
        <family val="2"/>
        <scheme val="minor"/>
      </rPr>
      <t xml:space="preserve"> =  Σ (cantidad de un Tipo de Caso Uso*Factor)</t>
    </r>
  </si>
  <si>
    <r>
      <rPr>
        <b/>
        <sz val="11"/>
        <color theme="1"/>
        <rFont val="Aptos Narrow"/>
        <family val="2"/>
        <scheme val="minor"/>
      </rPr>
      <t>UAW</t>
    </r>
    <r>
      <rPr>
        <sz val="11"/>
        <color theme="1"/>
        <rFont val="Aptos Narrow"/>
        <family val="2"/>
        <scheme val="minor"/>
      </rPr>
      <t>=Σ (cantidad de un Tipo de Actor*Factor)</t>
    </r>
  </si>
  <si>
    <t xml:space="preserve">            </t>
  </si>
  <si>
    <t xml:space="preserve">                       </t>
  </si>
  <si>
    <t>Sistema</t>
  </si>
  <si>
    <t>Ciudadano</t>
  </si>
  <si>
    <t>Pro-Natura</t>
  </si>
  <si>
    <r>
      <rPr>
        <b/>
        <sz val="11"/>
        <color theme="1"/>
        <rFont val="Aptos Narrow"/>
        <family val="2"/>
        <scheme val="minor"/>
      </rPr>
      <t xml:space="preserve">TCF </t>
    </r>
    <r>
      <rPr>
        <sz val="11"/>
        <color theme="1"/>
        <rFont val="Aptos Narrow"/>
        <family val="2"/>
        <scheme val="minor"/>
      </rPr>
      <t>= 0.6 +( 0.01*Factor Total Técnico) = 0.98</t>
    </r>
  </si>
  <si>
    <t>Factor calculado TCF</t>
  </si>
  <si>
    <t>TCF Final</t>
  </si>
  <si>
    <r>
      <rPr>
        <b/>
        <sz val="11"/>
        <color theme="1"/>
        <rFont val="Aptos Narrow"/>
        <family val="2"/>
        <scheme val="minor"/>
      </rPr>
      <t>PASO 2:</t>
    </r>
    <r>
      <rPr>
        <sz val="11"/>
        <color theme="1"/>
        <rFont val="Aptos Narrow"/>
        <family val="2"/>
        <scheme val="minor"/>
      </rPr>
      <t xml:space="preserve"> Cálculo de TCF</t>
    </r>
  </si>
  <si>
    <t>semanas</t>
  </si>
  <si>
    <t xml:space="preserve">Recursos: </t>
  </si>
  <si>
    <t xml:space="preserve">Humanos </t>
  </si>
  <si>
    <t xml:space="preserve">-2 Programadores. </t>
  </si>
  <si>
    <t xml:space="preserve">-1 Analista </t>
  </si>
  <si>
    <t xml:space="preserve">Económicos </t>
  </si>
  <si>
    <t xml:space="preserve">-Instancia de Google Cloud $300 mensuales. </t>
  </si>
  <si>
    <t xml:space="preserve">-Desabolladores y analista </t>
  </si>
  <si>
    <t xml:space="preserve">$84000 mensuales </t>
  </si>
  <si>
    <t xml:space="preserve">-Desarrollo total por 3 meses: $254,000 </t>
  </si>
  <si>
    <t>analista 200 por hora</t>
  </si>
  <si>
    <t>programadores 250 por hora</t>
  </si>
  <si>
    <t>costo total protyecto</t>
  </si>
  <si>
    <t>por mes</t>
  </si>
  <si>
    <t>diferencia</t>
  </si>
  <si>
    <t>programadores 100 por hora</t>
  </si>
  <si>
    <t>analista 150 por hora</t>
  </si>
  <si>
    <t>Visualización de inmuebles</t>
  </si>
  <si>
    <t>Detalles de inmueble</t>
  </si>
  <si>
    <t>Registro de agente</t>
  </si>
  <si>
    <t>Inicio de sesión de agente</t>
  </si>
  <si>
    <t>Gestión de inmuebles por agente</t>
  </si>
  <si>
    <t>Sección de contacto</t>
  </si>
  <si>
    <t>Comentarios</t>
  </si>
  <si>
    <t>Agente inmobiliario</t>
  </si>
  <si>
    <t>Usuario (cliente)</t>
  </si>
  <si>
    <t>Paso 1: Identificación y Clasificación de los Elementos de Información</t>
  </si>
  <si>
    <t>Paso 2: Asignación de Complejidad y Ponderación</t>
  </si>
  <si>
    <t>1. Entradas Externas (EE)</t>
  </si>
  <si>
    <t>Elemento</t>
  </si>
  <si>
    <t>Complejidad</t>
  </si>
  <si>
    <t>Puntos</t>
  </si>
  <si>
    <t>Justificación</t>
  </si>
  <si>
    <t>Reporte de basurero clandestino</t>
  </si>
  <si>
    <t>Permite a los ciudadanos reportar un basurero con detalles y geolocalización.</t>
  </si>
  <si>
    <t>Media</t>
  </si>
  <si>
    <t>Involucra varios campos, incluidos datos de ubicación y multimedia.</t>
  </si>
  <si>
    <t>Confirmación de POI</t>
  </si>
  <si>
    <t>Los ciudadanos confirman o rechazan la validez de puntos de interés reportados.</t>
  </si>
  <si>
    <t>Es una entrada simple pero con una validación básica.</t>
  </si>
  <si>
    <t>2. Salidas Externas (SE)</t>
  </si>
  <si>
    <t>Mensajes de confirmación o error</t>
  </si>
  <si>
    <t>Notificaciones al usuario tras enviar reportes o confirmar POIs.</t>
  </si>
  <si>
    <t>Genera mensajes simples y directos al usuario sin procesamiento adicional.</t>
  </si>
  <si>
    <t>Notificación de eventos</t>
  </si>
  <si>
    <t>Notificaciones sobre eventos de limpieza programados por Pro-Natura.</t>
  </si>
  <si>
    <t>Proporciona información de eventos en un formato básico, sin consultas o cálculos complejos.</t>
  </si>
  <si>
    <t>3. Consultas Externas (CE)</t>
  </si>
  <si>
    <t>Consulta de eventos de limpieza</t>
  </si>
  <si>
    <t>Permite que los usuarios vean los eventos de limpieza próximos.</t>
  </si>
  <si>
    <t>Realiza consultas de eventos en una interfaz simple de solo lectura.</t>
  </si>
  <si>
    <t>Consulta de POIs</t>
  </si>
  <si>
    <t>Permite que los usuarios vean puntos de interés de reportes.</t>
  </si>
  <si>
    <t>Consulta POIs existentes con detalles limitados.</t>
  </si>
  <si>
    <t>4. Archivos Lógicos Internos (ALI)</t>
  </si>
  <si>
    <t>Archivo de denuncias</t>
  </si>
  <si>
    <t>Almacena información sobre los basureros reportados.</t>
  </si>
  <si>
    <t>Alta</t>
  </si>
  <si>
    <t>Requiere mantener datos de ubicación, detalles y estado, así como imágenes de los reportes.</t>
  </si>
  <si>
    <t>Archivo de eventos de limpieza</t>
  </si>
  <si>
    <t>Almacena datos de eventos programados por Pro-Natura.</t>
  </si>
  <si>
    <t>Debe almacenar información de eventos, incluyendo fechas, ubicaciones y detalles, y admite modificaciones.</t>
  </si>
  <si>
    <t>5. Archivos de Interfaz Externos (AIE)</t>
  </si>
  <si>
    <t>Datos de sistema geográfico</t>
  </si>
  <si>
    <t>Permite el acceso a datos de geolocalización externos.</t>
  </si>
  <si>
    <t>Almacena datos geográficos externos que se usan en el sistema para localizar puntos de interés y eventos.</t>
  </si>
  <si>
    <t>Valor dominio de información</t>
  </si>
  <si>
    <t>Conteo</t>
  </si>
  <si>
    <t>Factor ponderado</t>
  </si>
  <si>
    <t>Promedio</t>
  </si>
  <si>
    <t>Total puntos</t>
  </si>
  <si>
    <t>Entradas externas (EE)</t>
  </si>
  <si>
    <t>Promedio (4)</t>
  </si>
  <si>
    <t>Salidas externas (SE)</t>
  </si>
  <si>
    <t>Simple (3)</t>
  </si>
  <si>
    <t>Consultas externas (CE)</t>
  </si>
  <si>
    <t>Archivos lógicos internos (ALI)</t>
  </si>
  <si>
    <t>Complejo (15)</t>
  </si>
  <si>
    <t>Archivos de interfaz externos (AIE)</t>
  </si>
  <si>
    <t>Promedio (7)</t>
  </si>
  <si>
    <t>Paso 4. Obtener los Factores de ajuste de valor (FAV)</t>
  </si>
  <si>
    <t>Pregunta</t>
  </si>
  <si>
    <t>Valor</t>
  </si>
  <si>
    <t>1. ¿El sistema requiere respaldo y recuperación confiables?</t>
  </si>
  <si>
    <t>2. ¿Se requieren comunicaciones de datos especializadas?</t>
  </si>
  <si>
    <t>3. ¿Existen funciones de procesamiento distribuidas?</t>
  </si>
  <si>
    <t>4. ¿El desempeño es crucial?</t>
  </si>
  <si>
    <t>5. ¿El sistema correrá en un entorno operativo existente?</t>
  </si>
  <si>
    <t>6. ¿El sistema requiere entrada de datos en línea?</t>
  </si>
  <si>
    <t>7. ¿La entrada de datos en línea requiere múltiples pantallas?</t>
  </si>
  <si>
    <t>8. ¿Los ALI se actualizan en línea?</t>
  </si>
  <si>
    <t>9. ¿Las entradas, salidas, archivos o consultas son complejos?</t>
  </si>
  <si>
    <t>10. ¿El procesamiento interno es complejo?</t>
  </si>
  <si>
    <t>11. ¿El código se diseña para ser reutilizable?</t>
  </si>
  <si>
    <t>12. ¿La conversión y la instalación se incluyen en el diseño?</t>
  </si>
  <si>
    <t>13. ¿El sistema se diseña para instalaciones múltiples?</t>
  </si>
  <si>
    <t>14. ¿La aplicación facilita el cambio y uso por parte del usuario?</t>
  </si>
  <si>
    <t>Paso 3. Obtener el Conteo Total</t>
  </si>
  <si>
    <t>Conteo Total</t>
  </si>
  <si>
    <t>PFA</t>
  </si>
  <si>
    <t>Posible interpretación de Complejidad</t>
  </si>
  <si>
    <t>Sencilla hasta 100 puntos</t>
  </si>
  <si>
    <t>Media 101 a 300 puntos</t>
  </si>
  <si>
    <t>Difícil de 301 a 500 puntos</t>
  </si>
  <si>
    <t>Cálculo del esfuerzo horas/persona.</t>
  </si>
  <si>
    <t>Suponiendo una jornada de 8 horas de trabajo:</t>
  </si>
  <si>
    <t>Duración del proyecto en horas (asignándolo a un equipo de 3):</t>
  </si>
  <si>
    <t>FAV</t>
  </si>
  <si>
    <t xml:space="preserve">PFA / ( 1 / 8 ) = 56/.125 = </t>
  </si>
  <si>
    <t># personas</t>
  </si>
  <si>
    <t>Hhrs/Prsnas</t>
  </si>
  <si>
    <t xml:space="preserve">Se calculan 100 horas productivas de las 8 horas de la jornada laboral en 20 días hábiles </t>
  </si>
  <si>
    <t>Cálculo del esfuerzo horas/persona (duración en meses)</t>
  </si>
  <si>
    <t>Hora/miembro</t>
  </si>
  <si>
    <t>Hora x mes</t>
  </si>
  <si>
    <t>Horas productivas x mes</t>
  </si>
  <si>
    <t>Paso 5. Aplicar la fórmula PFA = conteo total x [0.65 + 0.01 x SUM(Fi)]</t>
  </si>
  <si>
    <r>
      <t xml:space="preserve">En el proyecto </t>
    </r>
    <r>
      <rPr>
        <b/>
        <sz val="11"/>
        <color theme="1"/>
        <rFont val="Aptos Narrow"/>
        <family val="2"/>
        <scheme val="minor"/>
      </rPr>
      <t>Pro-Natura</t>
    </r>
    <r>
      <rPr>
        <sz val="11"/>
        <color theme="1"/>
        <rFont val="Aptos Narrow"/>
        <family val="2"/>
        <scheme val="minor"/>
      </rPr>
      <t>, esto incluye formularios para reportar basureros clandestinos, con datos como ubicación, descripción y fotografías.</t>
    </r>
  </si>
  <si>
    <r>
      <t xml:space="preserve">En </t>
    </r>
    <r>
      <rPr>
        <b/>
        <sz val="11"/>
        <color theme="1"/>
        <rFont val="Aptos Narrow"/>
        <family val="2"/>
        <scheme val="minor"/>
      </rPr>
      <t>Pro-Natura</t>
    </r>
    <r>
      <rPr>
        <sz val="11"/>
        <color theme="1"/>
        <rFont val="Aptos Narrow"/>
        <family val="2"/>
        <scheme val="minor"/>
      </rPr>
      <t>, esto podría incluir confirmaciones al usuario tras reportar un basurero, o notificaciones de eventos de limpieza próximos.</t>
    </r>
  </si>
  <si>
    <r>
      <t xml:space="preserve">En </t>
    </r>
    <r>
      <rPr>
        <b/>
        <sz val="11"/>
        <color theme="1"/>
        <rFont val="Aptos Narrow"/>
        <family val="2"/>
        <scheme val="minor"/>
      </rPr>
      <t>Pro-Natura</t>
    </r>
    <r>
      <rPr>
        <sz val="11"/>
        <color theme="1"/>
        <rFont val="Aptos Narrow"/>
        <family val="2"/>
        <scheme val="minor"/>
      </rPr>
      <t>, esto incluiría la consulta de eventos de limpieza y puntos de interés (POIs) reportados, permitiendo a los usuarios ver eventos o puntos de recolección cercanos.</t>
    </r>
  </si>
  <si>
    <r>
      <t xml:space="preserve">En </t>
    </r>
    <r>
      <rPr>
        <b/>
        <sz val="11"/>
        <color theme="1"/>
        <rFont val="Aptos Narrow"/>
        <family val="2"/>
        <scheme val="minor"/>
      </rPr>
      <t>Pro-Natura</t>
    </r>
    <r>
      <rPr>
        <sz val="11"/>
        <color theme="1"/>
        <rFont val="Aptos Narrow"/>
        <family val="2"/>
        <scheme val="minor"/>
      </rPr>
      <t>, los archivos de denuncias de basureros y de eventos de limpieza conforman los archivos lógicos internos, organizando y guardando datos para referencia futura.</t>
    </r>
  </si>
  <si>
    <r>
      <t xml:space="preserve">En </t>
    </r>
    <r>
      <rPr>
        <b/>
        <sz val="11"/>
        <color theme="1"/>
        <rFont val="Aptos Narrow"/>
        <family val="2"/>
        <scheme val="minor"/>
      </rPr>
      <t>Pro-Natura</t>
    </r>
    <r>
      <rPr>
        <sz val="11"/>
        <color theme="1"/>
        <rFont val="Aptos Narrow"/>
        <family val="2"/>
        <scheme val="minor"/>
      </rPr>
      <t>, estos archivos incluyen datos externos de geolocalización, los cuales permiten ubicar los basureros y eventos en el mapa de forma precisa.</t>
    </r>
  </si>
  <si>
    <r>
      <t>1.Entradas Externas (EE)</t>
    </r>
    <r>
      <rPr>
        <sz val="11"/>
        <color theme="1"/>
        <rFont val="Aptos Narrow"/>
        <family val="2"/>
        <scheme val="minor"/>
      </rPr>
      <t>: Se refiere a los datos que el usuario o sistema envía a la aplicación, activando acciones o actualizando información.</t>
    </r>
  </si>
  <si>
    <r>
      <t>2.Salidas Externas (SE)</t>
    </r>
    <r>
      <rPr>
        <sz val="11"/>
        <color theme="1"/>
        <rFont val="Aptos Narrow"/>
        <family val="2"/>
        <scheme val="minor"/>
      </rPr>
      <t>: Son salidas generadas por el sistema que se envían al usuario, tales como mensajes, reportes o notificaciones.</t>
    </r>
  </si>
  <si>
    <r>
      <t>3.Consultas Externas (CE)</t>
    </r>
    <r>
      <rPr>
        <sz val="11"/>
        <color theme="1"/>
        <rFont val="Aptos Narrow"/>
        <family val="2"/>
        <scheme val="minor"/>
      </rPr>
      <t>: Consultas que permiten obtener información específica del sistema sin modificar los datos, como búsquedas o visualizaciones.</t>
    </r>
  </si>
  <si>
    <r>
      <t>4.Archivos Lógicos Internos (ALI)</t>
    </r>
    <r>
      <rPr>
        <sz val="11"/>
        <color theme="1"/>
        <rFont val="Aptos Narrow"/>
        <family val="2"/>
        <scheme val="minor"/>
      </rPr>
      <t>: Son agrupaciones de datos que se mantienen dentro del sistema, estructurados para almacenamiento y recuperación.</t>
    </r>
  </si>
  <si>
    <r>
      <t>5.Archivos de Interfaz Externos (AIE)</t>
    </r>
    <r>
      <rPr>
        <sz val="11"/>
        <color theme="1"/>
        <rFont val="Aptos Narrow"/>
        <family val="2"/>
        <scheme val="minor"/>
      </rPr>
      <t>: Datos externos al sistema que se usan para complementar la información o mejorar las funcionalidades del sistema.</t>
    </r>
  </si>
  <si>
    <r>
      <t>Definición</t>
    </r>
    <r>
      <rPr>
        <sz val="11"/>
        <color theme="1"/>
        <rFont val="Aptos Narrow"/>
        <family val="2"/>
        <scheme val="minor"/>
      </rPr>
      <t>: Datos ingresados por el usuario o el sistema.</t>
    </r>
  </si>
  <si>
    <t>Formulario de inicio de sesión para agentes inmobiliarios.</t>
  </si>
  <si>
    <t>Formulario de creación de nuevos inmuebles (nombre, precio, descripción, etc.).</t>
  </si>
  <si>
    <t>Sección para comentarios de los usuarios sobre la empresa.</t>
  </si>
  <si>
    <r>
      <t>Definición</t>
    </r>
    <r>
      <rPr>
        <sz val="11"/>
        <color theme="1"/>
        <rFont val="Aptos Narrow"/>
        <family val="2"/>
        <scheme val="minor"/>
      </rPr>
      <t>: Información que el sistema envía a los usuarios.</t>
    </r>
  </si>
  <si>
    <t>Visualización de catálogos de inmuebles en la página de inicio.</t>
  </si>
  <si>
    <t>Mensajes de confirmación para los agentes después de agregar o actualizar un inmueble.</t>
  </si>
  <si>
    <r>
      <t>Definición</t>
    </r>
    <r>
      <rPr>
        <sz val="11"/>
        <color theme="1"/>
        <rFont val="Aptos Narrow"/>
        <family val="2"/>
        <scheme val="minor"/>
      </rPr>
      <t>: Permiten al usuario recuperar información específica.</t>
    </r>
  </si>
  <si>
    <t>Consulta de inmuebles disponibles filtrados por ubicación o precio.</t>
  </si>
  <si>
    <t>Búsqueda de inmuebles específicos.</t>
  </si>
  <si>
    <r>
      <t>Definición</t>
    </r>
    <r>
      <rPr>
        <sz val="11"/>
        <color theme="1"/>
        <rFont val="Aptos Narrow"/>
        <family val="2"/>
        <scheme val="minor"/>
      </rPr>
      <t>: Conjuntos de datos mantenidos dentro del sistema.</t>
    </r>
  </si>
  <si>
    <t>Base de datos de inmuebles (precio, ubicación, imágenes).</t>
  </si>
  <si>
    <t>Información de agentes (nombre, contacto, propiedades asignadas).</t>
  </si>
  <si>
    <r>
      <t>Definición</t>
    </r>
    <r>
      <rPr>
        <sz val="11"/>
        <color theme="1"/>
        <rFont val="Aptos Narrow"/>
        <family val="2"/>
        <scheme val="minor"/>
      </rPr>
      <t>: Datos externos al sistema, pero accesibles para su uso.</t>
    </r>
  </si>
  <si>
    <t>Información proveniente de sistemas de Google Maps para ubicación de inmuebles.</t>
  </si>
  <si>
    <r>
      <t>En Arrow</t>
    </r>
    <r>
      <rPr>
        <sz val="11"/>
        <color theme="1"/>
        <rFont val="Aptos Narrow"/>
        <family val="2"/>
        <scheme val="minor"/>
      </rPr>
      <t>:</t>
    </r>
  </si>
  <si>
    <t>Se necesita protección de datos, como propiedades y usuarios, ante fallos del sistema.</t>
  </si>
  <si>
    <t>Requiere conexión a servicios de terceros, como Google Maps.</t>
  </si>
  <si>
    <t>Múltiples agentes acceden desde diversas ubicaciones, por lo que se necesita un procesamiento distribuido.</t>
  </si>
  <si>
    <t>Es importante para búsquedas rápidas y carga de datos en la interfaz de usuario.</t>
  </si>
  <si>
    <t>Se integra en navegadores y equipos comunes dentro del entorno de bienes raíces.</t>
  </si>
  <si>
    <t>Los agentes inmobiliarios ingresan datos en tiempo real al sistema.</t>
  </si>
  <si>
    <t>La entrada de datos es sencilla y probablemente se realiza en una sola interfaz de usuario.</t>
  </si>
  <si>
    <t>La base de datos de propiedades y usuarios se actualiza constantemente.</t>
  </si>
  <si>
    <t>Maneja consultas complejas y muestra datos relevantes en la interfaz de usuario.</t>
  </si>
  <si>
    <t>Involucra búsqueda, ordenamiento y filtros de propiedades, con un nivel de complejidad moderado.</t>
  </si>
  <si>
    <t>La reutilización no es un objetivo central, aunque algunas consultas pueden ser reutilizadas.</t>
  </si>
  <si>
    <t>Incluye instalación en servidores y configuración básica.</t>
  </si>
  <si>
    <t>Permite acceso desde múltiples ubicaciones y dispositivos.</t>
  </si>
  <si>
    <t>Diseñada para ser intuitiva y fácil de usar para los agentes y administradores.</t>
  </si>
  <si>
    <t>Necesita medidas básicas de respaldo debido a la importancia de los datos de reportes de basureros.</t>
  </si>
  <si>
    <t>No requiere comunicaciones avanzadas; la aplicación utiliza redes comunes para transmisión de datos.</t>
  </si>
  <si>
    <t>Se espera que el sistema sea usado en varias ubicaciones, como zonas remotas y áreas urbanas.</t>
  </si>
  <si>
    <t>La velocidad de respuesta es importante para los usuarios, aunque no crítica.</t>
  </si>
  <si>
    <t>El sistema se integrará en equipos y sistemas de uso común para los colaboradores y usuarios.</t>
  </si>
  <si>
    <t>Los usuarios ingresan reportes en tiempo real, lo que requiere conectividad continua.</t>
  </si>
  <si>
    <t>La entrada de datos es directa y probablemente se realiza en una interfaz sencilla.</t>
  </si>
  <si>
    <t>Los registros de basureros reportados y eventos de limpieza se actualizan continuamente.</t>
  </si>
  <si>
    <t>Las consultas y operaciones de búsqueda son moderadamente complejas, aunque no críticas.</t>
  </si>
  <si>
    <t>Incluye procesos de gestión básica de información; la complejidad es baja.</t>
  </si>
  <si>
    <t>Se busca que el código sea reutilizable para futuras ampliaciones o nuevos proyectos.</t>
  </si>
  <si>
    <t>El diseño incluye una instalación sencilla y posibles conversiones de datos existentes.</t>
  </si>
  <si>
    <t>No se espera su instalación en muchos entornos diferentes, aunque algunos pueden ser variados.</t>
  </si>
  <si>
    <t>Está diseñada para ser intuitiva y fácil de usar, permitiendo cambios sin mucha capacitación adicional.</t>
  </si>
  <si>
    <t>Programadores 250 por hora</t>
  </si>
  <si>
    <t>Analista 200 por hora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</si>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</sst>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7"/>
      <color rgb="FF000000"/>
      <name val="Calibri"/>
      <family val="2"/>
    </font>
    <font>
      <sz val="11"/>
      <color theme="1"/>
      <name val="Berlin Sans FB"/>
      <family val="2"/>
    </font>
    <font>
      <i/>
      <sz val="11"/>
      <color rgb="FF000000"/>
      <name val="Berlin Sans FB"/>
      <family val="2"/>
    </font>
    <font>
      <sz val="11"/>
      <color rgb="FF000000"/>
      <name val="Berlin Sans FB"/>
      <family val="2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3" borderId="0" xfId="0" applyFill="1"/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5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64" fontId="0" fillId="0" borderId="8" xfId="1" applyNumberFormat="1" applyFont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4" fontId="0" fillId="0" borderId="0" xfId="2" applyFont="1"/>
    <xf numFmtId="0" fontId="0" fillId="0" borderId="0" xfId="2" applyNumberFormat="1" applyFont="1"/>
    <xf numFmtId="44" fontId="0" fillId="0" borderId="0" xfId="0" applyNumberFormat="1"/>
    <xf numFmtId="0" fontId="1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5" borderId="15" xfId="0" applyFont="1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/>
    <xf numFmtId="0" fontId="1" fillId="6" borderId="17" xfId="0" applyFont="1" applyFill="1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0" xfId="0" applyFill="1"/>
    <xf numFmtId="0" fontId="0" fillId="0" borderId="9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6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1" fillId="5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" fillId="6" borderId="18" xfId="0" applyFont="1" applyFill="1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17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21" xfId="0" applyFill="1" applyBorder="1"/>
    <xf numFmtId="0" fontId="0" fillId="0" borderId="22" xfId="0" applyBorder="1" applyAlignment="1">
      <alignment vertical="center"/>
    </xf>
    <xf numFmtId="0" fontId="0" fillId="0" borderId="12" xfId="0" applyBorder="1"/>
    <xf numFmtId="44" fontId="18" fillId="7" borderId="0" xfId="0" applyNumberFormat="1" applyFont="1" applyFill="1"/>
    <xf numFmtId="44" fontId="18" fillId="5" borderId="0" xfId="0" applyNumberFormat="1" applyFont="1" applyFill="1"/>
  </cellXfs>
  <cellStyles count="3">
    <cellStyle name="Millares" xfId="1" builtinId="3"/>
    <cellStyle name="Moneda" xfId="2" builtinId="4"/>
    <cellStyle name="Normal" xfId="0" builtinId="0"/>
  </cellStyles>
  <dxfs count="15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18</xdr:row>
      <xdr:rowOff>304800</xdr:rowOff>
    </xdr:from>
    <xdr:to>
      <xdr:col>11</xdr:col>
      <xdr:colOff>511117</xdr:colOff>
      <xdr:row>24</xdr:row>
      <xdr:rowOff>78336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854DE0-1C49-900B-8819-83DF04FFB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3571875"/>
          <a:ext cx="4132522" cy="1655676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</xdr:row>
      <xdr:rowOff>171450</xdr:rowOff>
    </xdr:from>
    <xdr:to>
      <xdr:col>11</xdr:col>
      <xdr:colOff>589235</xdr:colOff>
      <xdr:row>12</xdr:row>
      <xdr:rowOff>95516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6896CAC-F141-1501-A9C4-4E1D87125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352425"/>
          <a:ext cx="4231595" cy="19014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760095</xdr:colOff>
      <xdr:row>22</xdr:row>
      <xdr:rowOff>81915</xdr:rowOff>
    </xdr:from>
    <xdr:to>
      <xdr:col>10</xdr:col>
      <xdr:colOff>2136397</xdr:colOff>
      <xdr:row>27</xdr:row>
      <xdr:rowOff>135510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D30E09-4DE9-C2EC-9F17-1D82F1DF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2670" y="2110740"/>
          <a:ext cx="6394072" cy="182524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</xdr:colOff>
      <xdr:row>31</xdr:row>
      <xdr:rowOff>24765</xdr:rowOff>
    </xdr:from>
    <xdr:to>
      <xdr:col>10</xdr:col>
      <xdr:colOff>2174494</xdr:colOff>
      <xdr:row>35</xdr:row>
      <xdr:rowOff>135546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5981F4-D682-8B7D-0FA4-1425150C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0295" y="4587240"/>
          <a:ext cx="6399784" cy="2082456"/>
        </a:xfrm>
        <a:prstGeom prst="rect">
          <a:avLst/>
        </a:prstGeom>
      </xdr:spPr>
    </xdr:pic>
    <xdr:clientData/>
  </xdr:twoCellAnchor>
  <xdr:twoCellAnchor editAs="oneCell">
    <xdr:from>
      <xdr:col>7</xdr:col>
      <xdr:colOff>782955</xdr:colOff>
      <xdr:row>39</xdr:row>
      <xdr:rowOff>64770</xdr:rowOff>
    </xdr:from>
    <xdr:to>
      <xdr:col>10</xdr:col>
      <xdr:colOff>1679131</xdr:colOff>
      <xdr:row>45</xdr:row>
      <xdr:rowOff>57375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31CD82B-FD35-4583-E82A-7FB760CDB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5530" y="8084820"/>
          <a:ext cx="5913946" cy="1627095"/>
        </a:xfrm>
        <a:prstGeom prst="rect">
          <a:avLst/>
        </a:prstGeom>
      </xdr:spPr>
    </xdr:pic>
    <xdr:clientData/>
  </xdr:twoCellAnchor>
  <xdr:twoCellAnchor editAs="oneCell">
    <xdr:from>
      <xdr:col>7</xdr:col>
      <xdr:colOff>735330</xdr:colOff>
      <xdr:row>47</xdr:row>
      <xdr:rowOff>114300</xdr:rowOff>
    </xdr:from>
    <xdr:to>
      <xdr:col>10</xdr:col>
      <xdr:colOff>2172603</xdr:colOff>
      <xdr:row>52</xdr:row>
      <xdr:rowOff>133608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B1FC190-2CB5-2451-7619-79E98FBA4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7905" y="10363200"/>
          <a:ext cx="6449328" cy="1840488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</xdr:colOff>
      <xdr:row>54</xdr:row>
      <xdr:rowOff>40005</xdr:rowOff>
    </xdr:from>
    <xdr:to>
      <xdr:col>10</xdr:col>
      <xdr:colOff>2092569</xdr:colOff>
      <xdr:row>61</xdr:row>
      <xdr:rowOff>173637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1BB0A25-790B-A82D-153B-9F762133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4105" y="12841605"/>
          <a:ext cx="6294999" cy="20062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18</xdr:row>
      <xdr:rowOff>304800</xdr:rowOff>
    </xdr:from>
    <xdr:to>
      <xdr:col>11</xdr:col>
      <xdr:colOff>514927</xdr:colOff>
      <xdr:row>27</xdr:row>
      <xdr:rowOff>17376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887DEC-5915-4704-9632-4D93CC82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0830" y="3571875"/>
          <a:ext cx="4142047" cy="1659486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</xdr:row>
      <xdr:rowOff>171450</xdr:rowOff>
    </xdr:from>
    <xdr:to>
      <xdr:col>11</xdr:col>
      <xdr:colOff>593045</xdr:colOff>
      <xdr:row>12</xdr:row>
      <xdr:rowOff>91706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080DF-D6A0-42C1-B67F-A77B2962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0830" y="348615"/>
          <a:ext cx="4220165" cy="1914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672465</xdr:colOff>
      <xdr:row>0</xdr:row>
      <xdr:rowOff>131445</xdr:rowOff>
    </xdr:from>
    <xdr:to>
      <xdr:col>11</xdr:col>
      <xdr:colOff>892</xdr:colOff>
      <xdr:row>10</xdr:row>
      <xdr:rowOff>55500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C3AB4-71D4-4D0F-ACFD-11055B430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390" y="131445"/>
          <a:ext cx="6405502" cy="181953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781050</xdr:colOff>
      <xdr:row>10</xdr:row>
      <xdr:rowOff>129540</xdr:rowOff>
    </xdr:from>
    <xdr:to>
      <xdr:col>11</xdr:col>
      <xdr:colOff>65659</xdr:colOff>
      <xdr:row>21</xdr:row>
      <xdr:rowOff>177456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1A24C-42ED-4CB2-BA09-63E460548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7975" y="2025015"/>
          <a:ext cx="6361684" cy="2076741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</xdr:colOff>
      <xdr:row>22</xdr:row>
      <xdr:rowOff>66675</xdr:rowOff>
    </xdr:from>
    <xdr:to>
      <xdr:col>10</xdr:col>
      <xdr:colOff>465646</xdr:colOff>
      <xdr:row>31</xdr:row>
      <xdr:rowOff>21180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FE26FB-B250-4BC9-A63D-12567C85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2270" y="4171950"/>
          <a:ext cx="5896801" cy="1621380"/>
        </a:xfrm>
        <a:prstGeom prst="rect">
          <a:avLst/>
        </a:prstGeom>
      </xdr:spPr>
    </xdr:pic>
    <xdr:clientData/>
  </xdr:twoCellAnchor>
  <xdr:twoCellAnchor editAs="oneCell">
    <xdr:from>
      <xdr:col>6</xdr:col>
      <xdr:colOff>771525</xdr:colOff>
      <xdr:row>31</xdr:row>
      <xdr:rowOff>102870</xdr:rowOff>
    </xdr:from>
    <xdr:to>
      <xdr:col>11</xdr:col>
      <xdr:colOff>172353</xdr:colOff>
      <xdr:row>41</xdr:row>
      <xdr:rowOff>112653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1EF511-6946-46E4-AE84-422B2D85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8450" y="5875020"/>
          <a:ext cx="6477903" cy="1838583"/>
        </a:xfrm>
        <a:prstGeom prst="rect">
          <a:avLst/>
        </a:prstGeom>
      </xdr:spPr>
    </xdr:pic>
    <xdr:clientData/>
  </xdr:twoCellAnchor>
  <xdr:twoCellAnchor editAs="oneCell">
    <xdr:from>
      <xdr:col>7</xdr:col>
      <xdr:colOff>150495</xdr:colOff>
      <xdr:row>42</xdr:row>
      <xdr:rowOff>49530</xdr:rowOff>
    </xdr:from>
    <xdr:to>
      <xdr:col>11</xdr:col>
      <xdr:colOff>141849</xdr:colOff>
      <xdr:row>52</xdr:row>
      <xdr:rowOff>173637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98EF533-2514-4DEA-A3F5-455750A1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7995" y="7831455"/>
          <a:ext cx="6277854" cy="19814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18</xdr:row>
      <xdr:rowOff>371475</xdr:rowOff>
    </xdr:from>
    <xdr:to>
      <xdr:col>12</xdr:col>
      <xdr:colOff>396910</xdr:colOff>
      <xdr:row>26</xdr:row>
      <xdr:rowOff>167979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6F94DE-1571-49FA-9DE6-EE865CE14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3817620"/>
          <a:ext cx="4810795" cy="243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08789-3B70-4430-A235-BE8503F99D2F}" name="Tabla1" displayName="Tabla1" ref="B9:E12" totalsRowShown="0">
  <autoFilter ref="B9:E12" xr:uid="{61908789-3B70-4430-A235-BE8503F99D2F}"/>
  <tableColumns count="4">
    <tableColumn id="1" xr3:uid="{12FED7F2-24F5-4EDD-8D1A-AF4D67CC1764}" name="Actor"/>
    <tableColumn id="2" xr3:uid="{8DF6AB2F-CCFE-41D9-8275-75C1E4DF94AA}" name="Núm. De Actores" dataDxfId="155"/>
    <tableColumn id="3" xr3:uid="{63B667E6-3A91-451A-8CD2-E8F27207A50B}" name="Peso" dataDxfId="154"/>
    <tableColumn id="4" xr3:uid="{85CE37CE-5C62-4ED8-8D88-012E798349E0}" name="Resultado" dataDxfId="15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FD1AC-6F7C-4F4B-B3BA-A76557A477DB}" name="Tabla13" displayName="Tabla13" ref="B17:E21" totalsRowShown="0">
  <autoFilter ref="B17:E21" xr:uid="{0C1FD1AC-6F7C-4F4B-B3BA-A76557A477DB}"/>
  <tableColumns count="4">
    <tableColumn id="1" xr3:uid="{2107EF8D-5974-4BE1-8BBF-C51594206A8B}" name="Caso de Uso"/>
    <tableColumn id="2" xr3:uid="{653B1134-079F-4125-8A30-5EA92B121548}" name="Tipo" dataDxfId="152"/>
    <tableColumn id="3" xr3:uid="{B8121DD7-18C4-46AE-8FC2-6245ABB09A39}" name="Peso" dataDxfId="151"/>
    <tableColumn id="4" xr3:uid="{85AA758C-C979-48AE-9810-213E78DF2E31}" name="Resultado" dataDxfId="15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FD90BF-CA62-4039-AB92-A793F13A8F1D}" name="Tabla135" displayName="Tabla135" ref="A32:E46" totalsRowShown="0" headerRowDxfId="149">
  <autoFilter ref="A32:E46" xr:uid="{CFFD90BF-CA62-4039-AB92-A793F13A8F1D}"/>
  <tableColumns count="5">
    <tableColumn id="1" xr3:uid="{203329EE-16E4-40C4-BD52-29002AB4385E}" name="Factor técnico"/>
    <tableColumn id="2" xr3:uid="{E7E2A7DD-2C95-46B8-94E4-ABAF54FDCBBB}" name="Descripción" dataDxfId="148"/>
    <tableColumn id="3" xr3:uid="{F2356EE3-539A-4C9F-9EE6-4C515ACF8870}" name="Peso (valor fijo)" dataDxfId="147"/>
    <tableColumn id="4" xr3:uid="{1AA6A7AF-2D79-444D-9BC5-57547A5CC6C9}" name="Impacto percibido" dataDxfId="146"/>
    <tableColumn id="5" xr3:uid="{6CEA0D93-4113-432E-82E8-C32BFA4F1334}" name="Factor calculado" dataDxfId="145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FB13AD-66CD-422E-8623-98F2244F4314}" name="Tabla1356" displayName="Tabla1356" ref="A54:E63" totalsRowShown="0">
  <autoFilter ref="A54:E63" xr:uid="{40FB13AD-66CD-422E-8623-98F2244F4314}"/>
  <tableColumns count="5">
    <tableColumn id="1" xr3:uid="{2743EB99-44A2-4A09-88F4-CCF24275628B}" name="Factor técnico"/>
    <tableColumn id="2" xr3:uid="{68E72D6D-A723-4048-889A-C5CF225DA86A}" name="Descripción" dataDxfId="144"/>
    <tableColumn id="3" xr3:uid="{EFB7CFF3-FB1A-4F47-92C5-CBCB4D01E077}" name="Peso (valor fijo)" dataDxfId="143"/>
    <tableColumn id="4" xr3:uid="{8383103D-A6CC-4E5D-9112-79C3D151D61F}" name="Impacto percibido" dataDxfId="142"/>
    <tableColumn id="5" xr3:uid="{7A87611F-DD27-4E42-9CC3-39D1B8B80AE5}" name="Factor calculado" dataDxfId="14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61D474-0356-4877-9B35-D05004B0A0A0}" name="Tabla6" displayName="Tabla6" ref="B81:E82" totalsRowShown="0" headerRowDxfId="140">
  <autoFilter ref="B81:E82" xr:uid="{8F61D474-0356-4877-9B35-D05004B0A0A0}"/>
  <tableColumns count="4">
    <tableColumn id="1" xr3:uid="{9F351493-DF1F-483E-93DF-079BAD0E2AB9}" name="UUCP" dataDxfId="139">
      <calculatedColumnFormula array="1">Tabla6891011[UUCP]</calculatedColumnFormula>
    </tableColumn>
    <tableColumn id="2" xr3:uid="{D8340AE4-3D50-4B4A-8936-D16F660449F1}" name="TCF" dataDxfId="138">
      <calculatedColumnFormula array="1">Tabla68910[TCP Final]</calculatedColumnFormula>
    </tableColumn>
    <tableColumn id="3" xr3:uid="{913851A0-C425-4617-AA76-E30BC185DA30}" name="ECF" dataDxfId="137">
      <calculatedColumnFormula array="1">Tabla689[ECF Final]</calculatedColumnFormula>
    </tableColumn>
    <tableColumn id="4" xr3:uid="{ADBBE4DB-2F7C-41AA-833B-53E387F1D991}" name="UCP" dataDxfId="136">
      <calculatedColumnFormula>Tabla6[[#This Row],[UUCP]]*Tabla6[[#This Row],[TCF]]*Tabla6[[#This Row],[ECF]]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FE6FCA-3F53-47F2-A474-38A7E0AA6DCE}" name="Tabla68" displayName="Tabla68" ref="C90:E91" totalsRowShown="0" headerRowDxfId="135">
  <autoFilter ref="C90:E91" xr:uid="{B6FE6FCA-3F53-47F2-A474-38A7E0AA6DCE}"/>
  <tableColumns count="3">
    <tableColumn id="2" xr3:uid="{C37C4C87-1A4A-4ACC-8C04-DCCDD18F400C}" name="UCP" dataDxfId="134">
      <calculatedColumnFormula array="1">Tabla6[UCP]</calculatedColumnFormula>
    </tableColumn>
    <tableColumn id="3" xr3:uid="{BCF1F22A-B069-46F5-AB33-EA11203B278D}" name="PF" dataDxfId="133"/>
    <tableColumn id="4" xr3:uid="{A02BA5A5-B91C-4CAE-BF50-279F87A6EC8C}" name="UCP2" dataDxfId="132">
      <calculatedColumnFormula>Tabla68[[#This Row],[UCP]]*Tabla68[[#This Row],[PF]]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5350E4-F32C-42E4-9F1D-CF38B0684FBA}" name="Tabla689" displayName="Tabla689" ref="H55:K56" totalsRowShown="0" headerRowDxfId="131">
  <autoFilter ref="H55:K56" xr:uid="{A95350E4-F32C-42E4-9F1D-CF38B0684FBA}"/>
  <tableColumns count="4">
    <tableColumn id="2" xr3:uid="{E5DE8494-F7E6-460E-96E2-A0CCAB93B566}" name="V. Fijo" dataDxfId="130"/>
    <tableColumn id="3" xr3:uid="{D4DB44DD-3CE1-43F5-8ECD-EF0CE34275BE}" name="V. Fijo2" dataDxfId="129"/>
    <tableColumn id="4" xr3:uid="{2D3C76A9-9D7F-4F8F-B4C5-9C65A1B78991}" name="Factor calculado ECF" dataDxfId="128">
      <calculatedColumnFormula>E63</calculatedColumnFormula>
    </tableColumn>
    <tableColumn id="5" xr3:uid="{A1452F28-5DF9-4AC5-BF1E-D3D2FF05C05D}" name="ECF Final" dataDxfId="127">
      <calculatedColumnFormula>(Tabla689[[#This Row],[V. Fijo2]]*Tabla689[[#This Row],[Factor calculado ECF]])+Tabla689[[#This Row],[V. Fijo]]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8FFA3B-A480-45C2-AD56-63ACD38ED9E6}" name="Tabla68910" displayName="Tabla68910" ref="H34:K35" totalsRowShown="0" headerRowDxfId="126">
  <autoFilter ref="H34:K35" xr:uid="{758FFA3B-A480-45C2-AD56-63ACD38ED9E6}"/>
  <tableColumns count="4">
    <tableColumn id="2" xr3:uid="{880D4483-9AC7-4EB8-98FD-6CDC2EE1CD86}" name="V. Fijo" dataDxfId="125"/>
    <tableColumn id="3" xr3:uid="{03DBD8E5-1C24-4418-8A31-E4C1985543C3}" name="V. Fijo2" dataDxfId="124"/>
    <tableColumn id="4" xr3:uid="{E59722AE-5914-4DA4-A89D-AFDA47AED2E1}" name="Factor calculado TCP" dataDxfId="123">
      <calculatedColumnFormula>E46</calculatedColumnFormula>
    </tableColumn>
    <tableColumn id="5" xr3:uid="{85197CC3-4789-46A2-A670-D6AF0FA4DB42}" name="TCP Final" dataDxfId="122">
      <calculatedColumnFormula>(Tabla68910[[#This Row],[V. Fijo2]]*Tabla68910[[#This Row],[Factor calculado TCP]])+Tabla68910[[#This Row],[V. Fijo]]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B225EC-C688-443D-9ADD-70F8A1275EC4}" name="Tabla6891011" displayName="Tabla6891011" ref="H17:J18" totalsRowShown="0" headerRowDxfId="121">
  <autoFilter ref="H17:J18" xr:uid="{DFB225EC-C688-443D-9ADD-70F8A1275EC4}"/>
  <tableColumns count="3">
    <tableColumn id="2" xr3:uid="{02856CAB-024C-48CE-8B07-CDCCD61AABA7}" name="UAW" dataDxfId="120">
      <calculatedColumnFormula>E12</calculatedColumnFormula>
    </tableColumn>
    <tableColumn id="3" xr3:uid="{5CAB4EF6-5674-4E60-8452-477B00991B2D}" name="UUCW" dataDxfId="119">
      <calculatedColumnFormula>E21</calculatedColumnFormula>
    </tableColumn>
    <tableColumn id="6" xr3:uid="{FE5D5263-E1D8-4B59-97C9-9CD45CAFA19C}" name="UUCP" dataDxfId="118">
      <calculatedColumnFormula>Tabla6891011[[#This Row],[UAW]]+Tabla6891011[[#This Row],[UUCW]]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82F09-516F-4C38-B90A-64F10274AD4A}" name="Tabla14" displayName="Tabla14" ref="B9:E13" totalsRowShown="0">
  <autoFilter ref="B9:E13" xr:uid="{61908789-3B70-4430-A235-BE8503F99D2F}"/>
  <tableColumns count="4">
    <tableColumn id="1" xr3:uid="{E749B2BC-71FD-471E-A69D-B2011DD037CC}" name="Actor"/>
    <tableColumn id="2" xr3:uid="{9864C6C9-9C21-4324-A23D-2315959C62A6}" name="Núm. De Actores" dataDxfId="117"/>
    <tableColumn id="3" xr3:uid="{3C4D66FF-6667-4186-81C4-2D12E68112C4}" name="Peso" dataDxfId="116"/>
    <tableColumn id="4" xr3:uid="{5B143C8E-6197-472A-BB62-661CBF6E4D19}" name="Resultado" dataDxfId="115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D83BA4-418D-4D9F-AEDD-2E12149B63AD}" name="Tabla1312" displayName="Tabla1312" ref="B17:D23" totalsRowShown="0" headerRowDxfId="114">
  <autoFilter ref="B17:D23" xr:uid="{0C1FD1AC-6F7C-4F4B-B3BA-A76557A477DB}"/>
  <tableColumns count="3">
    <tableColumn id="1" xr3:uid="{A65032FD-65CC-4E01-A693-1A781DD097DC}" name="Caso de Uso"/>
    <tableColumn id="2" xr3:uid="{07FB3852-EEE9-4CF4-92EC-69E9F7917592}" name="Tipo" dataDxfId="113"/>
    <tableColumn id="3" xr3:uid="{87D62A07-E92B-402F-96CC-E85F481B4A48}" name="Peso (factor)" dataDxfId="112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D71012-3DA4-44EC-9655-BEE7EA423620}" name="Tabla13513" displayName="Tabla13513" ref="A33:E47" totalsRowShown="0" headerRowDxfId="111">
  <autoFilter ref="A33:E47" xr:uid="{CFFD90BF-CA62-4039-AB92-A793F13A8F1D}"/>
  <tableColumns count="5">
    <tableColumn id="1" xr3:uid="{06259CAC-EE60-43EA-8CC8-3679B4454312}" name="Factor técnico"/>
    <tableColumn id="2" xr3:uid="{BC28B30D-24AC-4FB2-A45D-03F5585D2659}" name="Descripción" dataDxfId="110"/>
    <tableColumn id="3" xr3:uid="{E9BE619B-9277-4353-B306-8394507BAEDF}" name="Peso (valor fijo)" dataDxfId="109"/>
    <tableColumn id="4" xr3:uid="{274E889D-4769-4978-8B2B-4EBEEA8CED37}" name="Impacto percibido" dataDxfId="108"/>
    <tableColumn id="5" xr3:uid="{3D593954-6C68-4514-9B6E-44C7C2E6F3F9}" name="Factor calculado" dataDxfId="107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FE0757-8250-4E27-84C1-A30FCDB3738B}" name="Tabla135614" displayName="Tabla135614" ref="A55:E64" totalsRowShown="0">
  <autoFilter ref="A55:E64" xr:uid="{40FB13AD-66CD-422E-8623-98F2244F4314}"/>
  <tableColumns count="5">
    <tableColumn id="1" xr3:uid="{47EC6549-6CD6-42D7-9642-A8B14F97D817}" name="Factor técnico"/>
    <tableColumn id="2" xr3:uid="{69C8E255-6658-466D-85E4-2B54CB53DD3C}" name="Descripción" dataDxfId="106"/>
    <tableColumn id="3" xr3:uid="{CA720CB6-C840-47A5-BCAE-607ACCCCCA1D}" name="Peso (valor fijo)" dataDxfId="105"/>
    <tableColumn id="4" xr3:uid="{C37A3DC7-4608-4321-B78D-3C9167DCE83F}" name="Impacto percibido" dataDxfId="104"/>
    <tableColumn id="5" xr3:uid="{53E62864-C82D-4F8D-A249-C6C88C46497C}" name="Factor calculado" dataDxfId="10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C89722-2196-4EDF-A50A-8BC044771557}" name="Tabla615" displayName="Tabla615" ref="B82:E83" totalsRowShown="0" headerRowDxfId="102">
  <autoFilter ref="B82:E83" xr:uid="{8F61D474-0356-4877-9B35-D05004B0A0A0}"/>
  <tableColumns count="4">
    <tableColumn id="1" xr3:uid="{EA2ED09C-DCFC-43BC-A739-AF7D4D394A1F}" name="UUCP" dataDxfId="101">
      <calculatedColumnFormula array="1">Tabla689101119[UUCP]</calculatedColumnFormula>
    </tableColumn>
    <tableColumn id="2" xr3:uid="{467B782A-D2C4-4E25-A4ED-A4A87DC814C7}" name="TCF" dataDxfId="100">
      <calculatedColumnFormula array="1">Tabla6891018[TCF Final]</calculatedColumnFormula>
    </tableColumn>
    <tableColumn id="3" xr3:uid="{C5EE9222-2FB1-4E4D-85DA-B13457BAEC6F}" name="ECF" dataDxfId="99">
      <calculatedColumnFormula array="1">Tabla68917[ECF Final]</calculatedColumnFormula>
    </tableColumn>
    <tableColumn id="4" xr3:uid="{9D7EBB31-A833-4F91-9BE9-396C3328FA20}" name="UCP" dataDxfId="98">
      <calculatedColumnFormula>Tabla615[[#This Row],[UUCP]]*Tabla615[[#This Row],[TCF]]*Tabla615[[#This Row],[ECF]]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E52D0C-9177-4274-BFA6-DDE7A9FFF6EC}" name="Tabla6816" displayName="Tabla6816" ref="C91:E92" totalsRowShown="0" headerRowDxfId="97">
  <autoFilter ref="C91:E92" xr:uid="{B6FE6FCA-3F53-47F2-A474-38A7E0AA6DCE}"/>
  <tableColumns count="3">
    <tableColumn id="2" xr3:uid="{424CE402-62ED-453A-8002-64BD16667796}" name="UCP" dataDxfId="96">
      <calculatedColumnFormula array="1">Tabla615[UCP]</calculatedColumnFormula>
    </tableColumn>
    <tableColumn id="3" xr3:uid="{5C498A0B-8DCE-4A96-A742-A3C12F530021}" name="PF" dataDxfId="95"/>
    <tableColumn id="4" xr3:uid="{16E4DE78-36F8-4513-842F-42DEB65300CF}" name="UCP2" dataDxfId="94">
      <calculatedColumnFormula>Tabla6816[[#This Row],[UCP]]*Tabla6816[[#This Row],[PF]]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F590934-D7FC-4D61-A53B-44E4BAE949BE}" name="Tabla68917" displayName="Tabla68917" ref="H58:K59" totalsRowShown="0" headerRowDxfId="93" dataDxfId="92">
  <autoFilter ref="H58:K59" xr:uid="{A95350E4-F32C-42E4-9F1D-CF38B0684FBA}"/>
  <tableColumns count="4">
    <tableColumn id="2" xr3:uid="{0258ABBC-A923-417D-870A-90EEDB4F51FD}" name="V. Fijo" dataDxfId="91"/>
    <tableColumn id="3" xr3:uid="{DDA3186F-673B-4919-9D22-8A8126635BC1}" name="V. Fijo2" dataDxfId="90"/>
    <tableColumn id="4" xr3:uid="{D69CE30C-7D9F-4299-A91D-C18198BB3CE4}" name="Factor calculado ECF" dataDxfId="89">
      <calculatedColumnFormula>E64</calculatedColumnFormula>
    </tableColumn>
    <tableColumn id="5" xr3:uid="{20205223-D45A-4016-982D-3FCE9E3A1265}" name="ECF Final" dataDxfId="88">
      <calculatedColumnFormula>(Tabla68917[[#This Row],[V. Fijo2]]*Tabla68917[[#This Row],[Factor calculado ECF]])+Tabla68917[[#This Row],[V. Fijo]]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BB13542-79FB-4186-A280-3E70A03897D1}" name="Tabla6891018" displayName="Tabla6891018" ref="H35:K36" totalsRowShown="0" headerRowDxfId="87">
  <autoFilter ref="H35:K36" xr:uid="{758FFA3B-A480-45C2-AD56-63ACD38ED9E6}"/>
  <tableColumns count="4">
    <tableColumn id="2" xr3:uid="{55A398F8-159C-4037-8B30-A4F8A7EBF826}" name="V. Fijo" dataDxfId="86"/>
    <tableColumn id="3" xr3:uid="{BA7628B8-3613-4585-B9FE-CDE671E7B90F}" name="V. Fijo2" dataDxfId="85"/>
    <tableColumn id="4" xr3:uid="{95566B41-3A07-4676-B817-B3E28F9D21B0}" name="Factor calculado TCF" dataDxfId="84">
      <calculatedColumnFormula>E47</calculatedColumnFormula>
    </tableColumn>
    <tableColumn id="5" xr3:uid="{256C5649-B472-4D00-84B3-9DF56ACA6E16}" name="TCF Final" dataDxfId="83">
      <calculatedColumnFormula>(Tabla6891018[[#This Row],[V. Fijo2]]*Tabla6891018[[#This Row],[Factor calculado TCF]])+Tabla6891018[[#This Row],[V. Fijo]]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FCB0A47-BF42-4D54-9F6E-9773501E81F2}" name="Tabla689101119" displayName="Tabla689101119" ref="I17:K18" totalsRowShown="0" headerRowDxfId="82">
  <autoFilter ref="I17:K18" xr:uid="{DFB225EC-C688-443D-9ADD-70F8A1275EC4}"/>
  <tableColumns count="3">
    <tableColumn id="2" xr3:uid="{D6FCC601-5293-4EC7-BE88-23F513C8E534}" name="UAW" dataDxfId="81">
      <calculatedColumnFormula>E13</calculatedColumnFormula>
    </tableColumn>
    <tableColumn id="3" xr3:uid="{CBF5CA69-47A5-4D8B-BDE1-040E74833ECA}" name="UUCW" dataDxfId="80">
      <calculatedColumnFormula>D23</calculatedColumnFormula>
    </tableColumn>
    <tableColumn id="6" xr3:uid="{04017502-4EDD-4489-BBBC-4FCBE2003FC4}" name="UUCP" dataDxfId="79">
      <calculatedColumnFormula>Tabla689101119[[#This Row],[UAW]]+Tabla689101119[[#This Row],[UUCW]]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EC68441-3358-4839-ADCA-EE15F1C38BA5}" name="Tabla1429" displayName="Tabla1429" ref="B9:E13" totalsRowShown="0">
  <autoFilter ref="B9:E13" xr:uid="{61908789-3B70-4430-A235-BE8503F99D2F}"/>
  <tableColumns count="4">
    <tableColumn id="1" xr3:uid="{F0354EA3-C8CF-4F74-9AAD-4AF3FB47C7AE}" name="Actor"/>
    <tableColumn id="2" xr3:uid="{0A2D4D51-A1C8-4FA7-909A-F94A6AF4E194}" name="Núm. De Actores" dataDxfId="78"/>
    <tableColumn id="3" xr3:uid="{B1FA64BE-7C6B-44F0-8362-92FA27F8244B}" name="Peso" dataDxfId="77"/>
    <tableColumn id="4" xr3:uid="{447F33A3-6D8A-4F0F-986F-58C65C36CF31}" name="Resultado" dataDxfId="76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C56DAC-5210-43D5-B4FD-3D1A74A7A48B}" name="Tabla131230" displayName="Tabla131230" ref="B17:D25" totalsRowShown="0" headerRowDxfId="75">
  <autoFilter ref="B17:D25" xr:uid="{0C1FD1AC-6F7C-4F4B-B3BA-A76557A477DB}"/>
  <tableColumns count="3">
    <tableColumn id="1" xr3:uid="{3779E551-CBAD-431B-B4F7-012F8056A901}" name="Caso de Uso"/>
    <tableColumn id="2" xr3:uid="{D66F3D80-80DB-4530-87B1-9F8E93C8623B}" name="Tipo" dataDxfId="74"/>
    <tableColumn id="3" xr3:uid="{FE3DDF5A-7C42-47FB-997E-4836E46D2D2F}" name="Peso (factor)" dataDxfId="73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BBDB423-5587-469F-96FD-1F9986082CCE}" name="Tabla1351331" displayName="Tabla1351331" ref="A33:E47" totalsRowShown="0" headerRowDxfId="72">
  <autoFilter ref="A33:E47" xr:uid="{CFFD90BF-CA62-4039-AB92-A793F13A8F1D}"/>
  <tableColumns count="5">
    <tableColumn id="1" xr3:uid="{AB865054-B63E-42C1-BAFC-99A1706B7787}" name="Factor técnico"/>
    <tableColumn id="2" xr3:uid="{673BBCA3-C409-4203-8B72-B452D8723D53}" name="Descripción" dataDxfId="71"/>
    <tableColumn id="3" xr3:uid="{431F4843-990E-42D9-9BFC-6ED82AC717B4}" name="Peso (valor fijo)" dataDxfId="70"/>
    <tableColumn id="4" xr3:uid="{A4F522D6-9626-44C3-AC6A-8865C7839B19}" name="Impacto percibido" dataDxfId="69"/>
    <tableColumn id="5" xr3:uid="{EB64FD9D-6E01-4253-8EC4-7FF224E018D4}" name="Factor calculado" dataDxfId="68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CA04FF1-CD85-4849-9063-DBBB6C09A4A1}" name="Tabla13561432" displayName="Tabla13561432" ref="A55:E64" totalsRowShown="0">
  <autoFilter ref="A55:E64" xr:uid="{40FB13AD-66CD-422E-8623-98F2244F4314}"/>
  <tableColumns count="5">
    <tableColumn id="1" xr3:uid="{D38D2E51-7409-47C7-958F-1B53F1510637}" name="Factor técnico"/>
    <tableColumn id="2" xr3:uid="{9EBF1362-EFF1-4C1F-9EA7-E6C89CE3F96B}" name="Descripción" dataDxfId="67"/>
    <tableColumn id="3" xr3:uid="{7536E67F-4175-4605-8942-254B6A49ACCB}" name="Peso (valor fijo)" dataDxfId="66"/>
    <tableColumn id="4" xr3:uid="{6588606B-3A19-4AFD-B8CA-C0A4D1C8FF09}" name="Impacto percibido" dataDxfId="65"/>
    <tableColumn id="5" xr3:uid="{5F4C2990-3702-4D1A-A684-A38CCB7CB3CF}" name="Factor calculado" dataDxfId="64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D631007-D571-4124-ADDB-D7AC3B4A84B1}" name="Tabla61533" displayName="Tabla61533" ref="B82:E83" totalsRowShown="0" headerRowDxfId="63">
  <autoFilter ref="B82:E83" xr:uid="{8F61D474-0356-4877-9B35-D05004B0A0A0}"/>
  <tableColumns count="4">
    <tableColumn id="1" xr3:uid="{310593E5-B5DD-417A-8D05-CFB57AFC83BD}" name="UUCP" dataDxfId="62">
      <calculatedColumnFormula array="1">Tabla68910111937[UUCP]</calculatedColumnFormula>
    </tableColumn>
    <tableColumn id="2" xr3:uid="{8C888744-4186-4A92-9E29-9C9115F17CD0}" name="TCF" dataDxfId="61">
      <calculatedColumnFormula array="1">Tabla689101836[TCF Final]</calculatedColumnFormula>
    </tableColumn>
    <tableColumn id="3" xr3:uid="{1738797C-B88E-49F8-B6B5-9866D0FDBA5D}" name="ECF" dataDxfId="60">
      <calculatedColumnFormula array="1">Tabla6891735[ECF Final]</calculatedColumnFormula>
    </tableColumn>
    <tableColumn id="4" xr3:uid="{BD5C5B73-BC17-4182-9349-5F80C633D2D4}" name="UCP" dataDxfId="59">
      <calculatedColumnFormula>Tabla61533[[#This Row],[UUCP]]*Tabla61533[[#This Row],[TCF]]*Tabla61533[[#This Row],[ECF]]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9DF6EA8-45CB-48F5-B5D0-5B1A7941ECB4}" name="Tabla681634" displayName="Tabla681634" ref="C91:E92" totalsRowShown="0" headerRowDxfId="58">
  <autoFilter ref="C91:E92" xr:uid="{B6FE6FCA-3F53-47F2-A474-38A7E0AA6DCE}"/>
  <tableColumns count="3">
    <tableColumn id="2" xr3:uid="{5B1ACFDC-0820-4DF3-927F-419350A4599B}" name="UCP" dataDxfId="57">
      <calculatedColumnFormula array="1">Tabla61533[UCP]</calculatedColumnFormula>
    </tableColumn>
    <tableColumn id="3" xr3:uid="{78E9FEA4-005B-4957-8E5B-A09C270FA5CD}" name="PF" dataDxfId="56"/>
    <tableColumn id="4" xr3:uid="{AAEA094C-AE55-4229-AC83-39F15A5D4F10}" name="UCP2" dataDxfId="55">
      <calculatedColumnFormula>Tabla681634[[#This Row],[UCP]]*Tabla681634[[#This Row],[PF]]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D566681-89AB-42AE-A7D9-9DB2CE0F8B18}" name="Tabla6891735" displayName="Tabla6891735" ref="H58:K59" totalsRowShown="0" headerRowDxfId="54" dataDxfId="53">
  <autoFilter ref="H58:K59" xr:uid="{A95350E4-F32C-42E4-9F1D-CF38B0684FBA}"/>
  <tableColumns count="4">
    <tableColumn id="2" xr3:uid="{9E77B775-176D-4DED-9D16-6C2751B30302}" name="V. Fijo" dataDxfId="52"/>
    <tableColumn id="3" xr3:uid="{86195DE3-0ED9-4112-8928-E5D46364A34F}" name="V. Fijo2" dataDxfId="51"/>
    <tableColumn id="4" xr3:uid="{C9E90C31-6199-4899-9965-C010AEEF524D}" name="Factor calculado ECF" dataDxfId="50">
      <calculatedColumnFormula>E64</calculatedColumnFormula>
    </tableColumn>
    <tableColumn id="5" xr3:uid="{3244EA9B-E2DD-41F1-BD53-330E8F1E893A}" name="ECF Final" dataDxfId="49">
      <calculatedColumnFormula>(Tabla6891735[[#This Row],[V. Fijo2]]*Tabla6891735[[#This Row],[Factor calculado ECF]])+Tabla6891735[[#This Row],[V. Fijo]]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011C3CB-03FE-47BE-8286-4454153A89F4}" name="Tabla689101836" displayName="Tabla689101836" ref="H35:K36" totalsRowShown="0" headerRowDxfId="48">
  <autoFilter ref="H35:K36" xr:uid="{758FFA3B-A480-45C2-AD56-63ACD38ED9E6}"/>
  <tableColumns count="4">
    <tableColumn id="2" xr3:uid="{E41D1144-0CBA-4561-BD66-5AACE9E3D9DD}" name="V. Fijo" dataDxfId="47"/>
    <tableColumn id="3" xr3:uid="{56754878-99FA-4997-8F95-E3ABBB3EF6C1}" name="V. Fijo2" dataDxfId="46"/>
    <tableColumn id="4" xr3:uid="{80A58580-2B45-420E-827C-D9A3C3C7871B}" name="Factor calculado TCF" dataDxfId="45">
      <calculatedColumnFormula>E47</calculatedColumnFormula>
    </tableColumn>
    <tableColumn id="5" xr3:uid="{48DF8EAD-31F5-48F3-B528-AC1E80E39495}" name="TCF Final" dataDxfId="44">
      <calculatedColumnFormula>(Tabla689101836[[#This Row],[V. Fijo2]]*Tabla689101836[[#This Row],[Factor calculado TCF]])+Tabla689101836[[#This Row],[V. Fijo]]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2231859-F544-4AB0-871E-3E601F8C61BD}" name="Tabla68910111937" displayName="Tabla68910111937" ref="I17:K18" totalsRowShown="0" headerRowDxfId="43">
  <autoFilter ref="I17:K18" xr:uid="{DFB225EC-C688-443D-9ADD-70F8A1275EC4}"/>
  <tableColumns count="3">
    <tableColumn id="2" xr3:uid="{41F88B08-F58B-4E8D-A1F9-99018FA54226}" name="UAW" dataDxfId="42">
      <calculatedColumnFormula>E13</calculatedColumnFormula>
    </tableColumn>
    <tableColumn id="3" xr3:uid="{5B4AED79-90BC-413E-874B-7423ED55BD34}" name="UUCW" dataDxfId="41">
      <calculatedColumnFormula>D25</calculatedColumnFormula>
    </tableColumn>
    <tableColumn id="6" xr3:uid="{A751A86D-1B36-486F-BD97-1AD482E0BFBA}" name="UUCP" dataDxfId="40">
      <calculatedColumnFormula>Tabla68910111937[[#This Row],[UAW]]+Tabla68910111937[[#This Row],[UUCW]]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039E13C-672C-4876-99C0-2638891C4196}" name="Tabla1420" displayName="Tabla1420" ref="B9:E12" totalsRowShown="0">
  <autoFilter ref="B9:E12" xr:uid="{61908789-3B70-4430-A235-BE8503F99D2F}"/>
  <tableColumns count="4">
    <tableColumn id="1" xr3:uid="{A75EA401-3337-4DBD-8AF8-4AD9D0F046F3}" name="Actor"/>
    <tableColumn id="2" xr3:uid="{B11621D2-0554-41DB-A276-E58786DDDB5F}" name="Núm. De Actores" dataDxfId="39"/>
    <tableColumn id="3" xr3:uid="{493EF3E5-8FC8-4071-8A41-D68F07A19372}" name="Peso" dataDxfId="38"/>
    <tableColumn id="4" xr3:uid="{EC277BD7-3D9F-43B4-8D1D-B1C75FAE1BB9}" name="Resultado" dataDxfId="37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18D4D2-4F39-48E9-9EAB-DE296DB51F47}" name="Tabla131221" displayName="Tabla131221" ref="B17:F24" totalsRowShown="0" headerRowDxfId="36">
  <autoFilter ref="B17:F24" xr:uid="{0C1FD1AC-6F7C-4F4B-B3BA-A76557A477DB}"/>
  <tableColumns count="5">
    <tableColumn id="1" xr3:uid="{F13EBCE7-E139-475A-B820-D8FC7FEC81C9}" name="Caso de Uso"/>
    <tableColumn id="2" xr3:uid="{166EB165-400B-4EBA-987D-81EE1B0FCFF9}" name="Tipo" dataDxfId="35"/>
    <tableColumn id="3" xr3:uid="{1247917D-6901-4ADC-903F-4E58090AA26C}" name="Peso (factor)" dataDxfId="34"/>
    <tableColumn id="4" xr3:uid="{B31D8338-5575-4E46-8DCD-1D2C1C10CCAC}" name="Núm Casos de Uso" dataDxfId="33"/>
    <tableColumn id="5" xr3:uid="{8BE5387E-3C0C-45CB-8B29-091769825EE7}" name="Resultados" dataDxfId="32">
      <calculatedColumnFormula>SUM(F12:F17)</calculatedColumnFormula>
    </tableColumn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84717D8-0436-4E69-AF79-BAFF27281B21}" name="Tabla1351322" displayName="Tabla1351322" ref="A34:E48" totalsRowShown="0" headerRowDxfId="31">
  <autoFilter ref="A34:E48" xr:uid="{CFFD90BF-CA62-4039-AB92-A793F13A8F1D}"/>
  <tableColumns count="5">
    <tableColumn id="1" xr3:uid="{4DCD6703-8A71-42E8-B849-23F37659DB0B}" name="Factor técnico"/>
    <tableColumn id="2" xr3:uid="{A84FD8E2-FD82-47D2-B5C4-E3E1DACC250B}" name="Descripción" dataDxfId="30"/>
    <tableColumn id="3" xr3:uid="{8C06B016-F4B6-4F7F-9584-B3918A882154}" name="Peso (valor fijo)" dataDxfId="29"/>
    <tableColumn id="4" xr3:uid="{DC9A02BB-3C6C-4AD3-A7ED-89875BC400C3}" name="Impacto percibido" dataDxfId="28"/>
    <tableColumn id="5" xr3:uid="{431FE60B-F397-4319-B95B-61DC5DE2C266}" name="Factor calculado" dataDxfId="27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A3CAAF4-0462-41D2-B2F8-B9D1D9756E1B}" name="Tabla13561423" displayName="Tabla13561423" ref="A56:E65" totalsRowShown="0">
  <autoFilter ref="A56:E65" xr:uid="{40FB13AD-66CD-422E-8623-98F2244F4314}"/>
  <tableColumns count="5">
    <tableColumn id="1" xr3:uid="{2508F1FC-FB54-4995-9687-245C13FEB403}" name="Factor técnico"/>
    <tableColumn id="2" xr3:uid="{8B2DD208-BE20-48B1-95F6-E8E72EE147D5}" name="Descripción" dataDxfId="26"/>
    <tableColumn id="3" xr3:uid="{47EB653F-947A-43C2-A07D-AEB6A51238F2}" name="Peso (valor fijo)" dataDxfId="25"/>
    <tableColumn id="4" xr3:uid="{1968CDC7-E0C6-4BAA-AA4F-914B1C9906DC}" name="Impacto percibido" dataDxfId="24"/>
    <tableColumn id="5" xr3:uid="{E3698DFA-3D9B-4EA5-8404-5D81740588F0}" name="Factor calculado" dataDxfId="23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25A799C-7470-4862-9BCA-418C67B4C70E}" name="Tabla61524" displayName="Tabla61524" ref="B83:E84" totalsRowShown="0" headerRowDxfId="22">
  <autoFilter ref="B83:E84" xr:uid="{8F61D474-0356-4877-9B35-D05004B0A0A0}"/>
  <tableColumns count="4">
    <tableColumn id="1" xr3:uid="{7901F40D-41CA-49A6-895D-9F09E092EF26}" name="UUCP" dataDxfId="21">
      <calculatedColumnFormula array="1">Tabla68910111928[UUCP]</calculatedColumnFormula>
    </tableColumn>
    <tableColumn id="2" xr3:uid="{653F7CD9-48CA-48B7-867E-19D9BD87E8DA}" name="TCF" dataDxfId="20">
      <calculatedColumnFormula array="1">Tabla689101827[TCP Final]</calculatedColumnFormula>
    </tableColumn>
    <tableColumn id="3" xr3:uid="{5216A60C-F3F3-4A0E-BF6E-72337986F742}" name="ECF" dataDxfId="19">
      <calculatedColumnFormula array="1">Tabla6891726[ECF Final]</calculatedColumnFormula>
    </tableColumn>
    <tableColumn id="4" xr3:uid="{8D2BBE8A-AF5F-4D1A-AC0C-5AE0FCCDF0C4}" name="UCP" dataDxfId="18">
      <calculatedColumnFormula>Tabla61524[[#This Row],[UUCP]]*Tabla61524[[#This Row],[TCF]]*Tabla61524[[#This Row],[ECF]]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498D338-E076-4F27-A518-D5EB458E53D1}" name="Tabla681625" displayName="Tabla681625" ref="C92:E93" totalsRowShown="0" headerRowDxfId="17">
  <autoFilter ref="C92:E93" xr:uid="{B6FE6FCA-3F53-47F2-A474-38A7E0AA6DCE}"/>
  <tableColumns count="3">
    <tableColumn id="2" xr3:uid="{A35D2833-5D8A-4847-9703-794CDD378DE3}" name="UCP" dataDxfId="16">
      <calculatedColumnFormula array="1">Tabla61524[UCP]</calculatedColumnFormula>
    </tableColumn>
    <tableColumn id="3" xr3:uid="{2FDF61DA-D041-4481-ABBB-FD9A49E228B6}" name="PF" dataDxfId="15"/>
    <tableColumn id="4" xr3:uid="{0255AA61-300B-49CD-89BF-34C79D1EE2F7}" name="UCP2" dataDxfId="14">
      <calculatedColumnFormula>Tabla681625[[#This Row],[UCP]]*Tabla681625[[#This Row],[PF]]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61E4B73-EC22-4807-96AB-917AFE114DF1}" name="Tabla6891726" displayName="Tabla6891726" ref="H57:K58" totalsRowShown="0" headerRowDxfId="13">
  <autoFilter ref="H57:K58" xr:uid="{A95350E4-F32C-42E4-9F1D-CF38B0684FBA}"/>
  <tableColumns count="4">
    <tableColumn id="2" xr3:uid="{A9B81EF5-3579-419E-B72C-8AC62BE36C56}" name="V. Fijo" dataDxfId="12"/>
    <tableColumn id="3" xr3:uid="{BFB4F275-5D78-4260-9942-675BD9E7397C}" name="V. Fijo2" dataDxfId="11"/>
    <tableColumn id="4" xr3:uid="{41D5FA3D-A2A7-423B-A252-69713E61ADCF}" name="Factor calculado ECF" dataDxfId="10">
      <calculatedColumnFormula>E65</calculatedColumnFormula>
    </tableColumn>
    <tableColumn id="5" xr3:uid="{AC64ECED-D29D-4185-A732-D841D260D20B}" name="ECF Final" dataDxfId="9">
      <calculatedColumnFormula>(Tabla6891726[[#This Row],[V. Fijo2]]*Tabla6891726[[#This Row],[Factor calculado ECF]])+Tabla6891726[[#This Row],[V. Fijo]]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0B0809A-D425-4034-B95B-AAEE28B518D6}" name="Tabla689101827" displayName="Tabla689101827" ref="H36:K37" totalsRowShown="0" headerRowDxfId="8">
  <autoFilter ref="H36:K37" xr:uid="{758FFA3B-A480-45C2-AD56-63ACD38ED9E6}"/>
  <tableColumns count="4">
    <tableColumn id="2" xr3:uid="{D82C566D-B2E4-4027-85AF-BC307114DFDC}" name="V. Fijo" dataDxfId="7"/>
    <tableColumn id="3" xr3:uid="{54FB4C70-2FB8-4E40-8F0B-50F4AD18F2B7}" name="V. Fijo2" dataDxfId="6"/>
    <tableColumn id="4" xr3:uid="{23E105E5-AA62-4436-A07C-0A32B1269430}" name="Factor calculado TCP" dataDxfId="5">
      <calculatedColumnFormula>E48</calculatedColumnFormula>
    </tableColumn>
    <tableColumn id="5" xr3:uid="{CBFC937F-A284-475D-9267-D6F06E210B71}" name="TCP Final" dataDxfId="4">
      <calculatedColumnFormula>(Tabla689101827[[#This Row],[V. Fijo2]]*Tabla689101827[[#This Row],[Factor calculado TCP]])+Tabla689101827[[#This Row],[V. Fijo]]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C09E3A4-0CB2-4799-966E-7C59489B9B08}" name="Tabla68910111928" displayName="Tabla68910111928" ref="I17:K18" totalsRowShown="0" headerRowDxfId="3">
  <autoFilter ref="I17:K18" xr:uid="{DFB225EC-C688-443D-9ADD-70F8A1275EC4}"/>
  <tableColumns count="3">
    <tableColumn id="2" xr3:uid="{E735515B-61D8-420C-98F2-EF39E7C404BB}" name="UAW" dataDxfId="2">
      <calculatedColumnFormula>E12</calculatedColumnFormula>
    </tableColumn>
    <tableColumn id="3" xr3:uid="{FE357B40-5C8D-492A-A4EE-BCB7C678ECFA}" name="UUCW" dataDxfId="1">
      <calculatedColumnFormula>D24</calculatedColumnFormula>
    </tableColumn>
    <tableColumn id="6" xr3:uid="{8B5EF919-02EE-42F1-9BFC-516AA782B078}" name="UUCP" dataDxfId="0">
      <calculatedColumnFormula>Tabla68910111928[[#This Row],[UAW]]+Tabla68910111928[[#This Row],[UUCW]]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1.xml"/><Relationship Id="rId11" Type="http://schemas.openxmlformats.org/officeDocument/2006/relationships/table" Target="../tables/table36.xml"/><Relationship Id="rId5" Type="http://schemas.openxmlformats.org/officeDocument/2006/relationships/table" Target="../tables/table30.xml"/><Relationship Id="rId10" Type="http://schemas.openxmlformats.org/officeDocument/2006/relationships/table" Target="../tables/table35.xml"/><Relationship Id="rId4" Type="http://schemas.openxmlformats.org/officeDocument/2006/relationships/table" Target="../tables/table29.xml"/><Relationship Id="rId9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D7ED-4775-4A75-B6F2-B91E10ED266D}">
  <dimension ref="A2:K91"/>
  <sheetViews>
    <sheetView showGridLines="0" topLeftCell="A22" workbookViewId="0">
      <selection activeCell="C51" sqref="C50:C51"/>
    </sheetView>
  </sheetViews>
  <sheetFormatPr baseColWidth="10" defaultRowHeight="14.4" x14ac:dyDescent="0.3"/>
  <cols>
    <col min="1" max="1" width="10.6640625" customWidth="1"/>
    <col min="2" max="2" width="21.88671875" customWidth="1"/>
    <col min="3" max="3" width="12.44140625" customWidth="1"/>
    <col min="6" max="6" width="3.6640625" customWidth="1"/>
    <col min="7" max="7" width="12.109375" bestFit="1" customWidth="1"/>
    <col min="8" max="8" width="12.44140625" customWidth="1"/>
    <col min="10" max="10" width="22.6640625" customWidth="1"/>
    <col min="11" max="11" width="13" customWidth="1"/>
  </cols>
  <sheetData>
    <row r="2" spans="2:5" x14ac:dyDescent="0.3">
      <c r="B2" t="s">
        <v>16</v>
      </c>
    </row>
    <row r="4" spans="2:5" x14ac:dyDescent="0.3">
      <c r="B4" s="5" t="s">
        <v>0</v>
      </c>
    </row>
    <row r="5" spans="2:5" x14ac:dyDescent="0.3">
      <c r="B5" s="6" t="s">
        <v>1</v>
      </c>
    </row>
    <row r="7" spans="2:5" x14ac:dyDescent="0.3">
      <c r="B7" t="s">
        <v>17</v>
      </c>
    </row>
    <row r="9" spans="2:5" x14ac:dyDescent="0.3">
      <c r="B9" t="s">
        <v>2</v>
      </c>
      <c r="C9" t="s">
        <v>3</v>
      </c>
      <c r="D9" s="1" t="s">
        <v>4</v>
      </c>
      <c r="E9" t="s">
        <v>5</v>
      </c>
    </row>
    <row r="10" spans="2:5" x14ac:dyDescent="0.3">
      <c r="B10" t="s">
        <v>6</v>
      </c>
      <c r="C10" s="1">
        <v>1</v>
      </c>
      <c r="D10" s="1">
        <v>2</v>
      </c>
      <c r="E10" s="1">
        <f>Tabla1[[#This Row],[Núm. De Actores]]*Tabla1[[#This Row],[Peso]]</f>
        <v>2</v>
      </c>
    </row>
    <row r="11" spans="2:5" x14ac:dyDescent="0.3">
      <c r="B11" s="2" t="s">
        <v>7</v>
      </c>
      <c r="C11" s="1">
        <v>1</v>
      </c>
      <c r="D11" s="1">
        <v>3</v>
      </c>
      <c r="E11" s="1">
        <f>Tabla1[[#This Row],[Núm. De Actores]]*Tabla1[[#This Row],[Peso]]</f>
        <v>3</v>
      </c>
    </row>
    <row r="12" spans="2:5" x14ac:dyDescent="0.3">
      <c r="C12" s="1"/>
      <c r="D12" s="12" t="s">
        <v>8</v>
      </c>
      <c r="E12" s="12">
        <f>SUM(E9:E11)</f>
        <v>5</v>
      </c>
    </row>
    <row r="15" spans="2:5" x14ac:dyDescent="0.3">
      <c r="B15" t="s">
        <v>18</v>
      </c>
    </row>
    <row r="17" spans="1:10" x14ac:dyDescent="0.3">
      <c r="B17" t="s">
        <v>9</v>
      </c>
      <c r="C17" s="1" t="s">
        <v>10</v>
      </c>
      <c r="D17" s="1" t="s">
        <v>4</v>
      </c>
      <c r="E17" t="s">
        <v>5</v>
      </c>
      <c r="H17" s="1" t="s">
        <v>8</v>
      </c>
      <c r="I17" s="1" t="s">
        <v>12</v>
      </c>
      <c r="J17" s="1" t="s">
        <v>88</v>
      </c>
    </row>
    <row r="18" spans="1:10" x14ac:dyDescent="0.3">
      <c r="B18" s="2" t="s">
        <v>14</v>
      </c>
      <c r="C18" s="1" t="s">
        <v>109</v>
      </c>
      <c r="D18" s="1">
        <v>5</v>
      </c>
      <c r="E18" s="1">
        <v>5</v>
      </c>
      <c r="H18" s="1">
        <f>E12</f>
        <v>5</v>
      </c>
      <c r="I18" s="1">
        <f>E21</f>
        <v>15</v>
      </c>
      <c r="J18" s="1">
        <f>Tabla6891011[[#This Row],[UAW]]+Tabla6891011[[#This Row],[UUCW]]</f>
        <v>20</v>
      </c>
    </row>
    <row r="19" spans="1:10" x14ac:dyDescent="0.3">
      <c r="B19" t="s">
        <v>13</v>
      </c>
      <c r="C19" s="1" t="s">
        <v>109</v>
      </c>
      <c r="D19" s="1">
        <v>5</v>
      </c>
      <c r="E19" s="1">
        <v>5</v>
      </c>
    </row>
    <row r="20" spans="1:10" ht="28.8" x14ac:dyDescent="0.3">
      <c r="B20" s="4" t="s">
        <v>11</v>
      </c>
      <c r="C20" s="3" t="s">
        <v>109</v>
      </c>
      <c r="D20" s="3">
        <v>5</v>
      </c>
      <c r="E20" s="3">
        <v>5</v>
      </c>
    </row>
    <row r="21" spans="1:10" x14ac:dyDescent="0.3">
      <c r="C21" s="1"/>
      <c r="D21" s="12" t="s">
        <v>12</v>
      </c>
      <c r="E21" s="12">
        <f>SUM(E18:E20)</f>
        <v>15</v>
      </c>
    </row>
    <row r="24" spans="1:10" x14ac:dyDescent="0.3">
      <c r="C24" s="100" t="s">
        <v>15</v>
      </c>
      <c r="D24" s="100"/>
      <c r="E24" s="100"/>
    </row>
    <row r="28" spans="1:10" x14ac:dyDescent="0.3">
      <c r="B28" t="s">
        <v>19</v>
      </c>
    </row>
    <row r="30" spans="1:10" x14ac:dyDescent="0.3">
      <c r="B30" t="s">
        <v>99</v>
      </c>
    </row>
    <row r="32" spans="1:10" ht="28.8" x14ac:dyDescent="0.3">
      <c r="A32" s="2" t="s">
        <v>20</v>
      </c>
      <c r="B32" s="8" t="s">
        <v>47</v>
      </c>
      <c r="C32" s="7" t="s">
        <v>48</v>
      </c>
      <c r="D32" s="2" t="s">
        <v>49</v>
      </c>
      <c r="E32" s="7" t="s">
        <v>74</v>
      </c>
    </row>
    <row r="33" spans="1:11" x14ac:dyDescent="0.3">
      <c r="A33" s="2" t="s">
        <v>21</v>
      </c>
      <c r="B33" s="10" t="s">
        <v>34</v>
      </c>
      <c r="C33" s="1">
        <v>2</v>
      </c>
      <c r="D33" s="1">
        <v>1</v>
      </c>
      <c r="E33" s="1">
        <f>Tabla135[[#This Row],[Peso (valor fijo)]]*Tabla135[[#This Row],[Impacto percibido]]</f>
        <v>2</v>
      </c>
      <c r="G33" s="13"/>
    </row>
    <row r="34" spans="1:11" ht="28.8" x14ac:dyDescent="0.3">
      <c r="A34" t="s">
        <v>22</v>
      </c>
      <c r="B34" s="9" t="s">
        <v>35</v>
      </c>
      <c r="C34" s="1">
        <v>1</v>
      </c>
      <c r="D34" s="1">
        <v>5</v>
      </c>
      <c r="E34" s="1">
        <f>Tabla135[[#This Row],[Peso (valor fijo)]]*Tabla135[[#This Row],[Impacto percibido]]</f>
        <v>5</v>
      </c>
      <c r="G34" s="10"/>
      <c r="H34" s="1" t="s">
        <v>95</v>
      </c>
      <c r="I34" s="1" t="s">
        <v>96</v>
      </c>
      <c r="J34" s="1" t="s">
        <v>98</v>
      </c>
      <c r="K34" s="1" t="s">
        <v>100</v>
      </c>
    </row>
    <row r="35" spans="1:11" x14ac:dyDescent="0.3">
      <c r="A35" s="4" t="s">
        <v>23</v>
      </c>
      <c r="B35" s="3" t="s">
        <v>36</v>
      </c>
      <c r="C35" s="3">
        <v>1</v>
      </c>
      <c r="D35" s="3">
        <v>5</v>
      </c>
      <c r="E35" s="1">
        <f>Tabla135[[#This Row],[Peso (valor fijo)]]*Tabla135[[#This Row],[Impacto percibido]]</f>
        <v>5</v>
      </c>
      <c r="H35" s="1">
        <v>0.6</v>
      </c>
      <c r="I35" s="1">
        <v>0.01</v>
      </c>
      <c r="J35" s="1">
        <f>E46</f>
        <v>38</v>
      </c>
      <c r="K35" s="12">
        <f>(Tabla68910[[#This Row],[V. Fijo2]]*Tabla68910[[#This Row],[Factor calculado TCP]])+Tabla68910[[#This Row],[V. Fijo]]</f>
        <v>0.98</v>
      </c>
    </row>
    <row r="36" spans="1:11" ht="28.8" x14ac:dyDescent="0.3">
      <c r="A36" t="s">
        <v>24</v>
      </c>
      <c r="B36" s="9" t="s">
        <v>37</v>
      </c>
      <c r="C36" s="1">
        <v>1</v>
      </c>
      <c r="D36" s="1">
        <v>3</v>
      </c>
      <c r="E36" s="1">
        <f>Tabla135[[#This Row],[Peso (valor fijo)]]*Tabla135[[#This Row],[Impacto percibido]]</f>
        <v>3</v>
      </c>
    </row>
    <row r="37" spans="1:11" ht="28.8" x14ac:dyDescent="0.3">
      <c r="A37" s="4" t="s">
        <v>25</v>
      </c>
      <c r="B37" s="9" t="s">
        <v>38</v>
      </c>
      <c r="C37" s="1">
        <v>1</v>
      </c>
      <c r="D37" s="1">
        <v>0</v>
      </c>
      <c r="E37" s="1">
        <f>Tabla135[[#This Row],[Peso (valor fijo)]]*Tabla135[[#This Row],[Impacto percibido]]</f>
        <v>0</v>
      </c>
    </row>
    <row r="38" spans="1:11" x14ac:dyDescent="0.3">
      <c r="A38" s="4" t="s">
        <v>26</v>
      </c>
      <c r="B38" s="10" t="s">
        <v>39</v>
      </c>
      <c r="C38" s="1">
        <v>0.5</v>
      </c>
      <c r="D38" s="1">
        <v>5</v>
      </c>
      <c r="E38" s="1">
        <f>Tabla135[[#This Row],[Peso (valor fijo)]]*Tabla135[[#This Row],[Impacto percibido]]</f>
        <v>2.5</v>
      </c>
      <c r="H38" s="15" t="s">
        <v>51</v>
      </c>
      <c r="I38" s="17" t="s">
        <v>53</v>
      </c>
    </row>
    <row r="39" spans="1:11" x14ac:dyDescent="0.3">
      <c r="A39" s="4" t="s">
        <v>27</v>
      </c>
      <c r="B39" s="10" t="s">
        <v>40</v>
      </c>
      <c r="C39" s="1">
        <v>0.5</v>
      </c>
      <c r="D39" s="1">
        <v>5</v>
      </c>
      <c r="E39" s="1">
        <f>Tabla135[[#This Row],[Peso (valor fijo)]]*Tabla135[[#This Row],[Impacto percibido]]</f>
        <v>2.5</v>
      </c>
      <c r="H39" s="16" t="s">
        <v>52</v>
      </c>
      <c r="I39" s="17" t="s">
        <v>54</v>
      </c>
    </row>
    <row r="40" spans="1:11" x14ac:dyDescent="0.3">
      <c r="A40" s="4" t="s">
        <v>28</v>
      </c>
      <c r="B40" s="10" t="s">
        <v>41</v>
      </c>
      <c r="C40" s="1">
        <v>2</v>
      </c>
      <c r="D40" s="1">
        <v>0</v>
      </c>
      <c r="E40" s="1">
        <f>Tabla135[[#This Row],[Peso (valor fijo)]]*Tabla135[[#This Row],[Impacto percibido]]</f>
        <v>0</v>
      </c>
      <c r="H40" s="15">
        <v>5</v>
      </c>
      <c r="I40" s="17" t="s">
        <v>55</v>
      </c>
    </row>
    <row r="41" spans="1:11" x14ac:dyDescent="0.3">
      <c r="A41" s="4" t="s">
        <v>29</v>
      </c>
      <c r="B41" s="10" t="s">
        <v>42</v>
      </c>
      <c r="C41" s="1">
        <v>1</v>
      </c>
      <c r="D41" s="1">
        <v>5</v>
      </c>
      <c r="E41" s="1">
        <f>Tabla135[[#This Row],[Peso (valor fijo)]]*Tabla135[[#This Row],[Impacto percibido]]</f>
        <v>5</v>
      </c>
    </row>
    <row r="42" spans="1:11" x14ac:dyDescent="0.3">
      <c r="A42" s="4" t="s">
        <v>30</v>
      </c>
      <c r="B42" s="10" t="s">
        <v>43</v>
      </c>
      <c r="C42" s="1">
        <v>1</v>
      </c>
      <c r="D42" s="1">
        <v>5</v>
      </c>
      <c r="E42" s="1">
        <f>Tabla135[[#This Row],[Peso (valor fijo)]]*Tabla135[[#This Row],[Impacto percibido]]</f>
        <v>5</v>
      </c>
    </row>
    <row r="43" spans="1:11" ht="28.8" x14ac:dyDescent="0.3">
      <c r="A43" s="4" t="s">
        <v>31</v>
      </c>
      <c r="B43" s="9" t="s">
        <v>44</v>
      </c>
      <c r="C43" s="1">
        <v>1</v>
      </c>
      <c r="D43" s="1">
        <v>5</v>
      </c>
      <c r="E43" s="1">
        <f>Tabla135[[#This Row],[Peso (valor fijo)]]*Tabla135[[#This Row],[Impacto percibido]]</f>
        <v>5</v>
      </c>
    </row>
    <row r="44" spans="1:11" ht="28.8" x14ac:dyDescent="0.3">
      <c r="A44" s="4" t="s">
        <v>32</v>
      </c>
      <c r="B44" s="9" t="s">
        <v>45</v>
      </c>
      <c r="C44" s="1">
        <v>1</v>
      </c>
      <c r="D44" s="1">
        <v>3</v>
      </c>
      <c r="E44" s="1">
        <f>Tabla135[[#This Row],[Peso (valor fijo)]]*Tabla135[[#This Row],[Impacto percibido]]</f>
        <v>3</v>
      </c>
    </row>
    <row r="45" spans="1:11" ht="43.2" x14ac:dyDescent="0.3">
      <c r="A45" s="4" t="s">
        <v>33</v>
      </c>
      <c r="B45" s="9" t="s">
        <v>46</v>
      </c>
      <c r="C45" s="1">
        <v>1</v>
      </c>
      <c r="D45" s="1">
        <v>0</v>
      </c>
      <c r="E45" s="1">
        <f>Tabla135[[#This Row],[Peso (valor fijo)]]*Tabla135[[#This Row],[Impacto percibido]]</f>
        <v>0</v>
      </c>
    </row>
    <row r="46" spans="1:11" x14ac:dyDescent="0.3">
      <c r="A46" s="4"/>
      <c r="B46" s="1"/>
      <c r="C46" s="11" t="s">
        <v>50</v>
      </c>
      <c r="D46" s="1"/>
      <c r="E46" s="12">
        <f>SUM(E33:E45)</f>
        <v>38</v>
      </c>
    </row>
    <row r="50" spans="1:11" x14ac:dyDescent="0.3">
      <c r="B50" t="s">
        <v>56</v>
      </c>
    </row>
    <row r="52" spans="1:11" x14ac:dyDescent="0.3">
      <c r="B52" s="6" t="s">
        <v>57</v>
      </c>
    </row>
    <row r="54" spans="1:11" ht="28.8" x14ac:dyDescent="0.3">
      <c r="A54" s="8" t="s">
        <v>20</v>
      </c>
      <c r="B54" s="3" t="s">
        <v>47</v>
      </c>
      <c r="C54" s="7" t="s">
        <v>48</v>
      </c>
      <c r="D54" s="2" t="s">
        <v>49</v>
      </c>
      <c r="E54" s="2" t="s">
        <v>74</v>
      </c>
    </row>
    <row r="55" spans="1:11" x14ac:dyDescent="0.3">
      <c r="A55" s="2" t="s">
        <v>58</v>
      </c>
      <c r="B55" s="10" t="s">
        <v>66</v>
      </c>
      <c r="C55" s="1">
        <v>1.5</v>
      </c>
      <c r="D55" s="1">
        <v>5</v>
      </c>
      <c r="E55" s="1">
        <f>Tabla1356[[#This Row],[Peso (valor fijo)]]*Tabla1356[[#This Row],[Impacto percibido]]</f>
        <v>7.5</v>
      </c>
      <c r="H55" s="1" t="s">
        <v>95</v>
      </c>
      <c r="I55" s="1" t="s">
        <v>96</v>
      </c>
      <c r="J55" s="1" t="s">
        <v>94</v>
      </c>
      <c r="K55" s="1" t="s">
        <v>97</v>
      </c>
    </row>
    <row r="56" spans="1:11" x14ac:dyDescent="0.3">
      <c r="A56" t="s">
        <v>59</v>
      </c>
      <c r="B56" s="9" t="s">
        <v>67</v>
      </c>
      <c r="C56" s="1">
        <v>-1</v>
      </c>
      <c r="D56" s="1">
        <v>3</v>
      </c>
      <c r="E56" s="1">
        <f>Tabla1356[[#This Row],[Peso (valor fijo)]]*Tabla1356[[#This Row],[Impacto percibido]]</f>
        <v>-3</v>
      </c>
      <c r="H56" s="1">
        <v>1.4</v>
      </c>
      <c r="I56" s="1">
        <v>-0.03</v>
      </c>
      <c r="J56" s="1">
        <f>E63</f>
        <v>24.5</v>
      </c>
      <c r="K56" s="12">
        <f>(Tabla689[[#This Row],[V. Fijo2]]*Tabla689[[#This Row],[Factor calculado ECF]])+Tabla689[[#This Row],[V. Fijo]]</f>
        <v>0.66499999999999992</v>
      </c>
    </row>
    <row r="57" spans="1:11" ht="28.8" x14ac:dyDescent="0.3">
      <c r="A57" t="s">
        <v>60</v>
      </c>
      <c r="B57" s="18" t="s">
        <v>68</v>
      </c>
      <c r="C57" s="3">
        <v>0.5</v>
      </c>
      <c r="D57" s="3">
        <v>5</v>
      </c>
      <c r="E57" s="1">
        <f>Tabla1356[[#This Row],[Peso (valor fijo)]]*Tabla1356[[#This Row],[Impacto percibido]]</f>
        <v>2.5</v>
      </c>
    </row>
    <row r="58" spans="1:11" ht="28.8" x14ac:dyDescent="0.3">
      <c r="A58" t="s">
        <v>61</v>
      </c>
      <c r="B58" s="9" t="s">
        <v>69</v>
      </c>
      <c r="C58" s="1">
        <v>0.5</v>
      </c>
      <c r="D58" s="1">
        <v>5</v>
      </c>
      <c r="E58" s="1">
        <f>Tabla1356[[#This Row],[Peso (valor fijo)]]*Tabla1356[[#This Row],[Impacto percibido]]</f>
        <v>2.5</v>
      </c>
    </row>
    <row r="59" spans="1:11" ht="28.8" x14ac:dyDescent="0.3">
      <c r="A59" t="s">
        <v>62</v>
      </c>
      <c r="B59" s="9" t="s">
        <v>70</v>
      </c>
      <c r="C59" s="1">
        <v>1</v>
      </c>
      <c r="D59" s="1">
        <v>5</v>
      </c>
      <c r="E59" s="1">
        <f>Tabla1356[[#This Row],[Peso (valor fijo)]]*Tabla1356[[#This Row],[Impacto percibido]]</f>
        <v>5</v>
      </c>
    </row>
    <row r="60" spans="1:11" x14ac:dyDescent="0.3">
      <c r="A60" t="s">
        <v>63</v>
      </c>
      <c r="B60" s="10" t="s">
        <v>71</v>
      </c>
      <c r="C60" s="1">
        <v>1</v>
      </c>
      <c r="D60" s="1">
        <v>5</v>
      </c>
      <c r="E60" s="1">
        <f>Tabla1356[[#This Row],[Peso (valor fijo)]]*Tabla1356[[#This Row],[Impacto percibido]]</f>
        <v>5</v>
      </c>
    </row>
    <row r="61" spans="1:11" ht="28.8" x14ac:dyDescent="0.3">
      <c r="A61" t="s">
        <v>64</v>
      </c>
      <c r="B61" s="9" t="s">
        <v>72</v>
      </c>
      <c r="C61" s="1">
        <v>-1</v>
      </c>
      <c r="D61" s="1">
        <v>5</v>
      </c>
      <c r="E61" s="1">
        <f>Tabla1356[[#This Row],[Peso (valor fijo)]]*Tabla1356[[#This Row],[Impacto percibido]]</f>
        <v>-5</v>
      </c>
    </row>
    <row r="62" spans="1:11" ht="28.8" x14ac:dyDescent="0.3">
      <c r="A62" t="s">
        <v>65</v>
      </c>
      <c r="B62" s="9" t="s">
        <v>73</v>
      </c>
      <c r="C62" s="1">
        <v>2</v>
      </c>
      <c r="D62" s="1">
        <v>5</v>
      </c>
      <c r="E62" s="1">
        <f>Tabla1356[[#This Row],[Peso (valor fijo)]]*Tabla1356[[#This Row],[Impacto percibido]]</f>
        <v>10</v>
      </c>
    </row>
    <row r="63" spans="1:11" x14ac:dyDescent="0.3">
      <c r="A63" s="4"/>
      <c r="B63" s="1"/>
      <c r="C63" s="11" t="s">
        <v>75</v>
      </c>
      <c r="D63" s="1"/>
      <c r="E63" s="12">
        <f>SUM(E55:E62)</f>
        <v>24.5</v>
      </c>
    </row>
    <row r="66" spans="2:10" x14ac:dyDescent="0.3">
      <c r="B66" s="14" t="s">
        <v>76</v>
      </c>
      <c r="C66" s="14"/>
      <c r="D66" s="14"/>
      <c r="E66" s="14"/>
      <c r="F66" s="14"/>
    </row>
    <row r="67" spans="2:10" x14ac:dyDescent="0.3">
      <c r="B67" s="14" t="s">
        <v>77</v>
      </c>
      <c r="C67" s="14"/>
      <c r="D67" s="14"/>
      <c r="E67" s="14"/>
      <c r="F67" s="14"/>
    </row>
    <row r="68" spans="2:10" x14ac:dyDescent="0.3">
      <c r="B68" s="14" t="s">
        <v>78</v>
      </c>
      <c r="C68" s="14"/>
      <c r="D68" s="14"/>
      <c r="E68" s="14"/>
      <c r="F68" s="14"/>
    </row>
    <row r="71" spans="2:10" ht="15" thickBot="1" x14ac:dyDescent="0.35"/>
    <row r="72" spans="2:10" x14ac:dyDescent="0.3">
      <c r="B72" s="5" t="s">
        <v>79</v>
      </c>
      <c r="G72" s="101" t="s">
        <v>86</v>
      </c>
      <c r="H72" s="102"/>
      <c r="I72" s="102"/>
      <c r="J72" s="103"/>
    </row>
    <row r="73" spans="2:10" x14ac:dyDescent="0.3">
      <c r="B73" t="s">
        <v>80</v>
      </c>
      <c r="G73" s="19"/>
      <c r="J73" s="20"/>
    </row>
    <row r="74" spans="2:10" x14ac:dyDescent="0.3">
      <c r="B74" t="s">
        <v>81</v>
      </c>
      <c r="G74" s="19" t="s">
        <v>87</v>
      </c>
      <c r="J74" s="20"/>
    </row>
    <row r="75" spans="2:10" x14ac:dyDescent="0.3">
      <c r="G75" s="19"/>
      <c r="H75" t="s">
        <v>105</v>
      </c>
      <c r="I75" cm="1">
        <f t="array" ref="I75">Tabla68[UCP2]</f>
        <v>260.67999999999995</v>
      </c>
      <c r="J75" s="20"/>
    </row>
    <row r="76" spans="2:10" x14ac:dyDescent="0.3">
      <c r="G76" s="19"/>
      <c r="H76" t="s">
        <v>104</v>
      </c>
      <c r="I76">
        <v>40</v>
      </c>
      <c r="J76" s="21" t="s">
        <v>103</v>
      </c>
    </row>
    <row r="77" spans="2:10" x14ac:dyDescent="0.3">
      <c r="B77" s="6" t="s">
        <v>82</v>
      </c>
      <c r="G77" s="19"/>
      <c r="J77" s="20"/>
    </row>
    <row r="78" spans="2:10" ht="15" thickBot="1" x14ac:dyDescent="0.35">
      <c r="B78" t="s">
        <v>83</v>
      </c>
      <c r="G78" s="22" t="s">
        <v>106</v>
      </c>
      <c r="H78" s="23"/>
      <c r="I78" s="23">
        <f>I75/I76</f>
        <v>6.5169999999999986</v>
      </c>
      <c r="J78" s="24" t="s">
        <v>107</v>
      </c>
    </row>
    <row r="79" spans="2:10" x14ac:dyDescent="0.3">
      <c r="B79" t="s">
        <v>101</v>
      </c>
    </row>
    <row r="81" spans="2:5" x14ac:dyDescent="0.3">
      <c r="B81" s="1" t="s">
        <v>88</v>
      </c>
      <c r="C81" s="1" t="s">
        <v>89</v>
      </c>
      <c r="D81" s="1" t="s">
        <v>90</v>
      </c>
      <c r="E81" s="1" t="s">
        <v>91</v>
      </c>
    </row>
    <row r="82" spans="2:5" x14ac:dyDescent="0.3">
      <c r="B82" s="1" cm="1">
        <f t="array" ref="B82">Tabla6891011[UUCP]</f>
        <v>20</v>
      </c>
      <c r="C82" s="1" cm="1">
        <f t="array" ref="C82">Tabla68910[TCP Final]</f>
        <v>0.98</v>
      </c>
      <c r="D82" s="1" cm="1">
        <f t="array" ref="D82">Tabla689[ECF Final]</f>
        <v>0.66499999999999992</v>
      </c>
      <c r="E82" s="12">
        <f>Tabla6[[#This Row],[UUCP]]*Tabla6[[#This Row],[TCF]]*Tabla6[[#This Row],[ECF]]</f>
        <v>13.033999999999999</v>
      </c>
    </row>
    <row r="85" spans="2:5" x14ac:dyDescent="0.3">
      <c r="B85" s="6" t="s">
        <v>84</v>
      </c>
    </row>
    <row r="86" spans="2:5" x14ac:dyDescent="0.3">
      <c r="B86" t="s">
        <v>108</v>
      </c>
    </row>
    <row r="87" spans="2:5" x14ac:dyDescent="0.3">
      <c r="B87" t="s">
        <v>85</v>
      </c>
    </row>
    <row r="88" spans="2:5" x14ac:dyDescent="0.3">
      <c r="B88" t="s">
        <v>102</v>
      </c>
    </row>
    <row r="90" spans="2:5" x14ac:dyDescent="0.3">
      <c r="C90" s="1" t="s">
        <v>91</v>
      </c>
      <c r="D90" s="1" t="s">
        <v>93</v>
      </c>
      <c r="E90" s="1" t="s">
        <v>92</v>
      </c>
    </row>
    <row r="91" spans="2:5" x14ac:dyDescent="0.3">
      <c r="C91" s="1" cm="1">
        <f t="array" ref="C91">Tabla6[UCP]</f>
        <v>13.033999999999999</v>
      </c>
      <c r="D91" s="1">
        <v>20</v>
      </c>
      <c r="E91" s="12">
        <f>Tabla68[[#This Row],[UCP]]*Tabla68[[#This Row],[PF]]</f>
        <v>260.67999999999995</v>
      </c>
    </row>
  </sheetData>
  <mergeCells count="2">
    <mergeCell ref="C24:E24"/>
    <mergeCell ref="G72:J72"/>
  </mergeCells>
  <phoneticPr fontId="3" type="noConversion"/>
  <dataValidations count="1">
    <dataValidation type="list" allowBlank="1" showInputMessage="1" showErrorMessage="1" sqref="C18:C20" xr:uid="{25D9F34B-0D11-41F8-9B01-BDA07B6AD0C5}">
      <formula1>"Simple, Medio, Complejo"</formula1>
    </dataValidation>
  </dataValidation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F6CE-73D6-4D84-A619-9665F13A0C27}">
  <dimension ref="A2:AD97"/>
  <sheetViews>
    <sheetView showGridLines="0" workbookViewId="0">
      <selection activeCell="T46" sqref="T46"/>
    </sheetView>
  </sheetViews>
  <sheetFormatPr baseColWidth="10" defaultRowHeight="14.4" x14ac:dyDescent="0.3"/>
  <cols>
    <col min="1" max="1" width="10.6640625" customWidth="1"/>
    <col min="2" max="2" width="21.88671875" customWidth="1"/>
    <col min="3" max="3" width="12.44140625" customWidth="1"/>
    <col min="6" max="6" width="9.77734375" customWidth="1"/>
    <col min="7" max="7" width="12.109375" bestFit="1" customWidth="1"/>
    <col min="8" max="8" width="12.44140625" customWidth="1"/>
    <col min="10" max="10" width="22.6640625" customWidth="1"/>
    <col min="11" max="11" width="13" customWidth="1"/>
    <col min="16" max="16" width="19.33203125" customWidth="1"/>
    <col min="18" max="18" width="12.44140625" bestFit="1" customWidth="1"/>
  </cols>
  <sheetData>
    <row r="2" spans="2:11" x14ac:dyDescent="0.3">
      <c r="B2" t="s">
        <v>16</v>
      </c>
    </row>
    <row r="4" spans="2:11" x14ac:dyDescent="0.3">
      <c r="B4" s="5" t="s">
        <v>0</v>
      </c>
    </row>
    <row r="5" spans="2:11" x14ac:dyDescent="0.3">
      <c r="B5" s="6" t="s">
        <v>1</v>
      </c>
    </row>
    <row r="7" spans="2:11" x14ac:dyDescent="0.3">
      <c r="B7" t="s">
        <v>122</v>
      </c>
    </row>
    <row r="9" spans="2:11" x14ac:dyDescent="0.3">
      <c r="B9" s="1" t="s">
        <v>2</v>
      </c>
      <c r="C9" t="s">
        <v>3</v>
      </c>
      <c r="D9" s="1" t="s">
        <v>4</v>
      </c>
      <c r="E9" t="s">
        <v>5</v>
      </c>
    </row>
    <row r="10" spans="2:11" x14ac:dyDescent="0.3">
      <c r="B10" t="s">
        <v>125</v>
      </c>
      <c r="C10" s="1">
        <v>1</v>
      </c>
      <c r="D10" s="1">
        <v>2</v>
      </c>
      <c r="E10" s="1">
        <f>Tabla14[[#This Row],[Núm. De Actores]]*Tabla14[[#This Row],[Peso]]</f>
        <v>2</v>
      </c>
    </row>
    <row r="11" spans="2:11" x14ac:dyDescent="0.3">
      <c r="B11" s="2" t="s">
        <v>126</v>
      </c>
      <c r="C11" s="1">
        <v>1</v>
      </c>
      <c r="D11" s="1">
        <v>0</v>
      </c>
      <c r="E11" s="1">
        <f>Tabla14[[#This Row],[Núm. De Actores]]*Tabla14[[#This Row],[Peso]]</f>
        <v>0</v>
      </c>
    </row>
    <row r="12" spans="2:11" x14ac:dyDescent="0.3">
      <c r="B12" t="s">
        <v>127</v>
      </c>
      <c r="C12" s="1">
        <v>1</v>
      </c>
      <c r="D12" s="1">
        <v>3</v>
      </c>
      <c r="E12" s="1">
        <f>Tabla14[[#This Row],[Núm. De Actores]]*Tabla14[[#This Row],[Peso]]</f>
        <v>3</v>
      </c>
    </row>
    <row r="13" spans="2:11" x14ac:dyDescent="0.3">
      <c r="C13" s="1"/>
      <c r="D13" s="12" t="s">
        <v>8</v>
      </c>
      <c r="E13" s="12">
        <f>SUM(E9:E12)</f>
        <v>5</v>
      </c>
    </row>
    <row r="14" spans="2:11" x14ac:dyDescent="0.3">
      <c r="F14" t="s">
        <v>110</v>
      </c>
    </row>
    <row r="15" spans="2:11" x14ac:dyDescent="0.3">
      <c r="B15" t="s">
        <v>121</v>
      </c>
    </row>
    <row r="16" spans="2:11" x14ac:dyDescent="0.3">
      <c r="I16" s="100" t="s">
        <v>15</v>
      </c>
      <c r="J16" s="100"/>
      <c r="K16" s="100"/>
    </row>
    <row r="17" spans="2:11" x14ac:dyDescent="0.3">
      <c r="B17" s="3" t="s">
        <v>9</v>
      </c>
      <c r="C17" s="3" t="s">
        <v>10</v>
      </c>
      <c r="D17" s="8" t="s">
        <v>119</v>
      </c>
      <c r="I17" s="1" t="s">
        <v>8</v>
      </c>
      <c r="J17" s="1" t="s">
        <v>12</v>
      </c>
      <c r="K17" s="1" t="s">
        <v>88</v>
      </c>
    </row>
    <row r="18" spans="2:11" ht="15" x14ac:dyDescent="0.35">
      <c r="B18" s="25" t="s">
        <v>111</v>
      </c>
      <c r="C18" s="1" t="s">
        <v>54</v>
      </c>
      <c r="D18" s="1">
        <v>10</v>
      </c>
      <c r="I18" s="1">
        <f>E13</f>
        <v>5</v>
      </c>
      <c r="J18" s="1">
        <f>D23</f>
        <v>50</v>
      </c>
      <c r="K18" s="1">
        <f>Tabla689101119[[#This Row],[UAW]]+Tabla689101119[[#This Row],[UUCW]]</f>
        <v>55</v>
      </c>
    </row>
    <row r="19" spans="2:11" ht="30" customHeight="1" x14ac:dyDescent="0.35">
      <c r="B19" s="26" t="s">
        <v>112</v>
      </c>
      <c r="C19" s="1" t="s">
        <v>109</v>
      </c>
      <c r="D19" s="1">
        <v>5</v>
      </c>
      <c r="F19" t="s">
        <v>123</v>
      </c>
    </row>
    <row r="20" spans="2:11" ht="30" x14ac:dyDescent="0.35">
      <c r="B20" s="26" t="s">
        <v>114</v>
      </c>
      <c r="C20" s="3" t="s">
        <v>109</v>
      </c>
      <c r="D20" s="3">
        <v>5</v>
      </c>
    </row>
    <row r="21" spans="2:11" ht="30" x14ac:dyDescent="0.35">
      <c r="B21" s="26" t="s">
        <v>113</v>
      </c>
      <c r="C21" s="3" t="s">
        <v>117</v>
      </c>
      <c r="D21" s="1">
        <v>15</v>
      </c>
    </row>
    <row r="22" spans="2:11" ht="30" x14ac:dyDescent="0.35">
      <c r="B22" s="26" t="s">
        <v>115</v>
      </c>
      <c r="C22" s="3" t="s">
        <v>117</v>
      </c>
      <c r="D22" s="1">
        <v>15</v>
      </c>
      <c r="G22" t="s">
        <v>124</v>
      </c>
    </row>
    <row r="23" spans="2:11" x14ac:dyDescent="0.3">
      <c r="C23" s="12"/>
      <c r="D23" s="12">
        <f>SUM(D18:D22)</f>
        <v>50</v>
      </c>
    </row>
    <row r="29" spans="2:11" x14ac:dyDescent="0.3">
      <c r="B29" t="s">
        <v>131</v>
      </c>
    </row>
    <row r="31" spans="2:11" x14ac:dyDescent="0.3">
      <c r="B31" t="s">
        <v>128</v>
      </c>
    </row>
    <row r="33" spans="1:11" ht="28.8" x14ac:dyDescent="0.3">
      <c r="A33" s="2" t="s">
        <v>20</v>
      </c>
      <c r="B33" s="8" t="s">
        <v>47</v>
      </c>
      <c r="C33" s="7" t="s">
        <v>48</v>
      </c>
      <c r="D33" s="2" t="s">
        <v>49</v>
      </c>
      <c r="E33" s="7" t="s">
        <v>74</v>
      </c>
    </row>
    <row r="34" spans="1:11" x14ac:dyDescent="0.3">
      <c r="A34" s="2" t="s">
        <v>21</v>
      </c>
      <c r="B34" s="10" t="s">
        <v>34</v>
      </c>
      <c r="C34" s="1">
        <v>2</v>
      </c>
      <c r="D34" s="1">
        <v>1</v>
      </c>
      <c r="E34" s="1">
        <f>Tabla13513[[#This Row],[Peso (valor fijo)]]*Tabla13513[[#This Row],[Impacto percibido]]</f>
        <v>2</v>
      </c>
      <c r="G34" s="13"/>
    </row>
    <row r="35" spans="1:11" ht="28.8" x14ac:dyDescent="0.3">
      <c r="A35" t="s">
        <v>22</v>
      </c>
      <c r="B35" s="9" t="s">
        <v>35</v>
      </c>
      <c r="C35" s="1">
        <v>1</v>
      </c>
      <c r="D35" s="1">
        <v>5</v>
      </c>
      <c r="E35" s="1">
        <f>Tabla13513[[#This Row],[Peso (valor fijo)]]*Tabla13513[[#This Row],[Impacto percibido]]</f>
        <v>5</v>
      </c>
      <c r="G35" s="10"/>
      <c r="H35" s="1" t="s">
        <v>95</v>
      </c>
      <c r="I35" s="1" t="s">
        <v>96</v>
      </c>
      <c r="J35" s="1" t="s">
        <v>129</v>
      </c>
      <c r="K35" s="1" t="s">
        <v>130</v>
      </c>
    </row>
    <row r="36" spans="1:11" x14ac:dyDescent="0.3">
      <c r="A36" s="4" t="s">
        <v>23</v>
      </c>
      <c r="B36" s="3" t="s">
        <v>36</v>
      </c>
      <c r="C36" s="3">
        <v>1</v>
      </c>
      <c r="D36" s="3">
        <v>5</v>
      </c>
      <c r="E36" s="1">
        <f>Tabla13513[[#This Row],[Peso (valor fijo)]]*Tabla13513[[#This Row],[Impacto percibido]]</f>
        <v>5</v>
      </c>
      <c r="H36" s="1">
        <v>0.6</v>
      </c>
      <c r="I36" s="1">
        <v>0.01</v>
      </c>
      <c r="J36" s="1">
        <f>E47</f>
        <v>42</v>
      </c>
      <c r="K36" s="12">
        <f>(Tabla6891018[[#This Row],[V. Fijo2]]*Tabla6891018[[#This Row],[Factor calculado TCF]])+Tabla6891018[[#This Row],[V. Fijo]]</f>
        <v>1.02</v>
      </c>
    </row>
    <row r="37" spans="1:11" ht="28.8" x14ac:dyDescent="0.3">
      <c r="A37" t="s">
        <v>24</v>
      </c>
      <c r="B37" s="9" t="s">
        <v>37</v>
      </c>
      <c r="C37" s="1">
        <v>1</v>
      </c>
      <c r="D37" s="1">
        <v>3</v>
      </c>
      <c r="E37" s="1">
        <f>Tabla13513[[#This Row],[Peso (valor fijo)]]*Tabla13513[[#This Row],[Impacto percibido]]</f>
        <v>3</v>
      </c>
    </row>
    <row r="38" spans="1:11" ht="28.8" x14ac:dyDescent="0.3">
      <c r="A38" s="4" t="s">
        <v>25</v>
      </c>
      <c r="B38" s="9" t="s">
        <v>38</v>
      </c>
      <c r="C38" s="1">
        <v>1</v>
      </c>
      <c r="D38" s="1">
        <v>0</v>
      </c>
      <c r="E38" s="1">
        <f>Tabla13513[[#This Row],[Peso (valor fijo)]]*Tabla13513[[#This Row],[Impacto percibido]]</f>
        <v>0</v>
      </c>
    </row>
    <row r="39" spans="1:11" x14ac:dyDescent="0.3">
      <c r="A39" s="4" t="s">
        <v>26</v>
      </c>
      <c r="B39" s="10" t="s">
        <v>39</v>
      </c>
      <c r="C39" s="1">
        <v>0.5</v>
      </c>
      <c r="D39" s="1">
        <v>1</v>
      </c>
      <c r="E39" s="1">
        <f>Tabla13513[[#This Row],[Peso (valor fijo)]]*Tabla13513[[#This Row],[Impacto percibido]]</f>
        <v>0.5</v>
      </c>
      <c r="H39" s="15" t="s">
        <v>51</v>
      </c>
      <c r="I39" s="17" t="s">
        <v>53</v>
      </c>
    </row>
    <row r="40" spans="1:11" x14ac:dyDescent="0.3">
      <c r="A40" s="4" t="s">
        <v>27</v>
      </c>
      <c r="B40" s="10" t="s">
        <v>40</v>
      </c>
      <c r="C40" s="1">
        <v>0.5</v>
      </c>
      <c r="D40" s="1">
        <v>5</v>
      </c>
      <c r="E40" s="1">
        <f>Tabla13513[[#This Row],[Peso (valor fijo)]]*Tabla13513[[#This Row],[Impacto percibido]]</f>
        <v>2.5</v>
      </c>
      <c r="H40" s="16" t="s">
        <v>52</v>
      </c>
      <c r="I40" s="17" t="s">
        <v>54</v>
      </c>
    </row>
    <row r="41" spans="1:11" x14ac:dyDescent="0.3">
      <c r="A41" s="4" t="s">
        <v>28</v>
      </c>
      <c r="B41" s="10" t="s">
        <v>41</v>
      </c>
      <c r="C41" s="1">
        <v>2</v>
      </c>
      <c r="D41" s="1">
        <v>2</v>
      </c>
      <c r="E41" s="1">
        <f>Tabla13513[[#This Row],[Peso (valor fijo)]]*Tabla13513[[#This Row],[Impacto percibido]]</f>
        <v>4</v>
      </c>
      <c r="H41" s="15">
        <v>5</v>
      </c>
      <c r="I41" s="17" t="s">
        <v>55</v>
      </c>
    </row>
    <row r="42" spans="1:11" x14ac:dyDescent="0.3">
      <c r="A42" s="4" t="s">
        <v>29</v>
      </c>
      <c r="B42" s="10" t="s">
        <v>42</v>
      </c>
      <c r="C42" s="1">
        <v>1</v>
      </c>
      <c r="D42" s="1">
        <v>5</v>
      </c>
      <c r="E42" s="1">
        <f>Tabla13513[[#This Row],[Peso (valor fijo)]]*Tabla13513[[#This Row],[Impacto percibido]]</f>
        <v>5</v>
      </c>
    </row>
    <row r="43" spans="1:11" x14ac:dyDescent="0.3">
      <c r="A43" s="4" t="s">
        <v>30</v>
      </c>
      <c r="B43" s="10" t="s">
        <v>43</v>
      </c>
      <c r="C43" s="1">
        <v>1</v>
      </c>
      <c r="D43" s="1">
        <v>5</v>
      </c>
      <c r="E43" s="1">
        <f>Tabla13513[[#This Row],[Peso (valor fijo)]]*Tabla13513[[#This Row],[Impacto percibido]]</f>
        <v>5</v>
      </c>
    </row>
    <row r="44" spans="1:11" ht="28.8" x14ac:dyDescent="0.3">
      <c r="A44" s="4" t="s">
        <v>31</v>
      </c>
      <c r="B44" s="9" t="s">
        <v>44</v>
      </c>
      <c r="C44" s="1">
        <v>1</v>
      </c>
      <c r="D44" s="1">
        <v>4</v>
      </c>
      <c r="E44" s="1">
        <f>Tabla13513[[#This Row],[Peso (valor fijo)]]*Tabla13513[[#This Row],[Impacto percibido]]</f>
        <v>4</v>
      </c>
    </row>
    <row r="45" spans="1:11" ht="28.8" x14ac:dyDescent="0.3">
      <c r="A45" s="4" t="s">
        <v>32</v>
      </c>
      <c r="B45" s="9" t="s">
        <v>45</v>
      </c>
      <c r="C45" s="1">
        <v>1</v>
      </c>
      <c r="D45" s="1">
        <v>5</v>
      </c>
      <c r="E45" s="1">
        <f>Tabla13513[[#This Row],[Peso (valor fijo)]]*Tabla13513[[#This Row],[Impacto percibido]]</f>
        <v>5</v>
      </c>
    </row>
    <row r="46" spans="1:11" ht="43.2" x14ac:dyDescent="0.3">
      <c r="A46" s="4" t="s">
        <v>33</v>
      </c>
      <c r="B46" s="9" t="s">
        <v>46</v>
      </c>
      <c r="C46" s="1">
        <v>1</v>
      </c>
      <c r="D46" s="1">
        <v>1</v>
      </c>
      <c r="E46" s="1">
        <f>Tabla13513[[#This Row],[Peso (valor fijo)]]*Tabla13513[[#This Row],[Impacto percibido]]</f>
        <v>1</v>
      </c>
    </row>
    <row r="47" spans="1:11" x14ac:dyDescent="0.3">
      <c r="A47" s="4"/>
      <c r="B47" s="1"/>
      <c r="C47" s="11" t="s">
        <v>50</v>
      </c>
      <c r="D47" s="1"/>
      <c r="E47" s="12">
        <f>SUM(E34:E46)</f>
        <v>42</v>
      </c>
    </row>
    <row r="51" spans="1:11" x14ac:dyDescent="0.3">
      <c r="B51" t="s">
        <v>56</v>
      </c>
    </row>
    <row r="53" spans="1:11" x14ac:dyDescent="0.3">
      <c r="B53" s="6" t="s">
        <v>57</v>
      </c>
    </row>
    <row r="55" spans="1:11" ht="28.8" x14ac:dyDescent="0.3">
      <c r="A55" s="8" t="s">
        <v>20</v>
      </c>
      <c r="B55" s="3" t="s">
        <v>47</v>
      </c>
      <c r="C55" s="7" t="s">
        <v>48</v>
      </c>
      <c r="D55" s="2" t="s">
        <v>49</v>
      </c>
      <c r="E55" s="2" t="s">
        <v>74</v>
      </c>
    </row>
    <row r="56" spans="1:11" ht="43.2" x14ac:dyDescent="0.3">
      <c r="A56" s="4" t="s">
        <v>58</v>
      </c>
      <c r="B56" s="18" t="s">
        <v>66</v>
      </c>
      <c r="C56" s="3">
        <v>1.5</v>
      </c>
      <c r="D56" s="3">
        <v>5</v>
      </c>
      <c r="E56" s="3">
        <f>Tabla135614[[#This Row],[Peso (valor fijo)]]*Tabla135614[[#This Row],[Impacto percibido]]</f>
        <v>7.5</v>
      </c>
    </row>
    <row r="57" spans="1:11" x14ac:dyDescent="0.3">
      <c r="A57" t="s">
        <v>59</v>
      </c>
      <c r="B57" s="9" t="s">
        <v>67</v>
      </c>
      <c r="C57" s="1">
        <v>-1</v>
      </c>
      <c r="D57" s="1">
        <v>2</v>
      </c>
      <c r="E57" s="1">
        <f>Tabla135614[[#This Row],[Peso (valor fijo)]]*Tabla135614[[#This Row],[Impacto percibido]]</f>
        <v>-2</v>
      </c>
    </row>
    <row r="58" spans="1:11" ht="28.8" x14ac:dyDescent="0.3">
      <c r="A58" t="s">
        <v>60</v>
      </c>
      <c r="B58" s="18" t="s">
        <v>68</v>
      </c>
      <c r="C58" s="3">
        <v>0.5</v>
      </c>
      <c r="D58" s="3">
        <v>5</v>
      </c>
      <c r="E58" s="1">
        <f>Tabla135614[[#This Row],[Peso (valor fijo)]]*Tabla135614[[#This Row],[Impacto percibido]]</f>
        <v>2.5</v>
      </c>
      <c r="H58" s="3" t="s">
        <v>95</v>
      </c>
      <c r="I58" s="3" t="s">
        <v>96</v>
      </c>
      <c r="J58" s="3" t="s">
        <v>94</v>
      </c>
      <c r="K58" s="3" t="s">
        <v>97</v>
      </c>
    </row>
    <row r="59" spans="1:11" ht="28.8" x14ac:dyDescent="0.3">
      <c r="A59" t="s">
        <v>61</v>
      </c>
      <c r="B59" s="9" t="s">
        <v>69</v>
      </c>
      <c r="C59" s="1">
        <v>0.5</v>
      </c>
      <c r="D59" s="1">
        <v>4</v>
      </c>
      <c r="E59" s="1">
        <f>Tabla135614[[#This Row],[Peso (valor fijo)]]*Tabla135614[[#This Row],[Impacto percibido]]</f>
        <v>2</v>
      </c>
      <c r="H59" s="3">
        <v>1.4</v>
      </c>
      <c r="I59" s="3">
        <v>-0.03</v>
      </c>
      <c r="J59" s="3">
        <f>E64</f>
        <v>28</v>
      </c>
      <c r="K59" s="27">
        <f>(Tabla68917[[#This Row],[V. Fijo2]]*Tabla68917[[#This Row],[Factor calculado ECF]])+Tabla68917[[#This Row],[V. Fijo]]</f>
        <v>0.55999999999999994</v>
      </c>
    </row>
    <row r="60" spans="1:11" ht="28.8" x14ac:dyDescent="0.3">
      <c r="A60" t="s">
        <v>62</v>
      </c>
      <c r="B60" s="9" t="s">
        <v>70</v>
      </c>
      <c r="C60" s="1">
        <v>1</v>
      </c>
      <c r="D60" s="1">
        <v>5</v>
      </c>
      <c r="E60" s="1">
        <f>Tabla135614[[#This Row],[Peso (valor fijo)]]*Tabla135614[[#This Row],[Impacto percibido]]</f>
        <v>5</v>
      </c>
    </row>
    <row r="61" spans="1:11" x14ac:dyDescent="0.3">
      <c r="A61" t="s">
        <v>63</v>
      </c>
      <c r="B61" s="10" t="s">
        <v>71</v>
      </c>
      <c r="C61" s="1">
        <v>1</v>
      </c>
      <c r="D61" s="1">
        <v>5</v>
      </c>
      <c r="E61" s="1">
        <f>Tabla135614[[#This Row],[Peso (valor fijo)]]*Tabla135614[[#This Row],[Impacto percibido]]</f>
        <v>5</v>
      </c>
    </row>
    <row r="62" spans="1:11" ht="28.8" x14ac:dyDescent="0.3">
      <c r="A62" t="s">
        <v>64</v>
      </c>
      <c r="B62" s="9" t="s">
        <v>72</v>
      </c>
      <c r="C62" s="1">
        <v>-1</v>
      </c>
      <c r="D62" s="1">
        <v>2</v>
      </c>
      <c r="E62" s="1">
        <f>Tabla135614[[#This Row],[Peso (valor fijo)]]*Tabla135614[[#This Row],[Impacto percibido]]</f>
        <v>-2</v>
      </c>
    </row>
    <row r="63" spans="1:11" ht="28.8" x14ac:dyDescent="0.3">
      <c r="A63" t="s">
        <v>65</v>
      </c>
      <c r="B63" s="9" t="s">
        <v>73</v>
      </c>
      <c r="C63" s="1">
        <v>2</v>
      </c>
      <c r="D63" s="1">
        <v>5</v>
      </c>
      <c r="E63" s="1">
        <f>Tabla135614[[#This Row],[Peso (valor fijo)]]*Tabla135614[[#This Row],[Impacto percibido]]</f>
        <v>10</v>
      </c>
    </row>
    <row r="64" spans="1:11" x14ac:dyDescent="0.3">
      <c r="A64" s="4"/>
      <c r="B64" s="1"/>
      <c r="C64" s="11" t="s">
        <v>75</v>
      </c>
      <c r="D64" s="1"/>
      <c r="E64" s="12">
        <f>SUM(E56:E63)</f>
        <v>28</v>
      </c>
    </row>
    <row r="67" spans="2:18" x14ac:dyDescent="0.3">
      <c r="B67" s="14" t="s">
        <v>76</v>
      </c>
      <c r="C67" s="14"/>
      <c r="D67" s="14"/>
      <c r="E67" s="14"/>
      <c r="F67" s="14"/>
    </row>
    <row r="68" spans="2:18" x14ac:dyDescent="0.3">
      <c r="B68" s="14" t="s">
        <v>77</v>
      </c>
      <c r="C68" s="14"/>
      <c r="D68" s="14"/>
      <c r="E68" s="14"/>
      <c r="F68" s="14"/>
    </row>
    <row r="69" spans="2:18" x14ac:dyDescent="0.3">
      <c r="B69" s="14" t="s">
        <v>78</v>
      </c>
      <c r="C69" s="14"/>
      <c r="D69" s="14"/>
      <c r="E69" s="14"/>
      <c r="F69" s="14"/>
    </row>
    <row r="70" spans="2:18" x14ac:dyDescent="0.3">
      <c r="P70">
        <v>4.33</v>
      </c>
    </row>
    <row r="72" spans="2:18" ht="15" thickBot="1" x14ac:dyDescent="0.35"/>
    <row r="73" spans="2:18" x14ac:dyDescent="0.3">
      <c r="B73" s="5" t="s">
        <v>79</v>
      </c>
      <c r="G73" s="101" t="s">
        <v>86</v>
      </c>
      <c r="H73" s="102"/>
      <c r="I73" s="102"/>
      <c r="J73" s="103"/>
      <c r="L73" s="34" t="s">
        <v>133</v>
      </c>
      <c r="M73" s="32"/>
      <c r="N73" s="33" t="s">
        <v>137</v>
      </c>
      <c r="O73" s="32"/>
      <c r="P73" s="32"/>
    </row>
    <row r="74" spans="2:18" x14ac:dyDescent="0.3">
      <c r="B74" t="s">
        <v>80</v>
      </c>
      <c r="G74" s="19"/>
      <c r="J74" s="20"/>
      <c r="L74" s="33" t="s">
        <v>134</v>
      </c>
      <c r="M74" s="32"/>
      <c r="N74" s="34" t="s">
        <v>138</v>
      </c>
      <c r="O74" s="32"/>
      <c r="P74" s="32"/>
    </row>
    <row r="75" spans="2:18" x14ac:dyDescent="0.3">
      <c r="B75" t="s">
        <v>81</v>
      </c>
      <c r="G75" s="19" t="s">
        <v>87</v>
      </c>
      <c r="J75" s="20"/>
      <c r="L75" s="34" t="s">
        <v>135</v>
      </c>
      <c r="M75" s="32"/>
      <c r="N75" s="34" t="s">
        <v>139</v>
      </c>
      <c r="O75" s="32"/>
      <c r="P75" s="32"/>
    </row>
    <row r="76" spans="2:18" x14ac:dyDescent="0.3">
      <c r="G76" s="19"/>
      <c r="H76" t="s">
        <v>105</v>
      </c>
      <c r="I76" cm="1">
        <f t="array" ref="I76">Tabla6816[UCP2]</f>
        <v>628.31999999999994</v>
      </c>
      <c r="J76" s="20"/>
      <c r="L76" s="34" t="s">
        <v>136</v>
      </c>
      <c r="M76" s="32"/>
      <c r="N76" s="34" t="s">
        <v>140</v>
      </c>
      <c r="O76" s="32"/>
      <c r="P76" s="32"/>
    </row>
    <row r="77" spans="2:18" x14ac:dyDescent="0.3">
      <c r="G77" s="19"/>
      <c r="H77" t="s">
        <v>104</v>
      </c>
      <c r="I77">
        <v>40</v>
      </c>
      <c r="J77" s="21" t="s">
        <v>103</v>
      </c>
      <c r="L77" s="32"/>
      <c r="M77" s="32"/>
      <c r="N77" s="34" t="s">
        <v>141</v>
      </c>
      <c r="O77" s="32"/>
      <c r="P77" s="32"/>
    </row>
    <row r="78" spans="2:18" x14ac:dyDescent="0.3">
      <c r="B78" s="6" t="s">
        <v>82</v>
      </c>
      <c r="G78" s="19"/>
      <c r="J78" s="20"/>
      <c r="L78" s="32"/>
      <c r="M78" s="32"/>
      <c r="N78" s="32"/>
      <c r="O78" s="32"/>
      <c r="P78" s="32"/>
    </row>
    <row r="79" spans="2:18" ht="15" thickBot="1" x14ac:dyDescent="0.35">
      <c r="B79" t="s">
        <v>83</v>
      </c>
      <c r="G79" s="22" t="s">
        <v>106</v>
      </c>
      <c r="H79" s="23"/>
      <c r="I79" s="23">
        <f>I76/I77</f>
        <v>15.707999999999998</v>
      </c>
      <c r="J79" s="28" t="s">
        <v>132</v>
      </c>
    </row>
    <row r="80" spans="2:18" x14ac:dyDescent="0.3">
      <c r="B80" t="s">
        <v>101</v>
      </c>
      <c r="P80" t="s">
        <v>144</v>
      </c>
      <c r="R80" s="36" t="s">
        <v>145</v>
      </c>
    </row>
    <row r="81" spans="2:30" x14ac:dyDescent="0.3">
      <c r="H81" s="30"/>
      <c r="I81" t="str">
        <f>"Equivale a " &amp; INT(AD81) &amp; " meses y " &amp; ROUND((AD81 - INT(AD81)) * 30, 0) &amp; " días"</f>
        <v>Equivale a 3 meses y 18 días</v>
      </c>
      <c r="J81" s="35"/>
      <c r="L81" t="s">
        <v>143</v>
      </c>
      <c r="O81">
        <v>157080</v>
      </c>
      <c r="P81" s="37">
        <v>314160</v>
      </c>
      <c r="Q81" s="38">
        <v>43300</v>
      </c>
      <c r="R81" s="37">
        <v>86600</v>
      </c>
      <c r="AD81" s="29">
        <f>I79/4.345</f>
        <v>3.6151898734177212</v>
      </c>
    </row>
    <row r="82" spans="2:30" x14ac:dyDescent="0.3">
      <c r="B82" s="1" t="s">
        <v>88</v>
      </c>
      <c r="C82" s="1" t="s">
        <v>89</v>
      </c>
      <c r="D82" s="1" t="s">
        <v>90</v>
      </c>
      <c r="E82" s="1" t="s">
        <v>91</v>
      </c>
      <c r="L82" t="s">
        <v>142</v>
      </c>
      <c r="P82" s="37">
        <v>125664</v>
      </c>
      <c r="Q82" s="37"/>
      <c r="R82" s="37">
        <v>34640</v>
      </c>
    </row>
    <row r="83" spans="2:30" x14ac:dyDescent="0.3">
      <c r="B83" s="1" cm="1">
        <f t="array" ref="B83">Tabla689101119[UUCP]</f>
        <v>55</v>
      </c>
      <c r="C83" s="1" cm="1">
        <f t="array" ref="C83">Tabla6891018[TCF Final]</f>
        <v>1.02</v>
      </c>
      <c r="D83" s="1" cm="1">
        <f t="array" ref="D83">Tabla68917[ECF Final]</f>
        <v>0.55999999999999994</v>
      </c>
      <c r="E83" s="12">
        <f>Tabla615[[#This Row],[UUCP]]*Tabla615[[#This Row],[TCF]]*Tabla615[[#This Row],[ECF]]</f>
        <v>31.415999999999997</v>
      </c>
      <c r="P83" s="37">
        <v>1200</v>
      </c>
      <c r="Q83" s="37"/>
      <c r="R83" s="37">
        <v>300</v>
      </c>
    </row>
    <row r="84" spans="2:30" x14ac:dyDescent="0.3">
      <c r="P84" s="37">
        <f>SUM(P81:P83)</f>
        <v>441024</v>
      </c>
      <c r="Q84" s="37"/>
      <c r="R84" s="37">
        <f>SUM(R81:R83)</f>
        <v>121540</v>
      </c>
    </row>
    <row r="86" spans="2:30" x14ac:dyDescent="0.3">
      <c r="B86" s="6" t="s">
        <v>84</v>
      </c>
      <c r="L86" t="s">
        <v>146</v>
      </c>
      <c r="P86" s="39">
        <f>P84-254000</f>
        <v>187024</v>
      </c>
    </row>
    <row r="87" spans="2:30" x14ac:dyDescent="0.3">
      <c r="B87" t="s">
        <v>108</v>
      </c>
    </row>
    <row r="88" spans="2:30" x14ac:dyDescent="0.3">
      <c r="B88" t="s">
        <v>85</v>
      </c>
    </row>
    <row r="89" spans="2:30" x14ac:dyDescent="0.3">
      <c r="B89" t="s">
        <v>102</v>
      </c>
      <c r="G89" s="31" t="s">
        <v>110</v>
      </c>
    </row>
    <row r="91" spans="2:30" x14ac:dyDescent="0.3">
      <c r="C91" s="1" t="s">
        <v>91</v>
      </c>
      <c r="D91" s="1" t="s">
        <v>93</v>
      </c>
      <c r="E91" s="1" t="s">
        <v>92</v>
      </c>
      <c r="P91" t="s">
        <v>144</v>
      </c>
      <c r="R91" s="36" t="s">
        <v>145</v>
      </c>
    </row>
    <row r="92" spans="2:30" x14ac:dyDescent="0.3">
      <c r="C92" s="1" cm="1">
        <f t="array" ref="C92">Tabla615[UCP]</f>
        <v>31.415999999999997</v>
      </c>
      <c r="D92" s="1">
        <v>20</v>
      </c>
      <c r="E92" s="12">
        <f>Tabla6816[[#This Row],[UCP]]*Tabla6816[[#This Row],[PF]]</f>
        <v>628.31999999999994</v>
      </c>
      <c r="L92" t="s">
        <v>147</v>
      </c>
      <c r="O92">
        <v>62832</v>
      </c>
      <c r="P92" s="37">
        <v>125664</v>
      </c>
      <c r="Q92" s="38">
        <v>17320</v>
      </c>
      <c r="R92" s="37">
        <v>34640</v>
      </c>
    </row>
    <row r="93" spans="2:30" x14ac:dyDescent="0.3">
      <c r="L93" t="s">
        <v>148</v>
      </c>
      <c r="P93" s="37">
        <v>94248</v>
      </c>
      <c r="Q93" s="37"/>
      <c r="R93" s="37">
        <v>25980</v>
      </c>
    </row>
    <row r="94" spans="2:30" x14ac:dyDescent="0.3">
      <c r="P94" s="37">
        <v>1200</v>
      </c>
      <c r="Q94" s="37"/>
      <c r="R94" s="37">
        <v>300</v>
      </c>
    </row>
    <row r="95" spans="2:30" x14ac:dyDescent="0.3">
      <c r="P95" s="37">
        <f>SUM(P92:P94)</f>
        <v>221112</v>
      </c>
      <c r="Q95" s="37"/>
      <c r="R95" s="37">
        <f>SUM(R92:R94)</f>
        <v>60920</v>
      </c>
    </row>
    <row r="97" spans="12:16" x14ac:dyDescent="0.3">
      <c r="L97" t="s">
        <v>146</v>
      </c>
      <c r="P97" s="39">
        <f>P95-254000</f>
        <v>-32888</v>
      </c>
    </row>
  </sheetData>
  <mergeCells count="2">
    <mergeCell ref="I16:K16"/>
    <mergeCell ref="G73:J73"/>
  </mergeCells>
  <dataValidations disablePrompts="1" count="2">
    <dataValidation type="list" allowBlank="1" showInputMessage="1" showErrorMessage="1" sqref="C18:C22" xr:uid="{6AEEF5F1-902F-4227-B582-2E770F6943F1}">
      <formula1>"Simple, Medio, Complejo"</formula1>
    </dataValidation>
    <dataValidation type="whole" allowBlank="1" showInputMessage="1" showErrorMessage="1" sqref="D34:D46" xr:uid="{433C98F7-EF9E-4E25-BB30-88E5D070A9CB}">
      <formula1>0</formula1>
      <formula2>5</formula2>
    </dataValidation>
  </dataValidation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403D-DE81-47DE-BC14-7B9828BA29F8}">
  <dimension ref="B2:AC138"/>
  <sheetViews>
    <sheetView showGridLines="0" workbookViewId="0">
      <selection activeCell="I140" sqref="I140"/>
    </sheetView>
  </sheetViews>
  <sheetFormatPr baseColWidth="10" defaultRowHeight="14.4" x14ac:dyDescent="0.3"/>
  <cols>
    <col min="2" max="2" width="29" customWidth="1"/>
    <col min="3" max="3" width="27.44140625" customWidth="1"/>
    <col min="4" max="4" width="13.109375" style="1" customWidth="1"/>
    <col min="6" max="6" width="29.5546875" customWidth="1"/>
    <col min="9" max="9" width="50.109375" customWidth="1"/>
    <col min="11" max="11" width="57.109375" bestFit="1" customWidth="1"/>
    <col min="15" max="15" width="58.77734375" customWidth="1"/>
  </cols>
  <sheetData>
    <row r="2" spans="2:2" ht="15.6" x14ac:dyDescent="0.3">
      <c r="B2" s="40" t="s">
        <v>158</v>
      </c>
    </row>
    <row r="3" spans="2:2" x14ac:dyDescent="0.3">
      <c r="B3" s="41"/>
    </row>
    <row r="4" spans="2:2" x14ac:dyDescent="0.3">
      <c r="B4" s="5" t="s">
        <v>254</v>
      </c>
    </row>
    <row r="5" spans="2:2" x14ac:dyDescent="0.3">
      <c r="B5" s="41" t="s">
        <v>249</v>
      </c>
    </row>
    <row r="6" spans="2:2" x14ac:dyDescent="0.3">
      <c r="B6" s="41"/>
    </row>
    <row r="7" spans="2:2" x14ac:dyDescent="0.3">
      <c r="B7" s="5" t="s">
        <v>255</v>
      </c>
    </row>
    <row r="8" spans="2:2" x14ac:dyDescent="0.3">
      <c r="B8" s="41" t="s">
        <v>250</v>
      </c>
    </row>
    <row r="9" spans="2:2" x14ac:dyDescent="0.3">
      <c r="B9" s="41"/>
    </row>
    <row r="10" spans="2:2" x14ac:dyDescent="0.3">
      <c r="B10" s="5" t="s">
        <v>256</v>
      </c>
    </row>
    <row r="11" spans="2:2" x14ac:dyDescent="0.3">
      <c r="B11" s="41" t="s">
        <v>251</v>
      </c>
    </row>
    <row r="12" spans="2:2" x14ac:dyDescent="0.3">
      <c r="B12" s="41"/>
    </row>
    <row r="13" spans="2:2" x14ac:dyDescent="0.3">
      <c r="B13" s="5" t="s">
        <v>257</v>
      </c>
    </row>
    <row r="14" spans="2:2" x14ac:dyDescent="0.3">
      <c r="B14" s="41" t="s">
        <v>252</v>
      </c>
    </row>
    <row r="15" spans="2:2" x14ac:dyDescent="0.3">
      <c r="B15" s="41"/>
    </row>
    <row r="16" spans="2:2" x14ac:dyDescent="0.3">
      <c r="B16" s="5" t="s">
        <v>258</v>
      </c>
    </row>
    <row r="17" spans="2:6" x14ac:dyDescent="0.3">
      <c r="B17" s="41" t="s">
        <v>253</v>
      </c>
    </row>
    <row r="21" spans="2:6" ht="15.6" x14ac:dyDescent="0.3">
      <c r="B21" s="40" t="s">
        <v>159</v>
      </c>
    </row>
    <row r="23" spans="2:6" ht="18" x14ac:dyDescent="0.3">
      <c r="B23" s="43" t="s">
        <v>160</v>
      </c>
    </row>
    <row r="25" spans="2:6" x14ac:dyDescent="0.3">
      <c r="B25" s="45" t="s">
        <v>161</v>
      </c>
      <c r="C25" s="45" t="s">
        <v>47</v>
      </c>
      <c r="D25" s="45" t="s">
        <v>162</v>
      </c>
      <c r="E25" s="45" t="s">
        <v>163</v>
      </c>
      <c r="F25" s="45" t="s">
        <v>164</v>
      </c>
    </row>
    <row r="26" spans="2:6" ht="48.6" customHeight="1" x14ac:dyDescent="0.3">
      <c r="B26" s="66" t="s">
        <v>165</v>
      </c>
      <c r="C26" s="67" t="s">
        <v>166</v>
      </c>
      <c r="D26" s="69" t="s">
        <v>167</v>
      </c>
      <c r="E26" s="69">
        <v>4</v>
      </c>
      <c r="F26" s="68" t="s">
        <v>168</v>
      </c>
    </row>
    <row r="27" spans="2:6" ht="43.2" x14ac:dyDescent="0.3">
      <c r="B27" s="63" t="s">
        <v>169</v>
      </c>
      <c r="C27" s="64" t="s">
        <v>170</v>
      </c>
      <c r="D27" s="70" t="s">
        <v>167</v>
      </c>
      <c r="E27" s="70">
        <v>4</v>
      </c>
      <c r="F27" s="65" t="s">
        <v>171</v>
      </c>
    </row>
    <row r="31" spans="2:6" ht="18" x14ac:dyDescent="0.3">
      <c r="B31" s="43" t="s">
        <v>172</v>
      </c>
    </row>
    <row r="33" spans="2:6" x14ac:dyDescent="0.3">
      <c r="B33" s="45" t="s">
        <v>161</v>
      </c>
      <c r="C33" s="45" t="s">
        <v>47</v>
      </c>
      <c r="D33" s="45" t="s">
        <v>162</v>
      </c>
      <c r="E33" s="45" t="s">
        <v>163</v>
      </c>
      <c r="F33" s="45" t="s">
        <v>164</v>
      </c>
    </row>
    <row r="34" spans="2:6" ht="58.2" customHeight="1" x14ac:dyDescent="0.3">
      <c r="B34" s="66" t="s">
        <v>173</v>
      </c>
      <c r="C34" s="67" t="s">
        <v>174</v>
      </c>
      <c r="D34" s="69" t="s">
        <v>109</v>
      </c>
      <c r="E34" s="69">
        <v>4</v>
      </c>
      <c r="F34" s="68" t="s">
        <v>175</v>
      </c>
    </row>
    <row r="35" spans="2:6" ht="67.2" customHeight="1" x14ac:dyDescent="0.3">
      <c r="B35" s="63" t="s">
        <v>176</v>
      </c>
      <c r="C35" s="64" t="s">
        <v>177</v>
      </c>
      <c r="D35" s="70" t="s">
        <v>109</v>
      </c>
      <c r="E35" s="70">
        <v>4</v>
      </c>
      <c r="F35" s="65" t="s">
        <v>178</v>
      </c>
    </row>
    <row r="39" spans="2:6" ht="18" x14ac:dyDescent="0.3">
      <c r="B39" s="43" t="s">
        <v>179</v>
      </c>
    </row>
    <row r="41" spans="2:6" x14ac:dyDescent="0.3">
      <c r="B41" s="45" t="s">
        <v>161</v>
      </c>
      <c r="C41" s="45" t="s">
        <v>47</v>
      </c>
      <c r="D41" s="45" t="s">
        <v>162</v>
      </c>
      <c r="E41" s="45" t="s">
        <v>163</v>
      </c>
      <c r="F41" s="45" t="s">
        <v>164</v>
      </c>
    </row>
    <row r="42" spans="2:6" ht="43.2" x14ac:dyDescent="0.3">
      <c r="B42" s="66" t="s">
        <v>180</v>
      </c>
      <c r="C42" s="67" t="s">
        <v>181</v>
      </c>
      <c r="D42" s="69" t="s">
        <v>167</v>
      </c>
      <c r="E42" s="69">
        <v>4</v>
      </c>
      <c r="F42" s="68" t="s">
        <v>182</v>
      </c>
    </row>
    <row r="43" spans="2:6" ht="28.8" x14ac:dyDescent="0.3">
      <c r="B43" s="63" t="s">
        <v>183</v>
      </c>
      <c r="C43" s="64" t="s">
        <v>184</v>
      </c>
      <c r="D43" s="70" t="s">
        <v>167</v>
      </c>
      <c r="E43" s="70">
        <v>4</v>
      </c>
      <c r="F43" s="65" t="s">
        <v>185</v>
      </c>
    </row>
    <row r="47" spans="2:6" ht="18" x14ac:dyDescent="0.3">
      <c r="B47" s="43" t="s">
        <v>186</v>
      </c>
    </row>
    <row r="49" spans="2:6" x14ac:dyDescent="0.3">
      <c r="B49" s="45" t="s">
        <v>161</v>
      </c>
      <c r="C49" s="45" t="s">
        <v>47</v>
      </c>
      <c r="D49" s="45" t="s">
        <v>162</v>
      </c>
      <c r="E49" s="45" t="s">
        <v>163</v>
      </c>
      <c r="F49" s="45" t="s">
        <v>164</v>
      </c>
    </row>
    <row r="50" spans="2:6" ht="43.2" x14ac:dyDescent="0.3">
      <c r="B50" s="60" t="s">
        <v>187</v>
      </c>
      <c r="C50" s="61" t="s">
        <v>188</v>
      </c>
      <c r="D50" s="71" t="s">
        <v>189</v>
      </c>
      <c r="E50" s="71">
        <v>15</v>
      </c>
      <c r="F50" s="62" t="s">
        <v>190</v>
      </c>
    </row>
    <row r="51" spans="2:6" ht="57.6" x14ac:dyDescent="0.3">
      <c r="B51" s="66" t="s">
        <v>191</v>
      </c>
      <c r="C51" s="67" t="s">
        <v>192</v>
      </c>
      <c r="D51" s="69" t="s">
        <v>189</v>
      </c>
      <c r="E51" s="69">
        <v>15</v>
      </c>
      <c r="F51" s="68" t="s">
        <v>193</v>
      </c>
    </row>
    <row r="55" spans="2:6" ht="18" x14ac:dyDescent="0.3">
      <c r="B55" s="43" t="s">
        <v>194</v>
      </c>
    </row>
    <row r="57" spans="2:6" x14ac:dyDescent="0.3">
      <c r="B57" s="45" t="s">
        <v>161</v>
      </c>
      <c r="C57" s="45" t="s">
        <v>47</v>
      </c>
      <c r="D57" s="45" t="s">
        <v>162</v>
      </c>
      <c r="E57" s="45" t="s">
        <v>163</v>
      </c>
      <c r="F57" s="45" t="s">
        <v>164</v>
      </c>
    </row>
    <row r="58" spans="2:6" ht="57.6" x14ac:dyDescent="0.3">
      <c r="B58" s="66" t="s">
        <v>195</v>
      </c>
      <c r="C58" s="67" t="s">
        <v>196</v>
      </c>
      <c r="D58" s="69" t="s">
        <v>167</v>
      </c>
      <c r="E58" s="69">
        <v>7</v>
      </c>
      <c r="F58" s="68" t="s">
        <v>197</v>
      </c>
    </row>
    <row r="59" spans="2:6" x14ac:dyDescent="0.3">
      <c r="B59" s="4"/>
      <c r="C59" s="4"/>
      <c r="D59" s="8"/>
      <c r="E59" s="4"/>
      <c r="F59" s="4"/>
    </row>
    <row r="60" spans="2:6" x14ac:dyDescent="0.3">
      <c r="B60" s="4"/>
      <c r="C60" s="4"/>
      <c r="D60" s="8"/>
      <c r="E60" s="4"/>
      <c r="F60" s="4"/>
    </row>
    <row r="61" spans="2:6" x14ac:dyDescent="0.3">
      <c r="B61" s="4"/>
      <c r="C61" s="4"/>
      <c r="D61" s="8"/>
      <c r="E61" s="4"/>
      <c r="F61" s="4"/>
    </row>
    <row r="62" spans="2:6" x14ac:dyDescent="0.3">
      <c r="B62" s="4"/>
      <c r="C62" s="4"/>
      <c r="D62" s="8"/>
      <c r="E62" s="4"/>
      <c r="F62" s="4"/>
    </row>
    <row r="68" spans="2:29" ht="15.6" x14ac:dyDescent="0.3">
      <c r="B68" s="40" t="s">
        <v>229</v>
      </c>
      <c r="K68" s="40" t="s">
        <v>212</v>
      </c>
    </row>
    <row r="70" spans="2:29" ht="28.8" x14ac:dyDescent="0.3">
      <c r="B70" s="45" t="s">
        <v>198</v>
      </c>
      <c r="C70" s="45" t="s">
        <v>199</v>
      </c>
      <c r="D70" s="46" t="s">
        <v>200</v>
      </c>
      <c r="E70" s="45" t="s">
        <v>109</v>
      </c>
      <c r="F70" s="45" t="s">
        <v>201</v>
      </c>
      <c r="G70" s="45" t="s">
        <v>117</v>
      </c>
      <c r="H70" s="45" t="s">
        <v>202</v>
      </c>
      <c r="I70" s="114"/>
    </row>
    <row r="71" spans="2:29" x14ac:dyDescent="0.3">
      <c r="B71" s="55" t="s">
        <v>203</v>
      </c>
      <c r="C71" s="52">
        <v>2</v>
      </c>
      <c r="D71" s="52" t="s">
        <v>204</v>
      </c>
      <c r="E71" s="52">
        <v>3</v>
      </c>
      <c r="F71" s="56">
        <v>4</v>
      </c>
      <c r="G71" s="52">
        <v>6</v>
      </c>
      <c r="H71" s="53">
        <v>8</v>
      </c>
      <c r="I71" s="115"/>
      <c r="K71" s="45" t="s">
        <v>213</v>
      </c>
      <c r="L71" s="45" t="s">
        <v>214</v>
      </c>
      <c r="M71" s="109" t="s">
        <v>164</v>
      </c>
      <c r="N71" s="109"/>
      <c r="O71" s="109"/>
      <c r="P71" s="109"/>
    </row>
    <row r="72" spans="2:29" x14ac:dyDescent="0.3">
      <c r="B72" s="55" t="s">
        <v>205</v>
      </c>
      <c r="C72" s="52">
        <v>2</v>
      </c>
      <c r="D72" s="52" t="s">
        <v>206</v>
      </c>
      <c r="E72" s="56">
        <v>4</v>
      </c>
      <c r="F72" s="52">
        <v>5</v>
      </c>
      <c r="G72" s="52">
        <v>7</v>
      </c>
      <c r="H72" s="53">
        <v>6</v>
      </c>
      <c r="I72" s="115"/>
      <c r="K72" s="105" t="s">
        <v>215</v>
      </c>
      <c r="L72" s="77">
        <v>3</v>
      </c>
      <c r="M72" s="76" t="s">
        <v>289</v>
      </c>
      <c r="N72" s="92"/>
      <c r="O72" s="92"/>
      <c r="P72" s="93"/>
    </row>
    <row r="73" spans="2:29" x14ac:dyDescent="0.3">
      <c r="B73" s="55" t="s">
        <v>207</v>
      </c>
      <c r="C73" s="52">
        <v>2</v>
      </c>
      <c r="D73" s="52" t="s">
        <v>204</v>
      </c>
      <c r="E73" s="52">
        <v>3</v>
      </c>
      <c r="F73" s="56">
        <v>4</v>
      </c>
      <c r="G73" s="52">
        <v>6</v>
      </c>
      <c r="H73" s="53">
        <v>8</v>
      </c>
      <c r="I73" s="115"/>
      <c r="K73" s="105" t="s">
        <v>216</v>
      </c>
      <c r="L73" s="77">
        <v>1</v>
      </c>
      <c r="M73" s="55" t="s">
        <v>290</v>
      </c>
      <c r="N73" s="96"/>
      <c r="O73" s="96"/>
      <c r="P73" s="97"/>
    </row>
    <row r="74" spans="2:29" x14ac:dyDescent="0.3">
      <c r="B74" s="55" t="s">
        <v>208</v>
      </c>
      <c r="C74" s="52">
        <v>2</v>
      </c>
      <c r="D74" s="52" t="s">
        <v>209</v>
      </c>
      <c r="E74" s="52">
        <v>7</v>
      </c>
      <c r="F74" s="52">
        <v>10</v>
      </c>
      <c r="G74" s="56">
        <v>15</v>
      </c>
      <c r="H74" s="53">
        <v>30</v>
      </c>
      <c r="I74" s="115"/>
      <c r="K74" s="105" t="s">
        <v>217</v>
      </c>
      <c r="L74" s="77">
        <v>4</v>
      </c>
      <c r="M74" s="55" t="s">
        <v>291</v>
      </c>
      <c r="N74" s="97"/>
      <c r="O74" s="118"/>
      <c r="P74" s="97"/>
    </row>
    <row r="75" spans="2:29" x14ac:dyDescent="0.3">
      <c r="B75" s="55" t="s">
        <v>210</v>
      </c>
      <c r="C75" s="52">
        <v>1</v>
      </c>
      <c r="D75" s="52" t="s">
        <v>211</v>
      </c>
      <c r="E75" s="52">
        <v>5</v>
      </c>
      <c r="F75" s="56">
        <v>7</v>
      </c>
      <c r="G75" s="52">
        <v>10</v>
      </c>
      <c r="H75" s="53">
        <v>7</v>
      </c>
      <c r="I75" s="115"/>
      <c r="K75" s="105" t="s">
        <v>218</v>
      </c>
      <c r="L75" s="77">
        <v>3</v>
      </c>
      <c r="M75" s="55" t="s">
        <v>292</v>
      </c>
      <c r="N75" s="96"/>
      <c r="O75" s="96"/>
      <c r="P75" s="97"/>
    </row>
    <row r="76" spans="2:29" x14ac:dyDescent="0.3">
      <c r="B76" s="57" t="s">
        <v>230</v>
      </c>
      <c r="C76" s="58"/>
      <c r="D76" s="72"/>
      <c r="E76" s="58"/>
      <c r="F76" s="58"/>
      <c r="G76" s="58"/>
      <c r="H76" s="59">
        <f>SUM(H71:H75)</f>
        <v>59</v>
      </c>
      <c r="I76" s="116"/>
      <c r="K76" s="105" t="s">
        <v>219</v>
      </c>
      <c r="L76" s="77">
        <v>3</v>
      </c>
      <c r="M76" s="55" t="s">
        <v>293</v>
      </c>
      <c r="N76" s="96"/>
      <c r="O76" s="96"/>
      <c r="P76" s="97"/>
    </row>
    <row r="77" spans="2:29" x14ac:dyDescent="0.3">
      <c r="K77" s="105" t="s">
        <v>220</v>
      </c>
      <c r="L77" s="77">
        <v>4</v>
      </c>
      <c r="M77" s="55" t="s">
        <v>294</v>
      </c>
      <c r="N77" s="96"/>
      <c r="O77" s="96"/>
      <c r="P77" s="97"/>
    </row>
    <row r="78" spans="2:29" x14ac:dyDescent="0.3">
      <c r="K78" s="105" t="s">
        <v>221</v>
      </c>
      <c r="L78" s="77">
        <v>2</v>
      </c>
      <c r="M78" s="55" t="s">
        <v>295</v>
      </c>
      <c r="N78" s="96"/>
      <c r="O78" s="96"/>
      <c r="P78" s="97"/>
    </row>
    <row r="79" spans="2:29" x14ac:dyDescent="0.3">
      <c r="K79" s="105" t="s">
        <v>222</v>
      </c>
      <c r="L79" s="77">
        <v>5</v>
      </c>
      <c r="M79" s="55" t="s">
        <v>296</v>
      </c>
      <c r="N79" s="96"/>
      <c r="O79" s="96"/>
      <c r="P79" s="97"/>
    </row>
    <row r="80" spans="2:29" x14ac:dyDescent="0.3">
      <c r="K80" s="105" t="s">
        <v>223</v>
      </c>
      <c r="L80" s="77">
        <v>2</v>
      </c>
      <c r="M80" s="55" t="s">
        <v>297</v>
      </c>
      <c r="N80" s="96"/>
      <c r="O80" s="96"/>
      <c r="P80" s="97"/>
      <c r="AC80">
        <f>D85/0.125</f>
        <v>509.76000000000005</v>
      </c>
    </row>
    <row r="81" spans="2:29" x14ac:dyDescent="0.3">
      <c r="K81" s="105" t="s">
        <v>224</v>
      </c>
      <c r="L81" s="77">
        <v>2</v>
      </c>
      <c r="M81" s="55" t="s">
        <v>298</v>
      </c>
      <c r="N81" s="96"/>
      <c r="O81" s="96"/>
      <c r="P81" s="97"/>
      <c r="AC81">
        <f>D99/E99</f>
        <v>169.92000000000002</v>
      </c>
    </row>
    <row r="82" spans="2:29" x14ac:dyDescent="0.3">
      <c r="B82" s="5" t="s">
        <v>248</v>
      </c>
      <c r="K82" s="117" t="s">
        <v>225</v>
      </c>
      <c r="L82" s="78">
        <v>4</v>
      </c>
      <c r="M82" s="55" t="s">
        <v>299</v>
      </c>
      <c r="N82" s="96"/>
      <c r="O82" s="96"/>
      <c r="P82" s="97"/>
    </row>
    <row r="83" spans="2:29" x14ac:dyDescent="0.3">
      <c r="K83" s="105" t="s">
        <v>226</v>
      </c>
      <c r="L83" s="77">
        <v>3</v>
      </c>
      <c r="M83" s="55" t="s">
        <v>300</v>
      </c>
      <c r="N83" s="96"/>
      <c r="O83" s="96"/>
      <c r="P83" s="97"/>
    </row>
    <row r="84" spans="2:29" x14ac:dyDescent="0.3">
      <c r="B84" s="45" t="s">
        <v>230</v>
      </c>
      <c r="C84" s="45" t="s">
        <v>239</v>
      </c>
      <c r="D84" s="45" t="s">
        <v>231</v>
      </c>
      <c r="K84" s="106" t="s">
        <v>227</v>
      </c>
      <c r="L84" s="79">
        <v>2</v>
      </c>
      <c r="M84" s="55" t="s">
        <v>301</v>
      </c>
      <c r="N84" s="96"/>
      <c r="O84" s="96"/>
      <c r="P84" s="97"/>
    </row>
    <row r="85" spans="2:29" x14ac:dyDescent="0.3">
      <c r="B85" s="74">
        <f>H76</f>
        <v>59</v>
      </c>
      <c r="C85" s="73">
        <f>L86</f>
        <v>43</v>
      </c>
      <c r="D85" s="73">
        <f>B85*(0.65+0.01*C85)</f>
        <v>63.720000000000006</v>
      </c>
      <c r="K85" s="106" t="s">
        <v>228</v>
      </c>
      <c r="L85" s="79">
        <v>5</v>
      </c>
      <c r="M85" s="76" t="s">
        <v>302</v>
      </c>
      <c r="N85" s="96"/>
      <c r="O85" s="96"/>
      <c r="P85" s="97"/>
    </row>
    <row r="86" spans="2:29" x14ac:dyDescent="0.3">
      <c r="K86" s="80" t="s">
        <v>239</v>
      </c>
      <c r="L86" s="50">
        <f>SUM(L72:L85)</f>
        <v>43</v>
      </c>
      <c r="M86" s="96"/>
      <c r="N86" s="49"/>
      <c r="O86" s="49"/>
      <c r="P86" s="51"/>
    </row>
    <row r="88" spans="2:29" x14ac:dyDescent="0.3">
      <c r="B88" s="5" t="s">
        <v>232</v>
      </c>
      <c r="D88" s="5" t="s">
        <v>236</v>
      </c>
    </row>
    <row r="89" spans="2:29" x14ac:dyDescent="0.3">
      <c r="D89"/>
    </row>
    <row r="90" spans="2:29" x14ac:dyDescent="0.3">
      <c r="B90" s="75" t="s">
        <v>233</v>
      </c>
      <c r="D90" s="75" t="s">
        <v>237</v>
      </c>
      <c r="E90" s="75"/>
      <c r="F90" s="75"/>
    </row>
    <row r="91" spans="2:29" x14ac:dyDescent="0.3">
      <c r="B91" s="75" t="s">
        <v>234</v>
      </c>
      <c r="D91"/>
    </row>
    <row r="92" spans="2:29" x14ac:dyDescent="0.3">
      <c r="B92" s="75" t="s">
        <v>235</v>
      </c>
      <c r="D92" t="s">
        <v>240</v>
      </c>
      <c r="F92" t="str">
        <f>"Equivale a " &amp; D85/0.125 &amp; " horas/persona "</f>
        <v xml:space="preserve">Equivale a 509.76 horas/persona </v>
      </c>
    </row>
    <row r="93" spans="2:29" x14ac:dyDescent="0.3">
      <c r="D93"/>
    </row>
    <row r="95" spans="2:29" x14ac:dyDescent="0.3">
      <c r="D95"/>
    </row>
    <row r="96" spans="2:29" x14ac:dyDescent="0.3">
      <c r="D96" s="5" t="s">
        <v>238</v>
      </c>
    </row>
    <row r="97" spans="4:14" x14ac:dyDescent="0.3">
      <c r="D97" s="5"/>
    </row>
    <row r="98" spans="4:14" x14ac:dyDescent="0.3">
      <c r="D98" s="45" t="s">
        <v>242</v>
      </c>
      <c r="E98" s="45" t="s">
        <v>241</v>
      </c>
      <c r="F98" s="45" t="s">
        <v>5</v>
      </c>
    </row>
    <row r="99" spans="4:14" x14ac:dyDescent="0.3">
      <c r="D99" s="81">
        <f>AC80</f>
        <v>509.76000000000005</v>
      </c>
      <c r="E99" s="82">
        <v>3</v>
      </c>
      <c r="F99" s="82" t="str">
        <f>D99/E99 &amp; " horas por miembro "</f>
        <v xml:space="preserve">169.92 horas por miembro </v>
      </c>
    </row>
    <row r="102" spans="4:14" x14ac:dyDescent="0.3">
      <c r="D102"/>
      <c r="J102" s="44"/>
      <c r="K102" s="44"/>
      <c r="L102" s="44"/>
      <c r="M102" s="44"/>
      <c r="N102" s="44"/>
    </row>
    <row r="103" spans="4:14" x14ac:dyDescent="0.3">
      <c r="D103" s="5" t="s">
        <v>244</v>
      </c>
      <c r="J103" s="4"/>
      <c r="K103" s="4"/>
      <c r="L103" s="4"/>
      <c r="M103" s="4"/>
      <c r="N103" s="4"/>
    </row>
    <row r="104" spans="4:14" x14ac:dyDescent="0.3">
      <c r="J104" s="4"/>
      <c r="K104" s="4"/>
      <c r="L104" s="4"/>
      <c r="M104" s="4"/>
      <c r="N104" s="4"/>
    </row>
    <row r="105" spans="4:14" x14ac:dyDescent="0.3">
      <c r="D105" s="75" t="s">
        <v>243</v>
      </c>
      <c r="E105" s="75"/>
      <c r="F105" s="75"/>
      <c r="G105" s="75"/>
      <c r="H105" s="75"/>
    </row>
    <row r="107" spans="4:14" x14ac:dyDescent="0.3">
      <c r="D107" s="45" t="s">
        <v>245</v>
      </c>
      <c r="E107" s="45" t="s">
        <v>246</v>
      </c>
      <c r="F107" s="45" t="s">
        <v>5</v>
      </c>
    </row>
    <row r="108" spans="4:14" x14ac:dyDescent="0.3">
      <c r="D108" s="81">
        <f>AC81</f>
        <v>169.92000000000002</v>
      </c>
      <c r="E108" s="82">
        <v>100</v>
      </c>
      <c r="F108" s="82" t="str">
        <f>D108/E108 &amp; " meses "</f>
        <v xml:space="preserve">1.6992 meses </v>
      </c>
    </row>
    <row r="109" spans="4:14" x14ac:dyDescent="0.3">
      <c r="D109"/>
    </row>
    <row r="110" spans="4:14" x14ac:dyDescent="0.3">
      <c r="D110"/>
    </row>
    <row r="111" spans="4:14" x14ac:dyDescent="0.3">
      <c r="D111" s="45" t="s">
        <v>245</v>
      </c>
      <c r="E111" s="45" t="s">
        <v>246</v>
      </c>
      <c r="F111" s="45" t="s">
        <v>247</v>
      </c>
      <c r="G111" s="104" t="s">
        <v>5</v>
      </c>
      <c r="H111" s="104"/>
    </row>
    <row r="112" spans="4:14" x14ac:dyDescent="0.3">
      <c r="D112" s="81">
        <f>AC81</f>
        <v>169.92000000000002</v>
      </c>
      <c r="E112" s="82">
        <v>100</v>
      </c>
      <c r="F112" s="82">
        <v>8</v>
      </c>
      <c r="G112" s="113" t="str">
        <f>INT(D112/E112) &amp; " meses y " &amp; INT(MOD(D112,E112) / F112) &amp; " día(s)"</f>
        <v>1 meses y 8 día(s)</v>
      </c>
      <c r="H112" s="97"/>
    </row>
    <row r="113" spans="4:11" x14ac:dyDescent="0.3">
      <c r="D113" s="5"/>
    </row>
    <row r="114" spans="4:11" x14ac:dyDescent="0.3">
      <c r="D114"/>
    </row>
    <row r="124" spans="4:11" x14ac:dyDescent="0.3">
      <c r="I124" s="44"/>
      <c r="J124" s="44"/>
      <c r="K124" s="44"/>
    </row>
    <row r="125" spans="4:11" x14ac:dyDescent="0.3">
      <c r="I125" s="4"/>
      <c r="J125" s="4"/>
      <c r="K125" s="4"/>
    </row>
    <row r="126" spans="4:11" x14ac:dyDescent="0.3">
      <c r="I126" s="4"/>
      <c r="J126" s="4"/>
      <c r="K126" s="4"/>
    </row>
    <row r="127" spans="4:11" x14ac:dyDescent="0.3">
      <c r="I127" s="4"/>
      <c r="J127" s="4"/>
      <c r="K127" s="4"/>
    </row>
    <row r="128" spans="4:11" x14ac:dyDescent="0.3">
      <c r="I128" s="4"/>
      <c r="J128" s="4"/>
      <c r="K128" s="4"/>
    </row>
    <row r="129" spans="9:11" x14ac:dyDescent="0.3">
      <c r="I129" s="4"/>
      <c r="J129" s="4"/>
      <c r="K129" s="4"/>
    </row>
    <row r="130" spans="9:11" x14ac:dyDescent="0.3">
      <c r="I130" s="4"/>
      <c r="J130" s="4"/>
      <c r="K130" s="4"/>
    </row>
    <row r="131" spans="9:11" x14ac:dyDescent="0.3">
      <c r="I131" s="4"/>
      <c r="J131" s="4"/>
      <c r="K131" s="4"/>
    </row>
    <row r="132" spans="9:11" x14ac:dyDescent="0.3">
      <c r="I132" s="4"/>
      <c r="J132" s="4"/>
      <c r="K132" s="4"/>
    </row>
    <row r="133" spans="9:11" x14ac:dyDescent="0.3">
      <c r="I133" s="4"/>
      <c r="J133" s="4"/>
      <c r="K133" s="4"/>
    </row>
    <row r="134" spans="9:11" x14ac:dyDescent="0.3">
      <c r="I134" s="4"/>
      <c r="J134" s="4"/>
      <c r="K134" s="4"/>
    </row>
    <row r="135" spans="9:11" x14ac:dyDescent="0.3">
      <c r="I135" s="4"/>
      <c r="J135" s="4"/>
      <c r="K135" s="4"/>
    </row>
    <row r="136" spans="9:11" x14ac:dyDescent="0.3">
      <c r="I136" s="4"/>
      <c r="J136" s="4"/>
      <c r="K136" s="4"/>
    </row>
    <row r="137" spans="9:11" x14ac:dyDescent="0.3">
      <c r="I137" s="4"/>
      <c r="J137" s="4"/>
      <c r="K137" s="4"/>
    </row>
    <row r="138" spans="9:11" x14ac:dyDescent="0.3">
      <c r="I138" s="4"/>
      <c r="J138" s="4"/>
      <c r="K138" s="4"/>
    </row>
  </sheetData>
  <mergeCells count="2">
    <mergeCell ref="G111:H111"/>
    <mergeCell ref="M71:P7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19D9-5DA9-4368-94F3-673ABDEFB560}">
  <dimension ref="A2:AD97"/>
  <sheetViews>
    <sheetView showGridLines="0" tabSelected="1" topLeftCell="A25" workbookViewId="0">
      <selection activeCell="K94" sqref="K94"/>
    </sheetView>
  </sheetViews>
  <sheetFormatPr baseColWidth="10" defaultRowHeight="14.4" x14ac:dyDescent="0.3"/>
  <cols>
    <col min="1" max="1" width="10.6640625" customWidth="1"/>
    <col min="2" max="2" width="21.88671875" customWidth="1"/>
    <col min="3" max="3" width="12.44140625" customWidth="1"/>
    <col min="6" max="6" width="9.77734375" customWidth="1"/>
    <col min="7" max="7" width="12.109375" bestFit="1" customWidth="1"/>
    <col min="8" max="8" width="12.44140625" customWidth="1"/>
    <col min="10" max="10" width="22.6640625" customWidth="1"/>
    <col min="11" max="11" width="13" customWidth="1"/>
    <col min="16" max="16" width="19.33203125" customWidth="1"/>
    <col min="18" max="18" width="12.44140625" bestFit="1" customWidth="1"/>
  </cols>
  <sheetData>
    <row r="2" spans="2:11" x14ac:dyDescent="0.3">
      <c r="B2" t="s">
        <v>16</v>
      </c>
    </row>
    <row r="4" spans="2:11" x14ac:dyDescent="0.3">
      <c r="B4" s="5" t="s">
        <v>0</v>
      </c>
    </row>
    <row r="5" spans="2:11" x14ac:dyDescent="0.3">
      <c r="B5" s="6" t="s">
        <v>1</v>
      </c>
    </row>
    <row r="7" spans="2:11" x14ac:dyDescent="0.3">
      <c r="B7" t="s">
        <v>122</v>
      </c>
    </row>
    <row r="9" spans="2:11" x14ac:dyDescent="0.3">
      <c r="B9" s="1" t="s">
        <v>2</v>
      </c>
      <c r="C9" t="s">
        <v>3</v>
      </c>
      <c r="D9" s="1" t="s">
        <v>4</v>
      </c>
      <c r="E9" t="s">
        <v>5</v>
      </c>
    </row>
    <row r="10" spans="2:11" x14ac:dyDescent="0.3">
      <c r="B10" t="s">
        <v>125</v>
      </c>
      <c r="C10" s="1">
        <v>1</v>
      </c>
      <c r="D10" s="1">
        <v>2</v>
      </c>
      <c r="E10" s="1">
        <f>Tabla1429[[#This Row],[Núm. De Actores]]*Tabla1429[[#This Row],[Peso]]</f>
        <v>2</v>
      </c>
    </row>
    <row r="11" spans="2:11" x14ac:dyDescent="0.3">
      <c r="B11" s="2" t="s">
        <v>157</v>
      </c>
      <c r="C11" s="1">
        <v>1</v>
      </c>
      <c r="D11" s="1">
        <v>1</v>
      </c>
      <c r="E11" s="1">
        <f>Tabla1429[[#This Row],[Núm. De Actores]]*Tabla1429[[#This Row],[Peso]]</f>
        <v>1</v>
      </c>
    </row>
    <row r="12" spans="2:11" x14ac:dyDescent="0.3">
      <c r="B12" t="s">
        <v>156</v>
      </c>
      <c r="C12" s="1">
        <v>1</v>
      </c>
      <c r="D12" s="1">
        <v>3</v>
      </c>
      <c r="E12" s="1">
        <f>Tabla1429[[#This Row],[Núm. De Actores]]*Tabla1429[[#This Row],[Peso]]</f>
        <v>3</v>
      </c>
    </row>
    <row r="13" spans="2:11" x14ac:dyDescent="0.3">
      <c r="C13" s="1"/>
      <c r="D13" s="12" t="s">
        <v>8</v>
      </c>
      <c r="E13" s="12">
        <f>SUM(E9:E12)</f>
        <v>6</v>
      </c>
    </row>
    <row r="14" spans="2:11" x14ac:dyDescent="0.3">
      <c r="F14" t="s">
        <v>110</v>
      </c>
    </row>
    <row r="15" spans="2:11" x14ac:dyDescent="0.3">
      <c r="B15" t="s">
        <v>121</v>
      </c>
    </row>
    <row r="16" spans="2:11" x14ac:dyDescent="0.3">
      <c r="I16" s="100" t="s">
        <v>15</v>
      </c>
      <c r="J16" s="100"/>
      <c r="K16" s="100"/>
    </row>
    <row r="17" spans="2:11" x14ac:dyDescent="0.3">
      <c r="B17" s="3" t="s">
        <v>9</v>
      </c>
      <c r="C17" s="3" t="s">
        <v>10</v>
      </c>
      <c r="D17" s="8" t="s">
        <v>119</v>
      </c>
      <c r="I17" s="1" t="s">
        <v>8</v>
      </c>
      <c r="J17" s="1" t="s">
        <v>12</v>
      </c>
      <c r="K17" s="1" t="s">
        <v>88</v>
      </c>
    </row>
    <row r="18" spans="2:11" ht="28.8" x14ac:dyDescent="0.3">
      <c r="B18" s="2" t="s">
        <v>149</v>
      </c>
      <c r="C18" s="3" t="s">
        <v>109</v>
      </c>
      <c r="D18" s="1">
        <v>5</v>
      </c>
      <c r="I18" s="1">
        <f>E13</f>
        <v>6</v>
      </c>
      <c r="J18" s="1">
        <f>D25</f>
        <v>55</v>
      </c>
      <c r="K18" s="1">
        <f>Tabla68910111937[[#This Row],[UAW]]+Tabla68910111937[[#This Row],[UUCW]]</f>
        <v>61</v>
      </c>
    </row>
    <row r="19" spans="2:11" ht="15.6" customHeight="1" x14ac:dyDescent="0.3">
      <c r="B19" t="s">
        <v>150</v>
      </c>
      <c r="C19" s="1" t="s">
        <v>54</v>
      </c>
      <c r="D19" s="1">
        <v>10</v>
      </c>
      <c r="F19" t="s">
        <v>123</v>
      </c>
    </row>
    <row r="20" spans="2:11" x14ac:dyDescent="0.3">
      <c r="B20" t="s">
        <v>151</v>
      </c>
      <c r="C20" s="3" t="s">
        <v>54</v>
      </c>
      <c r="D20" s="3">
        <v>10</v>
      </c>
    </row>
    <row r="21" spans="2:11" x14ac:dyDescent="0.3">
      <c r="B21" s="4" t="s">
        <v>152</v>
      </c>
      <c r="C21" s="3" t="s">
        <v>109</v>
      </c>
      <c r="D21" s="1">
        <v>5</v>
      </c>
    </row>
    <row r="22" spans="2:11" ht="28.8" x14ac:dyDescent="0.3">
      <c r="B22" s="4" t="s">
        <v>153</v>
      </c>
      <c r="C22" s="3" t="s">
        <v>117</v>
      </c>
      <c r="D22" s="1">
        <v>15</v>
      </c>
      <c r="G22" t="s">
        <v>124</v>
      </c>
    </row>
    <row r="23" spans="2:11" x14ac:dyDescent="0.3">
      <c r="B23" t="s">
        <v>154</v>
      </c>
      <c r="C23" s="3" t="s">
        <v>109</v>
      </c>
      <c r="D23" s="1">
        <v>5</v>
      </c>
    </row>
    <row r="24" spans="2:11" x14ac:dyDescent="0.3">
      <c r="B24" t="s">
        <v>155</v>
      </c>
      <c r="C24" s="3" t="s">
        <v>109</v>
      </c>
      <c r="D24" s="1">
        <v>5</v>
      </c>
    </row>
    <row r="25" spans="2:11" x14ac:dyDescent="0.3">
      <c r="C25" s="1"/>
      <c r="D25" s="12">
        <f>SUM(D18:D24)</f>
        <v>55</v>
      </c>
    </row>
    <row r="29" spans="2:11" x14ac:dyDescent="0.3">
      <c r="B29" t="s">
        <v>131</v>
      </c>
    </row>
    <row r="31" spans="2:11" x14ac:dyDescent="0.3">
      <c r="B31" t="s">
        <v>128</v>
      </c>
    </row>
    <row r="33" spans="1:11" ht="28.8" x14ac:dyDescent="0.3">
      <c r="A33" s="2" t="s">
        <v>20</v>
      </c>
      <c r="B33" s="8" t="s">
        <v>47</v>
      </c>
      <c r="C33" s="7" t="s">
        <v>48</v>
      </c>
      <c r="D33" s="2" t="s">
        <v>49</v>
      </c>
      <c r="E33" s="7" t="s">
        <v>74</v>
      </c>
    </row>
    <row r="34" spans="1:11" x14ac:dyDescent="0.3">
      <c r="A34" s="2" t="s">
        <v>21</v>
      </c>
      <c r="B34" s="10" t="s">
        <v>34</v>
      </c>
      <c r="C34" s="1">
        <v>2</v>
      </c>
      <c r="D34" s="1">
        <v>2</v>
      </c>
      <c r="E34" s="1">
        <f>Tabla1351331[[#This Row],[Peso (valor fijo)]]*Tabla1351331[[#This Row],[Impacto percibido]]</f>
        <v>4</v>
      </c>
      <c r="G34" s="13"/>
    </row>
    <row r="35" spans="1:11" ht="28.8" x14ac:dyDescent="0.3">
      <c r="A35" t="s">
        <v>22</v>
      </c>
      <c r="B35" s="9" t="s">
        <v>35</v>
      </c>
      <c r="C35" s="1">
        <v>1</v>
      </c>
      <c r="D35" s="1">
        <v>1</v>
      </c>
      <c r="E35" s="1">
        <f>Tabla1351331[[#This Row],[Peso (valor fijo)]]*Tabla1351331[[#This Row],[Impacto percibido]]</f>
        <v>1</v>
      </c>
      <c r="G35" s="10"/>
      <c r="H35" s="1" t="s">
        <v>95</v>
      </c>
      <c r="I35" s="1" t="s">
        <v>96</v>
      </c>
      <c r="J35" s="1" t="s">
        <v>129</v>
      </c>
      <c r="K35" s="1" t="s">
        <v>130</v>
      </c>
    </row>
    <row r="36" spans="1:11" x14ac:dyDescent="0.3">
      <c r="A36" s="4" t="s">
        <v>23</v>
      </c>
      <c r="B36" s="3" t="s">
        <v>36</v>
      </c>
      <c r="C36" s="3">
        <v>1</v>
      </c>
      <c r="D36" s="3">
        <v>3</v>
      </c>
      <c r="E36" s="1">
        <f>Tabla1351331[[#This Row],[Peso (valor fijo)]]*Tabla1351331[[#This Row],[Impacto percibido]]</f>
        <v>3</v>
      </c>
      <c r="H36" s="1">
        <v>0.6</v>
      </c>
      <c r="I36" s="1">
        <v>0.01</v>
      </c>
      <c r="J36" s="1">
        <f>E47</f>
        <v>30.5</v>
      </c>
      <c r="K36" s="12">
        <f>(Tabla689101836[[#This Row],[V. Fijo2]]*Tabla689101836[[#This Row],[Factor calculado TCF]])+Tabla689101836[[#This Row],[V. Fijo]]</f>
        <v>0.90500000000000003</v>
      </c>
    </row>
    <row r="37" spans="1:11" ht="28.8" x14ac:dyDescent="0.3">
      <c r="A37" t="s">
        <v>24</v>
      </c>
      <c r="B37" s="9" t="s">
        <v>37</v>
      </c>
      <c r="C37" s="1">
        <v>1</v>
      </c>
      <c r="D37" s="1">
        <v>2</v>
      </c>
      <c r="E37" s="1">
        <f>Tabla1351331[[#This Row],[Peso (valor fijo)]]*Tabla1351331[[#This Row],[Impacto percibido]]</f>
        <v>2</v>
      </c>
    </row>
    <row r="38" spans="1:11" ht="28.8" x14ac:dyDescent="0.3">
      <c r="A38" s="4" t="s">
        <v>25</v>
      </c>
      <c r="B38" s="9" t="s">
        <v>38</v>
      </c>
      <c r="C38" s="1">
        <v>1</v>
      </c>
      <c r="D38" s="1">
        <v>1</v>
      </c>
      <c r="E38" s="1">
        <f>Tabla1351331[[#This Row],[Peso (valor fijo)]]*Tabla1351331[[#This Row],[Impacto percibido]]</f>
        <v>1</v>
      </c>
    </row>
    <row r="39" spans="1:11" x14ac:dyDescent="0.3">
      <c r="A39" s="4" t="s">
        <v>26</v>
      </c>
      <c r="B39" s="10" t="s">
        <v>39</v>
      </c>
      <c r="C39" s="1">
        <v>0.5</v>
      </c>
      <c r="D39" s="1">
        <v>2</v>
      </c>
      <c r="E39" s="1">
        <f>Tabla1351331[[#This Row],[Peso (valor fijo)]]*Tabla1351331[[#This Row],[Impacto percibido]]</f>
        <v>1</v>
      </c>
      <c r="H39" s="15" t="s">
        <v>51</v>
      </c>
      <c r="I39" s="17" t="s">
        <v>53</v>
      </c>
    </row>
    <row r="40" spans="1:11" x14ac:dyDescent="0.3">
      <c r="A40" s="4" t="s">
        <v>27</v>
      </c>
      <c r="B40" s="10" t="s">
        <v>40</v>
      </c>
      <c r="C40" s="1">
        <v>0.5</v>
      </c>
      <c r="D40" s="1">
        <v>5</v>
      </c>
      <c r="E40" s="1">
        <f>Tabla1351331[[#This Row],[Peso (valor fijo)]]*Tabla1351331[[#This Row],[Impacto percibido]]</f>
        <v>2.5</v>
      </c>
      <c r="H40" s="16" t="s">
        <v>52</v>
      </c>
      <c r="I40" s="17" t="s">
        <v>54</v>
      </c>
    </row>
    <row r="41" spans="1:11" x14ac:dyDescent="0.3">
      <c r="A41" s="4" t="s">
        <v>28</v>
      </c>
      <c r="B41" s="10" t="s">
        <v>41</v>
      </c>
      <c r="C41" s="1">
        <v>2</v>
      </c>
      <c r="D41" s="1">
        <v>2</v>
      </c>
      <c r="E41" s="1">
        <f>Tabla1351331[[#This Row],[Peso (valor fijo)]]*Tabla1351331[[#This Row],[Impacto percibido]]</f>
        <v>4</v>
      </c>
      <c r="H41" s="15">
        <v>5</v>
      </c>
      <c r="I41" s="17" t="s">
        <v>55</v>
      </c>
    </row>
    <row r="42" spans="1:11" x14ac:dyDescent="0.3">
      <c r="A42" s="4" t="s">
        <v>29</v>
      </c>
      <c r="B42" s="10" t="s">
        <v>42</v>
      </c>
      <c r="C42" s="1">
        <v>1</v>
      </c>
      <c r="D42" s="1">
        <v>3</v>
      </c>
      <c r="E42" s="1">
        <f>Tabla1351331[[#This Row],[Peso (valor fijo)]]*Tabla1351331[[#This Row],[Impacto percibido]]</f>
        <v>3</v>
      </c>
    </row>
    <row r="43" spans="1:11" x14ac:dyDescent="0.3">
      <c r="A43" s="4" t="s">
        <v>30</v>
      </c>
      <c r="B43" s="10" t="s">
        <v>43</v>
      </c>
      <c r="C43" s="1">
        <v>1</v>
      </c>
      <c r="D43" s="1">
        <v>4</v>
      </c>
      <c r="E43" s="1">
        <f>Tabla1351331[[#This Row],[Peso (valor fijo)]]*Tabla1351331[[#This Row],[Impacto percibido]]</f>
        <v>4</v>
      </c>
    </row>
    <row r="44" spans="1:11" ht="28.8" x14ac:dyDescent="0.3">
      <c r="A44" s="4" t="s">
        <v>31</v>
      </c>
      <c r="B44" s="9" t="s">
        <v>44</v>
      </c>
      <c r="C44" s="1">
        <v>1</v>
      </c>
      <c r="D44" s="1">
        <v>2</v>
      </c>
      <c r="E44" s="1">
        <f>Tabla1351331[[#This Row],[Peso (valor fijo)]]*Tabla1351331[[#This Row],[Impacto percibido]]</f>
        <v>2</v>
      </c>
    </row>
    <row r="45" spans="1:11" ht="28.8" x14ac:dyDescent="0.3">
      <c r="A45" s="4" t="s">
        <v>32</v>
      </c>
      <c r="B45" s="9" t="s">
        <v>45</v>
      </c>
      <c r="C45" s="1">
        <v>1</v>
      </c>
      <c r="D45" s="1">
        <v>1</v>
      </c>
      <c r="E45" s="1">
        <f>Tabla1351331[[#This Row],[Peso (valor fijo)]]*Tabla1351331[[#This Row],[Impacto percibido]]</f>
        <v>1</v>
      </c>
    </row>
    <row r="46" spans="1:11" ht="43.2" x14ac:dyDescent="0.3">
      <c r="A46" s="4" t="s">
        <v>33</v>
      </c>
      <c r="B46" s="9" t="s">
        <v>46</v>
      </c>
      <c r="C46" s="1">
        <v>1</v>
      </c>
      <c r="D46" s="1">
        <v>2</v>
      </c>
      <c r="E46" s="1">
        <f>Tabla1351331[[#This Row],[Peso (valor fijo)]]*Tabla1351331[[#This Row],[Impacto percibido]]</f>
        <v>2</v>
      </c>
    </row>
    <row r="47" spans="1:11" x14ac:dyDescent="0.3">
      <c r="A47" s="4"/>
      <c r="B47" s="1"/>
      <c r="C47" s="11" t="s">
        <v>50</v>
      </c>
      <c r="D47" s="1"/>
      <c r="E47" s="12">
        <f>SUM(E34:E46)</f>
        <v>30.5</v>
      </c>
    </row>
    <row r="51" spans="1:11" x14ac:dyDescent="0.3">
      <c r="B51" t="s">
        <v>56</v>
      </c>
    </row>
    <row r="53" spans="1:11" x14ac:dyDescent="0.3">
      <c r="B53" s="6" t="s">
        <v>57</v>
      </c>
    </row>
    <row r="55" spans="1:11" ht="28.8" x14ac:dyDescent="0.3">
      <c r="A55" s="8" t="s">
        <v>20</v>
      </c>
      <c r="B55" s="3" t="s">
        <v>47</v>
      </c>
      <c r="C55" s="7" t="s">
        <v>48</v>
      </c>
      <c r="D55" s="2" t="s">
        <v>49</v>
      </c>
      <c r="E55" s="2" t="s">
        <v>74</v>
      </c>
    </row>
    <row r="56" spans="1:11" ht="43.2" x14ac:dyDescent="0.3">
      <c r="A56" s="4" t="s">
        <v>58</v>
      </c>
      <c r="B56" s="18" t="s">
        <v>66</v>
      </c>
      <c r="C56" s="3">
        <v>1.5</v>
      </c>
      <c r="D56" s="3">
        <v>3</v>
      </c>
      <c r="E56" s="3">
        <f>Tabla13561432[[#This Row],[Peso (valor fijo)]]*Tabla13561432[[#This Row],[Impacto percibido]]</f>
        <v>4.5</v>
      </c>
    </row>
    <row r="57" spans="1:11" x14ac:dyDescent="0.3">
      <c r="A57" t="s">
        <v>59</v>
      </c>
      <c r="B57" s="9" t="s">
        <v>67</v>
      </c>
      <c r="C57" s="1">
        <v>-1</v>
      </c>
      <c r="D57" s="1">
        <v>2</v>
      </c>
      <c r="E57" s="1">
        <f>Tabla13561432[[#This Row],[Peso (valor fijo)]]*Tabla13561432[[#This Row],[Impacto percibido]]</f>
        <v>-2</v>
      </c>
    </row>
    <row r="58" spans="1:11" ht="28.8" x14ac:dyDescent="0.3">
      <c r="A58" t="s">
        <v>60</v>
      </c>
      <c r="B58" s="18" t="s">
        <v>68</v>
      </c>
      <c r="C58" s="3">
        <v>0.5</v>
      </c>
      <c r="D58" s="3">
        <v>3</v>
      </c>
      <c r="E58" s="1">
        <f>Tabla13561432[[#This Row],[Peso (valor fijo)]]*Tabla13561432[[#This Row],[Impacto percibido]]</f>
        <v>1.5</v>
      </c>
      <c r="H58" s="3" t="s">
        <v>95</v>
      </c>
      <c r="I58" s="3" t="s">
        <v>96</v>
      </c>
      <c r="J58" s="3" t="s">
        <v>94</v>
      </c>
      <c r="K58" s="3" t="s">
        <v>97</v>
      </c>
    </row>
    <row r="59" spans="1:11" ht="28.8" x14ac:dyDescent="0.3">
      <c r="A59" t="s">
        <v>61</v>
      </c>
      <c r="B59" s="9" t="s">
        <v>69</v>
      </c>
      <c r="C59" s="1">
        <v>0.5</v>
      </c>
      <c r="D59" s="1">
        <v>2</v>
      </c>
      <c r="E59" s="1">
        <f>Tabla13561432[[#This Row],[Peso (valor fijo)]]*Tabla13561432[[#This Row],[Impacto percibido]]</f>
        <v>1</v>
      </c>
      <c r="H59" s="3">
        <v>1.4</v>
      </c>
      <c r="I59" s="3">
        <v>-0.03</v>
      </c>
      <c r="J59" s="3">
        <f>E64</f>
        <v>21</v>
      </c>
      <c r="K59" s="27">
        <f>(Tabla6891735[[#This Row],[V. Fijo2]]*Tabla6891735[[#This Row],[Factor calculado ECF]])+Tabla6891735[[#This Row],[V. Fijo]]</f>
        <v>0.76999999999999991</v>
      </c>
    </row>
    <row r="60" spans="1:11" ht="28.8" x14ac:dyDescent="0.3">
      <c r="A60" t="s">
        <v>62</v>
      </c>
      <c r="B60" s="9" t="s">
        <v>70</v>
      </c>
      <c r="C60" s="1">
        <v>1</v>
      </c>
      <c r="D60" s="1">
        <v>4</v>
      </c>
      <c r="E60" s="1">
        <f>Tabla13561432[[#This Row],[Peso (valor fijo)]]*Tabla13561432[[#This Row],[Impacto percibido]]</f>
        <v>4</v>
      </c>
    </row>
    <row r="61" spans="1:11" x14ac:dyDescent="0.3">
      <c r="A61" t="s">
        <v>63</v>
      </c>
      <c r="B61" s="10" t="s">
        <v>71</v>
      </c>
      <c r="C61" s="1">
        <v>1</v>
      </c>
      <c r="D61" s="1">
        <v>5</v>
      </c>
      <c r="E61" s="1">
        <f>Tabla13561432[[#This Row],[Peso (valor fijo)]]*Tabla13561432[[#This Row],[Impacto percibido]]</f>
        <v>5</v>
      </c>
    </row>
    <row r="62" spans="1:11" ht="28.8" x14ac:dyDescent="0.3">
      <c r="A62" t="s">
        <v>64</v>
      </c>
      <c r="B62" s="9" t="s">
        <v>72</v>
      </c>
      <c r="C62" s="1">
        <v>-1</v>
      </c>
      <c r="D62" s="1">
        <v>3</v>
      </c>
      <c r="E62" s="1">
        <f>Tabla13561432[[#This Row],[Peso (valor fijo)]]*Tabla13561432[[#This Row],[Impacto percibido]]</f>
        <v>-3</v>
      </c>
    </row>
    <row r="63" spans="1:11" ht="28.8" x14ac:dyDescent="0.3">
      <c r="A63" t="s">
        <v>65</v>
      </c>
      <c r="B63" s="9" t="s">
        <v>73</v>
      </c>
      <c r="C63" s="1">
        <v>2</v>
      </c>
      <c r="D63" s="1">
        <v>5</v>
      </c>
      <c r="E63" s="1">
        <f>Tabla13561432[[#This Row],[Peso (valor fijo)]]*Tabla13561432[[#This Row],[Impacto percibido]]</f>
        <v>10</v>
      </c>
    </row>
    <row r="64" spans="1:11" x14ac:dyDescent="0.3">
      <c r="A64" s="4"/>
      <c r="B64" s="1"/>
      <c r="C64" s="11" t="s">
        <v>75</v>
      </c>
      <c r="D64" s="1"/>
      <c r="E64" s="12">
        <f>SUM(E56:E63)</f>
        <v>21</v>
      </c>
    </row>
    <row r="67" spans="2:18" x14ac:dyDescent="0.3">
      <c r="B67" s="14" t="s">
        <v>76</v>
      </c>
      <c r="C67" s="14"/>
      <c r="D67" s="14"/>
      <c r="E67" s="14"/>
      <c r="F67" s="14"/>
    </row>
    <row r="68" spans="2:18" x14ac:dyDescent="0.3">
      <c r="B68" s="14" t="s">
        <v>77</v>
      </c>
      <c r="C68" s="14"/>
      <c r="D68" s="14"/>
      <c r="E68" s="14"/>
      <c r="F68" s="14"/>
    </row>
    <row r="69" spans="2:18" x14ac:dyDescent="0.3">
      <c r="B69" s="14" t="s">
        <v>78</v>
      </c>
      <c r="C69" s="14"/>
      <c r="D69" s="14"/>
      <c r="E69" s="14"/>
      <c r="F69" s="14"/>
    </row>
    <row r="70" spans="2:18" x14ac:dyDescent="0.3">
      <c r="P70">
        <v>4.33</v>
      </c>
    </row>
    <row r="72" spans="2:18" ht="15" thickBot="1" x14ac:dyDescent="0.35"/>
    <row r="73" spans="2:18" x14ac:dyDescent="0.3">
      <c r="B73" s="5" t="s">
        <v>79</v>
      </c>
      <c r="G73" s="101" t="s">
        <v>86</v>
      </c>
      <c r="H73" s="102"/>
      <c r="I73" s="102"/>
      <c r="J73" s="103"/>
      <c r="L73" s="34" t="s">
        <v>133</v>
      </c>
      <c r="M73" s="32"/>
      <c r="N73" s="33" t="s">
        <v>137</v>
      </c>
      <c r="O73" s="32"/>
      <c r="P73" s="32"/>
    </row>
    <row r="74" spans="2:18" x14ac:dyDescent="0.3">
      <c r="B74" t="s">
        <v>80</v>
      </c>
      <c r="G74" s="19"/>
      <c r="J74" s="20"/>
      <c r="L74" s="33" t="s">
        <v>134</v>
      </c>
      <c r="M74" s="32"/>
      <c r="N74" s="34" t="s">
        <v>138</v>
      </c>
      <c r="O74" s="32"/>
      <c r="P74" s="32"/>
    </row>
    <row r="75" spans="2:18" x14ac:dyDescent="0.3">
      <c r="B75" t="s">
        <v>81</v>
      </c>
      <c r="G75" s="19" t="s">
        <v>87</v>
      </c>
      <c r="J75" s="20"/>
      <c r="L75" s="34" t="s">
        <v>135</v>
      </c>
      <c r="M75" s="32"/>
      <c r="N75" s="34" t="s">
        <v>139</v>
      </c>
      <c r="O75" s="32"/>
      <c r="P75" s="32"/>
    </row>
    <row r="76" spans="2:18" x14ac:dyDescent="0.3">
      <c r="G76" s="19"/>
      <c r="H76" t="s">
        <v>105</v>
      </c>
      <c r="I76" cm="1">
        <f t="array" ref="I76">Tabla681634[UCP2]</f>
        <v>850.15699999999981</v>
      </c>
      <c r="J76" s="20"/>
      <c r="L76" s="34" t="s">
        <v>136</v>
      </c>
      <c r="M76" s="32"/>
      <c r="N76" s="34" t="s">
        <v>140</v>
      </c>
      <c r="O76" s="32"/>
      <c r="P76" s="32"/>
    </row>
    <row r="77" spans="2:18" x14ac:dyDescent="0.3">
      <c r="G77" s="19"/>
      <c r="H77" t="s">
        <v>104</v>
      </c>
      <c r="I77">
        <v>40</v>
      </c>
      <c r="J77" s="21" t="s">
        <v>103</v>
      </c>
      <c r="L77" s="32"/>
      <c r="M77" s="32"/>
      <c r="N77" s="34" t="s">
        <v>141</v>
      </c>
      <c r="O77" s="32"/>
      <c r="P77" s="32"/>
    </row>
    <row r="78" spans="2:18" x14ac:dyDescent="0.3">
      <c r="B78" s="6" t="s">
        <v>82</v>
      </c>
      <c r="G78" s="19"/>
      <c r="J78" s="20"/>
      <c r="L78" s="32"/>
      <c r="M78" s="32"/>
      <c r="N78" s="32"/>
      <c r="O78" s="32"/>
      <c r="P78" s="32"/>
    </row>
    <row r="79" spans="2:18" ht="15" thickBot="1" x14ac:dyDescent="0.35">
      <c r="B79" t="s">
        <v>83</v>
      </c>
      <c r="G79" s="22" t="s">
        <v>106</v>
      </c>
      <c r="H79" s="23"/>
      <c r="I79" s="23">
        <f>I76/I77</f>
        <v>21.253924999999995</v>
      </c>
      <c r="J79" s="28" t="s">
        <v>132</v>
      </c>
    </row>
    <row r="80" spans="2:18" x14ac:dyDescent="0.3">
      <c r="B80" t="s">
        <v>101</v>
      </c>
      <c r="P80" t="s">
        <v>144</v>
      </c>
      <c r="R80" s="36" t="s">
        <v>145</v>
      </c>
    </row>
    <row r="81" spans="2:30" x14ac:dyDescent="0.3">
      <c r="H81" s="30"/>
      <c r="I81" t="str">
        <f>"Equivale a " &amp; INT(AD81) &amp; " meses y " &amp; ROUND((AD81 - INT(AD81)) * 30, 0) &amp; " días"</f>
        <v>Equivale a 4 meses y 27 días</v>
      </c>
      <c r="J81" s="35"/>
      <c r="L81" t="s">
        <v>303</v>
      </c>
      <c r="O81">
        <v>212539</v>
      </c>
      <c r="P81" s="37">
        <v>425078</v>
      </c>
      <c r="Q81" s="38">
        <v>43300</v>
      </c>
      <c r="R81" s="37">
        <v>86600</v>
      </c>
      <c r="AD81" s="29">
        <f>I79/4.345</f>
        <v>4.8915822784810121</v>
      </c>
    </row>
    <row r="82" spans="2:30" x14ac:dyDescent="0.3">
      <c r="B82" s="1" t="s">
        <v>88</v>
      </c>
      <c r="C82" s="1" t="s">
        <v>89</v>
      </c>
      <c r="D82" s="1" t="s">
        <v>90</v>
      </c>
      <c r="E82" s="1" t="s">
        <v>91</v>
      </c>
      <c r="L82" t="s">
        <v>304</v>
      </c>
      <c r="P82" s="37">
        <v>170031</v>
      </c>
      <c r="Q82" s="37"/>
      <c r="R82" s="37">
        <v>34640</v>
      </c>
    </row>
    <row r="83" spans="2:30" x14ac:dyDescent="0.3">
      <c r="B83" s="1" cm="1">
        <f t="array" ref="B83">Tabla68910111937[UUCP]</f>
        <v>61</v>
      </c>
      <c r="C83" s="1" cm="1">
        <f t="array" ref="C83">Tabla689101836[TCF Final]</f>
        <v>0.90500000000000003</v>
      </c>
      <c r="D83" s="1" cm="1">
        <f t="array" ref="D83">Tabla6891735[ECF Final]</f>
        <v>0.76999999999999991</v>
      </c>
      <c r="E83" s="12">
        <f>Tabla61533[[#This Row],[UUCP]]*Tabla61533[[#This Row],[TCF]]*Tabla61533[[#This Row],[ECF]]</f>
        <v>42.507849999999991</v>
      </c>
      <c r="P83" s="37">
        <v>1200</v>
      </c>
      <c r="Q83" s="37"/>
      <c r="R83" s="37">
        <v>300</v>
      </c>
    </row>
    <row r="84" spans="2:30" x14ac:dyDescent="0.3">
      <c r="P84" s="37">
        <f>SUM(P81:P83)</f>
        <v>596309</v>
      </c>
      <c r="Q84" s="37"/>
      <c r="R84" s="37">
        <f>SUM(R81:R83)</f>
        <v>121540</v>
      </c>
    </row>
    <row r="86" spans="2:30" x14ac:dyDescent="0.3">
      <c r="B86" s="6" t="s">
        <v>84</v>
      </c>
      <c r="L86" t="s">
        <v>305</v>
      </c>
      <c r="P86" s="119">
        <f>P84-254000</f>
        <v>342309</v>
      </c>
    </row>
    <row r="87" spans="2:30" x14ac:dyDescent="0.3">
      <c r="B87" t="s">
        <v>108</v>
      </c>
    </row>
    <row r="88" spans="2:30" x14ac:dyDescent="0.3">
      <c r="B88" t="s">
        <v>85</v>
      </c>
    </row>
    <row r="89" spans="2:30" x14ac:dyDescent="0.3">
      <c r="B89" t="s">
        <v>102</v>
      </c>
      <c r="G89" s="31" t="s">
        <v>110</v>
      </c>
    </row>
    <row r="91" spans="2:30" x14ac:dyDescent="0.3">
      <c r="C91" s="1" t="s">
        <v>91</v>
      </c>
      <c r="D91" s="1" t="s">
        <v>93</v>
      </c>
      <c r="E91" s="1" t="s">
        <v>92</v>
      </c>
      <c r="P91" t="s">
        <v>144</v>
      </c>
      <c r="R91" s="36" t="s">
        <v>145</v>
      </c>
    </row>
    <row r="92" spans="2:30" x14ac:dyDescent="0.3">
      <c r="C92" s="1" cm="1">
        <f t="array" ref="C92">Tabla61533[UCP]</f>
        <v>42.507849999999991</v>
      </c>
      <c r="D92" s="1">
        <v>20</v>
      </c>
      <c r="E92" s="12">
        <f>Tabla681634[[#This Row],[UCP]]*Tabla681634[[#This Row],[PF]]</f>
        <v>850.15699999999981</v>
      </c>
      <c r="L92" t="s">
        <v>147</v>
      </c>
      <c r="O92">
        <v>85015</v>
      </c>
      <c r="P92" s="37">
        <v>170031</v>
      </c>
      <c r="Q92" s="38">
        <v>17320</v>
      </c>
      <c r="R92" s="37">
        <v>34640</v>
      </c>
    </row>
    <row r="93" spans="2:30" x14ac:dyDescent="0.3">
      <c r="L93" t="s">
        <v>148</v>
      </c>
      <c r="P93" s="37">
        <v>127523</v>
      </c>
      <c r="Q93" s="37"/>
      <c r="R93" s="37">
        <v>25980</v>
      </c>
    </row>
    <row r="94" spans="2:30" x14ac:dyDescent="0.3">
      <c r="P94" s="37">
        <v>1200</v>
      </c>
      <c r="Q94" s="37"/>
      <c r="R94" s="37">
        <v>300</v>
      </c>
    </row>
    <row r="95" spans="2:30" x14ac:dyDescent="0.3">
      <c r="P95" s="37">
        <f>SUM(P92:P94)</f>
        <v>298754</v>
      </c>
      <c r="Q95" s="37"/>
      <c r="R95" s="37">
        <f>SUM(R92:R94)</f>
        <v>60920</v>
      </c>
    </row>
    <row r="97" spans="12:16" x14ac:dyDescent="0.3">
      <c r="L97" t="s">
        <v>305</v>
      </c>
      <c r="P97" s="120">
        <f>P95-254000</f>
        <v>44754</v>
      </c>
    </row>
  </sheetData>
  <mergeCells count="2">
    <mergeCell ref="I16:K16"/>
    <mergeCell ref="G73:J73"/>
  </mergeCells>
  <dataValidations count="2">
    <dataValidation type="whole" allowBlank="1" showInputMessage="1" showErrorMessage="1" sqref="D34:D46" xr:uid="{97812482-CA38-4D09-8E75-85CE9BCA1FD4}">
      <formula1>0</formula1>
      <formula2>5</formula2>
    </dataValidation>
    <dataValidation type="list" allowBlank="1" showInputMessage="1" showErrorMessage="1" sqref="C18:C25" xr:uid="{CEF9EEA2-1859-4423-8430-884A8CF59A7A}">
      <formula1>"Simple, Medio, Complejo"</formula1>
    </dataValidation>
  </dataValidation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848D-F913-45B9-B553-F0B520AEE429}">
  <dimension ref="B2:AB104"/>
  <sheetViews>
    <sheetView showGridLines="0" topLeftCell="A30" workbookViewId="0">
      <selection activeCell="J86" sqref="J86"/>
    </sheetView>
  </sheetViews>
  <sheetFormatPr baseColWidth="10" defaultRowHeight="14.4" x14ac:dyDescent="0.3"/>
  <cols>
    <col min="2" max="2" width="29" customWidth="1"/>
    <col min="3" max="3" width="7.44140625" bestFit="1" customWidth="1"/>
    <col min="4" max="4" width="13.109375" style="1" customWidth="1"/>
    <col min="6" max="6" width="13.109375" customWidth="1"/>
    <col min="10" max="10" width="57.109375" bestFit="1" customWidth="1"/>
    <col min="12" max="12" width="11.5546875" customWidth="1"/>
    <col min="14" max="14" width="71.109375" customWidth="1"/>
  </cols>
  <sheetData>
    <row r="2" spans="2:10" ht="15.6" x14ac:dyDescent="0.3">
      <c r="B2" s="40" t="s">
        <v>158</v>
      </c>
    </row>
    <row r="3" spans="2:10" x14ac:dyDescent="0.3">
      <c r="B3" s="41"/>
    </row>
    <row r="4" spans="2:10" ht="18" x14ac:dyDescent="0.3">
      <c r="B4" s="43"/>
    </row>
    <row r="6" spans="2:10" ht="15.6" x14ac:dyDescent="0.3">
      <c r="B6" s="40" t="s">
        <v>160</v>
      </c>
    </row>
    <row r="7" spans="2:10" x14ac:dyDescent="0.3">
      <c r="B7" s="41"/>
    </row>
    <row r="8" spans="2:10" x14ac:dyDescent="0.3">
      <c r="B8" s="42" t="s">
        <v>259</v>
      </c>
    </row>
    <row r="9" spans="2:10" x14ac:dyDescent="0.3">
      <c r="B9" s="42" t="s">
        <v>274</v>
      </c>
    </row>
    <row r="10" spans="2:10" x14ac:dyDescent="0.3">
      <c r="B10" s="84" t="s">
        <v>260</v>
      </c>
    </row>
    <row r="11" spans="2:10" x14ac:dyDescent="0.3">
      <c r="B11" s="84" t="s">
        <v>261</v>
      </c>
    </row>
    <row r="12" spans="2:10" x14ac:dyDescent="0.3">
      <c r="B12" s="84" t="s">
        <v>262</v>
      </c>
    </row>
    <row r="13" spans="2:10" ht="15.6" x14ac:dyDescent="0.3">
      <c r="B13" s="42"/>
      <c r="J13" s="40"/>
    </row>
    <row r="15" spans="2:10" ht="15.6" x14ac:dyDescent="0.3">
      <c r="B15" s="40" t="s">
        <v>172</v>
      </c>
    </row>
    <row r="16" spans="2:10" x14ac:dyDescent="0.3">
      <c r="B16" s="41"/>
    </row>
    <row r="17" spans="2:6" x14ac:dyDescent="0.3">
      <c r="B17" s="42" t="s">
        <v>263</v>
      </c>
    </row>
    <row r="18" spans="2:6" x14ac:dyDescent="0.3">
      <c r="B18" s="42" t="s">
        <v>274</v>
      </c>
    </row>
    <row r="19" spans="2:6" x14ac:dyDescent="0.3">
      <c r="B19" s="84" t="s">
        <v>264</v>
      </c>
    </row>
    <row r="20" spans="2:6" x14ac:dyDescent="0.3">
      <c r="B20" s="84" t="s">
        <v>265</v>
      </c>
    </row>
    <row r="21" spans="2:6" x14ac:dyDescent="0.3">
      <c r="B21" s="42"/>
    </row>
    <row r="23" spans="2:6" ht="15.6" x14ac:dyDescent="0.3">
      <c r="B23" s="40" t="s">
        <v>179</v>
      </c>
    </row>
    <row r="24" spans="2:6" x14ac:dyDescent="0.3">
      <c r="B24" s="41"/>
    </row>
    <row r="25" spans="2:6" x14ac:dyDescent="0.3">
      <c r="B25" s="42" t="s">
        <v>266</v>
      </c>
      <c r="C25" s="83"/>
      <c r="D25" s="83"/>
      <c r="E25" s="83"/>
      <c r="F25" s="83"/>
    </row>
    <row r="26" spans="2:6" x14ac:dyDescent="0.3">
      <c r="B26" s="42" t="s">
        <v>274</v>
      </c>
      <c r="C26" s="47"/>
      <c r="D26" s="3"/>
      <c r="E26" s="3"/>
      <c r="F26" s="47"/>
    </row>
    <row r="27" spans="2:6" x14ac:dyDescent="0.3">
      <c r="B27" s="84" t="s">
        <v>267</v>
      </c>
      <c r="C27" s="47"/>
      <c r="D27" s="3"/>
      <c r="E27" s="3"/>
      <c r="F27" s="47"/>
    </row>
    <row r="28" spans="2:6" x14ac:dyDescent="0.3">
      <c r="B28" s="84" t="s">
        <v>268</v>
      </c>
    </row>
    <row r="29" spans="2:6" x14ac:dyDescent="0.3">
      <c r="B29" s="42"/>
    </row>
    <row r="31" spans="2:6" ht="15.6" x14ac:dyDescent="0.3">
      <c r="B31" s="40" t="s">
        <v>186</v>
      </c>
    </row>
    <row r="32" spans="2:6" x14ac:dyDescent="0.3">
      <c r="B32" s="41"/>
    </row>
    <row r="33" spans="2:6" x14ac:dyDescent="0.3">
      <c r="B33" s="42" t="s">
        <v>269</v>
      </c>
      <c r="C33" s="83"/>
      <c r="D33" s="83"/>
      <c r="E33" s="83"/>
      <c r="F33" s="83"/>
    </row>
    <row r="34" spans="2:6" x14ac:dyDescent="0.3">
      <c r="B34" s="42" t="s">
        <v>274</v>
      </c>
      <c r="C34" s="47"/>
      <c r="D34" s="3"/>
      <c r="E34" s="3"/>
      <c r="F34" s="47"/>
    </row>
    <row r="35" spans="2:6" x14ac:dyDescent="0.3">
      <c r="B35" s="84" t="s">
        <v>270</v>
      </c>
      <c r="C35" s="47"/>
      <c r="D35" s="3"/>
      <c r="E35" s="3"/>
      <c r="F35" s="47"/>
    </row>
    <row r="36" spans="2:6" x14ac:dyDescent="0.3">
      <c r="B36" s="84" t="s">
        <v>271</v>
      </c>
    </row>
    <row r="37" spans="2:6" x14ac:dyDescent="0.3">
      <c r="B37" s="42"/>
    </row>
    <row r="39" spans="2:6" ht="15.6" x14ac:dyDescent="0.3">
      <c r="B39" s="40" t="s">
        <v>194</v>
      </c>
    </row>
    <row r="40" spans="2:6" x14ac:dyDescent="0.3">
      <c r="B40" s="41"/>
    </row>
    <row r="41" spans="2:6" x14ac:dyDescent="0.3">
      <c r="B41" s="42" t="s">
        <v>272</v>
      </c>
      <c r="C41" s="83"/>
      <c r="D41" s="83"/>
      <c r="E41" s="83"/>
      <c r="F41" s="83"/>
    </row>
    <row r="42" spans="2:6" x14ac:dyDescent="0.3">
      <c r="B42" s="42" t="s">
        <v>274</v>
      </c>
      <c r="C42" s="47"/>
      <c r="D42" s="3"/>
      <c r="E42" s="3"/>
      <c r="F42" s="47"/>
    </row>
    <row r="43" spans="2:6" x14ac:dyDescent="0.3">
      <c r="B43" s="84" t="s">
        <v>273</v>
      </c>
      <c r="C43" s="47"/>
      <c r="D43" s="3"/>
      <c r="E43" s="3"/>
      <c r="F43" s="47"/>
    </row>
    <row r="44" spans="2:6" x14ac:dyDescent="0.3">
      <c r="B44" s="42"/>
    </row>
    <row r="47" spans="2:6" ht="18" x14ac:dyDescent="0.3">
      <c r="B47" s="43"/>
    </row>
    <row r="49" spans="2:14" x14ac:dyDescent="0.3">
      <c r="B49" s="83"/>
      <c r="C49" s="83"/>
      <c r="D49" s="83"/>
      <c r="E49" s="83"/>
      <c r="F49" s="83"/>
    </row>
    <row r="50" spans="2:14" x14ac:dyDescent="0.3">
      <c r="B50" s="47"/>
      <c r="C50" s="47"/>
      <c r="D50" s="3"/>
      <c r="E50" s="3"/>
      <c r="F50" s="47"/>
    </row>
    <row r="51" spans="2:14" x14ac:dyDescent="0.3">
      <c r="C51" s="47"/>
      <c r="D51" s="3"/>
      <c r="E51" s="3"/>
      <c r="F51" s="47"/>
    </row>
    <row r="56" spans="2:14" ht="15.6" x14ac:dyDescent="0.3">
      <c r="B56" s="40" t="s">
        <v>159</v>
      </c>
    </row>
    <row r="57" spans="2:14" ht="15.6" x14ac:dyDescent="0.3">
      <c r="B57" s="40" t="s">
        <v>229</v>
      </c>
      <c r="C57" s="83"/>
      <c r="D57" s="83"/>
      <c r="E57" s="83"/>
      <c r="F57" s="83"/>
    </row>
    <row r="58" spans="2:14" ht="15.6" x14ac:dyDescent="0.3">
      <c r="B58" s="40"/>
      <c r="J58" s="40" t="s">
        <v>212</v>
      </c>
    </row>
    <row r="60" spans="2:14" ht="28.8" x14ac:dyDescent="0.3">
      <c r="B60" s="45" t="s">
        <v>198</v>
      </c>
      <c r="C60" s="45" t="s">
        <v>199</v>
      </c>
      <c r="D60" s="46" t="s">
        <v>200</v>
      </c>
      <c r="E60" s="45" t="s">
        <v>109</v>
      </c>
      <c r="F60" s="45" t="s">
        <v>201</v>
      </c>
      <c r="G60" s="45" t="s">
        <v>117</v>
      </c>
      <c r="H60" s="90" t="s">
        <v>202</v>
      </c>
      <c r="J60" s="45" t="s">
        <v>213</v>
      </c>
      <c r="K60" s="45" t="s">
        <v>214</v>
      </c>
      <c r="L60" s="104" t="s">
        <v>164</v>
      </c>
      <c r="M60" s="104"/>
      <c r="N60" s="104"/>
    </row>
    <row r="61" spans="2:14" x14ac:dyDescent="0.3">
      <c r="B61" s="55" t="s">
        <v>203</v>
      </c>
      <c r="C61" s="52">
        <v>3</v>
      </c>
      <c r="D61" s="52" t="s">
        <v>117</v>
      </c>
      <c r="E61" s="86">
        <v>3</v>
      </c>
      <c r="F61" s="87">
        <v>4</v>
      </c>
      <c r="G61" s="85">
        <v>6</v>
      </c>
      <c r="H61" s="54">
        <f>C61*G61</f>
        <v>18</v>
      </c>
      <c r="J61" s="105" t="s">
        <v>215</v>
      </c>
      <c r="K61" s="107">
        <v>4</v>
      </c>
      <c r="L61" s="53" t="s">
        <v>275</v>
      </c>
      <c r="M61" s="96"/>
      <c r="N61" s="97"/>
    </row>
    <row r="62" spans="2:14" x14ac:dyDescent="0.3">
      <c r="B62" s="55" t="s">
        <v>205</v>
      </c>
      <c r="C62" s="52">
        <v>2</v>
      </c>
      <c r="D62" s="52" t="s">
        <v>117</v>
      </c>
      <c r="E62" s="52">
        <v>4</v>
      </c>
      <c r="F62" s="88">
        <v>5</v>
      </c>
      <c r="G62" s="85">
        <v>7</v>
      </c>
      <c r="H62" s="54">
        <f>C62*G62</f>
        <v>14</v>
      </c>
      <c r="J62" s="105" t="s">
        <v>216</v>
      </c>
      <c r="K62" s="107">
        <v>4</v>
      </c>
      <c r="L62" s="53" t="s">
        <v>276</v>
      </c>
      <c r="M62" s="97"/>
      <c r="N62" s="51"/>
    </row>
    <row r="63" spans="2:14" x14ac:dyDescent="0.3">
      <c r="B63" s="55" t="s">
        <v>207</v>
      </c>
      <c r="C63" s="52">
        <v>2</v>
      </c>
      <c r="D63" s="52" t="s">
        <v>117</v>
      </c>
      <c r="E63" s="52">
        <v>3</v>
      </c>
      <c r="F63" s="88">
        <v>4</v>
      </c>
      <c r="G63" s="85">
        <v>6</v>
      </c>
      <c r="H63" s="54">
        <f>C63*G63</f>
        <v>12</v>
      </c>
      <c r="J63" s="106" t="s">
        <v>217</v>
      </c>
      <c r="K63" s="107">
        <v>3</v>
      </c>
      <c r="L63" s="53" t="s">
        <v>277</v>
      </c>
      <c r="M63" s="97"/>
      <c r="N63" s="97"/>
    </row>
    <row r="64" spans="2:14" x14ac:dyDescent="0.3">
      <c r="B64" s="55" t="s">
        <v>208</v>
      </c>
      <c r="C64" s="52">
        <v>1</v>
      </c>
      <c r="D64" s="52" t="s">
        <v>201</v>
      </c>
      <c r="E64" s="88">
        <v>7</v>
      </c>
      <c r="F64" s="85">
        <v>10</v>
      </c>
      <c r="G64" s="89">
        <v>15</v>
      </c>
      <c r="H64" s="54">
        <f>C64*F64</f>
        <v>10</v>
      </c>
      <c r="J64" s="105" t="s">
        <v>218</v>
      </c>
      <c r="K64" s="107">
        <v>3</v>
      </c>
      <c r="L64" s="53" t="s">
        <v>278</v>
      </c>
      <c r="M64" s="98"/>
      <c r="N64" s="97"/>
    </row>
    <row r="65" spans="2:28" x14ac:dyDescent="0.3">
      <c r="B65" s="55" t="s">
        <v>210</v>
      </c>
      <c r="C65" s="52">
        <v>1</v>
      </c>
      <c r="D65" s="52" t="s">
        <v>201</v>
      </c>
      <c r="E65" s="86">
        <v>5</v>
      </c>
      <c r="F65" s="85">
        <v>7</v>
      </c>
      <c r="G65" s="86">
        <v>10</v>
      </c>
      <c r="H65" s="54">
        <f>C65*F65</f>
        <v>7</v>
      </c>
      <c r="J65" s="105" t="s">
        <v>219</v>
      </c>
      <c r="K65" s="107">
        <v>2</v>
      </c>
      <c r="L65" s="53" t="s">
        <v>279</v>
      </c>
      <c r="M65" s="97"/>
      <c r="N65" s="97"/>
    </row>
    <row r="66" spans="2:28" x14ac:dyDescent="0.3">
      <c r="B66" s="57" t="s">
        <v>230</v>
      </c>
      <c r="C66" s="58"/>
      <c r="D66" s="72"/>
      <c r="E66" s="58"/>
      <c r="F66" s="58"/>
      <c r="G66" s="58"/>
      <c r="H66" s="91">
        <f>SUM(H61:H65)</f>
        <v>61</v>
      </c>
      <c r="J66" s="105" t="s">
        <v>220</v>
      </c>
      <c r="K66" s="108">
        <v>4</v>
      </c>
      <c r="L66" s="95" t="s">
        <v>280</v>
      </c>
      <c r="M66" s="51"/>
      <c r="N66" s="97"/>
    </row>
    <row r="67" spans="2:28" x14ac:dyDescent="0.3">
      <c r="J67" s="105" t="s">
        <v>221</v>
      </c>
      <c r="K67" s="107">
        <v>2</v>
      </c>
      <c r="L67" s="54" t="s">
        <v>281</v>
      </c>
      <c r="M67" s="49"/>
      <c r="N67" s="97"/>
    </row>
    <row r="68" spans="2:28" x14ac:dyDescent="0.3">
      <c r="J68" s="106" t="s">
        <v>222</v>
      </c>
      <c r="K68" s="107">
        <v>4</v>
      </c>
      <c r="L68" s="54" t="s">
        <v>282</v>
      </c>
      <c r="M68" s="98"/>
      <c r="N68" s="94"/>
    </row>
    <row r="69" spans="2:28" x14ac:dyDescent="0.3">
      <c r="J69" s="105" t="s">
        <v>223</v>
      </c>
      <c r="K69" s="107">
        <v>3</v>
      </c>
      <c r="L69" s="54" t="s">
        <v>283</v>
      </c>
      <c r="M69" s="97"/>
      <c r="N69" s="98"/>
    </row>
    <row r="70" spans="2:28" x14ac:dyDescent="0.3">
      <c r="J70" s="105" t="s">
        <v>224</v>
      </c>
      <c r="K70" s="107">
        <v>3</v>
      </c>
      <c r="L70" s="54" t="s">
        <v>284</v>
      </c>
      <c r="M70" s="96"/>
      <c r="N70" s="97"/>
      <c r="AB70">
        <f>D75/0.125</f>
        <v>522.16000000000008</v>
      </c>
    </row>
    <row r="71" spans="2:28" x14ac:dyDescent="0.3">
      <c r="J71" s="105" t="s">
        <v>225</v>
      </c>
      <c r="K71" s="107">
        <v>2</v>
      </c>
      <c r="L71" s="54" t="s">
        <v>285</v>
      </c>
      <c r="M71" s="96"/>
      <c r="N71" s="97"/>
      <c r="AB71" s="29">
        <f>D89/E89</f>
        <v>174.05333333333337</v>
      </c>
    </row>
    <row r="72" spans="2:28" x14ac:dyDescent="0.3">
      <c r="B72" s="5" t="s">
        <v>248</v>
      </c>
      <c r="J72" s="105" t="s">
        <v>226</v>
      </c>
      <c r="K72" s="107">
        <v>2</v>
      </c>
      <c r="L72" s="53" t="s">
        <v>286</v>
      </c>
      <c r="M72" s="97"/>
      <c r="N72" s="97"/>
    </row>
    <row r="73" spans="2:28" x14ac:dyDescent="0.3">
      <c r="J73" s="55" t="s">
        <v>227</v>
      </c>
      <c r="K73" s="107">
        <v>3</v>
      </c>
      <c r="L73" s="53" t="s">
        <v>287</v>
      </c>
      <c r="M73" s="97"/>
      <c r="N73" s="97"/>
    </row>
    <row r="74" spans="2:28" x14ac:dyDescent="0.3">
      <c r="B74" s="45" t="s">
        <v>230</v>
      </c>
      <c r="C74" s="45" t="s">
        <v>239</v>
      </c>
      <c r="D74" s="45" t="s">
        <v>231</v>
      </c>
      <c r="J74" s="48" t="s">
        <v>228</v>
      </c>
      <c r="K74" s="107">
        <v>3</v>
      </c>
      <c r="L74" s="54" t="s">
        <v>288</v>
      </c>
      <c r="M74" s="49"/>
      <c r="N74" s="51"/>
    </row>
    <row r="75" spans="2:28" x14ac:dyDescent="0.3">
      <c r="B75" s="74">
        <f>H66</f>
        <v>61</v>
      </c>
      <c r="C75" s="73">
        <f>K75</f>
        <v>42</v>
      </c>
      <c r="D75" s="73">
        <f>B75*(0.65+0.01*C75)</f>
        <v>65.27000000000001</v>
      </c>
      <c r="J75" s="80" t="s">
        <v>239</v>
      </c>
      <c r="K75" s="50">
        <f>SUM(K61:K74)</f>
        <v>42</v>
      </c>
      <c r="L75" s="95"/>
      <c r="M75" s="49"/>
      <c r="N75" s="51"/>
    </row>
    <row r="78" spans="2:28" x14ac:dyDescent="0.3">
      <c r="B78" s="5" t="s">
        <v>232</v>
      </c>
      <c r="D78" s="5" t="s">
        <v>236</v>
      </c>
    </row>
    <row r="79" spans="2:28" x14ac:dyDescent="0.3">
      <c r="D79"/>
    </row>
    <row r="80" spans="2:28" x14ac:dyDescent="0.3">
      <c r="B80" s="75" t="s">
        <v>233</v>
      </c>
      <c r="D80" s="75" t="s">
        <v>237</v>
      </c>
      <c r="E80" s="75"/>
      <c r="F80" s="75"/>
      <c r="G80" s="75"/>
    </row>
    <row r="81" spans="2:13" x14ac:dyDescent="0.3">
      <c r="B81" s="75" t="s">
        <v>234</v>
      </c>
      <c r="D81"/>
    </row>
    <row r="82" spans="2:13" x14ac:dyDescent="0.3">
      <c r="B82" s="75" t="s">
        <v>235</v>
      </c>
      <c r="D82" t="s">
        <v>240</v>
      </c>
      <c r="F82" t="str">
        <f>"Equivale a " &amp; D75/0.125 &amp; " horas/persona "</f>
        <v xml:space="preserve">Equivale a 522.16 horas/persona </v>
      </c>
    </row>
    <row r="83" spans="2:13" x14ac:dyDescent="0.3">
      <c r="D83"/>
    </row>
    <row r="85" spans="2:13" x14ac:dyDescent="0.3">
      <c r="D85"/>
    </row>
    <row r="86" spans="2:13" x14ac:dyDescent="0.3">
      <c r="D86" s="5" t="s">
        <v>238</v>
      </c>
    </row>
    <row r="87" spans="2:13" x14ac:dyDescent="0.3">
      <c r="D87" s="5"/>
    </row>
    <row r="88" spans="2:13" x14ac:dyDescent="0.3">
      <c r="D88" s="45" t="s">
        <v>242</v>
      </c>
      <c r="E88" s="45" t="s">
        <v>241</v>
      </c>
      <c r="F88" s="110" t="s">
        <v>5</v>
      </c>
      <c r="G88" s="110"/>
      <c r="H88" s="110"/>
    </row>
    <row r="89" spans="2:13" x14ac:dyDescent="0.3">
      <c r="D89" s="81">
        <f>AB70</f>
        <v>522.16000000000008</v>
      </c>
      <c r="E89" s="82">
        <v>3</v>
      </c>
      <c r="F89" s="99" t="str">
        <f>AB71 &amp; " horas por miembro "</f>
        <v xml:space="preserve">174.053333333333 horas por miembro </v>
      </c>
      <c r="G89" s="96"/>
      <c r="H89" s="97"/>
    </row>
    <row r="92" spans="2:13" x14ac:dyDescent="0.3">
      <c r="D92"/>
      <c r="I92" s="44"/>
      <c r="J92" s="44"/>
      <c r="K92" s="44"/>
      <c r="L92" s="44"/>
      <c r="M92" s="44"/>
    </row>
    <row r="93" spans="2:13" x14ac:dyDescent="0.3">
      <c r="D93" s="5" t="s">
        <v>244</v>
      </c>
      <c r="I93" s="4"/>
      <c r="J93" s="4"/>
      <c r="K93" s="4"/>
      <c r="L93" s="4"/>
      <c r="M93" s="4"/>
    </row>
    <row r="94" spans="2:13" x14ac:dyDescent="0.3">
      <c r="I94" s="4"/>
      <c r="J94" s="4"/>
      <c r="K94" s="4"/>
      <c r="L94" s="4"/>
      <c r="M94" s="4"/>
    </row>
    <row r="95" spans="2:13" x14ac:dyDescent="0.3">
      <c r="D95" s="75" t="s">
        <v>243</v>
      </c>
      <c r="E95" s="75"/>
      <c r="F95" s="75"/>
      <c r="G95" s="75"/>
      <c r="H95" s="75"/>
      <c r="I95" s="75"/>
    </row>
    <row r="97" spans="4:8" x14ac:dyDescent="0.3">
      <c r="D97" s="45" t="s">
        <v>245</v>
      </c>
      <c r="E97" s="45" t="s">
        <v>246</v>
      </c>
      <c r="F97" s="110" t="s">
        <v>5</v>
      </c>
      <c r="G97" s="110"/>
    </row>
    <row r="98" spans="4:8" x14ac:dyDescent="0.3">
      <c r="D98" s="111">
        <f>AB71</f>
        <v>174.05333333333337</v>
      </c>
      <c r="E98" s="82">
        <v>100</v>
      </c>
      <c r="F98" s="99" t="str">
        <f>D98/E98 &amp; " meses "</f>
        <v xml:space="preserve">1.74053333333333 meses </v>
      </c>
      <c r="G98" s="98"/>
    </row>
    <row r="99" spans="4:8" x14ac:dyDescent="0.3">
      <c r="D99"/>
    </row>
    <row r="100" spans="4:8" x14ac:dyDescent="0.3">
      <c r="D100"/>
    </row>
    <row r="101" spans="4:8" x14ac:dyDescent="0.3">
      <c r="D101" s="45" t="s">
        <v>245</v>
      </c>
      <c r="E101" s="45" t="s">
        <v>246</v>
      </c>
      <c r="F101" s="45" t="s">
        <v>247</v>
      </c>
      <c r="G101" s="104" t="s">
        <v>5</v>
      </c>
      <c r="H101" s="104"/>
    </row>
    <row r="102" spans="4:8" x14ac:dyDescent="0.3">
      <c r="D102" s="111">
        <f>AB71</f>
        <v>174.05333333333337</v>
      </c>
      <c r="E102" s="82">
        <v>100</v>
      </c>
      <c r="F102" s="82">
        <v>8</v>
      </c>
      <c r="G102" s="112" t="str">
        <f>INT(D102/E102) &amp; " meses y " &amp; INT(MOD(D102,E102) / F102) &amp; " día(s)"</f>
        <v>1 meses y 9 día(s)</v>
      </c>
      <c r="H102" s="97"/>
    </row>
    <row r="103" spans="4:8" x14ac:dyDescent="0.3">
      <c r="D103" s="5"/>
    </row>
    <row r="104" spans="4:8" x14ac:dyDescent="0.3">
      <c r="D104"/>
    </row>
  </sheetData>
  <mergeCells count="4">
    <mergeCell ref="L60:N60"/>
    <mergeCell ref="F88:H88"/>
    <mergeCell ref="F97:G97"/>
    <mergeCell ref="G101:H10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7C60-5FAC-4517-B858-C66476B43B18}">
  <dimension ref="A2:K93"/>
  <sheetViews>
    <sheetView showGridLines="0" topLeftCell="A10" workbookViewId="0">
      <selection activeCell="I16" sqref="I16:K16"/>
    </sheetView>
  </sheetViews>
  <sheetFormatPr baseColWidth="10" defaultRowHeight="14.4" x14ac:dyDescent="0.3"/>
  <cols>
    <col min="1" max="1" width="10.6640625" customWidth="1"/>
    <col min="2" max="2" width="21.88671875" customWidth="1"/>
    <col min="3" max="3" width="12.44140625" customWidth="1"/>
    <col min="6" max="6" width="9.77734375" customWidth="1"/>
    <col min="7" max="7" width="12.109375" bestFit="1" customWidth="1"/>
    <col min="8" max="8" width="12.44140625" customWidth="1"/>
    <col min="10" max="10" width="22.6640625" customWidth="1"/>
    <col min="11" max="11" width="13" customWidth="1"/>
  </cols>
  <sheetData>
    <row r="2" spans="2:11" x14ac:dyDescent="0.3">
      <c r="B2" t="s">
        <v>16</v>
      </c>
    </row>
    <row r="4" spans="2:11" x14ac:dyDescent="0.3">
      <c r="B4" s="5" t="s">
        <v>0</v>
      </c>
    </row>
    <row r="5" spans="2:11" x14ac:dyDescent="0.3">
      <c r="B5" s="6" t="s">
        <v>1</v>
      </c>
    </row>
    <row r="7" spans="2:11" x14ac:dyDescent="0.3">
      <c r="B7" t="s">
        <v>122</v>
      </c>
    </row>
    <row r="9" spans="2:11" x14ac:dyDescent="0.3">
      <c r="B9" s="1" t="s">
        <v>2</v>
      </c>
      <c r="C9" t="s">
        <v>3</v>
      </c>
      <c r="D9" s="1" t="s">
        <v>4</v>
      </c>
      <c r="E9" t="s">
        <v>5</v>
      </c>
    </row>
    <row r="10" spans="2:11" x14ac:dyDescent="0.3">
      <c r="B10" t="s">
        <v>6</v>
      </c>
      <c r="C10" s="1">
        <v>1</v>
      </c>
      <c r="D10" s="1">
        <v>2</v>
      </c>
      <c r="E10" s="1">
        <f>Tabla1420[[#This Row],[Núm. De Actores]]*Tabla1420[[#This Row],[Peso]]</f>
        <v>2</v>
      </c>
    </row>
    <row r="11" spans="2:11" x14ac:dyDescent="0.3">
      <c r="B11" s="2" t="s">
        <v>7</v>
      </c>
      <c r="C11" s="1">
        <v>1</v>
      </c>
      <c r="D11" s="1">
        <v>3</v>
      </c>
      <c r="E11" s="1">
        <f>Tabla1420[[#This Row],[Núm. De Actores]]*Tabla1420[[#This Row],[Peso]]</f>
        <v>3</v>
      </c>
    </row>
    <row r="12" spans="2:11" x14ac:dyDescent="0.3">
      <c r="C12" s="1"/>
      <c r="D12" s="12" t="s">
        <v>8</v>
      </c>
      <c r="E12" s="12">
        <f>SUM(E9:E11)</f>
        <v>5</v>
      </c>
    </row>
    <row r="14" spans="2:11" x14ac:dyDescent="0.3">
      <c r="F14" t="s">
        <v>110</v>
      </c>
    </row>
    <row r="15" spans="2:11" x14ac:dyDescent="0.3">
      <c r="B15" t="s">
        <v>121</v>
      </c>
    </row>
    <row r="16" spans="2:11" x14ac:dyDescent="0.3">
      <c r="I16" s="100" t="s">
        <v>15</v>
      </c>
      <c r="J16" s="100"/>
      <c r="K16" s="100"/>
    </row>
    <row r="17" spans="2:11" ht="28.8" x14ac:dyDescent="0.3">
      <c r="B17" s="3" t="s">
        <v>9</v>
      </c>
      <c r="C17" s="3" t="s">
        <v>10</v>
      </c>
      <c r="D17" s="8" t="s">
        <v>119</v>
      </c>
      <c r="E17" s="8" t="s">
        <v>120</v>
      </c>
      <c r="F17" s="3" t="s">
        <v>118</v>
      </c>
      <c r="I17" s="1" t="s">
        <v>8</v>
      </c>
      <c r="J17" s="1" t="s">
        <v>12</v>
      </c>
      <c r="K17" s="1" t="s">
        <v>88</v>
      </c>
    </row>
    <row r="18" spans="2:11" ht="15" x14ac:dyDescent="0.35">
      <c r="B18" s="25" t="s">
        <v>111</v>
      </c>
      <c r="C18" s="1" t="s">
        <v>117</v>
      </c>
      <c r="D18" s="1">
        <v>15</v>
      </c>
      <c r="E18" s="1">
        <v>7</v>
      </c>
      <c r="F18" s="1">
        <f>Tabla131221[[#This Row],[Peso (factor)]]*Tabla131221[[#This Row],[Núm Casos de Uso]]</f>
        <v>105</v>
      </c>
      <c r="I18" s="1">
        <f>E12</f>
        <v>5</v>
      </c>
      <c r="J18" s="1">
        <f>D24</f>
        <v>0</v>
      </c>
      <c r="K18" s="1">
        <f>Tabla68910111928[[#This Row],[UAW]]+Tabla68910111928[[#This Row],[UUCW]]</f>
        <v>5</v>
      </c>
    </row>
    <row r="19" spans="2:11" ht="30" customHeight="1" x14ac:dyDescent="0.35">
      <c r="B19" s="26" t="s">
        <v>112</v>
      </c>
      <c r="C19" s="1" t="s">
        <v>109</v>
      </c>
      <c r="D19" s="1">
        <v>5</v>
      </c>
      <c r="E19" s="1">
        <v>2</v>
      </c>
      <c r="F19" s="1">
        <f>Tabla131221[[#This Row],[Peso (factor)]]*Tabla131221[[#This Row],[Núm Casos de Uso]]</f>
        <v>10</v>
      </c>
    </row>
    <row r="20" spans="2:11" ht="30" x14ac:dyDescent="0.35">
      <c r="B20" s="26" t="s">
        <v>114</v>
      </c>
      <c r="C20" s="3" t="s">
        <v>109</v>
      </c>
      <c r="D20" s="3">
        <v>5</v>
      </c>
      <c r="E20" s="1">
        <v>4</v>
      </c>
      <c r="F20" s="1">
        <f>Tabla131221[[#This Row],[Peso (factor)]]*Tabla131221[[#This Row],[Núm Casos de Uso]]</f>
        <v>20</v>
      </c>
    </row>
    <row r="21" spans="2:11" ht="30" x14ac:dyDescent="0.35">
      <c r="B21" s="26" t="s">
        <v>113</v>
      </c>
      <c r="C21" s="3" t="s">
        <v>117</v>
      </c>
      <c r="D21" s="1">
        <v>15</v>
      </c>
      <c r="E21" s="1">
        <f>Tabla131221[[#This Row],[Peso (factor)]]</f>
        <v>15</v>
      </c>
      <c r="F21" s="1">
        <f>Tabla131221[[#This Row],[Peso (factor)]]*Tabla131221[[#This Row],[Núm Casos de Uso]]</f>
        <v>225</v>
      </c>
    </row>
    <row r="22" spans="2:11" ht="30" x14ac:dyDescent="0.35">
      <c r="B22" s="26" t="s">
        <v>115</v>
      </c>
      <c r="C22" s="3" t="s">
        <v>54</v>
      </c>
      <c r="D22" s="1">
        <v>10</v>
      </c>
      <c r="E22" s="1">
        <f>Tabla131221[[#This Row],[Peso (factor)]]</f>
        <v>10</v>
      </c>
      <c r="F22" s="1">
        <f>Tabla131221[[#This Row],[Peso (factor)]]*Tabla131221[[#This Row],[Núm Casos de Uso]]</f>
        <v>100</v>
      </c>
    </row>
    <row r="23" spans="2:11" ht="45" x14ac:dyDescent="0.35">
      <c r="B23" s="26" t="s">
        <v>116</v>
      </c>
      <c r="C23" s="3" t="s">
        <v>54</v>
      </c>
      <c r="D23" s="1">
        <v>10</v>
      </c>
      <c r="E23" s="1">
        <f>Tabla131221[[#This Row],[Peso (factor)]]</f>
        <v>10</v>
      </c>
      <c r="F23" s="1">
        <f>Tabla131221[[#This Row],[Peso (factor)]]*Tabla131221[[#This Row],[Núm Casos de Uso]]</f>
        <v>100</v>
      </c>
    </row>
    <row r="24" spans="2:11" x14ac:dyDescent="0.3">
      <c r="C24" s="12"/>
      <c r="D24" s="12"/>
      <c r="E24" s="1"/>
      <c r="F24" s="12">
        <f>SUM(F18:F23)</f>
        <v>560</v>
      </c>
    </row>
    <row r="30" spans="2:11" x14ac:dyDescent="0.3">
      <c r="B30" t="s">
        <v>19</v>
      </c>
    </row>
    <row r="32" spans="2:11" x14ac:dyDescent="0.3">
      <c r="B32" t="s">
        <v>99</v>
      </c>
    </row>
    <row r="34" spans="1:11" ht="28.8" x14ac:dyDescent="0.3">
      <c r="A34" s="2" t="s">
        <v>20</v>
      </c>
      <c r="B34" s="8" t="s">
        <v>47</v>
      </c>
      <c r="C34" s="7" t="s">
        <v>48</v>
      </c>
      <c r="D34" s="2" t="s">
        <v>49</v>
      </c>
      <c r="E34" s="7" t="s">
        <v>74</v>
      </c>
    </row>
    <row r="35" spans="1:11" x14ac:dyDescent="0.3">
      <c r="A35" s="2" t="s">
        <v>21</v>
      </c>
      <c r="B35" s="10" t="s">
        <v>34</v>
      </c>
      <c r="C35" s="1">
        <v>2</v>
      </c>
      <c r="D35" s="1">
        <v>1</v>
      </c>
      <c r="E35" s="1">
        <f>Tabla1351322[[#This Row],[Peso (valor fijo)]]*Tabla1351322[[#This Row],[Impacto percibido]]</f>
        <v>2</v>
      </c>
      <c r="G35" s="13"/>
    </row>
    <row r="36" spans="1:11" ht="28.8" x14ac:dyDescent="0.3">
      <c r="A36" t="s">
        <v>22</v>
      </c>
      <c r="B36" s="9" t="s">
        <v>35</v>
      </c>
      <c r="C36" s="1">
        <v>1</v>
      </c>
      <c r="D36" s="1">
        <v>5</v>
      </c>
      <c r="E36" s="1">
        <f>Tabla1351322[[#This Row],[Peso (valor fijo)]]*Tabla1351322[[#This Row],[Impacto percibido]]</f>
        <v>5</v>
      </c>
      <c r="G36" s="10"/>
      <c r="H36" s="1" t="s">
        <v>95</v>
      </c>
      <c r="I36" s="1" t="s">
        <v>96</v>
      </c>
      <c r="J36" s="1" t="s">
        <v>98</v>
      </c>
      <c r="K36" s="1" t="s">
        <v>100</v>
      </c>
    </row>
    <row r="37" spans="1:11" x14ac:dyDescent="0.3">
      <c r="A37" s="4" t="s">
        <v>23</v>
      </c>
      <c r="B37" s="3" t="s">
        <v>36</v>
      </c>
      <c r="C37" s="3">
        <v>1</v>
      </c>
      <c r="D37" s="3">
        <v>5</v>
      </c>
      <c r="E37" s="1">
        <f>Tabla1351322[[#This Row],[Peso (valor fijo)]]*Tabla1351322[[#This Row],[Impacto percibido]]</f>
        <v>5</v>
      </c>
      <c r="H37" s="1">
        <v>0.6</v>
      </c>
      <c r="I37" s="1">
        <v>0.01</v>
      </c>
      <c r="J37" s="1">
        <f>E48</f>
        <v>38</v>
      </c>
      <c r="K37" s="12">
        <f>(Tabla689101827[[#This Row],[V. Fijo2]]*Tabla689101827[[#This Row],[Factor calculado TCP]])+Tabla689101827[[#This Row],[V. Fijo]]</f>
        <v>0.98</v>
      </c>
    </row>
    <row r="38" spans="1:11" ht="28.8" x14ac:dyDescent="0.3">
      <c r="A38" t="s">
        <v>24</v>
      </c>
      <c r="B38" s="9" t="s">
        <v>37</v>
      </c>
      <c r="C38" s="1">
        <v>1</v>
      </c>
      <c r="D38" s="1">
        <v>3</v>
      </c>
      <c r="E38" s="1">
        <f>Tabla1351322[[#This Row],[Peso (valor fijo)]]*Tabla1351322[[#This Row],[Impacto percibido]]</f>
        <v>3</v>
      </c>
    </row>
    <row r="39" spans="1:11" ht="28.8" x14ac:dyDescent="0.3">
      <c r="A39" s="4" t="s">
        <v>25</v>
      </c>
      <c r="B39" s="9" t="s">
        <v>38</v>
      </c>
      <c r="C39" s="1">
        <v>1</v>
      </c>
      <c r="D39" s="1">
        <v>0</v>
      </c>
      <c r="E39" s="1">
        <f>Tabla1351322[[#This Row],[Peso (valor fijo)]]*Tabla1351322[[#This Row],[Impacto percibido]]</f>
        <v>0</v>
      </c>
    </row>
    <row r="40" spans="1:11" x14ac:dyDescent="0.3">
      <c r="A40" s="4" t="s">
        <v>26</v>
      </c>
      <c r="B40" s="10" t="s">
        <v>39</v>
      </c>
      <c r="C40" s="1">
        <v>0.5</v>
      </c>
      <c r="D40" s="1">
        <v>5</v>
      </c>
      <c r="E40" s="1">
        <f>Tabla1351322[[#This Row],[Peso (valor fijo)]]*Tabla1351322[[#This Row],[Impacto percibido]]</f>
        <v>2.5</v>
      </c>
      <c r="H40" s="15" t="s">
        <v>51</v>
      </c>
      <c r="I40" s="17" t="s">
        <v>53</v>
      </c>
    </row>
    <row r="41" spans="1:11" x14ac:dyDescent="0.3">
      <c r="A41" s="4" t="s">
        <v>27</v>
      </c>
      <c r="B41" s="10" t="s">
        <v>40</v>
      </c>
      <c r="C41" s="1">
        <v>0.5</v>
      </c>
      <c r="D41" s="1">
        <v>5</v>
      </c>
      <c r="E41" s="1">
        <f>Tabla1351322[[#This Row],[Peso (valor fijo)]]*Tabla1351322[[#This Row],[Impacto percibido]]</f>
        <v>2.5</v>
      </c>
      <c r="H41" s="16" t="s">
        <v>52</v>
      </c>
      <c r="I41" s="17" t="s">
        <v>54</v>
      </c>
    </row>
    <row r="42" spans="1:11" x14ac:dyDescent="0.3">
      <c r="A42" s="4" t="s">
        <v>28</v>
      </c>
      <c r="B42" s="10" t="s">
        <v>41</v>
      </c>
      <c r="C42" s="1">
        <v>2</v>
      </c>
      <c r="D42" s="1">
        <v>0</v>
      </c>
      <c r="E42" s="1">
        <f>Tabla1351322[[#This Row],[Peso (valor fijo)]]*Tabla1351322[[#This Row],[Impacto percibido]]</f>
        <v>0</v>
      </c>
      <c r="H42" s="15">
        <v>5</v>
      </c>
      <c r="I42" s="17" t="s">
        <v>55</v>
      </c>
    </row>
    <row r="43" spans="1:11" x14ac:dyDescent="0.3">
      <c r="A43" s="4" t="s">
        <v>29</v>
      </c>
      <c r="B43" s="10" t="s">
        <v>42</v>
      </c>
      <c r="C43" s="1">
        <v>1</v>
      </c>
      <c r="D43" s="1">
        <v>5</v>
      </c>
      <c r="E43" s="1">
        <f>Tabla1351322[[#This Row],[Peso (valor fijo)]]*Tabla1351322[[#This Row],[Impacto percibido]]</f>
        <v>5</v>
      </c>
    </row>
    <row r="44" spans="1:11" x14ac:dyDescent="0.3">
      <c r="A44" s="4" t="s">
        <v>30</v>
      </c>
      <c r="B44" s="10" t="s">
        <v>43</v>
      </c>
      <c r="C44" s="1">
        <v>1</v>
      </c>
      <c r="D44" s="1">
        <v>5</v>
      </c>
      <c r="E44" s="1">
        <f>Tabla1351322[[#This Row],[Peso (valor fijo)]]*Tabla1351322[[#This Row],[Impacto percibido]]</f>
        <v>5</v>
      </c>
    </row>
    <row r="45" spans="1:11" ht="28.8" x14ac:dyDescent="0.3">
      <c r="A45" s="4" t="s">
        <v>31</v>
      </c>
      <c r="B45" s="9" t="s">
        <v>44</v>
      </c>
      <c r="C45" s="1">
        <v>1</v>
      </c>
      <c r="D45" s="1">
        <v>5</v>
      </c>
      <c r="E45" s="1">
        <f>Tabla1351322[[#This Row],[Peso (valor fijo)]]*Tabla1351322[[#This Row],[Impacto percibido]]</f>
        <v>5</v>
      </c>
    </row>
    <row r="46" spans="1:11" ht="28.8" x14ac:dyDescent="0.3">
      <c r="A46" s="4" t="s">
        <v>32</v>
      </c>
      <c r="B46" s="9" t="s">
        <v>45</v>
      </c>
      <c r="C46" s="1">
        <v>1</v>
      </c>
      <c r="D46" s="1">
        <v>3</v>
      </c>
      <c r="E46" s="1">
        <f>Tabla1351322[[#This Row],[Peso (valor fijo)]]*Tabla1351322[[#This Row],[Impacto percibido]]</f>
        <v>3</v>
      </c>
    </row>
    <row r="47" spans="1:11" ht="43.2" x14ac:dyDescent="0.3">
      <c r="A47" s="4" t="s">
        <v>33</v>
      </c>
      <c r="B47" s="9" t="s">
        <v>46</v>
      </c>
      <c r="C47" s="1">
        <v>1</v>
      </c>
      <c r="D47" s="1">
        <v>0</v>
      </c>
      <c r="E47" s="1">
        <f>Tabla1351322[[#This Row],[Peso (valor fijo)]]*Tabla1351322[[#This Row],[Impacto percibido]]</f>
        <v>0</v>
      </c>
    </row>
    <row r="48" spans="1:11" x14ac:dyDescent="0.3">
      <c r="A48" s="4"/>
      <c r="B48" s="1"/>
      <c r="C48" s="11" t="s">
        <v>50</v>
      </c>
      <c r="D48" s="1"/>
      <c r="E48" s="12">
        <f>SUM(E35:E47)</f>
        <v>38</v>
      </c>
    </row>
    <row r="52" spans="1:11" x14ac:dyDescent="0.3">
      <c r="B52" t="s">
        <v>56</v>
      </c>
    </row>
    <row r="54" spans="1:11" x14ac:dyDescent="0.3">
      <c r="B54" s="6" t="s">
        <v>57</v>
      </c>
    </row>
    <row r="56" spans="1:11" ht="28.8" x14ac:dyDescent="0.3">
      <c r="A56" s="8" t="s">
        <v>20</v>
      </c>
      <c r="B56" s="3" t="s">
        <v>47</v>
      </c>
      <c r="C56" s="7" t="s">
        <v>48</v>
      </c>
      <c r="D56" s="2" t="s">
        <v>49</v>
      </c>
      <c r="E56" s="2" t="s">
        <v>74</v>
      </c>
    </row>
    <row r="57" spans="1:11" x14ac:dyDescent="0.3">
      <c r="A57" s="2" t="s">
        <v>58</v>
      </c>
      <c r="B57" s="10" t="s">
        <v>66</v>
      </c>
      <c r="C57" s="1">
        <v>1.5</v>
      </c>
      <c r="D57" s="1">
        <v>5</v>
      </c>
      <c r="E57" s="1">
        <f>Tabla13561423[[#This Row],[Peso (valor fijo)]]*Tabla13561423[[#This Row],[Impacto percibido]]</f>
        <v>7.5</v>
      </c>
      <c r="H57" s="1" t="s">
        <v>95</v>
      </c>
      <c r="I57" s="1" t="s">
        <v>96</v>
      </c>
      <c r="J57" s="1" t="s">
        <v>94</v>
      </c>
      <c r="K57" s="1" t="s">
        <v>97</v>
      </c>
    </row>
    <row r="58" spans="1:11" x14ac:dyDescent="0.3">
      <c r="A58" t="s">
        <v>59</v>
      </c>
      <c r="B58" s="9" t="s">
        <v>67</v>
      </c>
      <c r="C58" s="1">
        <v>-1</v>
      </c>
      <c r="D58" s="1">
        <v>3</v>
      </c>
      <c r="E58" s="1">
        <f>Tabla13561423[[#This Row],[Peso (valor fijo)]]*Tabla13561423[[#This Row],[Impacto percibido]]</f>
        <v>-3</v>
      </c>
      <c r="H58" s="1">
        <v>1.4</v>
      </c>
      <c r="I58" s="1">
        <v>-0.03</v>
      </c>
      <c r="J58" s="1">
        <f>E65</f>
        <v>24.5</v>
      </c>
      <c r="K58" s="12">
        <f>(Tabla6891726[[#This Row],[V. Fijo2]]*Tabla6891726[[#This Row],[Factor calculado ECF]])+Tabla6891726[[#This Row],[V. Fijo]]</f>
        <v>0.66499999999999992</v>
      </c>
    </row>
    <row r="59" spans="1:11" ht="28.8" x14ac:dyDescent="0.3">
      <c r="A59" t="s">
        <v>60</v>
      </c>
      <c r="B59" s="18" t="s">
        <v>68</v>
      </c>
      <c r="C59" s="3">
        <v>0.5</v>
      </c>
      <c r="D59" s="3">
        <v>5</v>
      </c>
      <c r="E59" s="1">
        <f>Tabla13561423[[#This Row],[Peso (valor fijo)]]*Tabla13561423[[#This Row],[Impacto percibido]]</f>
        <v>2.5</v>
      </c>
    </row>
    <row r="60" spans="1:11" ht="28.8" x14ac:dyDescent="0.3">
      <c r="A60" t="s">
        <v>61</v>
      </c>
      <c r="B60" s="9" t="s">
        <v>69</v>
      </c>
      <c r="C60" s="1">
        <v>0.5</v>
      </c>
      <c r="D60" s="1">
        <v>5</v>
      </c>
      <c r="E60" s="1">
        <f>Tabla13561423[[#This Row],[Peso (valor fijo)]]*Tabla13561423[[#This Row],[Impacto percibido]]</f>
        <v>2.5</v>
      </c>
    </row>
    <row r="61" spans="1:11" ht="28.8" x14ac:dyDescent="0.3">
      <c r="A61" t="s">
        <v>62</v>
      </c>
      <c r="B61" s="9" t="s">
        <v>70</v>
      </c>
      <c r="C61" s="1">
        <v>1</v>
      </c>
      <c r="D61" s="1">
        <v>5</v>
      </c>
      <c r="E61" s="1">
        <f>Tabla13561423[[#This Row],[Peso (valor fijo)]]*Tabla13561423[[#This Row],[Impacto percibido]]</f>
        <v>5</v>
      </c>
    </row>
    <row r="62" spans="1:11" x14ac:dyDescent="0.3">
      <c r="A62" t="s">
        <v>63</v>
      </c>
      <c r="B62" s="10" t="s">
        <v>71</v>
      </c>
      <c r="C62" s="1">
        <v>1</v>
      </c>
      <c r="D62" s="1">
        <v>5</v>
      </c>
      <c r="E62" s="1">
        <f>Tabla13561423[[#This Row],[Peso (valor fijo)]]*Tabla13561423[[#This Row],[Impacto percibido]]</f>
        <v>5</v>
      </c>
    </row>
    <row r="63" spans="1:11" ht="28.8" x14ac:dyDescent="0.3">
      <c r="A63" t="s">
        <v>64</v>
      </c>
      <c r="B63" s="9" t="s">
        <v>72</v>
      </c>
      <c r="C63" s="1">
        <v>-1</v>
      </c>
      <c r="D63" s="1">
        <v>5</v>
      </c>
      <c r="E63" s="1">
        <f>Tabla13561423[[#This Row],[Peso (valor fijo)]]*Tabla13561423[[#This Row],[Impacto percibido]]</f>
        <v>-5</v>
      </c>
    </row>
    <row r="64" spans="1:11" ht="28.8" x14ac:dyDescent="0.3">
      <c r="A64" t="s">
        <v>65</v>
      </c>
      <c r="B64" s="9" t="s">
        <v>73</v>
      </c>
      <c r="C64" s="1">
        <v>2</v>
      </c>
      <c r="D64" s="1">
        <v>5</v>
      </c>
      <c r="E64" s="1">
        <f>Tabla13561423[[#This Row],[Peso (valor fijo)]]*Tabla13561423[[#This Row],[Impacto percibido]]</f>
        <v>10</v>
      </c>
    </row>
    <row r="65" spans="1:10" x14ac:dyDescent="0.3">
      <c r="A65" s="4"/>
      <c r="B65" s="1"/>
      <c r="C65" s="11" t="s">
        <v>75</v>
      </c>
      <c r="D65" s="1"/>
      <c r="E65" s="12">
        <f>SUM(E57:E64)</f>
        <v>24.5</v>
      </c>
    </row>
    <row r="68" spans="1:10" x14ac:dyDescent="0.3">
      <c r="B68" s="14" t="s">
        <v>76</v>
      </c>
      <c r="C68" s="14"/>
      <c r="D68" s="14"/>
      <c r="E68" s="14"/>
      <c r="F68" s="14"/>
    </row>
    <row r="69" spans="1:10" x14ac:dyDescent="0.3">
      <c r="B69" s="14" t="s">
        <v>77</v>
      </c>
      <c r="C69" s="14"/>
      <c r="D69" s="14"/>
      <c r="E69" s="14"/>
      <c r="F69" s="14"/>
    </row>
    <row r="70" spans="1:10" x14ac:dyDescent="0.3">
      <c r="B70" s="14" t="s">
        <v>78</v>
      </c>
      <c r="C70" s="14"/>
      <c r="D70" s="14"/>
      <c r="E70" s="14"/>
      <c r="F70" s="14"/>
    </row>
    <row r="73" spans="1:10" ht="15" thickBot="1" x14ac:dyDescent="0.35"/>
    <row r="74" spans="1:10" x14ac:dyDescent="0.3">
      <c r="B74" s="5" t="s">
        <v>79</v>
      </c>
      <c r="G74" s="101" t="s">
        <v>86</v>
      </c>
      <c r="H74" s="102"/>
      <c r="I74" s="102"/>
      <c r="J74" s="103"/>
    </row>
    <row r="75" spans="1:10" x14ac:dyDescent="0.3">
      <c r="B75" t="s">
        <v>80</v>
      </c>
      <c r="G75" s="19"/>
      <c r="J75" s="20"/>
    </row>
    <row r="76" spans="1:10" x14ac:dyDescent="0.3">
      <c r="B76" t="s">
        <v>81</v>
      </c>
      <c r="G76" s="19" t="s">
        <v>87</v>
      </c>
      <c r="J76" s="20"/>
    </row>
    <row r="77" spans="1:10" x14ac:dyDescent="0.3">
      <c r="G77" s="19"/>
      <c r="H77" t="s">
        <v>105</v>
      </c>
      <c r="I77" cm="1">
        <f t="array" ref="I77">Tabla681625[UCP2]</f>
        <v>65.169999999999987</v>
      </c>
      <c r="J77" s="20"/>
    </row>
    <row r="78" spans="1:10" x14ac:dyDescent="0.3">
      <c r="G78" s="19"/>
      <c r="H78" t="s">
        <v>104</v>
      </c>
      <c r="I78">
        <v>40</v>
      </c>
      <c r="J78" s="21" t="s">
        <v>103</v>
      </c>
    </row>
    <row r="79" spans="1:10" x14ac:dyDescent="0.3">
      <c r="B79" s="6" t="s">
        <v>82</v>
      </c>
      <c r="G79" s="19"/>
      <c r="J79" s="20"/>
    </row>
    <row r="80" spans="1:10" ht="15" thickBot="1" x14ac:dyDescent="0.35">
      <c r="B80" t="s">
        <v>83</v>
      </c>
      <c r="G80" s="22" t="s">
        <v>106</v>
      </c>
      <c r="H80" s="23"/>
      <c r="I80" s="23">
        <f>I77/I78</f>
        <v>1.6292499999999996</v>
      </c>
      <c r="J80" s="24" t="s">
        <v>107</v>
      </c>
    </row>
    <row r="81" spans="2:5" x14ac:dyDescent="0.3">
      <c r="B81" t="s">
        <v>101</v>
      </c>
    </row>
    <row r="83" spans="2:5" x14ac:dyDescent="0.3">
      <c r="B83" s="1" t="s">
        <v>88</v>
      </c>
      <c r="C83" s="1" t="s">
        <v>89</v>
      </c>
      <c r="D83" s="1" t="s">
        <v>90</v>
      </c>
      <c r="E83" s="1" t="s">
        <v>91</v>
      </c>
    </row>
    <row r="84" spans="2:5" x14ac:dyDescent="0.3">
      <c r="B84" s="1" cm="1">
        <f t="array" ref="B84">Tabla68910111928[UUCP]</f>
        <v>5</v>
      </c>
      <c r="C84" s="1" cm="1">
        <f t="array" ref="C84">Tabla689101827[TCP Final]</f>
        <v>0.98</v>
      </c>
      <c r="D84" s="1" cm="1">
        <f t="array" ref="D84">Tabla6891726[ECF Final]</f>
        <v>0.66499999999999992</v>
      </c>
      <c r="E84" s="12">
        <f>Tabla61524[[#This Row],[UUCP]]*Tabla61524[[#This Row],[TCF]]*Tabla61524[[#This Row],[ECF]]</f>
        <v>3.2584999999999997</v>
      </c>
    </row>
    <row r="87" spans="2:5" x14ac:dyDescent="0.3">
      <c r="B87" s="6" t="s">
        <v>84</v>
      </c>
    </row>
    <row r="88" spans="2:5" x14ac:dyDescent="0.3">
      <c r="B88" t="s">
        <v>108</v>
      </c>
    </row>
    <row r="89" spans="2:5" x14ac:dyDescent="0.3">
      <c r="B89" t="s">
        <v>85</v>
      </c>
    </row>
    <row r="90" spans="2:5" x14ac:dyDescent="0.3">
      <c r="B90" t="s">
        <v>102</v>
      </c>
    </row>
    <row r="92" spans="2:5" x14ac:dyDescent="0.3">
      <c r="C92" s="1" t="s">
        <v>91</v>
      </c>
      <c r="D92" s="1" t="s">
        <v>93</v>
      </c>
      <c r="E92" s="1" t="s">
        <v>92</v>
      </c>
    </row>
    <row r="93" spans="2:5" x14ac:dyDescent="0.3">
      <c r="C93" s="1" cm="1">
        <f t="array" ref="C93">Tabla61524[UCP]</f>
        <v>3.2584999999999997</v>
      </c>
      <c r="D93" s="1">
        <v>20</v>
      </c>
      <c r="E93" s="12">
        <f>Tabla681625[[#This Row],[UCP]]*Tabla681625[[#This Row],[PF]]</f>
        <v>65.169999999999987</v>
      </c>
    </row>
  </sheetData>
  <mergeCells count="2">
    <mergeCell ref="I16:K16"/>
    <mergeCell ref="G74:J74"/>
  </mergeCells>
  <dataValidations count="1">
    <dataValidation type="list" allowBlank="1" showInputMessage="1" showErrorMessage="1" sqref="C18:C23" xr:uid="{F042E16D-EAF0-4C08-BB56-97AC797CADA4}">
      <formula1>"Simple, Medio, Complejo"</formula1>
    </dataValidation>
  </dataValidation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D1263-AE13-42C6-ADB9-5E609D409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</vt:lpstr>
      <vt:lpstr>Natura CU</vt:lpstr>
      <vt:lpstr>Natura PF</vt:lpstr>
      <vt:lpstr>Agente Arrow CU</vt:lpstr>
      <vt:lpstr>Agente Arrow PF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ALBERTO FLORES HERRERA</dc:creator>
  <cp:lastModifiedBy>EDUARDO ALBERTO FLORES HERRERA</cp:lastModifiedBy>
  <dcterms:created xsi:type="dcterms:W3CDTF">2024-10-21T15:52:15Z</dcterms:created>
  <dcterms:modified xsi:type="dcterms:W3CDTF">2024-10-28T02:32:01Z</dcterms:modified>
</cp:coreProperties>
</file>