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rian\Dropbox (Personal)\0. Work\3. LBM\C++ Projects\LUMA\LUMA\tool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/>
</workbook>
</file>

<file path=xl/calcChain.xml><?xml version="1.0" encoding="utf-8"?>
<calcChain xmlns="http://schemas.openxmlformats.org/spreadsheetml/2006/main">
  <c r="N26" i="12" l="1"/>
  <c r="N48" i="4" l="1"/>
  <c r="N45" i="4"/>
  <c r="N40" i="4"/>
  <c r="N41" i="4" s="1"/>
  <c r="N44" i="4" s="1"/>
  <c r="N47" i="4" s="1"/>
  <c r="N39" i="4"/>
  <c r="N43" i="4" s="1"/>
  <c r="N36" i="4"/>
  <c r="N37" i="4" s="1"/>
  <c r="N42" i="4" s="1"/>
  <c r="N31" i="4"/>
  <c r="N32" i="4" s="1"/>
  <c r="N35" i="4" s="1"/>
  <c r="N30" i="4"/>
  <c r="N34" i="4" s="1"/>
  <c r="N27" i="4"/>
  <c r="N28" i="4" s="1"/>
  <c r="N33" i="4" s="1"/>
  <c r="N22" i="4"/>
  <c r="N23" i="4" s="1"/>
  <c r="N26" i="4" s="1"/>
  <c r="N21" i="4"/>
  <c r="N25" i="4" s="1"/>
  <c r="N18" i="4"/>
  <c r="N19" i="4" s="1"/>
  <c r="N24" i="4" s="1"/>
  <c r="N13" i="4"/>
  <c r="N14" i="4" s="1"/>
  <c r="N17" i="4" s="1"/>
  <c r="N12" i="4"/>
  <c r="N16" i="4" s="1"/>
  <c r="N9" i="4"/>
  <c r="N10" i="4" s="1"/>
  <c r="N15" i="4" s="1"/>
  <c r="N61" i="12"/>
  <c r="N58" i="12"/>
  <c r="N53" i="12"/>
  <c r="N54" i="12" s="1"/>
  <c r="N57" i="12" s="1"/>
  <c r="N60" i="12" s="1"/>
  <c r="N52" i="12"/>
  <c r="N56" i="12" s="1"/>
  <c r="N49" i="12"/>
  <c r="N50" i="12" s="1"/>
  <c r="N55" i="12" s="1"/>
  <c r="N44" i="12"/>
  <c r="N45" i="12" s="1"/>
  <c r="N48" i="12" s="1"/>
  <c r="N43" i="12"/>
  <c r="N47" i="12" s="1"/>
  <c r="N40" i="12"/>
  <c r="N41" i="12" s="1"/>
  <c r="N46" i="12" s="1"/>
  <c r="N35" i="12"/>
  <c r="N36" i="12" s="1"/>
  <c r="N39" i="12" s="1"/>
  <c r="N34" i="12"/>
  <c r="N38" i="12" s="1"/>
  <c r="N31" i="12"/>
  <c r="N32" i="12" s="1"/>
  <c r="N37" i="12" s="1"/>
  <c r="N27" i="12"/>
  <c r="N30" i="12" s="1"/>
  <c r="N25" i="12"/>
  <c r="N29" i="12" s="1"/>
  <c r="N22" i="12"/>
  <c r="N23" i="12" s="1"/>
  <c r="N28" i="12" s="1"/>
  <c r="N61" i="11" l="1"/>
  <c r="N58" i="11"/>
  <c r="N53" i="11"/>
  <c r="N54" i="11" s="1"/>
  <c r="N57" i="11" s="1"/>
  <c r="N60" i="11" s="1"/>
  <c r="N52" i="11"/>
  <c r="N56" i="11" s="1"/>
  <c r="N49" i="11"/>
  <c r="N50" i="11" s="1"/>
  <c r="N55" i="11" s="1"/>
  <c r="N40" i="11"/>
  <c r="N41" i="11" s="1"/>
  <c r="N44" i="11"/>
  <c r="N45" i="11" s="1"/>
  <c r="N43" i="11"/>
  <c r="N47" i="11" s="1"/>
  <c r="N31" i="11"/>
  <c r="N32" i="11" s="1"/>
  <c r="N37" i="11" s="1"/>
  <c r="N35" i="11"/>
  <c r="N36" i="11" s="1"/>
  <c r="N39" i="11" s="1"/>
  <c r="N34" i="11"/>
  <c r="N38" i="11" s="1"/>
  <c r="N26" i="11"/>
  <c r="N27" i="11" s="1"/>
  <c r="N30" i="11" s="1"/>
  <c r="N25" i="11"/>
  <c r="N29" i="11" s="1"/>
  <c r="N22" i="11"/>
  <c r="N23" i="11" s="1"/>
  <c r="N28" i="11" s="1"/>
  <c r="N48" i="11" l="1"/>
  <c r="N46" i="11"/>
  <c r="K35" i="11"/>
  <c r="K36" i="11" s="1"/>
  <c r="K39" i="11" s="1"/>
  <c r="K42" i="11" s="1"/>
  <c r="K26" i="11"/>
  <c r="I26" i="11"/>
  <c r="I27" i="11" l="1"/>
  <c r="K27" i="11"/>
  <c r="K43" i="11"/>
  <c r="K30" i="11" l="1"/>
  <c r="I30" i="11"/>
  <c r="I33" i="11" s="1"/>
  <c r="I34" i="11"/>
  <c r="G25" i="11"/>
  <c r="C26" i="11"/>
  <c r="G24" i="11" l="1"/>
  <c r="C13" i="4"/>
  <c r="E3" i="4" l="1"/>
  <c r="D3" i="4" s="1"/>
  <c r="N3" i="4" s="1"/>
  <c r="C26" i="13" l="1"/>
  <c r="H15" i="13" s="1"/>
  <c r="C25" i="13"/>
  <c r="C24" i="13"/>
  <c r="F13" i="13" s="1"/>
  <c r="G16" i="13"/>
  <c r="F16" i="13"/>
  <c r="M16" i="13" s="1"/>
  <c r="E16" i="13"/>
  <c r="D16" i="13" s="1"/>
  <c r="N16" i="13" s="1"/>
  <c r="G15" i="13"/>
  <c r="E15" i="13"/>
  <c r="D15" i="13"/>
  <c r="N15" i="13" s="1"/>
  <c r="G14" i="13"/>
  <c r="E14" i="13"/>
  <c r="D14" i="13"/>
  <c r="N14" i="13" s="1"/>
  <c r="H13" i="13"/>
  <c r="G13" i="13"/>
  <c r="E13" i="13"/>
  <c r="D13" i="13" s="1"/>
  <c r="N13" i="13" s="1"/>
  <c r="G12" i="13"/>
  <c r="E12" i="13"/>
  <c r="D12" i="13" s="1"/>
  <c r="N12" i="13" s="1"/>
  <c r="G11" i="13"/>
  <c r="F11" i="13"/>
  <c r="E11" i="13"/>
  <c r="D11" i="13" s="1"/>
  <c r="N11" i="13" s="1"/>
  <c r="G10" i="13"/>
  <c r="E10" i="13"/>
  <c r="D10" i="13" s="1"/>
  <c r="N10" i="13" s="1"/>
  <c r="G9" i="13"/>
  <c r="E9" i="13"/>
  <c r="D9" i="13"/>
  <c r="N9" i="13" s="1"/>
  <c r="G8" i="13"/>
  <c r="F8" i="13"/>
  <c r="E8" i="13"/>
  <c r="D8" i="13" s="1"/>
  <c r="N8" i="13" s="1"/>
  <c r="G7" i="13"/>
  <c r="E7" i="13"/>
  <c r="D7" i="13" s="1"/>
  <c r="N7" i="13" s="1"/>
  <c r="G6" i="13"/>
  <c r="E6" i="13"/>
  <c r="D6" i="13"/>
  <c r="N6" i="13" s="1"/>
  <c r="G5" i="13"/>
  <c r="F5" i="13"/>
  <c r="E5" i="13"/>
  <c r="D5" i="13" s="1"/>
  <c r="N5" i="13" s="1"/>
  <c r="G4" i="13"/>
  <c r="E4" i="13"/>
  <c r="D4" i="13"/>
  <c r="N4" i="13" s="1"/>
  <c r="G3" i="13"/>
  <c r="F3" i="13"/>
  <c r="E3" i="13"/>
  <c r="D3" i="13" s="1"/>
  <c r="N3" i="13" s="1"/>
  <c r="G2" i="13"/>
  <c r="E2" i="13"/>
  <c r="D2" i="13" s="1"/>
  <c r="N2" i="13" s="1"/>
  <c r="C26" i="12"/>
  <c r="H16" i="12" s="1"/>
  <c r="C25" i="12"/>
  <c r="G13" i="12" s="1"/>
  <c r="C24" i="12"/>
  <c r="E16" i="12"/>
  <c r="D16" i="12" s="1"/>
  <c r="N16" i="12" s="1"/>
  <c r="E15" i="12"/>
  <c r="D15" i="12" s="1"/>
  <c r="N15" i="12" s="1"/>
  <c r="E14" i="12"/>
  <c r="D14" i="12" s="1"/>
  <c r="N14" i="12" s="1"/>
  <c r="E13" i="12"/>
  <c r="D13" i="12" s="1"/>
  <c r="N13" i="12" s="1"/>
  <c r="E12" i="12"/>
  <c r="D12" i="12" s="1"/>
  <c r="N12" i="12" s="1"/>
  <c r="E11" i="12"/>
  <c r="D11" i="12" s="1"/>
  <c r="N11" i="12" s="1"/>
  <c r="E10" i="12"/>
  <c r="D10" i="12" s="1"/>
  <c r="N10" i="12" s="1"/>
  <c r="E9" i="12"/>
  <c r="D9" i="12" s="1"/>
  <c r="N9" i="12" s="1"/>
  <c r="E8" i="12"/>
  <c r="D8" i="12" s="1"/>
  <c r="N8" i="12" s="1"/>
  <c r="E7" i="12"/>
  <c r="D7" i="12" s="1"/>
  <c r="N7" i="12" s="1"/>
  <c r="E6" i="12"/>
  <c r="D6" i="12" s="1"/>
  <c r="N6" i="12" s="1"/>
  <c r="E5" i="12"/>
  <c r="D5" i="12" s="1"/>
  <c r="N5" i="12" s="1"/>
  <c r="E4" i="12"/>
  <c r="D4" i="12" s="1"/>
  <c r="N4" i="12" s="1"/>
  <c r="E3" i="12"/>
  <c r="D3" i="12" s="1"/>
  <c r="N3" i="12" s="1"/>
  <c r="E2" i="12"/>
  <c r="D2" i="12" s="1"/>
  <c r="N2" i="12" s="1"/>
  <c r="H13" i="11"/>
  <c r="C25" i="11"/>
  <c r="C24" i="11"/>
  <c r="E16" i="11"/>
  <c r="D16" i="11"/>
  <c r="N16" i="11" s="1"/>
  <c r="E15" i="11"/>
  <c r="D15" i="11" s="1"/>
  <c r="N15" i="11" s="1"/>
  <c r="E14" i="11"/>
  <c r="D14" i="11" s="1"/>
  <c r="N14" i="11" s="1"/>
  <c r="E13" i="11"/>
  <c r="D13" i="11" s="1"/>
  <c r="N13" i="11" s="1"/>
  <c r="E12" i="11"/>
  <c r="D12" i="11" s="1"/>
  <c r="N12" i="11" s="1"/>
  <c r="E11" i="11"/>
  <c r="D11" i="11"/>
  <c r="N11" i="11" s="1"/>
  <c r="E10" i="11"/>
  <c r="D10" i="11" s="1"/>
  <c r="N10" i="11" s="1"/>
  <c r="E9" i="11"/>
  <c r="D9" i="11"/>
  <c r="N9" i="11" s="1"/>
  <c r="E8" i="11"/>
  <c r="D8" i="11" s="1"/>
  <c r="N8" i="11" s="1"/>
  <c r="E7" i="11"/>
  <c r="D7" i="11" s="1"/>
  <c r="N7" i="11" s="1"/>
  <c r="E6" i="11"/>
  <c r="D6" i="11" s="1"/>
  <c r="N6" i="11" s="1"/>
  <c r="E5" i="11"/>
  <c r="D5" i="11" s="1"/>
  <c r="N5" i="11" s="1"/>
  <c r="E4" i="11"/>
  <c r="D4" i="11" s="1"/>
  <c r="N4" i="11" s="1"/>
  <c r="E3" i="11"/>
  <c r="D3" i="11" s="1"/>
  <c r="N3" i="11" s="1"/>
  <c r="E2" i="11"/>
  <c r="D2" i="11" s="1"/>
  <c r="N2" i="11" s="1"/>
  <c r="C26" i="10"/>
  <c r="H16" i="10" s="1"/>
  <c r="C25" i="10"/>
  <c r="G13" i="10" s="1"/>
  <c r="C24" i="10"/>
  <c r="F16" i="10" s="1"/>
  <c r="G16" i="10"/>
  <c r="E16" i="10"/>
  <c r="D16" i="10"/>
  <c r="N16" i="10" s="1"/>
  <c r="G15" i="10"/>
  <c r="E15" i="10"/>
  <c r="D15" i="10"/>
  <c r="N15" i="10" s="1"/>
  <c r="G14" i="10"/>
  <c r="F14" i="10"/>
  <c r="E14" i="10"/>
  <c r="D14" i="10" s="1"/>
  <c r="N14" i="10" s="1"/>
  <c r="E13" i="10"/>
  <c r="D13" i="10" s="1"/>
  <c r="N13" i="10" s="1"/>
  <c r="F12" i="10"/>
  <c r="E12" i="10"/>
  <c r="D12" i="10" s="1"/>
  <c r="N12" i="10" s="1"/>
  <c r="G11" i="10"/>
  <c r="F11" i="10"/>
  <c r="E11" i="10"/>
  <c r="D11" i="10" s="1"/>
  <c r="N11" i="10" s="1"/>
  <c r="E10" i="10"/>
  <c r="D10" i="10"/>
  <c r="N10" i="10" s="1"/>
  <c r="G9" i="10"/>
  <c r="F9" i="10"/>
  <c r="E9" i="10"/>
  <c r="D9" i="10" s="1"/>
  <c r="N9" i="10" s="1"/>
  <c r="G8" i="10"/>
  <c r="E8" i="10"/>
  <c r="D8" i="10"/>
  <c r="N8" i="10" s="1"/>
  <c r="G7" i="10"/>
  <c r="E7" i="10"/>
  <c r="D7" i="10"/>
  <c r="N7" i="10" s="1"/>
  <c r="G6" i="10"/>
  <c r="F6" i="10"/>
  <c r="E6" i="10"/>
  <c r="D6" i="10" s="1"/>
  <c r="N6" i="10" s="1"/>
  <c r="E5" i="10"/>
  <c r="D5" i="10" s="1"/>
  <c r="N5" i="10" s="1"/>
  <c r="F4" i="10"/>
  <c r="E4" i="10"/>
  <c r="D4" i="10" s="1"/>
  <c r="N4" i="10" s="1"/>
  <c r="G3" i="10"/>
  <c r="F3" i="10"/>
  <c r="E3" i="10"/>
  <c r="D3" i="10" s="1"/>
  <c r="N3" i="10" s="1"/>
  <c r="F2" i="10"/>
  <c r="E2" i="10"/>
  <c r="D2" i="10" s="1"/>
  <c r="N2" i="10" s="1"/>
  <c r="F16" i="12" l="1"/>
  <c r="C29" i="12"/>
  <c r="C29" i="11"/>
  <c r="G14" i="11"/>
  <c r="K24" i="11"/>
  <c r="I24" i="11"/>
  <c r="K25" i="11"/>
  <c r="I25" i="11"/>
  <c r="I22" i="11"/>
  <c r="K23" i="11"/>
  <c r="K22" i="11"/>
  <c r="I23" i="11"/>
  <c r="G23" i="11"/>
  <c r="G22" i="11"/>
  <c r="H2" i="13"/>
  <c r="M5" i="13"/>
  <c r="H7" i="13"/>
  <c r="H5" i="13"/>
  <c r="J5" i="13" s="1"/>
  <c r="K5" i="13" s="1"/>
  <c r="L5" i="13" s="1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7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I16" i="12" s="1"/>
  <c r="G12" i="12"/>
  <c r="G9" i="12"/>
  <c r="H13" i="12"/>
  <c r="M8" i="13"/>
  <c r="J11" i="13"/>
  <c r="K11" i="13" s="1"/>
  <c r="M13" i="13"/>
  <c r="J13" i="13"/>
  <c r="K13" i="13" s="1"/>
  <c r="I13" i="13"/>
  <c r="H8" i="13"/>
  <c r="F14" i="13"/>
  <c r="I8" i="13"/>
  <c r="H11" i="13"/>
  <c r="M11" i="13" s="1"/>
  <c r="F4" i="13"/>
  <c r="H6" i="13"/>
  <c r="J8" i="13"/>
  <c r="K8" i="13" s="1"/>
  <c r="F12" i="13"/>
  <c r="H14" i="13"/>
  <c r="F6" i="13"/>
  <c r="F7" i="13"/>
  <c r="H9" i="13"/>
  <c r="F15" i="13"/>
  <c r="I5" i="13"/>
  <c r="H16" i="13"/>
  <c r="J16" i="13" s="1"/>
  <c r="K16" i="13" s="1"/>
  <c r="C27" i="13"/>
  <c r="H3" i="13"/>
  <c r="M3" i="13" s="1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H11" i="10"/>
  <c r="M11" i="10" s="1"/>
  <c r="H3" i="10"/>
  <c r="I3" i="10" s="1"/>
  <c r="H13" i="10"/>
  <c r="H5" i="10"/>
  <c r="F10" i="10"/>
  <c r="J14" i="10"/>
  <c r="K14" i="10" s="1"/>
  <c r="M16" i="10"/>
  <c r="I16" i="10"/>
  <c r="J16" i="10"/>
  <c r="K16" i="10" s="1"/>
  <c r="H14" i="10"/>
  <c r="M14" i="10" s="1"/>
  <c r="C27" i="10"/>
  <c r="G4" i="10"/>
  <c r="M4" i="10" s="1"/>
  <c r="F7" i="10"/>
  <c r="H9" i="10"/>
  <c r="I9" i="10" s="1"/>
  <c r="G12" i="10"/>
  <c r="I12" i="10" s="1"/>
  <c r="I14" i="10"/>
  <c r="F15" i="10"/>
  <c r="H4" i="10"/>
  <c r="I4" i="10" s="1"/>
  <c r="H12" i="10"/>
  <c r="G2" i="10"/>
  <c r="F5" i="10"/>
  <c r="H7" i="10"/>
  <c r="G10" i="10"/>
  <c r="F13" i="10"/>
  <c r="H15" i="10"/>
  <c r="H6" i="10"/>
  <c r="M6" i="10" s="1"/>
  <c r="H2" i="10"/>
  <c r="G5" i="10"/>
  <c r="F8" i="10"/>
  <c r="H10" i="10"/>
  <c r="H8" i="10"/>
  <c r="I29" i="11" l="1"/>
  <c r="M11" i="11"/>
  <c r="K29" i="11"/>
  <c r="K28" i="11"/>
  <c r="I28" i="11"/>
  <c r="M5" i="11"/>
  <c r="J16" i="11"/>
  <c r="K16" i="11" s="1"/>
  <c r="L16" i="11" s="1"/>
  <c r="J9" i="10"/>
  <c r="K9" i="10" s="1"/>
  <c r="L9" i="10" s="1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 s="1"/>
  <c r="L13" i="11" s="1"/>
  <c r="I5" i="11"/>
  <c r="I15" i="11"/>
  <c r="M2" i="11"/>
  <c r="J10" i="11"/>
  <c r="K10" i="11" s="1"/>
  <c r="L10" i="11" s="1"/>
  <c r="I2" i="11"/>
  <c r="J15" i="11"/>
  <c r="K15" i="11" s="1"/>
  <c r="L15" i="11" s="1"/>
  <c r="J9" i="11"/>
  <c r="K9" i="11" s="1"/>
  <c r="L9" i="11" s="1"/>
  <c r="I8" i="11"/>
  <c r="J2" i="11"/>
  <c r="K2" i="11" s="1"/>
  <c r="L2" i="11" s="1"/>
  <c r="M6" i="11"/>
  <c r="M14" i="11"/>
  <c r="J12" i="11"/>
  <c r="K12" i="11" s="1"/>
  <c r="L12" i="11" s="1"/>
  <c r="J7" i="11"/>
  <c r="K7" i="11" s="1"/>
  <c r="L7" i="11" s="1"/>
  <c r="J14" i="11"/>
  <c r="K14" i="11" s="1"/>
  <c r="L14" i="11" s="1"/>
  <c r="I4" i="11"/>
  <c r="J8" i="11"/>
  <c r="K8" i="11" s="1"/>
  <c r="L8" i="11" s="1"/>
  <c r="I9" i="11"/>
  <c r="M8" i="11"/>
  <c r="I6" i="11"/>
  <c r="J5" i="11"/>
  <c r="K5" i="11" s="1"/>
  <c r="L5" i="11" s="1"/>
  <c r="J6" i="11"/>
  <c r="K6" i="11" s="1"/>
  <c r="L6" i="11" s="1"/>
  <c r="I12" i="11"/>
  <c r="I16" i="11"/>
  <c r="I10" i="11"/>
  <c r="M4" i="11"/>
  <c r="J3" i="11"/>
  <c r="K3" i="11" s="1"/>
  <c r="L3" i="11" s="1"/>
  <c r="I3" i="11"/>
  <c r="M9" i="11"/>
  <c r="J4" i="11"/>
  <c r="K4" i="11" s="1"/>
  <c r="L4" i="11" s="1"/>
  <c r="I13" i="11"/>
  <c r="M12" i="11"/>
  <c r="M15" i="11"/>
  <c r="M11" i="12"/>
  <c r="M3" i="12"/>
  <c r="I6" i="12"/>
  <c r="I14" i="12"/>
  <c r="M9" i="12"/>
  <c r="M16" i="12"/>
  <c r="J16" i="12"/>
  <c r="K16" i="12" s="1"/>
  <c r="L16" i="12" s="1"/>
  <c r="I4" i="12"/>
  <c r="J9" i="12"/>
  <c r="K9" i="12" s="1"/>
  <c r="L9" i="12" s="1"/>
  <c r="I7" i="12"/>
  <c r="I9" i="12"/>
  <c r="J3" i="12"/>
  <c r="K3" i="12" s="1"/>
  <c r="L3" i="12" s="1"/>
  <c r="I12" i="12"/>
  <c r="M12" i="12"/>
  <c r="J10" i="13"/>
  <c r="K10" i="13" s="1"/>
  <c r="L10" i="13" s="1"/>
  <c r="I10" i="13"/>
  <c r="M10" i="13"/>
  <c r="J14" i="13"/>
  <c r="K14" i="13" s="1"/>
  <c r="L14" i="13" s="1"/>
  <c r="M14" i="13"/>
  <c r="I14" i="13"/>
  <c r="I15" i="13"/>
  <c r="M15" i="13"/>
  <c r="J15" i="13"/>
  <c r="K15" i="13" s="1"/>
  <c r="L15" i="13" s="1"/>
  <c r="L8" i="13"/>
  <c r="J2" i="13"/>
  <c r="K2" i="13" s="1"/>
  <c r="L2" i="13" s="1"/>
  <c r="I2" i="13"/>
  <c r="M2" i="13"/>
  <c r="J3" i="13"/>
  <c r="K3" i="13" s="1"/>
  <c r="L3" i="13" s="1"/>
  <c r="I12" i="13"/>
  <c r="M12" i="13"/>
  <c r="J12" i="13"/>
  <c r="K12" i="13" s="1"/>
  <c r="L12" i="13" s="1"/>
  <c r="I16" i="13"/>
  <c r="J7" i="13"/>
  <c r="K7" i="13" s="1"/>
  <c r="L7" i="13" s="1"/>
  <c r="I7" i="13"/>
  <c r="M7" i="13"/>
  <c r="I4" i="13"/>
  <c r="J4" i="13"/>
  <c r="K4" i="13" s="1"/>
  <c r="L4" i="13" s="1"/>
  <c r="M4" i="13"/>
  <c r="J9" i="13"/>
  <c r="K9" i="13" s="1"/>
  <c r="L9" i="13" s="1"/>
  <c r="I9" i="13"/>
  <c r="M9" i="13"/>
  <c r="J6" i="13"/>
  <c r="K6" i="13" s="1"/>
  <c r="L6" i="13" s="1"/>
  <c r="I6" i="13"/>
  <c r="M6" i="13"/>
  <c r="I3" i="13"/>
  <c r="L13" i="13"/>
  <c r="L11" i="13"/>
  <c r="J6" i="12"/>
  <c r="K6" i="12" s="1"/>
  <c r="L6" i="12" s="1"/>
  <c r="M6" i="12"/>
  <c r="I11" i="12"/>
  <c r="I3" i="12"/>
  <c r="J4" i="12"/>
  <c r="K4" i="12" s="1"/>
  <c r="L4" i="12" s="1"/>
  <c r="M4" i="12"/>
  <c r="J14" i="12"/>
  <c r="K14" i="12" s="1"/>
  <c r="L14" i="12" s="1"/>
  <c r="M14" i="12"/>
  <c r="J11" i="12"/>
  <c r="K11" i="12" s="1"/>
  <c r="L11" i="12" s="1"/>
  <c r="J13" i="12"/>
  <c r="K13" i="12" s="1"/>
  <c r="L13" i="12" s="1"/>
  <c r="I13" i="12"/>
  <c r="M13" i="12"/>
  <c r="J10" i="12"/>
  <c r="K10" i="12" s="1"/>
  <c r="L10" i="12" s="1"/>
  <c r="I10" i="12"/>
  <c r="M10" i="12"/>
  <c r="J15" i="12"/>
  <c r="K15" i="12" s="1"/>
  <c r="L15" i="12" s="1"/>
  <c r="I15" i="12"/>
  <c r="M15" i="12"/>
  <c r="M8" i="12"/>
  <c r="J8" i="12"/>
  <c r="K8" i="12" s="1"/>
  <c r="L8" i="12" s="1"/>
  <c r="I8" i="12"/>
  <c r="I5" i="12"/>
  <c r="M5" i="12"/>
  <c r="J5" i="12"/>
  <c r="K5" i="12" s="1"/>
  <c r="L5" i="12" s="1"/>
  <c r="M7" i="12"/>
  <c r="J7" i="12"/>
  <c r="K7" i="12" s="1"/>
  <c r="L7" i="12" s="1"/>
  <c r="J2" i="12"/>
  <c r="K2" i="12" s="1"/>
  <c r="L2" i="12" s="1"/>
  <c r="I2" i="12"/>
  <c r="M2" i="12"/>
  <c r="J12" i="12"/>
  <c r="K12" i="12" s="1"/>
  <c r="L12" i="12" s="1"/>
  <c r="I11" i="11"/>
  <c r="J11" i="11"/>
  <c r="K11" i="11" s="1"/>
  <c r="L11" i="11" s="1"/>
  <c r="I6" i="10"/>
  <c r="M3" i="10"/>
  <c r="J3" i="10"/>
  <c r="K3" i="10" s="1"/>
  <c r="L3" i="10" s="1"/>
  <c r="M12" i="10"/>
  <c r="J11" i="10"/>
  <c r="K11" i="10" s="1"/>
  <c r="L11" i="10" s="1"/>
  <c r="I11" i="10"/>
  <c r="M10" i="10"/>
  <c r="L14" i="10"/>
  <c r="M8" i="10"/>
  <c r="J8" i="10"/>
  <c r="K8" i="10" s="1"/>
  <c r="L8" i="10" s="1"/>
  <c r="I8" i="10"/>
  <c r="J15" i="10"/>
  <c r="K15" i="10" s="1"/>
  <c r="L15" i="10" s="1"/>
  <c r="I15" i="10"/>
  <c r="M15" i="10"/>
  <c r="J6" i="10"/>
  <c r="K6" i="10" s="1"/>
  <c r="L6" i="10" s="1"/>
  <c r="I5" i="10"/>
  <c r="J5" i="10"/>
  <c r="K5" i="10" s="1"/>
  <c r="L5" i="10" s="1"/>
  <c r="M5" i="10"/>
  <c r="J2" i="10"/>
  <c r="K2" i="10" s="1"/>
  <c r="L2" i="10" s="1"/>
  <c r="I2" i="10"/>
  <c r="J12" i="10"/>
  <c r="K12" i="10" s="1"/>
  <c r="L12" i="10" s="1"/>
  <c r="I7" i="10"/>
  <c r="J7" i="10"/>
  <c r="K7" i="10" s="1"/>
  <c r="L7" i="10" s="1"/>
  <c r="M7" i="10"/>
  <c r="J10" i="10"/>
  <c r="K10" i="10" s="1"/>
  <c r="L10" i="10" s="1"/>
  <c r="I10" i="10"/>
  <c r="J13" i="10"/>
  <c r="K13" i="10" s="1"/>
  <c r="L13" i="10" s="1"/>
  <c r="I13" i="10"/>
  <c r="M13" i="10"/>
  <c r="L16" i="10"/>
  <c r="J4" i="10"/>
  <c r="K4" i="10" s="1"/>
  <c r="L4" i="10" s="1"/>
  <c r="C14" i="7"/>
  <c r="C13" i="7"/>
  <c r="C12" i="7"/>
  <c r="F3" i="7" s="1"/>
  <c r="E4" i="7"/>
  <c r="D4" i="7" s="1"/>
  <c r="N4" i="7" s="1"/>
  <c r="E3" i="7"/>
  <c r="D3" i="7" s="1"/>
  <c r="N3" i="7" s="1"/>
  <c r="E2" i="7"/>
  <c r="D2" i="7" s="1"/>
  <c r="N2" i="7" s="1"/>
  <c r="K33" i="11" l="1"/>
  <c r="K34" i="11"/>
  <c r="I32" i="11"/>
  <c r="I31" i="11"/>
  <c r="K31" i="11"/>
  <c r="K32" i="11"/>
  <c r="H2" i="7"/>
  <c r="H4" i="7"/>
  <c r="G3" i="7"/>
  <c r="G4" i="7"/>
  <c r="G2" i="7"/>
  <c r="C15" i="7"/>
  <c r="H3" i="7"/>
  <c r="F2" i="7"/>
  <c r="F4" i="7"/>
  <c r="K38" i="11" l="1"/>
  <c r="K41" i="11" s="1"/>
  <c r="K37" i="11"/>
  <c r="J3" i="7"/>
  <c r="K3" i="7" s="1"/>
  <c r="L3" i="7" s="1"/>
  <c r="M3" i="7"/>
  <c r="I3" i="7"/>
  <c r="I4" i="7"/>
  <c r="J4" i="7"/>
  <c r="K4" i="7" s="1"/>
  <c r="L4" i="7" s="1"/>
  <c r="M4" i="7"/>
  <c r="I2" i="7"/>
  <c r="M2" i="7"/>
  <c r="J2" i="7"/>
  <c r="K2" i="7" s="1"/>
  <c r="L2" i="7" s="1"/>
  <c r="C12" i="4"/>
  <c r="G3" i="4" s="1"/>
  <c r="C11" i="4"/>
  <c r="E2" i="4"/>
  <c r="D2" i="4" s="1"/>
  <c r="N2" i="4" s="1"/>
  <c r="F3" i="4" l="1"/>
  <c r="C16" i="4"/>
  <c r="K40" i="11"/>
  <c r="H2" i="4"/>
  <c r="H3" i="4"/>
  <c r="G2" i="4"/>
  <c r="C14" i="4"/>
  <c r="F2" i="4"/>
  <c r="I3" i="4" l="1"/>
  <c r="J3" i="4"/>
  <c r="K3" i="4" s="1"/>
  <c r="L3" i="4" s="1"/>
  <c r="M3" i="4"/>
  <c r="J2" i="4"/>
  <c r="K2" i="4" s="1"/>
  <c r="L2" i="4" s="1"/>
  <c r="I2" i="4"/>
  <c r="M2" i="4"/>
</calcChain>
</file>

<file path=xl/sharedStrings.xml><?xml version="1.0" encoding="utf-8"?>
<sst xmlns="http://schemas.openxmlformats.org/spreadsheetml/2006/main" count="317" uniqueCount="80">
  <si>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</si>
  <si>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</si>
  <si>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</si>
  <si>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</si>
  <si>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</si>
  <si>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</si>
  <si>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</si>
  <si>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</si>
  <si>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</si>
  <si>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</si>
  <si>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</si>
  <si>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</si>
  <si>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</si>
  <si>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</si>
  <si>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</si>
  <si>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</si>
  <si>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</si>
  <si>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</si>
  <si>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</si>
  <si>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</si>
  <si>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</si>
  <si>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</si>
  <si>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</si>
  <si>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</si>
  <si>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</si>
  <si>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Grids = 0</t>
  </si>
  <si>
    <t>startx</t>
  </si>
  <si>
    <t>starty</t>
  </si>
  <si>
    <t>length</t>
  </si>
  <si>
    <t>refXstart</t>
  </si>
  <si>
    <t>refXend</t>
  </si>
  <si>
    <t>refYstart</t>
  </si>
  <si>
    <t>refYend</t>
  </si>
  <si>
    <t>Grids = 1</t>
  </si>
  <si>
    <t>Alpha</t>
  </si>
  <si>
    <t>N1</t>
  </si>
  <si>
    <t>M1</t>
  </si>
  <si>
    <t>Grids = 2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</si>
  <si>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</si>
  <si>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</si>
  <si>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</si>
  <si>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</si>
  <si>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</si>
  <si>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</si>
  <si>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</si>
  <si>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</si>
  <si>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</si>
  <si>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</si>
  <si>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</si>
  <si>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</t>
  </si>
  <si>
    <t>refZend</t>
  </si>
  <si>
    <t>refZstart1</t>
  </si>
  <si>
    <t>refZend1</t>
  </si>
  <si>
    <t>refZstart2</t>
  </si>
  <si>
    <t>refZend2</t>
  </si>
  <si>
    <t>K2</t>
  </si>
  <si>
    <t>centrez</t>
  </si>
  <si>
    <t>3D Aerofoil Cases AR = 2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</si>
  <si>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</si>
  <si>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</si>
  <si>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</si>
  <si>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</si>
  <si>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</si>
  <si>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</si>
  <si>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</si>
  <si>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</si>
  <si>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</si>
  <si>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</si>
  <si>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</si>
  <si>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</si>
  <si>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</si>
  <si>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</si>
  <si>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</si>
  <si>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</si>
  <si>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</si>
  <si>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</si>
  <si>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</si>
  <si>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</si>
  <si>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</si>
  <si>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Points 
per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</si>
</sst>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1"/>
  <sheetViews>
    <sheetView tabSelected="1" topLeftCell="A13" zoomScale="115" zoomScaleNormal="115" workbookViewId="0">
      <selection activeCell="B22" sqref="B22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4</v>
      </c>
      <c r="C2" s="4">
        <v>6</v>
      </c>
      <c r="D2" s="5">
        <f t="shared" ref="D2:D16" si="0">E2/$B$19</f>
        <v>4</v>
      </c>
      <c r="E2" s="5">
        <f t="shared" ref="E2:E16" si="1">A2*B2*C2</f>
        <v>96</v>
      </c>
      <c r="F2" s="5">
        <f t="shared" ref="F2:F16" si="2">($C$24/A2)+2</f>
        <v>22</v>
      </c>
      <c r="G2" s="5">
        <f t="shared" ref="G2:G16" si="3">($C$25/B2)+2</f>
        <v>12</v>
      </c>
      <c r="H2" s="5">
        <f t="shared" ref="H2:H16" si="4">($C$26/C2)+2</f>
        <v>12</v>
      </c>
      <c r="I2" s="5">
        <f t="shared" ref="I2:I16" si="5">F2*G2*H2</f>
        <v>3168</v>
      </c>
      <c r="J2" s="5">
        <f t="shared" ref="J2:J16" si="6">4*F2*G2+4*G2*H2+4*F2*H2</f>
        <v>2688</v>
      </c>
      <c r="K2" s="5">
        <f t="shared" ref="K2:K16" si="7">J2*E2</f>
        <v>258048</v>
      </c>
      <c r="L2" s="5">
        <f t="shared" ref="L2:L16" si="8">K2/$C$27*100</f>
        <v>134.4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4</v>
      </c>
      <c r="C3" s="4">
        <v>3</v>
      </c>
      <c r="D3" s="5">
        <f t="shared" si="0"/>
        <v>2</v>
      </c>
      <c r="E3" s="5">
        <f t="shared" si="1"/>
        <v>48</v>
      </c>
      <c r="F3" s="5">
        <f t="shared" si="2"/>
        <v>22</v>
      </c>
      <c r="G3" s="5">
        <f t="shared" si="3"/>
        <v>12</v>
      </c>
      <c r="H3" s="5">
        <f t="shared" si="4"/>
        <v>22</v>
      </c>
      <c r="I3" s="5">
        <f t="shared" si="5"/>
        <v>5808</v>
      </c>
      <c r="J3" s="5">
        <f t="shared" si="6"/>
        <v>4048</v>
      </c>
      <c r="K3" s="5">
        <f t="shared" si="7"/>
        <v>194304</v>
      </c>
      <c r="L3" s="5">
        <f t="shared" si="8"/>
        <v>101.2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4</v>
      </c>
      <c r="B4" s="4">
        <v>2</v>
      </c>
      <c r="C4" s="4">
        <v>3</v>
      </c>
      <c r="D4" s="5">
        <f t="shared" si="0"/>
        <v>1</v>
      </c>
      <c r="E4" s="5">
        <f t="shared" si="1"/>
        <v>24</v>
      </c>
      <c r="F4" s="5">
        <f t="shared" si="2"/>
        <v>22</v>
      </c>
      <c r="G4" s="5">
        <f t="shared" si="3"/>
        <v>22</v>
      </c>
      <c r="H4" s="5">
        <f t="shared" si="4"/>
        <v>22</v>
      </c>
      <c r="I4" s="5">
        <f t="shared" si="5"/>
        <v>10648</v>
      </c>
      <c r="J4" s="5">
        <f t="shared" si="6"/>
        <v>5808</v>
      </c>
      <c r="K4" s="5">
        <f t="shared" si="7"/>
        <v>139392</v>
      </c>
      <c r="L4" s="5">
        <f t="shared" si="8"/>
        <v>72.599999999999994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8</v>
      </c>
      <c r="B5" s="4">
        <v>10</v>
      </c>
      <c r="C5" s="4">
        <v>6</v>
      </c>
      <c r="D5" s="5">
        <f t="shared" si="0"/>
        <v>20</v>
      </c>
      <c r="E5" s="5">
        <f t="shared" si="1"/>
        <v>480</v>
      </c>
      <c r="F5" s="5">
        <f t="shared" si="2"/>
        <v>12</v>
      </c>
      <c r="G5" s="5">
        <f t="shared" si="3"/>
        <v>6</v>
      </c>
      <c r="H5" s="5">
        <f t="shared" si="4"/>
        <v>12</v>
      </c>
      <c r="I5" s="5">
        <f t="shared" si="5"/>
        <v>864</v>
      </c>
      <c r="J5" s="5">
        <f t="shared" si="6"/>
        <v>1152</v>
      </c>
      <c r="K5" s="5">
        <f t="shared" si="7"/>
        <v>552960</v>
      </c>
      <c r="L5" s="5">
        <f t="shared" si="8"/>
        <v>288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15</v>
      </c>
      <c r="D6" s="5">
        <f t="shared" si="0"/>
        <v>50</v>
      </c>
      <c r="E6" s="5">
        <f t="shared" si="1"/>
        <v>1200</v>
      </c>
      <c r="F6" s="5">
        <f t="shared" si="2"/>
        <v>6</v>
      </c>
      <c r="G6" s="5">
        <f t="shared" si="3"/>
        <v>12</v>
      </c>
      <c r="H6" s="5">
        <f t="shared" si="4"/>
        <v>6</v>
      </c>
      <c r="I6" s="5">
        <f t="shared" si="5"/>
        <v>432</v>
      </c>
      <c r="J6" s="5">
        <f t="shared" si="6"/>
        <v>720</v>
      </c>
      <c r="K6" s="5">
        <f t="shared" si="7"/>
        <v>864000</v>
      </c>
      <c r="L6" s="5">
        <f t="shared" si="8"/>
        <v>450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12</v>
      </c>
      <c r="C7" s="4">
        <v>10</v>
      </c>
      <c r="D7" s="5">
        <f t="shared" si="0"/>
        <v>60</v>
      </c>
      <c r="E7" s="5">
        <f t="shared" si="1"/>
        <v>1440</v>
      </c>
      <c r="F7" s="5">
        <f t="shared" si="2"/>
        <v>8.6666666666666679</v>
      </c>
      <c r="G7" s="5">
        <f t="shared" si="3"/>
        <v>5.3333333333333339</v>
      </c>
      <c r="H7" s="5">
        <f t="shared" si="4"/>
        <v>8</v>
      </c>
      <c r="I7" s="5">
        <f t="shared" si="5"/>
        <v>369.77777777777789</v>
      </c>
      <c r="J7" s="5">
        <f t="shared" si="6"/>
        <v>632.88888888888903</v>
      </c>
      <c r="K7" s="5">
        <f t="shared" si="7"/>
        <v>911360.00000000023</v>
      </c>
      <c r="L7" s="5">
        <f t="shared" si="8"/>
        <v>474.6666666666668</v>
      </c>
      <c r="M7" s="6" t="b">
        <f>IF((F7-FLOOR(F7,1))=0,IF((G7-FLOOR(G7,1))=0,IF((H7-FLOOR(H7,1))=0,TRUE,FALSE),FALSE),FALSE)</f>
        <v>0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8.6666666666666679</v>
      </c>
      <c r="G8" s="5">
        <f t="shared" si="3"/>
        <v>6</v>
      </c>
      <c r="H8" s="5">
        <f t="shared" si="4"/>
        <v>32</v>
      </c>
      <c r="I8" s="5">
        <f t="shared" si="5"/>
        <v>1664.0000000000002</v>
      </c>
      <c r="J8" s="5">
        <f t="shared" si="6"/>
        <v>2085.3333333333335</v>
      </c>
      <c r="K8" s="5">
        <f t="shared" si="7"/>
        <v>500480.00000000006</v>
      </c>
      <c r="L8" s="5">
        <f t="shared" si="8"/>
        <v>260.66666666666669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12</v>
      </c>
      <c r="G9" s="5">
        <f t="shared" si="3"/>
        <v>10</v>
      </c>
      <c r="H9" s="5">
        <f t="shared" si="4"/>
        <v>17</v>
      </c>
      <c r="I9" s="5">
        <f t="shared" si="5"/>
        <v>2040</v>
      </c>
      <c r="J9" s="5">
        <f t="shared" si="6"/>
        <v>1976</v>
      </c>
      <c r="K9" s="5">
        <f t="shared" si="7"/>
        <v>316160</v>
      </c>
      <c r="L9" s="5">
        <f t="shared" si="8"/>
        <v>164.66666666666669</v>
      </c>
      <c r="M9" s="6" t="b">
        <f t="shared" si="11"/>
        <v>1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10</v>
      </c>
      <c r="G10" s="5">
        <f t="shared" si="3"/>
        <v>12</v>
      </c>
      <c r="H10" s="5">
        <f t="shared" si="4"/>
        <v>17</v>
      </c>
      <c r="I10" s="5">
        <f t="shared" si="5"/>
        <v>2040</v>
      </c>
      <c r="J10" s="5">
        <f t="shared" si="6"/>
        <v>1976</v>
      </c>
      <c r="K10" s="5">
        <f t="shared" si="7"/>
        <v>316160</v>
      </c>
      <c r="L10" s="5">
        <f t="shared" si="8"/>
        <v>164.66666666666669</v>
      </c>
      <c r="M10" s="6" t="b">
        <f t="shared" si="11"/>
        <v>1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7</v>
      </c>
      <c r="G11" s="5">
        <f t="shared" si="3"/>
        <v>10</v>
      </c>
      <c r="H11" s="5">
        <f t="shared" si="4"/>
        <v>32</v>
      </c>
      <c r="I11" s="5">
        <f t="shared" si="5"/>
        <v>2240</v>
      </c>
      <c r="J11" s="5">
        <f t="shared" si="6"/>
        <v>2456</v>
      </c>
      <c r="K11" s="5">
        <f t="shared" si="7"/>
        <v>392960</v>
      </c>
      <c r="L11" s="5">
        <f t="shared" si="8"/>
        <v>204.66666666666669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12</v>
      </c>
      <c r="G12" s="5">
        <f t="shared" si="3"/>
        <v>7</v>
      </c>
      <c r="H12" s="5">
        <f t="shared" si="4"/>
        <v>12</v>
      </c>
      <c r="I12" s="5">
        <f t="shared" si="5"/>
        <v>1008</v>
      </c>
      <c r="J12" s="5">
        <f t="shared" si="6"/>
        <v>1248</v>
      </c>
      <c r="K12" s="5">
        <f t="shared" si="7"/>
        <v>479232</v>
      </c>
      <c r="L12" s="5">
        <f t="shared" si="8"/>
        <v>249.6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7</v>
      </c>
      <c r="G13" s="5">
        <f t="shared" si="3"/>
        <v>12</v>
      </c>
      <c r="H13" s="5">
        <f t="shared" si="4"/>
        <v>17</v>
      </c>
      <c r="I13" s="5">
        <f t="shared" si="5"/>
        <v>1428</v>
      </c>
      <c r="J13" s="5">
        <f t="shared" si="6"/>
        <v>1628</v>
      </c>
      <c r="K13" s="5">
        <f t="shared" si="7"/>
        <v>416768</v>
      </c>
      <c r="L13" s="5">
        <f t="shared" si="8"/>
        <v>217.06666666666666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12</v>
      </c>
      <c r="G14" s="5">
        <f t="shared" si="3"/>
        <v>7</v>
      </c>
      <c r="H14" s="5">
        <f t="shared" si="4"/>
        <v>17</v>
      </c>
      <c r="I14" s="5">
        <f t="shared" si="5"/>
        <v>1428</v>
      </c>
      <c r="J14" s="5">
        <f t="shared" si="6"/>
        <v>1628</v>
      </c>
      <c r="K14" s="5">
        <f t="shared" si="7"/>
        <v>416768</v>
      </c>
      <c r="L14" s="5">
        <f t="shared" si="8"/>
        <v>217.06666666666666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7</v>
      </c>
      <c r="G15" s="5">
        <f t="shared" si="3"/>
        <v>6</v>
      </c>
      <c r="H15" s="5">
        <f t="shared" si="4"/>
        <v>32</v>
      </c>
      <c r="I15" s="5">
        <f t="shared" si="5"/>
        <v>1344</v>
      </c>
      <c r="J15" s="5">
        <f t="shared" si="6"/>
        <v>1832</v>
      </c>
      <c r="K15" s="5">
        <f t="shared" si="7"/>
        <v>586240</v>
      </c>
      <c r="L15" s="5">
        <f t="shared" si="8"/>
        <v>305.33333333333331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10</v>
      </c>
      <c r="G16" s="5">
        <f t="shared" si="3"/>
        <v>7</v>
      </c>
      <c r="H16" s="5">
        <f t="shared" si="4"/>
        <v>17</v>
      </c>
      <c r="I16" s="5">
        <f t="shared" si="5"/>
        <v>1190</v>
      </c>
      <c r="J16" s="5">
        <f t="shared" si="6"/>
        <v>1436</v>
      </c>
      <c r="K16" s="5">
        <f t="shared" si="7"/>
        <v>459520</v>
      </c>
      <c r="L16" s="5">
        <f t="shared" si="8"/>
        <v>239.33333333333334</v>
      </c>
      <c r="M16" s="6" t="b">
        <f t="shared" si="11"/>
        <v>1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79</v>
      </c>
      <c r="B20" s="14">
        <v>10</v>
      </c>
      <c r="D20" s="10" t="s">
        <v>18</v>
      </c>
      <c r="F20" t="s">
        <v>57</v>
      </c>
      <c r="M20" t="s">
        <v>58</v>
      </c>
    </row>
    <row r="21" spans="1:14" x14ac:dyDescent="0.25">
      <c r="A21" t="s">
        <v>34</v>
      </c>
      <c r="B21" s="14">
        <v>90</v>
      </c>
      <c r="F21" t="s">
        <v>25</v>
      </c>
      <c r="H21" t="s">
        <v>33</v>
      </c>
      <c r="J21" t="s">
        <v>37</v>
      </c>
      <c r="M21" t="s">
        <v>77</v>
      </c>
    </row>
    <row r="22" spans="1:14" x14ac:dyDescent="0.25">
      <c r="F22" t="s">
        <v>26</v>
      </c>
      <c r="G22" s="13">
        <f>0.5*($C$24-$B$20*COS($B$21*PI()/180))</f>
        <v>40</v>
      </c>
      <c r="H22" t="s">
        <v>29</v>
      </c>
      <c r="I22" s="13">
        <f>$C$24/4</f>
        <v>20</v>
      </c>
      <c r="J22" t="s">
        <v>38</v>
      </c>
      <c r="K22" s="13">
        <f>$C$24/4</f>
        <v>20</v>
      </c>
      <c r="M22" t="s">
        <v>38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F23" t="s">
        <v>27</v>
      </c>
      <c r="G23" s="13">
        <f>0.5*($C$24-$B$20*SIN($B$21*PI()/180))</f>
        <v>35</v>
      </c>
      <c r="H23" t="s">
        <v>30</v>
      </c>
      <c r="I23" s="13">
        <f>3*$C$24/4</f>
        <v>60</v>
      </c>
      <c r="J23" t="s">
        <v>41</v>
      </c>
      <c r="K23" s="13">
        <f>3*$C$24/4</f>
        <v>60</v>
      </c>
      <c r="M23" t="s">
        <v>41</v>
      </c>
      <c r="N23" s="16">
        <f>N22+(4*B20)</f>
        <v>50</v>
      </c>
    </row>
    <row r="24" spans="1:14" x14ac:dyDescent="0.25">
      <c r="A24" s="1" t="s">
        <v>4</v>
      </c>
      <c r="B24" s="15">
        <v>8</v>
      </c>
      <c r="C24" s="3">
        <f>$B$20*B24</f>
        <v>80</v>
      </c>
      <c r="E24" s="12"/>
      <c r="F24" t="s">
        <v>56</v>
      </c>
      <c r="G24" s="13">
        <f>C26/2</f>
        <v>30</v>
      </c>
      <c r="H24" s="12" t="s">
        <v>31</v>
      </c>
      <c r="I24" s="13">
        <f>$C$25/4</f>
        <v>10</v>
      </c>
      <c r="J24" s="12" t="s">
        <v>40</v>
      </c>
      <c r="K24" s="13">
        <f>$C$25/4</f>
        <v>10</v>
      </c>
      <c r="M24" s="12" t="s">
        <v>40</v>
      </c>
      <c r="N24" s="16">
        <v>0</v>
      </c>
    </row>
    <row r="25" spans="1:14" x14ac:dyDescent="0.25">
      <c r="A25" s="1" t="s">
        <v>5</v>
      </c>
      <c r="B25" s="15">
        <v>4</v>
      </c>
      <c r="C25" s="3">
        <f t="shared" ref="C25" si="12">$B$20*B25</f>
        <v>40</v>
      </c>
      <c r="E25" s="12"/>
      <c r="F25" t="s">
        <v>28</v>
      </c>
      <c r="G25" s="12">
        <f>B20*COS(B21*PI()/180)</f>
        <v>6.1257422745431001E-16</v>
      </c>
      <c r="H25" s="12" t="s">
        <v>32</v>
      </c>
      <c r="I25" s="13">
        <f>3*$C$25/4</f>
        <v>30</v>
      </c>
      <c r="J25" s="12" t="s">
        <v>42</v>
      </c>
      <c r="K25" s="13">
        <f>3*$C$25/4</f>
        <v>30</v>
      </c>
      <c r="M25" s="12" t="s">
        <v>42</v>
      </c>
      <c r="N25" s="16">
        <f>1.5*B20</f>
        <v>15</v>
      </c>
    </row>
    <row r="26" spans="1:14" x14ac:dyDescent="0.25">
      <c r="A26" s="1" t="s">
        <v>6</v>
      </c>
      <c r="B26" s="15">
        <v>6</v>
      </c>
      <c r="C26" s="3">
        <f>IF(B26=0,1,$B$20*B26)</f>
        <v>60</v>
      </c>
      <c r="H26" s="12" t="s">
        <v>49</v>
      </c>
      <c r="I26">
        <f>(($B$26-6)/2)*$B$20</f>
        <v>0</v>
      </c>
      <c r="J26" s="12" t="s">
        <v>51</v>
      </c>
      <c r="K26">
        <f>(($B$26-6)/2)*$B$20</f>
        <v>0</v>
      </c>
      <c r="M26" s="12" t="s">
        <v>51</v>
      </c>
      <c r="N26" s="16">
        <f>(B26/2-1.5)*B20</f>
        <v>15</v>
      </c>
    </row>
    <row r="27" spans="1:14" x14ac:dyDescent="0.25">
      <c r="B27" s="1" t="s">
        <v>13</v>
      </c>
      <c r="C27" s="3">
        <f>C24*C25*C26</f>
        <v>192000</v>
      </c>
      <c r="H27" s="12" t="s">
        <v>50</v>
      </c>
      <c r="I27">
        <f>$I$26+6*$B$20</f>
        <v>60</v>
      </c>
      <c r="J27" s="12" t="s">
        <v>52</v>
      </c>
      <c r="K27">
        <f>$I$26+6*$B$20</f>
        <v>60</v>
      </c>
      <c r="M27" s="12" t="s">
        <v>52</v>
      </c>
      <c r="N27" s="16">
        <f>N26+(3*B20)</f>
        <v>45</v>
      </c>
    </row>
    <row r="28" spans="1:14" x14ac:dyDescent="0.25">
      <c r="H28" t="s">
        <v>35</v>
      </c>
      <c r="I28" s="13">
        <f>($I$23-$I$22+1)*2</f>
        <v>82</v>
      </c>
      <c r="J28" t="s">
        <v>35</v>
      </c>
      <c r="K28" s="13">
        <f>($I$23-$I$22+1)*2</f>
        <v>82</v>
      </c>
      <c r="M28" t="s">
        <v>35</v>
      </c>
      <c r="N28" s="12">
        <f>(N23-N22+1)*2</f>
        <v>82</v>
      </c>
    </row>
    <row r="29" spans="1:14" x14ac:dyDescent="0.25">
      <c r="B29" t="s">
        <v>78</v>
      </c>
      <c r="C29" s="13">
        <f>(C24*C25*C26)+ (N28*N29*N30) + (N37*N38*N39) + (N46*N47*N48) + (N55*N56*N57)</f>
        <v>12063952</v>
      </c>
      <c r="H29" t="s">
        <v>36</v>
      </c>
      <c r="I29" s="13">
        <f>($I$25-$I$24+1)*2</f>
        <v>42</v>
      </c>
      <c r="J29" t="s">
        <v>36</v>
      </c>
      <c r="K29" s="13">
        <f>($I$25-$I$24+1)*2</f>
        <v>42</v>
      </c>
      <c r="M29" t="s">
        <v>36</v>
      </c>
      <c r="N29" s="12">
        <f>(N25-N24+1)*2</f>
        <v>32</v>
      </c>
    </row>
    <row r="30" spans="1:14" x14ac:dyDescent="0.25">
      <c r="H30" s="12" t="s">
        <v>48</v>
      </c>
      <c r="I30" s="13">
        <f>($I$27-$I$26+1)*2</f>
        <v>122</v>
      </c>
      <c r="J30" s="12" t="s">
        <v>48</v>
      </c>
      <c r="K30">
        <f>($I$27-$I$26+1)*2</f>
        <v>122</v>
      </c>
      <c r="M30" s="12" t="s">
        <v>48</v>
      </c>
      <c r="N30" s="12">
        <f>(N27-N26+1)*2</f>
        <v>62</v>
      </c>
    </row>
    <row r="31" spans="1:14" x14ac:dyDescent="0.25">
      <c r="H31" t="s">
        <v>26</v>
      </c>
      <c r="I31" s="13">
        <f>0.5*($I$28-$B$20*2*COS($B$21*PI()/180))</f>
        <v>41</v>
      </c>
      <c r="J31" t="s">
        <v>43</v>
      </c>
      <c r="K31" s="13">
        <f>($K$28/4)</f>
        <v>20.5</v>
      </c>
      <c r="M31" t="s">
        <v>43</v>
      </c>
      <c r="N31" s="16">
        <f>(B20/4)*2</f>
        <v>5</v>
      </c>
    </row>
    <row r="32" spans="1:14" x14ac:dyDescent="0.25">
      <c r="H32" s="12" t="s">
        <v>27</v>
      </c>
      <c r="I32" s="13">
        <f>0.5*($I$28-$B$20*2*SIN($B$21*PI()/180))</f>
        <v>31</v>
      </c>
      <c r="J32" t="s">
        <v>39</v>
      </c>
      <c r="K32" s="13">
        <f>(3*$K$28/4)</f>
        <v>61.5</v>
      </c>
      <c r="M32" t="s">
        <v>39</v>
      </c>
      <c r="N32" s="16">
        <f>N31+(3.25*B20*2)</f>
        <v>70</v>
      </c>
    </row>
    <row r="33" spans="8:14" x14ac:dyDescent="0.25">
      <c r="H33" t="s">
        <v>56</v>
      </c>
      <c r="I33" s="13">
        <f>I30/2</f>
        <v>61</v>
      </c>
      <c r="J33" s="12" t="s">
        <v>44</v>
      </c>
      <c r="K33" s="13">
        <f>($K$29/4)</f>
        <v>10.5</v>
      </c>
      <c r="M33" s="12" t="s">
        <v>44</v>
      </c>
      <c r="N33" s="16">
        <v>0</v>
      </c>
    </row>
    <row r="34" spans="8:14" x14ac:dyDescent="0.25">
      <c r="H34" s="12" t="s">
        <v>28</v>
      </c>
      <c r="I34" s="13">
        <f>$B$20*2*COS($B$21*PI()/180)</f>
        <v>1.22514845490862E-15</v>
      </c>
      <c r="J34" s="12" t="s">
        <v>45</v>
      </c>
      <c r="K34" s="13">
        <f>(3*$K$29/4)</f>
        <v>31.5</v>
      </c>
      <c r="M34" s="12" t="s">
        <v>45</v>
      </c>
      <c r="N34" s="16">
        <f>N33+(1.25*B20*2)</f>
        <v>25</v>
      </c>
    </row>
    <row r="35" spans="8:14" x14ac:dyDescent="0.25">
      <c r="H35" s="12"/>
      <c r="J35" s="12" t="s">
        <v>53</v>
      </c>
      <c r="K35">
        <f>$B$20*2</f>
        <v>20</v>
      </c>
      <c r="M35" s="12" t="s">
        <v>53</v>
      </c>
      <c r="N35" s="16">
        <f>(B20/4)*2</f>
        <v>5</v>
      </c>
    </row>
    <row r="36" spans="8:14" x14ac:dyDescent="0.25">
      <c r="J36" s="12" t="s">
        <v>54</v>
      </c>
      <c r="K36">
        <f>K35+(5*B20*2)</f>
        <v>120</v>
      </c>
      <c r="M36" s="12" t="s">
        <v>54</v>
      </c>
      <c r="N36" s="16">
        <f>N35+(2.5*B20*2)</f>
        <v>55</v>
      </c>
    </row>
    <row r="37" spans="8:14" x14ac:dyDescent="0.25">
      <c r="J37" t="s">
        <v>46</v>
      </c>
      <c r="K37" s="13">
        <f>($K$32-$K$31+1)*2</f>
        <v>84</v>
      </c>
      <c r="M37" t="s">
        <v>46</v>
      </c>
      <c r="N37" s="12">
        <f>(N32-N31+1)*2</f>
        <v>132</v>
      </c>
    </row>
    <row r="38" spans="8:14" x14ac:dyDescent="0.25">
      <c r="J38" t="s">
        <v>47</v>
      </c>
      <c r="K38" s="13">
        <f>($K$34-$K$33+1)*2</f>
        <v>44</v>
      </c>
      <c r="M38" t="s">
        <v>47</v>
      </c>
      <c r="N38" s="12">
        <f>(N34-N33+1)*2</f>
        <v>52</v>
      </c>
    </row>
    <row r="39" spans="8:14" x14ac:dyDescent="0.25">
      <c r="J39" s="12" t="s">
        <v>55</v>
      </c>
      <c r="K39" s="13">
        <f>($K$36-$K$35+1)*2</f>
        <v>202</v>
      </c>
      <c r="M39" s="12" t="s">
        <v>55</v>
      </c>
      <c r="N39" s="12">
        <f>(N36-N35+1)*2</f>
        <v>102</v>
      </c>
    </row>
    <row r="40" spans="8:14" x14ac:dyDescent="0.25">
      <c r="J40" t="s">
        <v>26</v>
      </c>
      <c r="K40" s="13">
        <f>0.5*($K$37-$B$20*4*COS($B$21*PI()/180))</f>
        <v>42</v>
      </c>
      <c r="M40" t="s">
        <v>59</v>
      </c>
      <c r="N40" s="16">
        <f>(B20/4)*4</f>
        <v>10</v>
      </c>
    </row>
    <row r="41" spans="8:14" x14ac:dyDescent="0.25">
      <c r="J41" s="12" t="s">
        <v>27</v>
      </c>
      <c r="K41" s="13">
        <f>0.5*($K$38-$B$20*4*SIN($B$21*PI()/180))</f>
        <v>2</v>
      </c>
      <c r="M41" t="s">
        <v>60</v>
      </c>
      <c r="N41" s="16">
        <f>N40+(2.5*B20*4)</f>
        <v>110</v>
      </c>
    </row>
    <row r="42" spans="8:14" x14ac:dyDescent="0.25">
      <c r="J42" t="s">
        <v>56</v>
      </c>
      <c r="K42" s="13">
        <f>K39/2</f>
        <v>101</v>
      </c>
      <c r="M42" s="12" t="s">
        <v>61</v>
      </c>
      <c r="N42" s="16">
        <v>0</v>
      </c>
    </row>
    <row r="43" spans="8:14" x14ac:dyDescent="0.25">
      <c r="J43" s="12" t="s">
        <v>28</v>
      </c>
      <c r="K43" s="13">
        <f>$B$20*4*COS($B$21*PI()/180)</f>
        <v>2.45029690981724E-15</v>
      </c>
      <c r="M43" s="12" t="s">
        <v>62</v>
      </c>
      <c r="N43" s="16">
        <f>B20*4</f>
        <v>40</v>
      </c>
    </row>
    <row r="44" spans="8:14" x14ac:dyDescent="0.25">
      <c r="M44" s="12" t="s">
        <v>63</v>
      </c>
      <c r="N44" s="16">
        <f>(B20/4)*4</f>
        <v>10</v>
      </c>
    </row>
    <row r="45" spans="8:14" x14ac:dyDescent="0.25">
      <c r="M45" s="12" t="s">
        <v>64</v>
      </c>
      <c r="N45" s="16">
        <f>N44+(2*B20*4)</f>
        <v>90</v>
      </c>
    </row>
    <row r="46" spans="8:14" x14ac:dyDescent="0.25">
      <c r="M46" t="s">
        <v>65</v>
      </c>
      <c r="N46" s="12">
        <f>(N41-N40+1)*2</f>
        <v>202</v>
      </c>
    </row>
    <row r="47" spans="8:14" x14ac:dyDescent="0.25">
      <c r="M47" t="s">
        <v>66</v>
      </c>
      <c r="N47" s="12">
        <f>(N43-N42+1)*2</f>
        <v>82</v>
      </c>
    </row>
    <row r="48" spans="8:14" x14ac:dyDescent="0.25">
      <c r="M48" s="12" t="s">
        <v>67</v>
      </c>
      <c r="N48" s="12">
        <f>(N45-N44+1)*2</f>
        <v>162</v>
      </c>
    </row>
    <row r="49" spans="13:14" x14ac:dyDescent="0.25">
      <c r="M49" t="s">
        <v>68</v>
      </c>
      <c r="N49" s="16">
        <f>(B20/4)*8</f>
        <v>20</v>
      </c>
    </row>
    <row r="50" spans="13:14" x14ac:dyDescent="0.25">
      <c r="M50" t="s">
        <v>69</v>
      </c>
      <c r="N50" s="16">
        <f>N49+(1.75*B20*8)</f>
        <v>160</v>
      </c>
    </row>
    <row r="51" spans="13:14" x14ac:dyDescent="0.25">
      <c r="M51" s="12" t="s">
        <v>70</v>
      </c>
      <c r="N51" s="16">
        <v>0</v>
      </c>
    </row>
    <row r="52" spans="13:14" x14ac:dyDescent="0.25">
      <c r="M52" s="12" t="s">
        <v>71</v>
      </c>
      <c r="N52" s="16">
        <f>0.75*B20*8</f>
        <v>60</v>
      </c>
    </row>
    <row r="53" spans="13:14" x14ac:dyDescent="0.25">
      <c r="M53" s="12" t="s">
        <v>72</v>
      </c>
      <c r="N53" s="16">
        <f>(B20/4)*8</f>
        <v>20</v>
      </c>
    </row>
    <row r="54" spans="13:14" x14ac:dyDescent="0.25">
      <c r="M54" s="12" t="s">
        <v>73</v>
      </c>
      <c r="N54" s="16">
        <f>N53+(1.5*B20*8)</f>
        <v>140</v>
      </c>
    </row>
    <row r="55" spans="13:14" x14ac:dyDescent="0.25">
      <c r="M55" t="s">
        <v>74</v>
      </c>
      <c r="N55" s="12">
        <f>(N50-N49+1)*2</f>
        <v>282</v>
      </c>
    </row>
    <row r="56" spans="13:14" x14ac:dyDescent="0.25">
      <c r="M56" t="s">
        <v>76</v>
      </c>
      <c r="N56" s="12">
        <f>(N52-N51+1)*2</f>
        <v>122</v>
      </c>
    </row>
    <row r="57" spans="13:14" x14ac:dyDescent="0.25">
      <c r="M57" s="12" t="s">
        <v>75</v>
      </c>
      <c r="N57" s="12">
        <f>(N54-N53+1)*2</f>
        <v>242</v>
      </c>
    </row>
    <row r="58" spans="13:14" x14ac:dyDescent="0.25">
      <c r="M58" t="s">
        <v>26</v>
      </c>
      <c r="N58" s="16">
        <f>(B20/4)*16</f>
        <v>40</v>
      </c>
    </row>
    <row r="59" spans="13:14" x14ac:dyDescent="0.25">
      <c r="M59" s="12" t="s">
        <v>27</v>
      </c>
      <c r="N59" s="16">
        <v>16</v>
      </c>
    </row>
    <row r="60" spans="13:14" x14ac:dyDescent="0.25">
      <c r="M60" t="s">
        <v>56</v>
      </c>
      <c r="N60" s="16">
        <f>N57/2</f>
        <v>121</v>
      </c>
    </row>
    <row r="61" spans="13:14" x14ac:dyDescent="0.25">
      <c r="M61" s="12" t="s">
        <v>28</v>
      </c>
      <c r="N61" s="16">
        <f>B20*16</f>
        <v>160</v>
      </c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topLeftCell="A15" zoomScale="115" zoomScaleNormal="115" workbookViewId="0">
      <selection activeCell="B5" sqref="B5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7</v>
      </c>
      <c r="G2" s="5">
        <f t="shared" ref="G2:G16" si="3">($C$25/B2)+2</f>
        <v>7</v>
      </c>
      <c r="H2" s="5">
        <f t="shared" ref="H2:H16" si="4">($C$26/C2)+2</f>
        <v>17</v>
      </c>
      <c r="I2" s="5">
        <f t="shared" ref="I2:I16" si="5">F2*G2*H2</f>
        <v>833</v>
      </c>
      <c r="J2" s="5">
        <f t="shared" ref="J2:J16" si="6">4*F2*G2+4*G2*H2+4*F2*H2</f>
        <v>1148</v>
      </c>
      <c r="K2" s="5">
        <f t="shared" ref="K2:K16" si="7">J2*E2</f>
        <v>73472</v>
      </c>
      <c r="L2" s="5">
        <f t="shared" ref="L2:L16" si="8">K2/$C$27*100</f>
        <v>306.13333333333333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7</v>
      </c>
      <c r="G3" s="5">
        <f t="shared" si="3"/>
        <v>7</v>
      </c>
      <c r="H3" s="5">
        <f t="shared" si="4"/>
        <v>9.5</v>
      </c>
      <c r="I3" s="5">
        <f t="shared" si="5"/>
        <v>465.5</v>
      </c>
      <c r="J3" s="5">
        <f t="shared" si="6"/>
        <v>728</v>
      </c>
      <c r="K3" s="5">
        <f t="shared" si="7"/>
        <v>93184</v>
      </c>
      <c r="L3" s="5">
        <f t="shared" si="8"/>
        <v>388.26666666666665</v>
      </c>
      <c r="M3" s="6" t="b">
        <f>IF((F3-FLOOR(F3,1))=0,IF((G3-FLOOR(G3,1))=0,IF((H3-FLOOR(H3,1))=0,TRUE,FALSE),FALSE),FALSE)</f>
        <v>0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5.3333333333333339</v>
      </c>
      <c r="G4" s="5">
        <f t="shared" si="3"/>
        <v>7</v>
      </c>
      <c r="H4" s="5">
        <f t="shared" si="4"/>
        <v>9.5</v>
      </c>
      <c r="I4" s="5">
        <f t="shared" si="5"/>
        <v>354.66666666666669</v>
      </c>
      <c r="J4" s="5">
        <f t="shared" si="6"/>
        <v>618</v>
      </c>
      <c r="K4" s="5">
        <f t="shared" si="7"/>
        <v>118656</v>
      </c>
      <c r="L4" s="5">
        <f t="shared" si="8"/>
        <v>494.4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1</v>
      </c>
    </row>
    <row r="5" spans="1:14" x14ac:dyDescent="0.25">
      <c r="A5" s="4">
        <v>8</v>
      </c>
      <c r="B5" s="4">
        <v>4</v>
      </c>
      <c r="C5" s="4">
        <v>6</v>
      </c>
      <c r="D5" s="5">
        <f t="shared" si="0"/>
        <v>3</v>
      </c>
      <c r="E5" s="5">
        <f t="shared" si="1"/>
        <v>192</v>
      </c>
      <c r="F5" s="5">
        <f t="shared" si="2"/>
        <v>7</v>
      </c>
      <c r="G5" s="5">
        <f t="shared" si="3"/>
        <v>7</v>
      </c>
      <c r="H5" s="5">
        <f t="shared" si="4"/>
        <v>7</v>
      </c>
      <c r="I5" s="5">
        <f t="shared" si="5"/>
        <v>343</v>
      </c>
      <c r="J5" s="5">
        <f t="shared" si="6"/>
        <v>588</v>
      </c>
      <c r="K5" s="5">
        <f t="shared" si="7"/>
        <v>112896</v>
      </c>
      <c r="L5" s="5">
        <f t="shared" si="8"/>
        <v>470.4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4</v>
      </c>
      <c r="G6" s="5">
        <f t="shared" si="3"/>
        <v>7</v>
      </c>
      <c r="H6" s="5">
        <f t="shared" si="4"/>
        <v>9.5</v>
      </c>
      <c r="I6" s="5">
        <f t="shared" si="5"/>
        <v>266</v>
      </c>
      <c r="J6" s="5">
        <f t="shared" si="6"/>
        <v>530</v>
      </c>
      <c r="K6" s="5">
        <f t="shared" si="7"/>
        <v>169600</v>
      </c>
      <c r="L6" s="5">
        <f t="shared" si="8"/>
        <v>706.66666666666663</v>
      </c>
      <c r="M6" s="6" t="b">
        <f t="shared" si="10"/>
        <v>0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12</v>
      </c>
      <c r="G7" s="5">
        <f t="shared" si="3"/>
        <v>4.2222222222222223</v>
      </c>
      <c r="H7" s="5">
        <f t="shared" si="4"/>
        <v>9.5</v>
      </c>
      <c r="I7" s="5">
        <f t="shared" si="5"/>
        <v>481.33333333333337</v>
      </c>
      <c r="J7" s="5">
        <f t="shared" si="6"/>
        <v>819.11111111111109</v>
      </c>
      <c r="K7" s="5">
        <f t="shared" si="7"/>
        <v>117952</v>
      </c>
      <c r="L7" s="5">
        <f t="shared" si="8"/>
        <v>491.46666666666664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7</v>
      </c>
      <c r="G8" s="5">
        <f t="shared" si="3"/>
        <v>4.5</v>
      </c>
      <c r="H8" s="5">
        <f t="shared" si="4"/>
        <v>32</v>
      </c>
      <c r="I8" s="5">
        <f t="shared" si="5"/>
        <v>1008</v>
      </c>
      <c r="J8" s="5">
        <f t="shared" si="6"/>
        <v>1598</v>
      </c>
      <c r="K8" s="5">
        <f t="shared" si="7"/>
        <v>102272</v>
      </c>
      <c r="L8" s="5">
        <f t="shared" si="8"/>
        <v>426.13333333333333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4.5</v>
      </c>
      <c r="G9" s="5">
        <f t="shared" si="3"/>
        <v>4.5</v>
      </c>
      <c r="H9" s="5">
        <f t="shared" si="4"/>
        <v>32</v>
      </c>
      <c r="I9" s="5">
        <f t="shared" si="5"/>
        <v>648</v>
      </c>
      <c r="J9" s="5">
        <f t="shared" si="6"/>
        <v>1233</v>
      </c>
      <c r="K9" s="5">
        <f t="shared" si="7"/>
        <v>157824</v>
      </c>
      <c r="L9" s="5">
        <f t="shared" si="8"/>
        <v>657.59999999999991</v>
      </c>
      <c r="M9" s="6" t="b">
        <f t="shared" si="11"/>
        <v>0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3.666666666666667</v>
      </c>
      <c r="G10" s="5">
        <f t="shared" si="3"/>
        <v>4.5</v>
      </c>
      <c r="H10" s="5">
        <f t="shared" si="4"/>
        <v>32</v>
      </c>
      <c r="I10" s="5">
        <f t="shared" si="5"/>
        <v>528</v>
      </c>
      <c r="J10" s="5">
        <f t="shared" si="6"/>
        <v>1111.3333333333335</v>
      </c>
      <c r="K10" s="5">
        <f t="shared" si="7"/>
        <v>213376.00000000003</v>
      </c>
      <c r="L10" s="5">
        <f t="shared" si="8"/>
        <v>889.06666666666683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3.25</v>
      </c>
      <c r="G11" s="5">
        <f t="shared" si="3"/>
        <v>4.5</v>
      </c>
      <c r="H11" s="5">
        <f t="shared" si="4"/>
        <v>32</v>
      </c>
      <c r="I11" s="5">
        <f t="shared" si="5"/>
        <v>468</v>
      </c>
      <c r="J11" s="5">
        <f t="shared" si="6"/>
        <v>1050.5</v>
      </c>
      <c r="K11" s="5">
        <f t="shared" si="7"/>
        <v>268928</v>
      </c>
      <c r="L11" s="5">
        <f t="shared" si="8"/>
        <v>1120.5333333333333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3</v>
      </c>
      <c r="G12" s="5">
        <f t="shared" si="3"/>
        <v>4.5</v>
      </c>
      <c r="H12" s="5">
        <f t="shared" si="4"/>
        <v>32</v>
      </c>
      <c r="I12" s="5">
        <f t="shared" si="5"/>
        <v>432</v>
      </c>
      <c r="J12" s="5">
        <f t="shared" si="6"/>
        <v>1014</v>
      </c>
      <c r="K12" s="5">
        <f t="shared" si="7"/>
        <v>324480</v>
      </c>
      <c r="L12" s="5">
        <f t="shared" si="8"/>
        <v>1352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4.5</v>
      </c>
      <c r="G13" s="5">
        <f t="shared" si="3"/>
        <v>4.2222222222222223</v>
      </c>
      <c r="H13" s="5">
        <f t="shared" si="4"/>
        <v>9.5</v>
      </c>
      <c r="I13" s="5">
        <f t="shared" si="5"/>
        <v>180.5</v>
      </c>
      <c r="J13" s="5">
        <f t="shared" si="6"/>
        <v>407.44444444444446</v>
      </c>
      <c r="K13" s="5">
        <f t="shared" si="7"/>
        <v>234688</v>
      </c>
      <c r="L13" s="5">
        <f t="shared" si="8"/>
        <v>977.86666666666656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12</v>
      </c>
      <c r="G14" s="5">
        <f t="shared" si="3"/>
        <v>12</v>
      </c>
      <c r="H14" s="5">
        <f t="shared" si="4"/>
        <v>17</v>
      </c>
      <c r="I14" s="5">
        <f t="shared" si="5"/>
        <v>2448</v>
      </c>
      <c r="J14" s="5">
        <f t="shared" si="6"/>
        <v>2208</v>
      </c>
      <c r="K14" s="5">
        <f t="shared" si="7"/>
        <v>35328</v>
      </c>
      <c r="L14" s="5">
        <f t="shared" si="8"/>
        <v>147.19999999999999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22</v>
      </c>
      <c r="G15" s="5">
        <f t="shared" si="3"/>
        <v>12</v>
      </c>
      <c r="H15" s="5">
        <f t="shared" si="4"/>
        <v>17</v>
      </c>
      <c r="I15" s="5">
        <f t="shared" si="5"/>
        <v>4488</v>
      </c>
      <c r="J15" s="5">
        <f t="shared" si="6"/>
        <v>3368</v>
      </c>
      <c r="K15" s="5">
        <f t="shared" si="7"/>
        <v>26944</v>
      </c>
      <c r="L15" s="5">
        <f t="shared" si="8"/>
        <v>112.26666666666667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6</v>
      </c>
      <c r="G16" s="5">
        <f t="shared" si="3"/>
        <v>4.5</v>
      </c>
      <c r="H16" s="5">
        <f t="shared" si="4"/>
        <v>5.75</v>
      </c>
      <c r="I16" s="5">
        <f t="shared" si="5"/>
        <v>155.25</v>
      </c>
      <c r="J16" s="5">
        <f t="shared" si="6"/>
        <v>349.5</v>
      </c>
      <c r="K16" s="5">
        <f t="shared" si="7"/>
        <v>223680</v>
      </c>
      <c r="L16" s="5">
        <f t="shared" si="8"/>
        <v>932</v>
      </c>
      <c r="M16" s="6" t="b">
        <f t="shared" si="11"/>
        <v>0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10</v>
      </c>
      <c r="B20">
        <v>5</v>
      </c>
      <c r="D20" s="10" t="s">
        <v>18</v>
      </c>
      <c r="M20" t="s">
        <v>58</v>
      </c>
    </row>
    <row r="21" spans="1:14" x14ac:dyDescent="0.25">
      <c r="M21" t="s">
        <v>77</v>
      </c>
    </row>
    <row r="22" spans="1:14" x14ac:dyDescent="0.25">
      <c r="M22" t="s">
        <v>38</v>
      </c>
      <c r="N22" s="16">
        <f>0.25*(B24-4)*B20</f>
        <v>5</v>
      </c>
    </row>
    <row r="23" spans="1:14" x14ac:dyDescent="0.25">
      <c r="A23" s="1"/>
      <c r="B23" s="1" t="s">
        <v>11</v>
      </c>
      <c r="C23" s="1" t="s">
        <v>12</v>
      </c>
      <c r="M23" t="s">
        <v>41</v>
      </c>
      <c r="N23" s="16">
        <f>N22+(4*B20)</f>
        <v>25</v>
      </c>
    </row>
    <row r="24" spans="1:14" x14ac:dyDescent="0.25">
      <c r="A24" s="1" t="s">
        <v>4</v>
      </c>
      <c r="B24" s="1">
        <v>8</v>
      </c>
      <c r="C24" s="3">
        <f>$B$20*B24</f>
        <v>40</v>
      </c>
      <c r="E24" s="12"/>
      <c r="H24" s="12"/>
      <c r="J24" s="12"/>
      <c r="M24" s="12" t="s">
        <v>40</v>
      </c>
      <c r="N24" s="16">
        <v>0</v>
      </c>
    </row>
    <row r="25" spans="1:14" x14ac:dyDescent="0.25">
      <c r="A25" s="1" t="s">
        <v>5</v>
      </c>
      <c r="B25" s="1">
        <v>4</v>
      </c>
      <c r="C25" s="3">
        <f t="shared" ref="C25:C26" si="12">$B$20*B25</f>
        <v>20</v>
      </c>
      <c r="E25" s="12"/>
      <c r="H25" s="12"/>
      <c r="J25" s="12"/>
      <c r="M25" s="12" t="s">
        <v>42</v>
      </c>
      <c r="N25" s="16">
        <f>1.5*B20</f>
        <v>7.5</v>
      </c>
    </row>
    <row r="26" spans="1:14" x14ac:dyDescent="0.25">
      <c r="A26" s="1" t="s">
        <v>6</v>
      </c>
      <c r="B26" s="1">
        <v>6</v>
      </c>
      <c r="C26" s="3">
        <f t="shared" si="12"/>
        <v>30</v>
      </c>
      <c r="J26" s="12"/>
      <c r="M26" s="12" t="s">
        <v>51</v>
      </c>
      <c r="N26" s="16">
        <f>((B26/2-1.5)*B20) - 1</f>
        <v>6.5</v>
      </c>
    </row>
    <row r="27" spans="1:14" x14ac:dyDescent="0.25">
      <c r="B27" s="1" t="s">
        <v>13</v>
      </c>
      <c r="C27" s="3">
        <f>C24*C25*C26</f>
        <v>24000</v>
      </c>
      <c r="H27" s="12"/>
      <c r="J27" s="12"/>
      <c r="M27" s="12" t="s">
        <v>52</v>
      </c>
      <c r="N27" s="16">
        <f>N26+(3*B20)</f>
        <v>21.5</v>
      </c>
    </row>
    <row r="28" spans="1:14" x14ac:dyDescent="0.25">
      <c r="H28" s="12"/>
      <c r="J28" s="12"/>
      <c r="M28" t="s">
        <v>35</v>
      </c>
      <c r="N28" s="12">
        <f>(N23-N22+1)*2</f>
        <v>42</v>
      </c>
    </row>
    <row r="29" spans="1:14" x14ac:dyDescent="0.25">
      <c r="B29" t="s">
        <v>78</v>
      </c>
      <c r="C29" s="13">
        <f>(C24*C25*C26)+ (N28*N29*N30) + (N37*N38*N39) + (N46*N47*N48) + (N55*N56*N57)</f>
        <v>1566292</v>
      </c>
      <c r="J29" s="12"/>
      <c r="M29" t="s">
        <v>36</v>
      </c>
      <c r="N29" s="12">
        <f>(N25-N24+1)*2</f>
        <v>17</v>
      </c>
    </row>
    <row r="30" spans="1:14" x14ac:dyDescent="0.25">
      <c r="H30" s="12"/>
      <c r="J30" s="12"/>
      <c r="M30" s="12" t="s">
        <v>48</v>
      </c>
      <c r="N30" s="12">
        <f>(N27-N26+1)*2</f>
        <v>32</v>
      </c>
    </row>
    <row r="31" spans="1:14" x14ac:dyDescent="0.25">
      <c r="H31" s="12"/>
      <c r="J31" s="12"/>
      <c r="M31" t="s">
        <v>43</v>
      </c>
      <c r="N31" s="16">
        <f>(B20/4)*2</f>
        <v>2.5</v>
      </c>
    </row>
    <row r="32" spans="1:14" x14ac:dyDescent="0.25">
      <c r="J32" s="12"/>
      <c r="M32" t="s">
        <v>39</v>
      </c>
      <c r="N32" s="16">
        <f>N31+(3.25*B20*2)</f>
        <v>35</v>
      </c>
    </row>
    <row r="33" spans="8:14" x14ac:dyDescent="0.25">
      <c r="H33" s="12"/>
      <c r="J33" s="12"/>
      <c r="M33" s="12" t="s">
        <v>44</v>
      </c>
      <c r="N33" s="16">
        <v>0</v>
      </c>
    </row>
    <row r="34" spans="8:14" x14ac:dyDescent="0.25">
      <c r="H34" s="12"/>
      <c r="M34" s="12" t="s">
        <v>45</v>
      </c>
      <c r="N34" s="16">
        <f>N33+(1.25*B20*2)</f>
        <v>12.5</v>
      </c>
    </row>
    <row r="35" spans="8:14" x14ac:dyDescent="0.25">
      <c r="M35" s="12" t="s">
        <v>53</v>
      </c>
      <c r="N35" s="16">
        <f>(B20/4)*2</f>
        <v>2.5</v>
      </c>
    </row>
    <row r="36" spans="8:14" x14ac:dyDescent="0.25">
      <c r="M36" s="12" t="s">
        <v>54</v>
      </c>
      <c r="N36" s="16">
        <f>N35+(2.5*B20*2)</f>
        <v>27.5</v>
      </c>
    </row>
    <row r="37" spans="8:14" x14ac:dyDescent="0.25">
      <c r="M37" t="s">
        <v>46</v>
      </c>
      <c r="N37" s="12">
        <f>(N32-N31+1)*2</f>
        <v>67</v>
      </c>
    </row>
    <row r="38" spans="8:14" x14ac:dyDescent="0.25">
      <c r="M38" t="s">
        <v>47</v>
      </c>
      <c r="N38" s="12">
        <f>(N34-N33+1)*2</f>
        <v>27</v>
      </c>
    </row>
    <row r="39" spans="8:14" x14ac:dyDescent="0.25">
      <c r="M39" s="12" t="s">
        <v>55</v>
      </c>
      <c r="N39" s="12">
        <f>(N36-N35+1)*2</f>
        <v>52</v>
      </c>
    </row>
    <row r="40" spans="8:14" x14ac:dyDescent="0.25">
      <c r="M40" t="s">
        <v>59</v>
      </c>
      <c r="N40" s="16">
        <f>(B20/4)*4</f>
        <v>5</v>
      </c>
    </row>
    <row r="41" spans="8:14" x14ac:dyDescent="0.25">
      <c r="M41" t="s">
        <v>60</v>
      </c>
      <c r="N41" s="16">
        <f>N40+(2.5*B20*4)</f>
        <v>55</v>
      </c>
    </row>
    <row r="42" spans="8:14" x14ac:dyDescent="0.25">
      <c r="M42" s="12" t="s">
        <v>61</v>
      </c>
      <c r="N42" s="16">
        <v>0</v>
      </c>
    </row>
    <row r="43" spans="8:14" x14ac:dyDescent="0.25">
      <c r="M43" s="12" t="s">
        <v>62</v>
      </c>
      <c r="N43" s="16">
        <f>B20*4</f>
        <v>20</v>
      </c>
    </row>
    <row r="44" spans="8:14" x14ac:dyDescent="0.25">
      <c r="M44" s="12" t="s">
        <v>63</v>
      </c>
      <c r="N44" s="16">
        <f>(B20/4)*4</f>
        <v>5</v>
      </c>
    </row>
    <row r="45" spans="8:14" x14ac:dyDescent="0.25">
      <c r="M45" s="12" t="s">
        <v>64</v>
      </c>
      <c r="N45" s="16">
        <f>N44+(2*B20*4)</f>
        <v>45</v>
      </c>
    </row>
    <row r="46" spans="8:14" x14ac:dyDescent="0.25">
      <c r="M46" t="s">
        <v>65</v>
      </c>
      <c r="N46" s="12">
        <f>(N41-N40+1)*2</f>
        <v>102</v>
      </c>
    </row>
    <row r="47" spans="8:14" x14ac:dyDescent="0.25">
      <c r="M47" t="s">
        <v>66</v>
      </c>
      <c r="N47" s="12">
        <f>(N43-N42+1)*2</f>
        <v>42</v>
      </c>
    </row>
    <row r="48" spans="8:14" x14ac:dyDescent="0.25">
      <c r="M48" s="12" t="s">
        <v>67</v>
      </c>
      <c r="N48" s="12">
        <f>(N45-N44+1)*2</f>
        <v>82</v>
      </c>
    </row>
    <row r="49" spans="13:14" x14ac:dyDescent="0.25">
      <c r="M49" t="s">
        <v>68</v>
      </c>
      <c r="N49" s="16">
        <f>(B20/4)*8</f>
        <v>10</v>
      </c>
    </row>
    <row r="50" spans="13:14" x14ac:dyDescent="0.25">
      <c r="M50" t="s">
        <v>69</v>
      </c>
      <c r="N50" s="16">
        <f>N49+(1.75*B20*8)</f>
        <v>80</v>
      </c>
    </row>
    <row r="51" spans="13:14" x14ac:dyDescent="0.25">
      <c r="M51" s="12" t="s">
        <v>70</v>
      </c>
      <c r="N51" s="16">
        <v>0</v>
      </c>
    </row>
    <row r="52" spans="13:14" x14ac:dyDescent="0.25">
      <c r="M52" s="12" t="s">
        <v>71</v>
      </c>
      <c r="N52" s="16">
        <f>0.75*B20*8</f>
        <v>30</v>
      </c>
    </row>
    <row r="53" spans="13:14" x14ac:dyDescent="0.25">
      <c r="M53" s="12" t="s">
        <v>72</v>
      </c>
      <c r="N53" s="16">
        <f>(B20/4)*8</f>
        <v>10</v>
      </c>
    </row>
    <row r="54" spans="13:14" x14ac:dyDescent="0.25">
      <c r="M54" s="12" t="s">
        <v>73</v>
      </c>
      <c r="N54" s="16">
        <f>N53+(1.5*B20*8)</f>
        <v>70</v>
      </c>
    </row>
    <row r="55" spans="13:14" x14ac:dyDescent="0.25">
      <c r="M55" t="s">
        <v>74</v>
      </c>
      <c r="N55" s="12">
        <f>(N50-N49+1)*2</f>
        <v>142</v>
      </c>
    </row>
    <row r="56" spans="13:14" x14ac:dyDescent="0.25">
      <c r="M56" t="s">
        <v>76</v>
      </c>
      <c r="N56" s="12">
        <f>(N52-N51+1)*2</f>
        <v>62</v>
      </c>
    </row>
    <row r="57" spans="13:14" x14ac:dyDescent="0.25">
      <c r="M57" s="12" t="s">
        <v>75</v>
      </c>
      <c r="N57" s="12">
        <f>(N54-N53+1)*2</f>
        <v>122</v>
      </c>
    </row>
    <row r="58" spans="13:14" x14ac:dyDescent="0.25">
      <c r="M58" t="s">
        <v>26</v>
      </c>
      <c r="N58" s="16">
        <f>(B20/4)*16</f>
        <v>20</v>
      </c>
    </row>
    <row r="59" spans="13:14" x14ac:dyDescent="0.25">
      <c r="M59" s="12" t="s">
        <v>27</v>
      </c>
      <c r="N59" s="16">
        <v>16</v>
      </c>
    </row>
    <row r="60" spans="13:14" x14ac:dyDescent="0.25">
      <c r="M60" t="s">
        <v>56</v>
      </c>
      <c r="N60" s="16">
        <f>N57/2</f>
        <v>61</v>
      </c>
    </row>
    <row r="61" spans="13:14" x14ac:dyDescent="0.25">
      <c r="M61" s="12" t="s">
        <v>28</v>
      </c>
      <c r="N61" s="16">
        <f>B20*16</f>
        <v>80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topLeftCell="A7" zoomScale="115" zoomScaleNormal="115" workbookViewId="0">
      <selection activeCell="E24" sqref="E2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 t="shared" ref="J2" si="2">4*F2*G2+4*G2*H2+4*F2*H2</f>
        <v>11888</v>
      </c>
      <c r="K2" s="5">
        <f t="shared" ref="K2" si="3">J2*E2</f>
        <v>95104</v>
      </c>
      <c r="L2" s="5">
        <f>K2/$C$14*100</f>
        <v>49.533333333333331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5">F3*G3*H3</f>
        <v>15488</v>
      </c>
      <c r="J3" s="5">
        <f t="shared" ref="J3" si="6">4*F3*G3+4*G3*H3+4*F3*H3</f>
        <v>7568</v>
      </c>
      <c r="K3" s="5">
        <f t="shared" ref="K3" si="7">J3*E3</f>
        <v>121088</v>
      </c>
      <c r="L3" s="5">
        <f>K3/$C$14*100</f>
        <v>63.06666666666667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58</v>
      </c>
    </row>
    <row r="8" spans="1:14" x14ac:dyDescent="0.25">
      <c r="M8" t="s">
        <v>77</v>
      </c>
    </row>
    <row r="9" spans="1:14" x14ac:dyDescent="0.25">
      <c r="M9" t="s">
        <v>38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41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40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8">$B$7*B12</f>
        <v>40</v>
      </c>
      <c r="E12" s="12"/>
      <c r="H12" s="12"/>
      <c r="J12" s="12"/>
      <c r="M12" s="12" t="s">
        <v>42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8"/>
        <v>60</v>
      </c>
      <c r="J13" s="12"/>
      <c r="M13" s="12" t="s">
        <v>51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52</v>
      </c>
      <c r="N14" s="16">
        <f>N13+(3*B7)</f>
        <v>45</v>
      </c>
    </row>
    <row r="15" spans="1:14" x14ac:dyDescent="0.25">
      <c r="H15" s="12"/>
      <c r="J15" s="12"/>
      <c r="M15" t="s">
        <v>35</v>
      </c>
      <c r="N15" s="12">
        <f>(N10-N9+1)*2</f>
        <v>82</v>
      </c>
    </row>
    <row r="16" spans="1:14" x14ac:dyDescent="0.25">
      <c r="B16" t="s">
        <v>78</v>
      </c>
      <c r="C16" s="13">
        <f>(C11*C12*C13)+ (N15*N16*N17) + (N24*N25*N26) + (N33*N34*N35) + (N42*N43*N44)</f>
        <v>12063952</v>
      </c>
      <c r="J16" s="12"/>
      <c r="M16" t="s">
        <v>36</v>
      </c>
      <c r="N16" s="12">
        <f>(N12-N11+1)*2</f>
        <v>32</v>
      </c>
    </row>
    <row r="17" spans="8:14" x14ac:dyDescent="0.25">
      <c r="H17" s="12"/>
      <c r="J17" s="12"/>
      <c r="M17" s="12" t="s">
        <v>48</v>
      </c>
      <c r="N17" s="12">
        <f>(N14-N13+1)*2</f>
        <v>62</v>
      </c>
    </row>
    <row r="18" spans="8:14" x14ac:dyDescent="0.25">
      <c r="H18" s="12"/>
      <c r="J18" s="12"/>
      <c r="M18" t="s">
        <v>43</v>
      </c>
      <c r="N18" s="16">
        <f>(B7/4)*2</f>
        <v>5</v>
      </c>
    </row>
    <row r="19" spans="8:14" x14ac:dyDescent="0.25">
      <c r="J19" s="12"/>
      <c r="M19" t="s">
        <v>39</v>
      </c>
      <c r="N19" s="16">
        <f>N18+(3.25*B7*2)</f>
        <v>70</v>
      </c>
    </row>
    <row r="20" spans="8:14" x14ac:dyDescent="0.25">
      <c r="H20" s="12"/>
      <c r="J20" s="12"/>
      <c r="M20" s="12" t="s">
        <v>44</v>
      </c>
      <c r="N20" s="16">
        <v>0</v>
      </c>
    </row>
    <row r="21" spans="8:14" x14ac:dyDescent="0.25">
      <c r="H21" s="12"/>
      <c r="M21" s="12" t="s">
        <v>45</v>
      </c>
      <c r="N21" s="16">
        <f>N20+(1.25*B7*2)</f>
        <v>25</v>
      </c>
    </row>
    <row r="22" spans="8:14" x14ac:dyDescent="0.25">
      <c r="M22" s="12" t="s">
        <v>53</v>
      </c>
      <c r="N22" s="16">
        <f>(B7/4)*2</f>
        <v>5</v>
      </c>
    </row>
    <row r="23" spans="8:14" x14ac:dyDescent="0.25">
      <c r="M23" s="12" t="s">
        <v>54</v>
      </c>
      <c r="N23" s="16">
        <f>N22+(2.5*B7*2)</f>
        <v>55</v>
      </c>
    </row>
    <row r="24" spans="8:14" x14ac:dyDescent="0.25">
      <c r="M24" t="s">
        <v>46</v>
      </c>
      <c r="N24" s="12">
        <f>(N19-N18+1)*2</f>
        <v>132</v>
      </c>
    </row>
    <row r="25" spans="8:14" x14ac:dyDescent="0.25">
      <c r="M25" t="s">
        <v>47</v>
      </c>
      <c r="N25" s="12">
        <f>(N21-N20+1)*2</f>
        <v>52</v>
      </c>
    </row>
    <row r="26" spans="8:14" x14ac:dyDescent="0.25">
      <c r="M26" s="12" t="s">
        <v>55</v>
      </c>
      <c r="N26" s="12">
        <f>(N23-N22+1)*2</f>
        <v>102</v>
      </c>
    </row>
    <row r="27" spans="8:14" x14ac:dyDescent="0.25">
      <c r="M27" t="s">
        <v>59</v>
      </c>
      <c r="N27" s="16">
        <f>(B7/4)*4</f>
        <v>10</v>
      </c>
    </row>
    <row r="28" spans="8:14" x14ac:dyDescent="0.25">
      <c r="M28" t="s">
        <v>60</v>
      </c>
      <c r="N28" s="16">
        <f>N27+(2.5*B7*4)</f>
        <v>110</v>
      </c>
    </row>
    <row r="29" spans="8:14" x14ac:dyDescent="0.25">
      <c r="M29" s="12" t="s">
        <v>61</v>
      </c>
      <c r="N29" s="16">
        <v>0</v>
      </c>
    </row>
    <row r="30" spans="8:14" x14ac:dyDescent="0.25">
      <c r="M30" s="12" t="s">
        <v>62</v>
      </c>
      <c r="N30" s="16">
        <f>B7*4</f>
        <v>40</v>
      </c>
    </row>
    <row r="31" spans="8:14" x14ac:dyDescent="0.25">
      <c r="M31" s="12" t="s">
        <v>63</v>
      </c>
      <c r="N31" s="16">
        <f>(B7/4)*4</f>
        <v>10</v>
      </c>
    </row>
    <row r="32" spans="8:14" x14ac:dyDescent="0.25">
      <c r="M32" s="12" t="s">
        <v>64</v>
      </c>
      <c r="N32" s="16">
        <f>N31+(2*B7*4)</f>
        <v>90</v>
      </c>
    </row>
    <row r="33" spans="13:14" x14ac:dyDescent="0.25">
      <c r="M33" t="s">
        <v>65</v>
      </c>
      <c r="N33" s="12">
        <f>(N28-N27+1)*2</f>
        <v>202</v>
      </c>
    </row>
    <row r="34" spans="13:14" x14ac:dyDescent="0.25">
      <c r="M34" t="s">
        <v>66</v>
      </c>
      <c r="N34" s="12">
        <f>(N30-N29+1)*2</f>
        <v>82</v>
      </c>
    </row>
    <row r="35" spans="13:14" x14ac:dyDescent="0.25">
      <c r="M35" s="12" t="s">
        <v>67</v>
      </c>
      <c r="N35" s="12">
        <f>(N32-N31+1)*2</f>
        <v>162</v>
      </c>
    </row>
    <row r="36" spans="13:14" x14ac:dyDescent="0.25">
      <c r="M36" t="s">
        <v>68</v>
      </c>
      <c r="N36" s="16">
        <f>(B7/4)*8</f>
        <v>20</v>
      </c>
    </row>
    <row r="37" spans="13:14" x14ac:dyDescent="0.25">
      <c r="M37" t="s">
        <v>69</v>
      </c>
      <c r="N37" s="16">
        <f>N36+(1.75*B7*8)</f>
        <v>160</v>
      </c>
    </row>
    <row r="38" spans="13:14" x14ac:dyDescent="0.25">
      <c r="M38" s="12" t="s">
        <v>70</v>
      </c>
      <c r="N38" s="16">
        <v>0</v>
      </c>
    </row>
    <row r="39" spans="13:14" x14ac:dyDescent="0.25">
      <c r="M39" s="12" t="s">
        <v>71</v>
      </c>
      <c r="N39" s="16">
        <f>0.75*B7*8</f>
        <v>60</v>
      </c>
    </row>
    <row r="40" spans="13:14" x14ac:dyDescent="0.25">
      <c r="M40" s="12" t="s">
        <v>72</v>
      </c>
      <c r="N40" s="16">
        <f>(B7/4)*8</f>
        <v>20</v>
      </c>
    </row>
    <row r="41" spans="13:14" x14ac:dyDescent="0.25">
      <c r="M41" s="12" t="s">
        <v>73</v>
      </c>
      <c r="N41" s="16">
        <f>N40+(1.5*B7*8)</f>
        <v>140</v>
      </c>
    </row>
    <row r="42" spans="13:14" x14ac:dyDescent="0.25">
      <c r="M42" t="s">
        <v>74</v>
      </c>
      <c r="N42" s="12">
        <f>(N37-N36+1)*2</f>
        <v>282</v>
      </c>
    </row>
    <row r="43" spans="13:14" x14ac:dyDescent="0.25">
      <c r="M43" t="s">
        <v>76</v>
      </c>
      <c r="N43" s="12">
        <f>(N39-N38+1)*2</f>
        <v>122</v>
      </c>
    </row>
    <row r="44" spans="13:14" x14ac:dyDescent="0.25">
      <c r="M44" s="12" t="s">
        <v>75</v>
      </c>
      <c r="N44" s="12">
        <f>(N41-N40+1)*2</f>
        <v>242</v>
      </c>
    </row>
    <row r="45" spans="13:14" x14ac:dyDescent="0.25">
      <c r="M45" t="s">
        <v>26</v>
      </c>
      <c r="N45" s="16">
        <f>(B7/4)*16</f>
        <v>40</v>
      </c>
    </row>
    <row r="46" spans="13:14" x14ac:dyDescent="0.25">
      <c r="M46" s="12" t="s">
        <v>27</v>
      </c>
      <c r="N46" s="16">
        <v>16</v>
      </c>
    </row>
    <row r="47" spans="13:14" x14ac:dyDescent="0.25">
      <c r="M47" t="s">
        <v>56</v>
      </c>
      <c r="N47" s="16">
        <f>N44/2</f>
        <v>121</v>
      </c>
    </row>
    <row r="48" spans="13:14" x14ac:dyDescent="0.25">
      <c r="M48" s="12" t="s">
        <v>28</v>
      </c>
      <c r="N48" s="16">
        <f>B7*16</f>
        <v>160</v>
      </c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2016-07-07T15:50:51Z</dcterms:modified>
  <dc:language>en-GB</dc:language>
</cp:coreProperties>
</file>