
<file path=[Content_Types].xml><?xml version="1.0" encoding="utf-8"?>
<Types xmlns="http://schemas.openxmlformats.org/package/2006/content-types">
  <Default Extension="tmp" ContentType="image/png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autoCompressPictures="0"/>
  <mc:AlternateContent xmlns:mc="http://schemas.openxmlformats.org/markup-compatibility/2006">
    <mc:Choice Requires="x15">
      <x15ac:absPath xmlns:x15ac="http://schemas.microsoft.com/office/spreadsheetml/2010/11/ac" url="D:\Dropbox (CFDTM)\0. Work\3. LBM\C++ Projects\LUMA\LUMA\tools\"/>
    </mc:Choice>
  </mc:AlternateContent>
  <bookViews>
    <workbookView xWindow="14316" yWindow="2220" windowWidth="24840" windowHeight="17964" activeTab="1"/>
  </bookViews>
  <sheets>
    <sheet name="Hoja1" sheetId="1" r:id="rId1"/>
    <sheet name="Hoja2" sheetId="2" r:id="rId2"/>
    <sheet name="Hoja3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5" i="2" l="1"/>
  <c r="V10" i="2"/>
  <c r="V11" i="2"/>
  <c r="V12" i="2"/>
  <c r="V9" i="2"/>
  <c r="V27" i="2"/>
  <c r="V21" i="2"/>
  <c r="V22" i="2"/>
  <c r="V23" i="2"/>
  <c r="V24" i="2"/>
  <c r="V20" i="2"/>
  <c r="V40" i="2"/>
  <c r="V32" i="2"/>
  <c r="V33" i="2"/>
  <c r="V34" i="2"/>
  <c r="V35" i="2"/>
  <c r="V36" i="2"/>
  <c r="V37" i="2"/>
  <c r="U40" i="2"/>
  <c r="U37" i="2"/>
  <c r="U36" i="2"/>
  <c r="U35" i="2"/>
  <c r="U34" i="2"/>
  <c r="U33" i="2"/>
  <c r="U32" i="2"/>
  <c r="U27" i="2"/>
  <c r="U24" i="2"/>
  <c r="U20" i="2"/>
  <c r="U21" i="2"/>
  <c r="U22" i="2"/>
  <c r="U23" i="2"/>
  <c r="U15" i="2"/>
  <c r="U12" i="2"/>
  <c r="U11" i="2"/>
  <c r="U10" i="2"/>
  <c r="U9" i="2"/>
  <c r="F23" i="2"/>
  <c r="F22" i="2"/>
  <c r="F21" i="2"/>
  <c r="H22" i="2"/>
  <c r="H21" i="2"/>
  <c r="S20" i="2"/>
  <c r="S21" i="2"/>
  <c r="S22" i="2"/>
  <c r="S23" i="2"/>
  <c r="S24" i="2"/>
  <c r="S27" i="2"/>
  <c r="F11" i="2"/>
  <c r="F10" i="2"/>
  <c r="H10" i="2"/>
  <c r="R9" i="2"/>
  <c r="C10" i="2"/>
  <c r="R10" i="2"/>
  <c r="C11" i="2"/>
  <c r="R11" i="2"/>
  <c r="C12" i="2"/>
  <c r="Q12" i="2"/>
  <c r="R12" i="2"/>
  <c r="R15" i="2"/>
  <c r="T9" i="2"/>
  <c r="T10" i="2"/>
  <c r="T11" i="2"/>
  <c r="T12" i="2"/>
  <c r="T15" i="2"/>
  <c r="R20" i="2"/>
  <c r="C21" i="2"/>
  <c r="R21" i="2"/>
  <c r="C22" i="2"/>
  <c r="R22" i="2"/>
  <c r="C23" i="2"/>
  <c r="R23" i="2"/>
  <c r="C24" i="2"/>
  <c r="Q24" i="2"/>
  <c r="R24" i="2"/>
  <c r="R27" i="2"/>
  <c r="T20" i="2"/>
  <c r="T21" i="2"/>
  <c r="T22" i="2"/>
  <c r="T23" i="2"/>
  <c r="T24" i="2"/>
  <c r="T27" i="2"/>
  <c r="F36" i="2"/>
  <c r="F35" i="2"/>
  <c r="F34" i="2"/>
  <c r="F33" i="2"/>
  <c r="H35" i="2"/>
  <c r="H34" i="2"/>
  <c r="H33" i="2"/>
  <c r="R32" i="2"/>
  <c r="C33" i="2"/>
  <c r="R33" i="2"/>
  <c r="C34" i="2"/>
  <c r="R34" i="2"/>
  <c r="C35" i="2"/>
  <c r="R35" i="2"/>
  <c r="C36" i="2"/>
  <c r="R36" i="2"/>
  <c r="C37" i="2"/>
  <c r="Q37" i="2"/>
  <c r="R37" i="2"/>
  <c r="R40" i="2"/>
  <c r="T32" i="2"/>
  <c r="T33" i="2"/>
  <c r="T34" i="2"/>
  <c r="T35" i="2"/>
  <c r="T36" i="2"/>
  <c r="T37" i="2"/>
  <c r="T40" i="2"/>
  <c r="S32" i="2"/>
  <c r="S33" i="2"/>
  <c r="Q35" i="2"/>
  <c r="Q36" i="2"/>
  <c r="Q34" i="2"/>
  <c r="Q33" i="2"/>
  <c r="N33" i="2"/>
  <c r="L33" i="2"/>
  <c r="S11" i="2"/>
  <c r="S34" i="2"/>
  <c r="S35" i="2"/>
  <c r="S36" i="2"/>
  <c r="S37" i="2"/>
  <c r="S40" i="2"/>
  <c r="N37" i="2"/>
  <c r="L37" i="2"/>
  <c r="N36" i="2"/>
  <c r="L36" i="2"/>
  <c r="N35" i="2"/>
  <c r="L35" i="2"/>
  <c r="N34" i="2"/>
  <c r="L34" i="2"/>
  <c r="Q32" i="2"/>
  <c r="N24" i="2"/>
  <c r="L24" i="2"/>
  <c r="Q23" i="2"/>
  <c r="N23" i="2"/>
  <c r="L23" i="2"/>
  <c r="Q22" i="2"/>
  <c r="N22" i="2"/>
  <c r="L22" i="2"/>
  <c r="Q21" i="2"/>
  <c r="N21" i="2"/>
  <c r="L21" i="2"/>
  <c r="Q20" i="2"/>
  <c r="S9" i="2"/>
  <c r="S10" i="2"/>
  <c r="S12" i="2"/>
  <c r="S15" i="2"/>
  <c r="Q11" i="2"/>
  <c r="Q10" i="2"/>
  <c r="Q9" i="2"/>
  <c r="L10" i="2"/>
  <c r="N10" i="2"/>
  <c r="L11" i="2"/>
  <c r="N11" i="2"/>
  <c r="N12" i="2"/>
  <c r="L12" i="2"/>
  <c r="B6" i="1"/>
  <c r="H16" i="1"/>
  <c r="H15" i="1"/>
  <c r="H14" i="1"/>
  <c r="H12" i="1"/>
  <c r="H13" i="1"/>
  <c r="H11" i="1"/>
  <c r="H10" i="1"/>
  <c r="H9" i="1"/>
  <c r="B10" i="1"/>
  <c r="C10" i="1"/>
  <c r="J23" i="1"/>
  <c r="C9" i="1"/>
  <c r="B11" i="1"/>
  <c r="C11" i="1"/>
  <c r="J24" i="1"/>
  <c r="B12" i="1"/>
  <c r="C12" i="1"/>
  <c r="J25" i="1"/>
  <c r="B13" i="1"/>
  <c r="C13" i="1"/>
  <c r="J26" i="1"/>
  <c r="B14" i="1"/>
  <c r="C14" i="1"/>
  <c r="J27" i="1"/>
  <c r="B15" i="1"/>
  <c r="C15" i="1"/>
  <c r="J28" i="1"/>
  <c r="B16" i="1"/>
  <c r="C16" i="1"/>
  <c r="J29" i="1"/>
  <c r="J22" i="1"/>
  <c r="B5" i="1"/>
  <c r="I23" i="1"/>
  <c r="I24" i="1"/>
  <c r="I25" i="1"/>
  <c r="I26" i="1"/>
  <c r="I27" i="1"/>
  <c r="I28" i="1"/>
  <c r="I29" i="1"/>
  <c r="I22" i="1"/>
  <c r="B4" i="1"/>
  <c r="H23" i="1"/>
  <c r="H24" i="1"/>
  <c r="H25" i="1"/>
  <c r="H26" i="1"/>
  <c r="H27" i="1"/>
  <c r="H28" i="1"/>
  <c r="H29" i="1"/>
  <c r="H22" i="1"/>
  <c r="G23" i="1"/>
  <c r="G22" i="1"/>
  <c r="G25" i="1"/>
  <c r="B8" i="1"/>
  <c r="G24" i="1"/>
  <c r="G27" i="1"/>
  <c r="G26" i="1"/>
  <c r="G28" i="1"/>
  <c r="G29" i="1"/>
</calcChain>
</file>

<file path=xl/comments1.xml><?xml version="1.0" encoding="utf-8"?>
<comments xmlns="http://schemas.openxmlformats.org/spreadsheetml/2006/main">
  <authors>
    <author>jonathan sanchez muñoz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jonathan sanchez muñoz:</t>
        </r>
        <r>
          <rPr>
            <sz val="9"/>
            <color indexed="81"/>
            <rFont val="Tahoma"/>
            <charset val="1"/>
          </rPr>
          <t xml:space="preserve">
Red cells can be changed to obtain proper numbers.
</t>
        </r>
      </text>
    </comment>
  </commentList>
</comments>
</file>

<file path=xl/sharedStrings.xml><?xml version="1.0" encoding="utf-8"?>
<sst xmlns="http://schemas.openxmlformats.org/spreadsheetml/2006/main" count="178" uniqueCount="82">
  <si>
    <t>Computational domain size according with L</t>
  </si>
  <si>
    <t># Refinement</t>
  </si>
  <si>
    <t>Fine grid 1  X</t>
  </si>
  <si>
    <t>Fine grid 1  Y</t>
  </si>
  <si>
    <t>Fine grid 2  X</t>
  </si>
  <si>
    <t>Fine grid 2  Y</t>
  </si>
  <si>
    <t>Fine grid 3  X</t>
  </si>
  <si>
    <t>Fine grid 3  Y</t>
  </si>
  <si>
    <t xml:space="preserve">Coarse grid Y </t>
  </si>
  <si>
    <t xml:space="preserve">Coarse grid X </t>
  </si>
  <si>
    <t>Times L</t>
  </si>
  <si>
    <t>Grids</t>
  </si>
  <si>
    <t>Times L  Finest grid</t>
  </si>
  <si>
    <t>Lattice Units coarse grid</t>
  </si>
  <si>
    <t>Accumulative</t>
  </si>
  <si>
    <t>L0</t>
  </si>
  <si>
    <t>L1</t>
  </si>
  <si>
    <t>L2</t>
  </si>
  <si>
    <t>L3</t>
  </si>
  <si>
    <t>RefXstart 1</t>
  </si>
  <si>
    <t>RefXstart 2</t>
  </si>
  <si>
    <t>RefXstart 3</t>
  </si>
  <si>
    <t>RefYstart 1</t>
  </si>
  <si>
    <t>RefYstart 2</t>
  </si>
  <si>
    <t>Object_start_x</t>
  </si>
  <si>
    <t>Object_start_y</t>
  </si>
  <si>
    <t>X_0</t>
  </si>
  <si>
    <t>Y_0</t>
  </si>
  <si>
    <t>X_1</t>
  </si>
  <si>
    <t>Y_1</t>
  </si>
  <si>
    <t>X_2</t>
  </si>
  <si>
    <t>Y_3</t>
  </si>
  <si>
    <t>Y_2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</si>
  <si>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</si>
  <si>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</si>
  <si>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</si>
  <si>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</si>
  <si>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</si>
  <si>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</si>
  <si>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</si>
  <si>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</si>
  <si>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</si>
  <si>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R0</t>
  </si>
  <si>
    <t>R1</t>
  </si>
  <si>
    <t>R2</t>
  </si>
  <si>
    <t>R3</t>
  </si>
  <si>
    <t>R4</t>
  </si>
  <si>
    <t>R5</t>
  </si>
  <si>
    <t>XC</t>
  </si>
  <si>
    <t>YC</t>
  </si>
  <si>
    <t>X02</t>
  </si>
  <si>
    <t>Y02</t>
  </si>
  <si>
    <t>X03</t>
  </si>
  <si>
    <t>Y03</t>
  </si>
  <si>
    <t>X04</t>
  </si>
  <si>
    <t>Y04</t>
  </si>
  <si>
    <t>X05</t>
  </si>
  <si>
    <t>Y05</t>
  </si>
  <si>
    <t>Y5</t>
  </si>
  <si>
    <t>Box dimensions (in Diameters)</t>
  </si>
  <si>
    <t>*(such that 3 of 4 sides are equidistant from cylinder centre: with refinement in wake)</t>
  </si>
  <si>
    <t>Total Cells</t>
  </si>
  <si>
    <t>Mesh0</t>
  </si>
  <si>
    <t>Mesh1</t>
  </si>
  <si>
    <t>Mesh2</t>
  </si>
  <si>
    <t>Mesh3</t>
  </si>
  <si>
    <t>Mesh4</t>
  </si>
  <si>
    <t>Mesh5</t>
  </si>
  <si>
    <t>X0</t>
  </si>
  <si>
    <t>Y0</t>
  </si>
  <si>
    <t>Y01</t>
  </si>
  <si>
    <t>X01</t>
  </si>
  <si>
    <t xml:space="preserve">Box location (in Diameters) * </t>
  </si>
  <si>
    <t>Total Active</t>
  </si>
  <si>
    <t>Total active sites</t>
  </si>
  <si>
    <t>Level</t>
  </si>
  <si>
    <t>#Levels</t>
  </si>
  <si>
    <t>D</t>
  </si>
  <si>
    <t>% of Volume</t>
  </si>
  <si>
    <t>% active sites</t>
  </si>
  <si>
    <t>LUPTS</t>
  </si>
  <si>
    <t>% LUPTS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</si>
</sst>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0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4" borderId="0" xfId="0" applyFill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3" fillId="6" borderId="1" xfId="0" applyFont="1" applyFill="1" applyBorder="1"/>
    <xf numFmtId="0" fontId="0" fillId="3" borderId="0" xfId="0" applyFill="1" applyBorder="1"/>
    <xf numFmtId="0" fontId="0" fillId="6" borderId="1" xfId="0" applyFill="1" applyBorder="1"/>
    <xf numFmtId="0" fontId="0" fillId="4" borderId="0" xfId="0" applyFill="1" applyBorder="1"/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5" fillId="0" borderId="0" xfId="0" applyFont="1"/>
    <xf numFmtId="0" fontId="8" fillId="7" borderId="0" xfId="0" applyFont="1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5" fillId="2" borderId="0" xfId="0" applyFont="1" applyFill="1"/>
    <xf numFmtId="0" fontId="9" fillId="0" borderId="0" xfId="0" applyFont="1" applyFill="1" applyAlignment="1">
      <alignment horizontal="center"/>
    </xf>
    <xf numFmtId="0" fontId="8" fillId="7" borderId="0" xfId="0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8" fillId="7" borderId="0" xfId="0" applyFont="1" applyFill="1" applyAlignment="1">
      <alignment horizontal="left"/>
    </xf>
  </cellXfs>
  <cellStyles count="1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678656</xdr:colOff>
      <xdr:row>66</xdr:row>
      <xdr:rowOff>11908</xdr:rowOff>
    </xdr:from>
    <xdr:to>
      <xdr:col>16</xdr:col>
      <xdr:colOff>355849</xdr:colOff>
      <xdr:row>67</xdr:row>
      <xdr:rowOff>127593</xdr:rowOff>
    </xdr:to>
    <xdr:sp macro="" textlink="">
      <xdr:nvSpPr>
        <xdr:cNvPr id="143" name="67 Cuadro de texto"/>
        <xdr:cNvSpPr txBox="1"/>
      </xdr:nvSpPr>
      <xdr:spPr>
        <a:xfrm>
          <a:off x="15132844" y="12013408"/>
          <a:ext cx="439193" cy="306185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n-GB" sz="1100">
              <a:effectLst/>
              <a:ea typeface="Calibri"/>
              <a:cs typeface="Times New Roman"/>
            </a:rPr>
            <a:t>2.5L</a:t>
          </a:r>
          <a:endParaRPr lang="es-MX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15</xdr:col>
      <xdr:colOff>738186</xdr:colOff>
      <xdr:row>72</xdr:row>
      <xdr:rowOff>57148</xdr:rowOff>
    </xdr:from>
    <xdr:to>
      <xdr:col>16</xdr:col>
      <xdr:colOff>532061</xdr:colOff>
      <xdr:row>73</xdr:row>
      <xdr:rowOff>172833</xdr:rowOff>
    </xdr:to>
    <xdr:sp macro="" textlink="">
      <xdr:nvSpPr>
        <xdr:cNvPr id="146" name="67 Cuadro de texto"/>
        <xdr:cNvSpPr txBox="1"/>
      </xdr:nvSpPr>
      <xdr:spPr>
        <a:xfrm>
          <a:off x="15192374" y="13201648"/>
          <a:ext cx="555875" cy="306185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n-GB" sz="1100">
              <a:effectLst/>
              <a:ea typeface="Calibri"/>
              <a:cs typeface="Times New Roman"/>
            </a:rPr>
            <a:t>2.5L</a:t>
          </a:r>
        </a:p>
        <a:p>
          <a:pPr>
            <a:lnSpc>
              <a:spcPct val="115000"/>
            </a:lnSpc>
            <a:spcAft>
              <a:spcPts val="1000"/>
            </a:spcAft>
          </a:pPr>
          <a:r>
            <a:rPr lang="en-GB" sz="1100">
              <a:effectLst/>
              <a:ea typeface="Calibri"/>
              <a:cs typeface="Times New Roman"/>
            </a:rPr>
            <a:t>L</a:t>
          </a:r>
          <a:endParaRPr lang="es-MX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16</xdr:col>
      <xdr:colOff>759622</xdr:colOff>
      <xdr:row>69</xdr:row>
      <xdr:rowOff>21432</xdr:rowOff>
    </xdr:from>
    <xdr:to>
      <xdr:col>17</xdr:col>
      <xdr:colOff>476250</xdr:colOff>
      <xdr:row>70</xdr:row>
      <xdr:rowOff>137117</xdr:rowOff>
    </xdr:to>
    <xdr:sp macro="" textlink="">
      <xdr:nvSpPr>
        <xdr:cNvPr id="150" name="67 Cuadro de texto"/>
        <xdr:cNvSpPr txBox="1"/>
      </xdr:nvSpPr>
      <xdr:spPr>
        <a:xfrm>
          <a:off x="15975810" y="12594432"/>
          <a:ext cx="478628" cy="306185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endParaRPr lang="es-MX" sz="1100">
            <a:effectLst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102054</xdr:colOff>
      <xdr:row>16</xdr:row>
      <xdr:rowOff>120583</xdr:rowOff>
    </xdr:from>
    <xdr:to>
      <xdr:col>4</xdr:col>
      <xdr:colOff>404812</xdr:colOff>
      <xdr:row>36</xdr:row>
      <xdr:rowOff>110558</xdr:rowOff>
    </xdr:to>
    <xdr:pic>
      <xdr:nvPicPr>
        <xdr:cNvPr id="2" name="1 Imagen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54" y="2597083"/>
          <a:ext cx="4956401" cy="3799975"/>
        </a:xfrm>
        <a:prstGeom prst="rect">
          <a:avLst/>
        </a:prstGeom>
      </xdr:spPr>
    </xdr:pic>
    <xdr:clientData/>
  </xdr:twoCellAnchor>
  <xdr:twoCellAnchor>
    <xdr:from>
      <xdr:col>10</xdr:col>
      <xdr:colOff>884464</xdr:colOff>
      <xdr:row>3</xdr:row>
      <xdr:rowOff>35750</xdr:rowOff>
    </xdr:from>
    <xdr:to>
      <xdr:col>19</xdr:col>
      <xdr:colOff>658472</xdr:colOff>
      <xdr:row>40</xdr:row>
      <xdr:rowOff>68036</xdr:rowOff>
    </xdr:to>
    <xdr:grpSp>
      <xdr:nvGrpSpPr>
        <xdr:cNvPr id="5" name="4 Grupo"/>
        <xdr:cNvGrpSpPr/>
      </xdr:nvGrpSpPr>
      <xdr:grpSpPr>
        <a:xfrm>
          <a:off x="13022035" y="580036"/>
          <a:ext cx="8446294" cy="6745143"/>
          <a:chOff x="11579678" y="607250"/>
          <a:chExt cx="7611723" cy="8604786"/>
        </a:xfrm>
      </xdr:grpSpPr>
      <xdr:pic>
        <xdr:nvPicPr>
          <xdr:cNvPr id="3" name="2 Imagen" descr="Recorte de pantalla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579678" y="607250"/>
            <a:ext cx="7611723" cy="4320606"/>
          </a:xfrm>
          <a:prstGeom prst="rect">
            <a:avLst/>
          </a:prstGeom>
        </xdr:spPr>
      </xdr:pic>
      <xdr:pic>
        <xdr:nvPicPr>
          <xdr:cNvPr id="4" name="3 Imagen" descr="Recorte de pantalla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028714" y="5157106"/>
            <a:ext cx="6966857" cy="405493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105784</xdr:colOff>
      <xdr:row>3</xdr:row>
      <xdr:rowOff>23309</xdr:rowOff>
    </xdr:from>
    <xdr:to>
      <xdr:col>32</xdr:col>
      <xdr:colOff>437478</xdr:colOff>
      <xdr:row>34</xdr:row>
      <xdr:rowOff>68132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411" r="3509" b="24252"/>
        <a:stretch/>
      </xdr:blipFill>
      <xdr:spPr>
        <a:xfrm>
          <a:off x="12000604" y="571949"/>
          <a:ext cx="8256494" cy="5714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zoomScale="70" zoomScaleNormal="70" zoomScalePageLayoutView="70" workbookViewId="0">
      <selection activeCell="H25" sqref="H25"/>
    </sheetView>
  </sheetViews>
  <sheetFormatPr defaultColWidth="10.77734375" defaultRowHeight="14.4" x14ac:dyDescent="0.3"/>
  <cols>
    <col min="1" max="1" width="20.44140625" style="3" customWidth="1"/>
    <col min="2" max="2" width="10.77734375" style="3"/>
    <col min="3" max="3" width="18.44140625" style="3" customWidth="1"/>
    <col min="4" max="4" width="19.44140625" style="3" customWidth="1"/>
    <col min="5" max="6" width="10.77734375" style="3"/>
    <col min="7" max="7" width="19" style="3" customWidth="1"/>
    <col min="8" max="8" width="15.6640625" style="3" customWidth="1"/>
    <col min="9" max="9" width="20.44140625" style="3" customWidth="1"/>
    <col min="10" max="10" width="12.44140625" style="3" customWidth="1"/>
    <col min="11" max="11" width="26.109375" style="3" customWidth="1"/>
    <col min="12" max="16384" width="10.77734375" style="3"/>
  </cols>
  <sheetData>
    <row r="1" spans="1:12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x14ac:dyDescent="0.3">
      <c r="A3" s="1" t="s">
        <v>15</v>
      </c>
      <c r="B3" s="5">
        <v>80</v>
      </c>
      <c r="C3" s="5"/>
      <c r="D3" s="4" t="s">
        <v>12</v>
      </c>
    </row>
    <row r="4" spans="1:12" x14ac:dyDescent="0.3">
      <c r="A4" s="1" t="s">
        <v>16</v>
      </c>
      <c r="B4" s="5">
        <f>B3/(2^1)</f>
        <v>40</v>
      </c>
      <c r="C4" s="8"/>
      <c r="D4" s="10"/>
    </row>
    <row r="5" spans="1:12" x14ac:dyDescent="0.3">
      <c r="A5" s="1" t="s">
        <v>17</v>
      </c>
      <c r="B5" s="5">
        <f>B3/(2^2)</f>
        <v>20</v>
      </c>
      <c r="C5" s="8"/>
      <c r="D5" s="10"/>
    </row>
    <row r="6" spans="1:12" x14ac:dyDescent="0.3">
      <c r="A6" s="1" t="s">
        <v>18</v>
      </c>
      <c r="B6" s="5">
        <f>B3/(2^3)</f>
        <v>10</v>
      </c>
      <c r="C6" s="8"/>
      <c r="D6" s="10"/>
    </row>
    <row r="7" spans="1:12" x14ac:dyDescent="0.3">
      <c r="A7" s="1" t="s">
        <v>1</v>
      </c>
      <c r="B7" s="5">
        <v>3</v>
      </c>
      <c r="C7" s="8"/>
    </row>
    <row r="8" spans="1:12" x14ac:dyDescent="0.3">
      <c r="A8" s="2" t="s">
        <v>11</v>
      </c>
      <c r="B8" s="4">
        <f>$B$7+1</f>
        <v>4</v>
      </c>
      <c r="C8" s="4" t="s">
        <v>14</v>
      </c>
    </row>
    <row r="9" spans="1:12" ht="28.8" x14ac:dyDescent="0.3">
      <c r="A9" s="2" t="s">
        <v>2</v>
      </c>
      <c r="B9" s="5">
        <v>5</v>
      </c>
      <c r="C9" s="9">
        <f>B9</f>
        <v>5</v>
      </c>
      <c r="D9" s="4" t="s">
        <v>10</v>
      </c>
      <c r="G9" s="2" t="s">
        <v>24</v>
      </c>
      <c r="H9" s="6">
        <f>2*B6</f>
        <v>20</v>
      </c>
      <c r="I9" s="11" t="s">
        <v>13</v>
      </c>
    </row>
    <row r="10" spans="1:12" ht="28.8" x14ac:dyDescent="0.3">
      <c r="A10" s="2" t="s">
        <v>3</v>
      </c>
      <c r="B10" s="5">
        <f>1+1+(1/4)</f>
        <v>2.25</v>
      </c>
      <c r="C10" s="9">
        <f>B10</f>
        <v>2.25</v>
      </c>
      <c r="D10" s="4" t="s">
        <v>10</v>
      </c>
      <c r="G10" s="2" t="s">
        <v>25</v>
      </c>
      <c r="H10" s="6">
        <f>B6</f>
        <v>10</v>
      </c>
      <c r="I10" s="11" t="s">
        <v>13</v>
      </c>
    </row>
    <row r="11" spans="1:12" ht="28.8" x14ac:dyDescent="0.3">
      <c r="A11" s="2" t="s">
        <v>4</v>
      </c>
      <c r="B11" s="5">
        <f>1+1</f>
        <v>2</v>
      </c>
      <c r="C11" s="9">
        <f t="shared" ref="C11:C16" si="0">C9+B11</f>
        <v>7</v>
      </c>
      <c r="D11" s="4" t="s">
        <v>10</v>
      </c>
      <c r="G11" s="2" t="s">
        <v>19</v>
      </c>
      <c r="H11" s="6">
        <f>B6</f>
        <v>10</v>
      </c>
      <c r="I11" s="11" t="s">
        <v>13</v>
      </c>
    </row>
    <row r="12" spans="1:12" ht="28.8" x14ac:dyDescent="0.3">
      <c r="A12" s="2" t="s">
        <v>5</v>
      </c>
      <c r="B12" s="5">
        <f>1+1</f>
        <v>2</v>
      </c>
      <c r="C12" s="9">
        <f t="shared" si="0"/>
        <v>4.25</v>
      </c>
      <c r="D12" s="4" t="s">
        <v>10</v>
      </c>
      <c r="G12" s="2" t="s">
        <v>22</v>
      </c>
      <c r="H12" s="6">
        <f>B6</f>
        <v>10</v>
      </c>
      <c r="I12" s="11" t="s">
        <v>13</v>
      </c>
    </row>
    <row r="13" spans="1:12" ht="28.8" x14ac:dyDescent="0.3">
      <c r="A13" s="2" t="s">
        <v>6</v>
      </c>
      <c r="B13" s="5">
        <f>1+1</f>
        <v>2</v>
      </c>
      <c r="C13" s="7">
        <f t="shared" si="0"/>
        <v>9</v>
      </c>
      <c r="D13" s="4" t="s">
        <v>10</v>
      </c>
      <c r="G13" s="2" t="s">
        <v>20</v>
      </c>
      <c r="H13" s="6">
        <f>B6</f>
        <v>10</v>
      </c>
      <c r="I13" s="11" t="s">
        <v>13</v>
      </c>
    </row>
    <row r="14" spans="1:12" ht="28.8" x14ac:dyDescent="0.3">
      <c r="A14" s="2" t="s">
        <v>7</v>
      </c>
      <c r="B14" s="5">
        <f>1+1</f>
        <v>2</v>
      </c>
      <c r="C14" s="7">
        <f t="shared" si="0"/>
        <v>6.25</v>
      </c>
      <c r="D14" s="4" t="s">
        <v>10</v>
      </c>
      <c r="G14" s="2" t="s">
        <v>23</v>
      </c>
      <c r="H14" s="6">
        <f>B6</f>
        <v>10</v>
      </c>
      <c r="I14" s="12" t="s">
        <v>13</v>
      </c>
    </row>
    <row r="15" spans="1:12" ht="28.8" x14ac:dyDescent="0.3">
      <c r="A15" s="2" t="s">
        <v>9</v>
      </c>
      <c r="B15" s="5">
        <f>3+3</f>
        <v>6</v>
      </c>
      <c r="C15" s="7">
        <f t="shared" si="0"/>
        <v>15</v>
      </c>
      <c r="D15" s="4" t="s">
        <v>10</v>
      </c>
      <c r="G15" s="2" t="s">
        <v>21</v>
      </c>
      <c r="H15" s="6">
        <f>B6*3</f>
        <v>30</v>
      </c>
      <c r="I15" s="11" t="s">
        <v>13</v>
      </c>
    </row>
    <row r="16" spans="1:12" ht="28.8" x14ac:dyDescent="0.3">
      <c r="A16" s="2" t="s">
        <v>8</v>
      </c>
      <c r="B16" s="5">
        <f>2+2</f>
        <v>4</v>
      </c>
      <c r="C16" s="7">
        <f t="shared" si="0"/>
        <v>10.25</v>
      </c>
      <c r="D16" s="4" t="s">
        <v>10</v>
      </c>
      <c r="G16" s="2" t="s">
        <v>21</v>
      </c>
      <c r="H16" s="6">
        <f>2*B6</f>
        <v>20</v>
      </c>
      <c r="I16" s="11" t="s">
        <v>13</v>
      </c>
    </row>
    <row r="21" spans="6:10" x14ac:dyDescent="0.3">
      <c r="G21" s="3" t="s">
        <v>15</v>
      </c>
      <c r="H21" s="3" t="s">
        <v>16</v>
      </c>
      <c r="I21" s="3" t="s">
        <v>17</v>
      </c>
      <c r="J21" s="3" t="s">
        <v>18</v>
      </c>
    </row>
    <row r="22" spans="6:10" x14ac:dyDescent="0.3">
      <c r="F22" s="3" t="s">
        <v>26</v>
      </c>
      <c r="G22" s="2">
        <f>$B$3*C9</f>
        <v>400</v>
      </c>
      <c r="H22" s="2">
        <f>$B$4*C9</f>
        <v>200</v>
      </c>
      <c r="I22" s="2">
        <f>$B$5*C9</f>
        <v>100</v>
      </c>
      <c r="J22" s="2">
        <f>$B$6*C9</f>
        <v>50</v>
      </c>
    </row>
    <row r="23" spans="6:10" x14ac:dyDescent="0.3">
      <c r="F23" s="3" t="s">
        <v>27</v>
      </c>
      <c r="G23" s="2">
        <f t="shared" ref="G23:G29" si="1">$B$3*C10</f>
        <v>180</v>
      </c>
      <c r="H23" s="2">
        <f t="shared" ref="H23:H29" si="2">$B$4*C10</f>
        <v>90</v>
      </c>
      <c r="I23" s="2">
        <f t="shared" ref="I23:I29" si="3">$B$5*C10</f>
        <v>45</v>
      </c>
      <c r="J23" s="2">
        <f t="shared" ref="J23:J29" si="4">$B$6*C10</f>
        <v>22.5</v>
      </c>
    </row>
    <row r="24" spans="6:10" x14ac:dyDescent="0.3">
      <c r="F24" s="3" t="s">
        <v>28</v>
      </c>
      <c r="G24" s="2">
        <f t="shared" si="1"/>
        <v>560</v>
      </c>
      <c r="H24" s="2">
        <f t="shared" si="2"/>
        <v>280</v>
      </c>
      <c r="I24" s="2">
        <f t="shared" si="3"/>
        <v>140</v>
      </c>
      <c r="J24" s="2">
        <f t="shared" si="4"/>
        <v>70</v>
      </c>
    </row>
    <row r="25" spans="6:10" x14ac:dyDescent="0.3">
      <c r="F25" s="3" t="s">
        <v>29</v>
      </c>
      <c r="G25" s="2">
        <f t="shared" si="1"/>
        <v>340</v>
      </c>
      <c r="H25" s="2">
        <f t="shared" si="2"/>
        <v>170</v>
      </c>
      <c r="I25" s="2">
        <f t="shared" si="3"/>
        <v>85</v>
      </c>
      <c r="J25" s="2">
        <f t="shared" si="4"/>
        <v>42.5</v>
      </c>
    </row>
    <row r="26" spans="6:10" x14ac:dyDescent="0.3">
      <c r="F26" s="3" t="s">
        <v>30</v>
      </c>
      <c r="G26" s="2">
        <f t="shared" si="1"/>
        <v>720</v>
      </c>
      <c r="H26" s="2">
        <f t="shared" si="2"/>
        <v>360</v>
      </c>
      <c r="I26" s="2">
        <f t="shared" si="3"/>
        <v>180</v>
      </c>
      <c r="J26" s="2">
        <f t="shared" si="4"/>
        <v>90</v>
      </c>
    </row>
    <row r="27" spans="6:10" x14ac:dyDescent="0.3">
      <c r="F27" s="3" t="s">
        <v>32</v>
      </c>
      <c r="G27" s="2">
        <f t="shared" si="1"/>
        <v>500</v>
      </c>
      <c r="H27" s="2">
        <f t="shared" si="2"/>
        <v>250</v>
      </c>
      <c r="I27" s="2">
        <f t="shared" si="3"/>
        <v>125</v>
      </c>
      <c r="J27" s="2">
        <f t="shared" si="4"/>
        <v>62.5</v>
      </c>
    </row>
    <row r="28" spans="6:10" x14ac:dyDescent="0.3">
      <c r="F28" s="3" t="s">
        <v>31</v>
      </c>
      <c r="G28" s="2">
        <f t="shared" si="1"/>
        <v>1200</v>
      </c>
      <c r="H28" s="2">
        <f t="shared" si="2"/>
        <v>600</v>
      </c>
      <c r="I28" s="2">
        <f t="shared" si="3"/>
        <v>300</v>
      </c>
      <c r="J28" s="2">
        <f t="shared" si="4"/>
        <v>150</v>
      </c>
    </row>
    <row r="29" spans="6:10" x14ac:dyDescent="0.3">
      <c r="F29" s="3" t="s">
        <v>31</v>
      </c>
      <c r="G29" s="2">
        <f t="shared" si="1"/>
        <v>820</v>
      </c>
      <c r="H29" s="2">
        <f t="shared" si="2"/>
        <v>410</v>
      </c>
      <c r="I29" s="2">
        <f t="shared" si="3"/>
        <v>205</v>
      </c>
      <c r="J29" s="2">
        <f t="shared" si="4"/>
        <v>102.5</v>
      </c>
    </row>
  </sheetData>
  <mergeCells count="1">
    <mergeCell ref="A1:L2"/>
  </mergeCells>
  <pageMargins left="0.7" right="0.7" top="0.75" bottom="0.75" header="0.3" footer="0.3"/>
  <pageSetup orientation="portrait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40"/>
  <sheetViews>
    <sheetView tabSelected="1" topLeftCell="A4" zoomScaleNormal="100" workbookViewId="0">
      <selection activeCell="U40" sqref="U40"/>
    </sheetView>
  </sheetViews>
  <sheetFormatPr defaultColWidth="11.5546875" defaultRowHeight="14.4" x14ac:dyDescent="0.3"/>
  <cols>
    <col min="2" max="2" width="5.33203125" bestFit="1" customWidth="1"/>
    <col min="3" max="3" width="4.109375" bestFit="1" customWidth="1"/>
    <col min="4" max="4" width="3.109375" bestFit="1" customWidth="1"/>
    <col min="5" max="5" width="3.33203125" customWidth="1"/>
    <col min="6" max="6" width="5" customWidth="1"/>
    <col min="7" max="7" width="3.77734375" customWidth="1"/>
    <col min="8" max="8" width="4.77734375" customWidth="1"/>
    <col min="9" max="9" width="9.6640625" customWidth="1"/>
    <col min="10" max="11" width="5.109375" customWidth="1"/>
    <col min="12" max="12" width="8" customWidth="1"/>
    <col min="13" max="13" width="4" bestFit="1" customWidth="1"/>
    <col min="14" max="14" width="8" customWidth="1"/>
    <col min="16" max="16" width="6.33203125" bestFit="1" customWidth="1"/>
    <col min="19" max="19" width="16.44140625" bestFit="1" customWidth="1"/>
    <col min="20" max="20" width="12" bestFit="1" customWidth="1"/>
  </cols>
  <sheetData>
    <row r="4" spans="1:22" x14ac:dyDescent="0.3">
      <c r="J4" t="s">
        <v>60</v>
      </c>
    </row>
    <row r="6" spans="1:22" x14ac:dyDescent="0.3">
      <c r="A6" t="s">
        <v>76</v>
      </c>
    </row>
    <row r="8" spans="1:22" x14ac:dyDescent="0.3">
      <c r="A8" s="19">
        <v>4</v>
      </c>
      <c r="B8" s="14" t="s">
        <v>75</v>
      </c>
      <c r="C8" s="14" t="s">
        <v>77</v>
      </c>
      <c r="D8" s="14"/>
      <c r="E8" s="22" t="s">
        <v>59</v>
      </c>
      <c r="F8" s="22"/>
      <c r="G8" s="22"/>
      <c r="H8" s="22"/>
      <c r="I8" s="22"/>
      <c r="J8" s="14"/>
      <c r="K8" s="22" t="s">
        <v>72</v>
      </c>
      <c r="L8" s="22"/>
      <c r="M8" s="22"/>
      <c r="N8" s="22"/>
      <c r="O8" s="14"/>
      <c r="P8" s="14"/>
      <c r="Q8" s="14" t="s">
        <v>61</v>
      </c>
      <c r="R8" s="14" t="s">
        <v>73</v>
      </c>
      <c r="S8" s="14" t="s">
        <v>78</v>
      </c>
      <c r="T8" s="14" t="s">
        <v>79</v>
      </c>
      <c r="U8" s="14" t="s">
        <v>80</v>
      </c>
      <c r="V8" s="14" t="s">
        <v>81</v>
      </c>
    </row>
    <row r="9" spans="1:22" x14ac:dyDescent="0.3">
      <c r="A9" s="19"/>
      <c r="B9" t="s">
        <v>42</v>
      </c>
      <c r="C9" s="18">
        <v>12</v>
      </c>
      <c r="E9" t="s">
        <v>68</v>
      </c>
      <c r="F9" s="18">
        <v>50</v>
      </c>
      <c r="G9" t="s">
        <v>69</v>
      </c>
      <c r="H9" s="18">
        <v>50</v>
      </c>
      <c r="I9" s="13"/>
      <c r="K9" t="s">
        <v>48</v>
      </c>
      <c r="L9" s="18">
        <v>20</v>
      </c>
      <c r="M9" t="s">
        <v>49</v>
      </c>
      <c r="N9" s="18">
        <v>25</v>
      </c>
      <c r="P9" t="s">
        <v>62</v>
      </c>
      <c r="Q9">
        <f>F9*H9*C9^2</f>
        <v>360000</v>
      </c>
      <c r="R9">
        <f>C9^2*(F9*H9-F10*H10)</f>
        <v>356544</v>
      </c>
      <c r="S9" s="16">
        <f>(F9*H9-F10*H10)/(F9*H9)</f>
        <v>0.99039999999999995</v>
      </c>
      <c r="T9" s="15">
        <f>R9/R15</f>
        <v>0.88051209103840677</v>
      </c>
      <c r="U9">
        <f>R9</f>
        <v>356544</v>
      </c>
      <c r="V9" s="15">
        <f>U9/$U$15</f>
        <v>0.5551569506726457</v>
      </c>
    </row>
    <row r="10" spans="1:22" x14ac:dyDescent="0.3">
      <c r="A10" s="19"/>
      <c r="B10" t="s">
        <v>43</v>
      </c>
      <c r="C10">
        <f>C9*2</f>
        <v>24</v>
      </c>
      <c r="E10" t="s">
        <v>33</v>
      </c>
      <c r="F10">
        <f>F11*2</f>
        <v>8</v>
      </c>
      <c r="G10" t="s">
        <v>34</v>
      </c>
      <c r="H10">
        <f>H11+1</f>
        <v>3</v>
      </c>
      <c r="K10" t="s">
        <v>71</v>
      </c>
      <c r="L10">
        <f>L9-(H10-1)/2</f>
        <v>19</v>
      </c>
      <c r="M10" t="s">
        <v>70</v>
      </c>
      <c r="N10">
        <f>N9-(H10-1)/2</f>
        <v>24</v>
      </c>
      <c r="P10" t="s">
        <v>63</v>
      </c>
      <c r="Q10">
        <f>F10*H10*C10^2</f>
        <v>13824</v>
      </c>
      <c r="R10">
        <f>C10^2*(F10*H10-F11*H11)</f>
        <v>9216</v>
      </c>
      <c r="S10" s="16">
        <f>(F10*H10-F11*H11)/(F9*H9)</f>
        <v>6.4000000000000003E-3</v>
      </c>
      <c r="T10" s="15">
        <f>R10/R15</f>
        <v>2.2759601706970129E-2</v>
      </c>
      <c r="U10">
        <f>R10*2</f>
        <v>18432</v>
      </c>
      <c r="V10" s="15">
        <f t="shared" ref="V10:V12" si="0">U10/$U$15</f>
        <v>2.8699551569506727E-2</v>
      </c>
    </row>
    <row r="11" spans="1:22" x14ac:dyDescent="0.3">
      <c r="A11" s="19"/>
      <c r="B11" t="s">
        <v>44</v>
      </c>
      <c r="C11">
        <f>C10*2</f>
        <v>48</v>
      </c>
      <c r="E11" t="s">
        <v>35</v>
      </c>
      <c r="F11">
        <f>F12*2</f>
        <v>4</v>
      </c>
      <c r="G11" t="s">
        <v>36</v>
      </c>
      <c r="H11">
        <v>2</v>
      </c>
      <c r="K11" t="s">
        <v>50</v>
      </c>
      <c r="L11">
        <f>L9-(H11-1)/2</f>
        <v>19.5</v>
      </c>
      <c r="M11" t="s">
        <v>51</v>
      </c>
      <c r="N11">
        <f>N9-(H11-1)/2</f>
        <v>24.5</v>
      </c>
      <c r="P11" t="s">
        <v>64</v>
      </c>
      <c r="Q11">
        <f>F11*H11*C11^2</f>
        <v>18432</v>
      </c>
      <c r="R11">
        <f>C11^2*(H11*F11-F12*H12)</f>
        <v>11520</v>
      </c>
      <c r="S11" s="16">
        <f>(F11*H11-F12*H12)/(F9*H9)</f>
        <v>2E-3</v>
      </c>
      <c r="T11" s="15">
        <f>R11/R15</f>
        <v>2.8449502133712661E-2</v>
      </c>
      <c r="U11">
        <f>R11*4</f>
        <v>46080</v>
      </c>
      <c r="V11" s="15">
        <f t="shared" si="0"/>
        <v>7.1748878923766815E-2</v>
      </c>
    </row>
    <row r="12" spans="1:22" x14ac:dyDescent="0.3">
      <c r="A12" s="19"/>
      <c r="B12" t="s">
        <v>45</v>
      </c>
      <c r="C12">
        <f>C11*2</f>
        <v>96</v>
      </c>
      <c r="E12" t="s">
        <v>37</v>
      </c>
      <c r="F12" s="18">
        <v>2</v>
      </c>
      <c r="G12" t="s">
        <v>38</v>
      </c>
      <c r="H12" s="18">
        <v>1.5</v>
      </c>
      <c r="I12" s="13"/>
      <c r="K12" t="s">
        <v>52</v>
      </c>
      <c r="L12">
        <f>L9-(H12-1)/2</f>
        <v>19.75</v>
      </c>
      <c r="M12" t="s">
        <v>53</v>
      </c>
      <c r="N12">
        <f>N9-(H12-1)/2</f>
        <v>24.75</v>
      </c>
      <c r="P12" t="s">
        <v>65</v>
      </c>
      <c r="Q12">
        <f>F12*H12*C12^2</f>
        <v>27648</v>
      </c>
      <c r="R12">
        <f>Q12</f>
        <v>27648</v>
      </c>
      <c r="S12" s="16">
        <f>(F12*H12)/(F9*H9)</f>
        <v>1.1999999999999999E-3</v>
      </c>
      <c r="T12" s="15">
        <f>R12/R15</f>
        <v>6.8278805120910391E-2</v>
      </c>
      <c r="U12">
        <f>R12*8</f>
        <v>221184</v>
      </c>
      <c r="V12" s="15">
        <f t="shared" si="0"/>
        <v>0.34439461883408073</v>
      </c>
    </row>
    <row r="13" spans="1:22" x14ac:dyDescent="0.3">
      <c r="A13" s="19"/>
      <c r="T13" s="15"/>
    </row>
    <row r="14" spans="1:22" x14ac:dyDescent="0.3">
      <c r="A14" s="19"/>
    </row>
    <row r="15" spans="1:22" x14ac:dyDescent="0.3">
      <c r="A15" s="19"/>
      <c r="P15" t="s">
        <v>74</v>
      </c>
      <c r="R15">
        <f>SUM(R9:R12)</f>
        <v>404928</v>
      </c>
      <c r="S15" s="17">
        <f>SUM(S9:S12)</f>
        <v>0.99999999999999989</v>
      </c>
      <c r="T15" s="17">
        <f>SUM(T9:T12)</f>
        <v>1</v>
      </c>
      <c r="U15">
        <f>SUM(U9:U12)</f>
        <v>642240</v>
      </c>
      <c r="V15" s="15">
        <f>SUM(V9:V12)</f>
        <v>1</v>
      </c>
    </row>
    <row r="16" spans="1:22" x14ac:dyDescent="0.3">
      <c r="A16" s="19"/>
    </row>
    <row r="17" spans="1:22" x14ac:dyDescent="0.3">
      <c r="A17" s="19"/>
      <c r="G17" s="13"/>
      <c r="H17" s="13"/>
      <c r="I17" s="13"/>
    </row>
    <row r="18" spans="1:22" x14ac:dyDescent="0.3">
      <c r="A18" s="19"/>
    </row>
    <row r="19" spans="1:22" x14ac:dyDescent="0.3">
      <c r="A19" s="19">
        <v>5</v>
      </c>
      <c r="B19" s="14" t="s">
        <v>75</v>
      </c>
      <c r="C19" s="14" t="s">
        <v>77</v>
      </c>
      <c r="D19" s="14"/>
      <c r="E19" s="22" t="s">
        <v>59</v>
      </c>
      <c r="F19" s="22"/>
      <c r="G19" s="22"/>
      <c r="H19" s="22"/>
      <c r="I19" s="22"/>
      <c r="J19" s="14"/>
      <c r="K19" s="22" t="s">
        <v>72</v>
      </c>
      <c r="L19" s="22"/>
      <c r="M19" s="22"/>
      <c r="N19" s="22"/>
      <c r="O19" s="14"/>
      <c r="P19" s="14"/>
      <c r="Q19" s="14" t="s">
        <v>61</v>
      </c>
      <c r="R19" s="14" t="s">
        <v>73</v>
      </c>
      <c r="S19" s="14" t="s">
        <v>78</v>
      </c>
      <c r="T19" s="14" t="s">
        <v>79</v>
      </c>
      <c r="U19" s="14" t="s">
        <v>80</v>
      </c>
      <c r="V19" s="14" t="s">
        <v>81</v>
      </c>
    </row>
    <row r="20" spans="1:22" x14ac:dyDescent="0.3">
      <c r="A20" s="19"/>
      <c r="B20" t="s">
        <v>42</v>
      </c>
      <c r="C20" s="18">
        <v>6</v>
      </c>
      <c r="E20" t="s">
        <v>68</v>
      </c>
      <c r="F20" s="18">
        <v>50</v>
      </c>
      <c r="G20" t="s">
        <v>69</v>
      </c>
      <c r="H20" s="18">
        <v>50</v>
      </c>
      <c r="I20" s="13"/>
      <c r="K20" t="s">
        <v>48</v>
      </c>
      <c r="L20" s="18">
        <v>20</v>
      </c>
      <c r="M20" t="s">
        <v>49</v>
      </c>
      <c r="N20" s="18">
        <v>25</v>
      </c>
      <c r="P20" t="s">
        <v>62</v>
      </c>
      <c r="Q20">
        <f>F20*H20*C20^2</f>
        <v>90000</v>
      </c>
      <c r="R20">
        <f>C20^2*(F20*H20-F21*H21)</f>
        <v>87696</v>
      </c>
      <c r="S20" s="16">
        <f>(F20*H20-F21*H21)/(F20*H20)</f>
        <v>0.97440000000000004</v>
      </c>
      <c r="T20" s="15">
        <f>R20/R27</f>
        <v>0.61827411167512691</v>
      </c>
      <c r="U20">
        <f>R20</f>
        <v>87696</v>
      </c>
      <c r="V20" s="15">
        <f>U20/$U$27</f>
        <v>0.13077088254240929</v>
      </c>
    </row>
    <row r="21" spans="1:22" x14ac:dyDescent="0.3">
      <c r="A21" s="19"/>
      <c r="B21" t="s">
        <v>43</v>
      </c>
      <c r="C21">
        <f>C20*2</f>
        <v>12</v>
      </c>
      <c r="E21" t="s">
        <v>33</v>
      </c>
      <c r="F21">
        <f>F22*2</f>
        <v>16</v>
      </c>
      <c r="G21" t="s">
        <v>34</v>
      </c>
      <c r="H21">
        <f>H22+1</f>
        <v>4</v>
      </c>
      <c r="K21" t="s">
        <v>71</v>
      </c>
      <c r="L21">
        <f>L20-(H21-1)/2</f>
        <v>18.5</v>
      </c>
      <c r="M21" t="s">
        <v>70</v>
      </c>
      <c r="N21">
        <f>N20-(H21-1)/2</f>
        <v>23.5</v>
      </c>
      <c r="P21" t="s">
        <v>63</v>
      </c>
      <c r="Q21">
        <f>F21*H21*C21^2</f>
        <v>9216</v>
      </c>
      <c r="R21">
        <f>C21^2*(F21*H21-F22*H22)</f>
        <v>5760</v>
      </c>
      <c r="S21" s="16">
        <f>(F21*H21-F22*H22)/(F20*H20)</f>
        <v>1.6E-2</v>
      </c>
      <c r="T21" s="15">
        <f>R21/R27</f>
        <v>4.060913705583756E-2</v>
      </c>
      <c r="U21">
        <f>R21*2</f>
        <v>11520</v>
      </c>
      <c r="V21" s="15">
        <f t="shared" ref="V21:V24" si="1">U21/$U$27</f>
        <v>1.7178441056474127E-2</v>
      </c>
    </row>
    <row r="22" spans="1:22" x14ac:dyDescent="0.3">
      <c r="A22" s="19"/>
      <c r="B22" t="s">
        <v>44</v>
      </c>
      <c r="C22">
        <f>C21*2</f>
        <v>24</v>
      </c>
      <c r="E22" t="s">
        <v>35</v>
      </c>
      <c r="F22">
        <f>F23*2</f>
        <v>8</v>
      </c>
      <c r="G22" t="s">
        <v>36</v>
      </c>
      <c r="H22">
        <f>H23+1</f>
        <v>3</v>
      </c>
      <c r="K22" t="s">
        <v>50</v>
      </c>
      <c r="L22">
        <f>L20-(H22-1)/2</f>
        <v>19</v>
      </c>
      <c r="M22" t="s">
        <v>51</v>
      </c>
      <c r="N22">
        <f>N20-(H22-1)/2</f>
        <v>24</v>
      </c>
      <c r="P22" t="s">
        <v>64</v>
      </c>
      <c r="Q22">
        <f>F22*H22*C22^2</f>
        <v>13824</v>
      </c>
      <c r="R22">
        <f>C22^2*(H22*F22-H23*F23)</f>
        <v>9216</v>
      </c>
      <c r="S22" s="16">
        <f>(F22*H22-F23*H23)/(F20*H20)</f>
        <v>6.4000000000000003E-3</v>
      </c>
      <c r="T22" s="15">
        <f>R22/R27</f>
        <v>6.4974619289340105E-2</v>
      </c>
      <c r="U22">
        <f>R22*4</f>
        <v>36864</v>
      </c>
      <c r="V22" s="15">
        <f t="shared" si="1"/>
        <v>5.4971011380717201E-2</v>
      </c>
    </row>
    <row r="23" spans="1:22" x14ac:dyDescent="0.3">
      <c r="A23" s="19"/>
      <c r="B23" t="s">
        <v>45</v>
      </c>
      <c r="C23">
        <f>C22*2</f>
        <v>48</v>
      </c>
      <c r="E23" t="s">
        <v>37</v>
      </c>
      <c r="F23">
        <f>F24*2</f>
        <v>4</v>
      </c>
      <c r="G23" t="s">
        <v>38</v>
      </c>
      <c r="H23" s="18">
        <v>2</v>
      </c>
      <c r="I23" s="13"/>
      <c r="K23" t="s">
        <v>52</v>
      </c>
      <c r="L23">
        <f>L20-(H23-1)/2</f>
        <v>19.5</v>
      </c>
      <c r="M23" t="s">
        <v>53</v>
      </c>
      <c r="N23">
        <f>N20-(H23-1)/2</f>
        <v>24.5</v>
      </c>
      <c r="P23" t="s">
        <v>65</v>
      </c>
      <c r="Q23">
        <f>F23*H23*C23^2</f>
        <v>18432</v>
      </c>
      <c r="R23">
        <f>C23^2*(H23*F23-H24*F24)</f>
        <v>11520</v>
      </c>
      <c r="S23" s="16">
        <f>(F23*H23-F24*H24)/(F20*H20)</f>
        <v>2E-3</v>
      </c>
      <c r="T23" s="15">
        <f>R23/R27</f>
        <v>8.1218274111675121E-2</v>
      </c>
      <c r="U23">
        <f>R23*8</f>
        <v>92160</v>
      </c>
      <c r="V23" s="15">
        <f t="shared" si="1"/>
        <v>0.13742752845179301</v>
      </c>
    </row>
    <row r="24" spans="1:22" x14ac:dyDescent="0.3">
      <c r="A24" s="19"/>
      <c r="B24" t="s">
        <v>46</v>
      </c>
      <c r="C24">
        <f>C23*2</f>
        <v>96</v>
      </c>
      <c r="E24" t="s">
        <v>39</v>
      </c>
      <c r="F24" s="18">
        <v>2</v>
      </c>
      <c r="G24" t="s">
        <v>40</v>
      </c>
      <c r="H24" s="18">
        <v>1.5</v>
      </c>
      <c r="I24" s="13"/>
      <c r="K24" t="s">
        <v>54</v>
      </c>
      <c r="L24">
        <f>L20-(H24-1)/2</f>
        <v>19.75</v>
      </c>
      <c r="M24" t="s">
        <v>55</v>
      </c>
      <c r="N24">
        <f>N20-(H24-1)/2</f>
        <v>24.75</v>
      </c>
      <c r="P24" t="s">
        <v>66</v>
      </c>
      <c r="Q24">
        <f>F24*H24*C24^2</f>
        <v>27648</v>
      </c>
      <c r="R24">
        <f>Q24</f>
        <v>27648</v>
      </c>
      <c r="S24" s="16">
        <f>(F24*H24)/(F20*H20)</f>
        <v>1.1999999999999999E-3</v>
      </c>
      <c r="T24" s="15">
        <f>R24/R27</f>
        <v>0.1949238578680203</v>
      </c>
      <c r="U24">
        <f>R24*16</f>
        <v>442368</v>
      </c>
      <c r="V24" s="15">
        <f t="shared" si="1"/>
        <v>0.65965213656860644</v>
      </c>
    </row>
    <row r="25" spans="1:22" x14ac:dyDescent="0.3">
      <c r="A25" s="19"/>
    </row>
    <row r="26" spans="1:22" x14ac:dyDescent="0.3">
      <c r="A26" s="19"/>
    </row>
    <row r="27" spans="1:22" x14ac:dyDescent="0.3">
      <c r="A27" s="19"/>
      <c r="P27" t="s">
        <v>74</v>
      </c>
      <c r="R27">
        <f>SUM(R20:R24)</f>
        <v>141840</v>
      </c>
      <c r="S27" s="17">
        <f>SUM(S20:S24)</f>
        <v>1</v>
      </c>
      <c r="T27" s="17">
        <f>SUM(T20:T24)</f>
        <v>1</v>
      </c>
      <c r="U27">
        <f>SUM(U20:U24)</f>
        <v>670608</v>
      </c>
      <c r="V27" s="15">
        <f>SUM(V20:V24)</f>
        <v>1</v>
      </c>
    </row>
    <row r="28" spans="1:22" x14ac:dyDescent="0.3">
      <c r="A28" s="19"/>
    </row>
    <row r="31" spans="1:22" x14ac:dyDescent="0.3">
      <c r="A31" s="19">
        <v>6</v>
      </c>
      <c r="B31" s="14" t="s">
        <v>75</v>
      </c>
      <c r="C31" s="14" t="s">
        <v>77</v>
      </c>
      <c r="D31" s="14"/>
      <c r="E31" s="20" t="s">
        <v>59</v>
      </c>
      <c r="F31" s="20"/>
      <c r="G31" s="20"/>
      <c r="H31" s="20"/>
      <c r="I31" s="20"/>
      <c r="J31" s="14"/>
      <c r="K31" s="20" t="s">
        <v>72</v>
      </c>
      <c r="L31" s="20"/>
      <c r="M31" s="20"/>
      <c r="N31" s="20"/>
      <c r="O31" s="14"/>
      <c r="P31" s="14"/>
      <c r="Q31" s="14" t="s">
        <v>61</v>
      </c>
      <c r="R31" s="14" t="s">
        <v>73</v>
      </c>
      <c r="S31" s="14" t="s">
        <v>78</v>
      </c>
      <c r="T31" s="14" t="s">
        <v>79</v>
      </c>
      <c r="U31" s="14" t="s">
        <v>80</v>
      </c>
      <c r="V31" s="14" t="s">
        <v>81</v>
      </c>
    </row>
    <row r="32" spans="1:22" x14ac:dyDescent="0.3">
      <c r="B32" t="s">
        <v>42</v>
      </c>
      <c r="C32" s="18">
        <v>3</v>
      </c>
      <c r="E32" t="s">
        <v>68</v>
      </c>
      <c r="F32" s="18">
        <v>50</v>
      </c>
      <c r="G32" t="s">
        <v>69</v>
      </c>
      <c r="H32" s="18">
        <v>50</v>
      </c>
      <c r="I32" s="13"/>
      <c r="K32" t="s">
        <v>48</v>
      </c>
      <c r="L32" s="18">
        <v>20</v>
      </c>
      <c r="M32" t="s">
        <v>49</v>
      </c>
      <c r="N32" s="18">
        <v>25</v>
      </c>
      <c r="P32" t="s">
        <v>62</v>
      </c>
      <c r="Q32">
        <f>F32*H32*C32^2</f>
        <v>22500</v>
      </c>
      <c r="R32">
        <f>C32^2*(F32*H32-F33*H33)</f>
        <v>21060</v>
      </c>
      <c r="S32" s="16">
        <f>(F32*H32-F33*H33)/(F32*H32)</f>
        <v>0.93600000000000005</v>
      </c>
      <c r="T32" s="15">
        <f t="shared" ref="T32:T37" si="2">R32/$R$40</f>
        <v>0.26773455377574373</v>
      </c>
      <c r="U32">
        <f>R32</f>
        <v>21060</v>
      </c>
      <c r="V32" s="15">
        <f t="shared" ref="V32:V36" si="3">U32/$U$40</f>
        <v>1.7641205030005127E-2</v>
      </c>
    </row>
    <row r="33" spans="2:22" x14ac:dyDescent="0.3">
      <c r="B33" t="s">
        <v>43</v>
      </c>
      <c r="C33">
        <f>C32*2</f>
        <v>6</v>
      </c>
      <c r="E33" t="s">
        <v>33</v>
      </c>
      <c r="F33">
        <f>F34*2</f>
        <v>32</v>
      </c>
      <c r="G33" t="s">
        <v>34</v>
      </c>
      <c r="H33">
        <f>H34+1</f>
        <v>5</v>
      </c>
      <c r="K33" t="s">
        <v>71</v>
      </c>
      <c r="L33">
        <f>L32-(H33-1)/2</f>
        <v>18</v>
      </c>
      <c r="M33" t="s">
        <v>70</v>
      </c>
      <c r="N33">
        <f>N32-(H33-1)/2</f>
        <v>23</v>
      </c>
      <c r="P33" t="s">
        <v>63</v>
      </c>
      <c r="Q33">
        <f>F33*H33*C33^2</f>
        <v>5760</v>
      </c>
      <c r="R33">
        <f>C33^2*(F33*H33-F34*H34)</f>
        <v>3456</v>
      </c>
      <c r="S33" s="16">
        <f>(F33*H33-F34*H34)/(F32*H32)</f>
        <v>3.8399999999999997E-2</v>
      </c>
      <c r="T33" s="15">
        <f t="shared" si="2"/>
        <v>4.3935926773455376E-2</v>
      </c>
      <c r="U33">
        <f>R33*2</f>
        <v>6912</v>
      </c>
      <c r="V33" s="15">
        <f t="shared" si="3"/>
        <v>5.7899339585657855E-3</v>
      </c>
    </row>
    <row r="34" spans="2:22" x14ac:dyDescent="0.3">
      <c r="B34" t="s">
        <v>44</v>
      </c>
      <c r="C34">
        <f>C33*2</f>
        <v>12</v>
      </c>
      <c r="E34" t="s">
        <v>35</v>
      </c>
      <c r="F34">
        <f>F35*2</f>
        <v>16</v>
      </c>
      <c r="G34" t="s">
        <v>36</v>
      </c>
      <c r="H34">
        <f>H35+1</f>
        <v>4</v>
      </c>
      <c r="K34" t="s">
        <v>50</v>
      </c>
      <c r="L34">
        <f>L32-(H34-1)/2</f>
        <v>18.5</v>
      </c>
      <c r="M34" t="s">
        <v>51</v>
      </c>
      <c r="N34">
        <f>N32-(H34-1)/2</f>
        <v>23.5</v>
      </c>
      <c r="P34" t="s">
        <v>64</v>
      </c>
      <c r="Q34">
        <f>F34*H34*C34^2</f>
        <v>9216</v>
      </c>
      <c r="R34">
        <f>C34^2*(F34*H34-F35*H35)</f>
        <v>5760</v>
      </c>
      <c r="S34" s="16">
        <f>(F34*H34-F35*H35)/(F32*H32)</f>
        <v>1.6E-2</v>
      </c>
      <c r="T34" s="15">
        <f t="shared" si="2"/>
        <v>7.3226544622425629E-2</v>
      </c>
      <c r="U34">
        <f>R34*4</f>
        <v>23040</v>
      </c>
      <c r="V34" s="15">
        <f t="shared" si="3"/>
        <v>1.9299779861885951E-2</v>
      </c>
    </row>
    <row r="35" spans="2:22" x14ac:dyDescent="0.3">
      <c r="B35" t="s">
        <v>45</v>
      </c>
      <c r="C35">
        <f>C34*2</f>
        <v>24</v>
      </c>
      <c r="E35" t="s">
        <v>37</v>
      </c>
      <c r="F35">
        <f>F36*2</f>
        <v>8</v>
      </c>
      <c r="G35" t="s">
        <v>38</v>
      </c>
      <c r="H35">
        <f>H36+1</f>
        <v>3</v>
      </c>
      <c r="K35" t="s">
        <v>52</v>
      </c>
      <c r="L35">
        <f>L32-(H35-1)/2</f>
        <v>19</v>
      </c>
      <c r="M35" t="s">
        <v>53</v>
      </c>
      <c r="N35">
        <f>N32-(H35-1)/2</f>
        <v>24</v>
      </c>
      <c r="P35" t="s">
        <v>65</v>
      </c>
      <c r="Q35">
        <f t="shared" ref="Q35:Q37" si="4">F35*H35*C35^2</f>
        <v>13824</v>
      </c>
      <c r="R35">
        <f>C35^2*(F35*H35-F36*H36)</f>
        <v>9216</v>
      </c>
      <c r="S35" s="16">
        <f>(F35*H35-F36*H36)/(F32*H32)</f>
        <v>6.4000000000000003E-3</v>
      </c>
      <c r="T35" s="15">
        <f t="shared" si="2"/>
        <v>0.11716247139588101</v>
      </c>
      <c r="U35">
        <f>R35*8</f>
        <v>73728</v>
      </c>
      <c r="V35" s="15">
        <f t="shared" si="3"/>
        <v>6.1759295558035041E-2</v>
      </c>
    </row>
    <row r="36" spans="2:22" x14ac:dyDescent="0.3">
      <c r="B36" t="s">
        <v>46</v>
      </c>
      <c r="C36">
        <f>C35*2</f>
        <v>48</v>
      </c>
      <c r="E36" t="s">
        <v>39</v>
      </c>
      <c r="F36">
        <f>F37*2</f>
        <v>4</v>
      </c>
      <c r="G36" t="s">
        <v>40</v>
      </c>
      <c r="H36" s="18">
        <v>2</v>
      </c>
      <c r="I36" s="13"/>
      <c r="K36" t="s">
        <v>54</v>
      </c>
      <c r="L36">
        <f>L32-(H36-1)/2</f>
        <v>19.5</v>
      </c>
      <c r="M36" t="s">
        <v>55</v>
      </c>
      <c r="N36">
        <f>N32-(H36-1)/2</f>
        <v>24.5</v>
      </c>
      <c r="P36" t="s">
        <v>66</v>
      </c>
      <c r="Q36">
        <f t="shared" si="4"/>
        <v>18432</v>
      </c>
      <c r="R36">
        <f>C36^2*(F36*H36-F37*H37)</f>
        <v>11520</v>
      </c>
      <c r="S36" s="16">
        <f>(F36*H36-F37*H37)/(F32*H32)</f>
        <v>2E-3</v>
      </c>
      <c r="T36" s="15">
        <f t="shared" si="2"/>
        <v>0.14645308924485126</v>
      </c>
      <c r="U36">
        <f>R36*16</f>
        <v>184320</v>
      </c>
      <c r="V36" s="15">
        <f t="shared" si="3"/>
        <v>0.15439823889508761</v>
      </c>
    </row>
    <row r="37" spans="2:22" x14ac:dyDescent="0.3">
      <c r="B37" t="s">
        <v>47</v>
      </c>
      <c r="C37">
        <f>C36*2</f>
        <v>96</v>
      </c>
      <c r="E37" t="s">
        <v>41</v>
      </c>
      <c r="F37" s="18">
        <v>2</v>
      </c>
      <c r="G37" t="s">
        <v>58</v>
      </c>
      <c r="H37" s="18">
        <v>1.5</v>
      </c>
      <c r="I37" s="13"/>
      <c r="K37" t="s">
        <v>56</v>
      </c>
      <c r="L37">
        <f>L32-(H37-1)/2</f>
        <v>19.75</v>
      </c>
      <c r="M37" t="s">
        <v>57</v>
      </c>
      <c r="N37">
        <f>N32-(H37-1)/2</f>
        <v>24.75</v>
      </c>
      <c r="P37" t="s">
        <v>67</v>
      </c>
      <c r="Q37">
        <f t="shared" si="4"/>
        <v>27648</v>
      </c>
      <c r="R37">
        <f>Q37</f>
        <v>27648</v>
      </c>
      <c r="S37" s="16">
        <f>(F37*H37)/(F32*H32)</f>
        <v>1.1999999999999999E-3</v>
      </c>
      <c r="T37" s="15">
        <f t="shared" si="2"/>
        <v>0.35148741418764301</v>
      </c>
      <c r="U37">
        <f>R37*32</f>
        <v>884736</v>
      </c>
      <c r="V37" s="15">
        <f>U37/$U$40</f>
        <v>0.74111154669642054</v>
      </c>
    </row>
    <row r="40" spans="2:22" x14ac:dyDescent="0.3">
      <c r="P40" t="s">
        <v>74</v>
      </c>
      <c r="R40">
        <f>SUM(R32:R37)</f>
        <v>78660</v>
      </c>
      <c r="S40" s="17">
        <f>SUM(S32:S37)</f>
        <v>1</v>
      </c>
      <c r="T40" s="17">
        <f>SUM(T32:T37)</f>
        <v>1</v>
      </c>
      <c r="U40">
        <f>SUM(U32:U37)</f>
        <v>1193796</v>
      </c>
      <c r="V40" s="15">
        <f>SUM(V32:V37)</f>
        <v>1</v>
      </c>
    </row>
  </sheetData>
  <mergeCells count="4">
    <mergeCell ref="K8:N8"/>
    <mergeCell ref="E8:I8"/>
    <mergeCell ref="E19:I19"/>
    <mergeCell ref="K19:N19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sanchez muñoz</dc:creator>
  <cp:lastModifiedBy>Adrian Harwood</cp:lastModifiedBy>
  <dcterms:created xsi:type="dcterms:W3CDTF">2016-08-08T16:36:56Z</dcterms:created>
  <dcterms:modified xsi:type="dcterms:W3CDTF">2016-08-11T15:52:48Z</dcterms:modified>
</cp:coreProperties>
</file>