
<file path=[Content_Types].xml><?xml version="1.0" encoding="utf-8"?>
<Types xmlns="http://schemas.openxmlformats.org/package/2006/content-types">
  <Default Extension="tmp" ContentType="image/png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4310" yWindow="2220" windowWidth="24840" windowHeight="15600" activeTab="1"/>
  </bookViews>
  <sheets>
    <sheet name="Hoja1" sheetId="1" r:id="rId1"/>
    <sheet name="Hoja2" sheetId="2" r:id="rId2"/>
    <sheet name="Hoja3" sheetId="3" r:id="rId3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6" i="2" l="1"/>
  <c r="L56" i="2"/>
  <c r="N43" i="2"/>
  <c r="L43" i="2"/>
  <c r="N31" i="2"/>
  <c r="L31" i="2"/>
  <c r="N10" i="2"/>
  <c r="L10" i="2"/>
  <c r="N20" i="2"/>
  <c r="S20" i="2" s="1"/>
  <c r="L20" i="2"/>
  <c r="P20" i="2" s="1"/>
  <c r="N55" i="2"/>
  <c r="N54" i="2"/>
  <c r="N53" i="2"/>
  <c r="N52" i="2"/>
  <c r="L55" i="2"/>
  <c r="L54" i="2"/>
  <c r="L53" i="2"/>
  <c r="L52" i="2"/>
  <c r="N42" i="2"/>
  <c r="N41" i="2"/>
  <c r="N40" i="2"/>
  <c r="L42" i="2"/>
  <c r="L41" i="2"/>
  <c r="L40" i="2"/>
  <c r="N30" i="2"/>
  <c r="N29" i="2"/>
  <c r="L30" i="2"/>
  <c r="L29" i="2"/>
  <c r="N19" i="2"/>
  <c r="L19" i="2"/>
  <c r="P4" i="2"/>
  <c r="R20" i="2" l="1"/>
  <c r="Q20" i="2"/>
  <c r="P12" i="2" l="1"/>
  <c r="Q4" i="2"/>
  <c r="P22" i="2"/>
  <c r="Q12" i="2"/>
  <c r="X2" i="2"/>
  <c r="W2" i="2"/>
  <c r="Z2" i="2" s="1"/>
  <c r="AA2" i="2" s="1"/>
  <c r="V2" i="2"/>
  <c r="W9" i="2"/>
  <c r="X9" i="2" l="1"/>
  <c r="C10" i="2"/>
  <c r="X10" i="2"/>
  <c r="S10" i="2"/>
  <c r="Q10" i="2"/>
  <c r="V9" i="2"/>
  <c r="X20" i="2"/>
  <c r="C19" i="2"/>
  <c r="C20" i="2" s="1"/>
  <c r="Q22" i="2" s="1"/>
  <c r="V18" i="2"/>
  <c r="P10" i="2" l="1"/>
  <c r="R10" i="2"/>
  <c r="X19" i="2"/>
  <c r="W19" i="2"/>
  <c r="X18" i="2"/>
  <c r="V10" i="2"/>
  <c r="W10" i="2" s="1"/>
  <c r="V19" i="2"/>
  <c r="W18" i="2"/>
  <c r="V20" i="2"/>
  <c r="W20" i="2" s="1"/>
  <c r="Z20" i="2" s="1"/>
  <c r="C29" i="2"/>
  <c r="C30" i="2" s="1"/>
  <c r="C40" i="2"/>
  <c r="C41" i="2" s="1"/>
  <c r="C52" i="2"/>
  <c r="C53" i="2" s="1"/>
  <c r="X43" i="2"/>
  <c r="X56" i="2"/>
  <c r="V51" i="2"/>
  <c r="V39" i="2"/>
  <c r="X31" i="2"/>
  <c r="V28" i="2"/>
  <c r="B6" i="1"/>
  <c r="H16" i="1"/>
  <c r="H15" i="1"/>
  <c r="H14" i="1"/>
  <c r="H12" i="1"/>
  <c r="H13" i="1"/>
  <c r="H11" i="1"/>
  <c r="H10" i="1"/>
  <c r="H9" i="1"/>
  <c r="B10" i="1"/>
  <c r="C10" i="1"/>
  <c r="J23" i="1"/>
  <c r="C9" i="1"/>
  <c r="B11" i="1"/>
  <c r="C11" i="1"/>
  <c r="J24" i="1"/>
  <c r="B12" i="1"/>
  <c r="C12" i="1"/>
  <c r="J25" i="1"/>
  <c r="B13" i="1"/>
  <c r="C13" i="1"/>
  <c r="J26" i="1"/>
  <c r="B14" i="1"/>
  <c r="C14" i="1"/>
  <c r="J27" i="1"/>
  <c r="B15" i="1"/>
  <c r="C15" i="1"/>
  <c r="J28" i="1"/>
  <c r="B16" i="1"/>
  <c r="C16" i="1"/>
  <c r="J29" i="1"/>
  <c r="J22" i="1"/>
  <c r="B5" i="1"/>
  <c r="I23" i="1"/>
  <c r="I24" i="1"/>
  <c r="I25" i="1"/>
  <c r="I26" i="1"/>
  <c r="I27" i="1"/>
  <c r="I28" i="1"/>
  <c r="I29" i="1"/>
  <c r="I22" i="1"/>
  <c r="B4" i="1"/>
  <c r="H23" i="1"/>
  <c r="H24" i="1"/>
  <c r="H25" i="1"/>
  <c r="H26" i="1"/>
  <c r="H27" i="1"/>
  <c r="H28" i="1"/>
  <c r="H29" i="1"/>
  <c r="H22" i="1"/>
  <c r="G23" i="1"/>
  <c r="G22" i="1"/>
  <c r="G25" i="1"/>
  <c r="B8" i="1"/>
  <c r="G24" i="1"/>
  <c r="G27" i="1"/>
  <c r="G26" i="1"/>
  <c r="G28" i="1"/>
  <c r="G29" i="1"/>
  <c r="Z10" i="2" l="1"/>
  <c r="Y2" i="2"/>
  <c r="P30" i="2"/>
  <c r="X55" i="2"/>
  <c r="S19" i="2"/>
  <c r="R19" i="2"/>
  <c r="X30" i="2"/>
  <c r="P19" i="2"/>
  <c r="Q19" i="2"/>
  <c r="X23" i="2"/>
  <c r="X54" i="2"/>
  <c r="S30" i="2"/>
  <c r="X42" i="2"/>
  <c r="Q31" i="2"/>
  <c r="R31" i="2"/>
  <c r="V41" i="2"/>
  <c r="X41" i="2"/>
  <c r="X29" i="2"/>
  <c r="W28" i="2"/>
  <c r="V29" i="2"/>
  <c r="X28" i="2"/>
  <c r="W41" i="2"/>
  <c r="C42" i="2"/>
  <c r="Q43" i="2" s="1"/>
  <c r="Q29" i="2"/>
  <c r="P29" i="2"/>
  <c r="Q30" i="2"/>
  <c r="S31" i="2"/>
  <c r="W29" i="2"/>
  <c r="P31" i="2"/>
  <c r="P42" i="2"/>
  <c r="C54" i="2"/>
  <c r="C31" i="2"/>
  <c r="S42" i="2"/>
  <c r="Z19" i="2"/>
  <c r="V30" i="2"/>
  <c r="V53" i="2"/>
  <c r="W30" i="2"/>
  <c r="Z18" i="2"/>
  <c r="S29" i="2" l="1"/>
  <c r="S43" i="2"/>
  <c r="S54" i="2"/>
  <c r="P54" i="2"/>
  <c r="S55" i="2"/>
  <c r="V52" i="2"/>
  <c r="W53" i="2"/>
  <c r="Z53" i="2" s="1"/>
  <c r="P55" i="2"/>
  <c r="X53" i="2"/>
  <c r="Q54" i="2"/>
  <c r="R42" i="2"/>
  <c r="R43" i="2"/>
  <c r="W23" i="2"/>
  <c r="Y20" i="2" s="1"/>
  <c r="R30" i="2"/>
  <c r="R29" i="2"/>
  <c r="Q42" i="2"/>
  <c r="P33" i="2"/>
  <c r="V31" i="2"/>
  <c r="W31" i="2" s="1"/>
  <c r="Q33" i="2"/>
  <c r="Z29" i="2"/>
  <c r="X52" i="2"/>
  <c r="Z30" i="2"/>
  <c r="S41" i="2"/>
  <c r="R41" i="2"/>
  <c r="W54" i="2"/>
  <c r="R55" i="2"/>
  <c r="V54" i="2"/>
  <c r="C55" i="2"/>
  <c r="X51" i="2"/>
  <c r="Q41" i="2"/>
  <c r="P41" i="2"/>
  <c r="W51" i="2"/>
  <c r="C43" i="2"/>
  <c r="W42" i="2"/>
  <c r="V42" i="2"/>
  <c r="X34" i="2"/>
  <c r="R53" i="2"/>
  <c r="Q55" i="2"/>
  <c r="Z41" i="2"/>
  <c r="P43" i="2"/>
  <c r="Q40" i="2"/>
  <c r="P40" i="2"/>
  <c r="X39" i="2"/>
  <c r="V40" i="2"/>
  <c r="W40" i="2"/>
  <c r="X40" i="2"/>
  <c r="W39" i="2"/>
  <c r="W52" i="2"/>
  <c r="W34" i="2"/>
  <c r="Y28" i="2" s="1"/>
  <c r="Z28" i="2"/>
  <c r="R54" i="2"/>
  <c r="S40" i="2"/>
  <c r="R40" i="2"/>
  <c r="X13" i="2"/>
  <c r="Z9" i="2"/>
  <c r="W13" i="2"/>
  <c r="Z23" i="2"/>
  <c r="AA18" i="2" s="1"/>
  <c r="X46" i="2" l="1"/>
  <c r="AA19" i="2"/>
  <c r="AA20" i="2"/>
  <c r="Y19" i="2"/>
  <c r="Y18" i="2"/>
  <c r="S53" i="2"/>
  <c r="Q52" i="2"/>
  <c r="P52" i="2"/>
  <c r="Q53" i="2"/>
  <c r="Z54" i="2"/>
  <c r="Z52" i="2"/>
  <c r="Y29" i="2"/>
  <c r="Z39" i="2"/>
  <c r="P53" i="2"/>
  <c r="Y30" i="2"/>
  <c r="Y31" i="2"/>
  <c r="Z31" i="2"/>
  <c r="Z34" i="2" s="1"/>
  <c r="AA30" i="2" s="1"/>
  <c r="X59" i="2"/>
  <c r="Z51" i="2"/>
  <c r="Z40" i="2"/>
  <c r="Z42" i="2"/>
  <c r="C56" i="2"/>
  <c r="V55" i="2"/>
  <c r="W55" i="2"/>
  <c r="R56" i="2"/>
  <c r="S56" i="2"/>
  <c r="P56" i="2"/>
  <c r="Q56" i="2"/>
  <c r="S52" i="2"/>
  <c r="R52" i="2"/>
  <c r="V43" i="2"/>
  <c r="W43" i="2" s="1"/>
  <c r="W46" i="2" s="1"/>
  <c r="Q45" i="2"/>
  <c r="P45" i="2"/>
  <c r="Y10" i="2"/>
  <c r="Z13" i="2"/>
  <c r="AA10" i="2" s="1"/>
  <c r="Y9" i="2"/>
  <c r="AA9" i="2" l="1"/>
  <c r="Y23" i="2"/>
  <c r="Y13" i="2"/>
  <c r="AA29" i="2"/>
  <c r="Y34" i="2"/>
  <c r="AA28" i="2"/>
  <c r="Y41" i="2"/>
  <c r="Y39" i="2"/>
  <c r="Y40" i="2"/>
  <c r="Y42" i="2"/>
  <c r="P58" i="2"/>
  <c r="V56" i="2"/>
  <c r="W56" i="2" s="1"/>
  <c r="Q58" i="2"/>
  <c r="Z43" i="2"/>
  <c r="Y43" i="2"/>
  <c r="AA31" i="2"/>
  <c r="Z55" i="2"/>
  <c r="AA34" i="2" l="1"/>
  <c r="AA13" i="2"/>
  <c r="Z56" i="2"/>
  <c r="AA23" i="2"/>
  <c r="W59" i="2"/>
  <c r="Z46" i="2"/>
  <c r="Y46" i="2"/>
  <c r="Z59" i="2"/>
  <c r="AA55" i="2" s="1"/>
  <c r="Y53" i="2" l="1"/>
  <c r="Y52" i="2"/>
  <c r="Y54" i="2"/>
  <c r="Y51" i="2"/>
  <c r="Y55" i="2"/>
  <c r="AA41" i="2"/>
  <c r="AA40" i="2"/>
  <c r="AA42" i="2"/>
  <c r="AA39" i="2"/>
  <c r="AA43" i="2"/>
  <c r="AA53" i="2"/>
  <c r="AA51" i="2"/>
  <c r="AA52" i="2"/>
  <c r="AA54" i="2"/>
  <c r="Y56" i="2"/>
  <c r="AA56" i="2"/>
  <c r="Y59" i="2" l="1"/>
  <c r="AA59" i="2"/>
  <c r="AA46" i="2"/>
</calcChain>
</file>

<file path=xl/comments1.xml><?xml version="1.0" encoding="utf-8"?>
<comments xmlns="http://schemas.openxmlformats.org/spreadsheetml/2006/main">
  <authors>
    <author>jonathan sanchez muñoz</author>
  </authors>
  <commentList>
    <comment ref="B3" authorId="0">
      <text>
        <r>
          <rPr>
            <b/>
            <sz val="9"/>
            <color indexed="81"/>
            <rFont val="Tahoma"/>
            <charset val="1"/>
          </rPr>
          <t>jonathan sanchez muñoz:</t>
        </r>
        <r>
          <rPr>
            <sz val="9"/>
            <color indexed="81"/>
            <rFont val="Tahoma"/>
            <charset val="1"/>
          </rPr>
          <t xml:space="preserve">
Red cells can be changed to obtain proper numbers.
</t>
        </r>
      </text>
    </comment>
  </commentList>
</comments>
</file>

<file path=xl/sharedStrings.xml><?xml version="1.0" encoding="utf-8"?>
<sst xmlns="http://schemas.openxmlformats.org/spreadsheetml/2006/main" count="277" uniqueCount="87">
  <si>
    <t>Computational domain size according with L</t>
  </si>
  <si>
    <t># Refinement</t>
  </si>
  <si>
    <t>Fine grid 1  X</t>
  </si>
  <si>
    <t>Fine grid 1  Y</t>
  </si>
  <si>
    <t>Fine grid 2  X</t>
  </si>
  <si>
    <t>Fine grid 2  Y</t>
  </si>
  <si>
    <t>Fine grid 3  X</t>
  </si>
  <si>
    <t>Fine grid 3  Y</t>
  </si>
  <si>
    <t xml:space="preserve">Coarse grid Y </t>
  </si>
  <si>
    <t xml:space="preserve">Coarse grid X </t>
  </si>
  <si>
    <t>Times L</t>
  </si>
  <si>
    <t>Grids</t>
  </si>
  <si>
    <t>Times L  Finest grid</t>
  </si>
  <si>
    <t>Lattice Units coarse grid</t>
  </si>
  <si>
    <t>Accumulative</t>
  </si>
  <si>
    <t>L0</t>
  </si>
  <si>
    <t>L1</t>
  </si>
  <si>
    <t>L2</t>
  </si>
  <si>
    <t>L3</t>
  </si>
  <si>
    <t>RefXstart 1</t>
  </si>
  <si>
    <t>RefXstart 2</t>
  </si>
  <si>
    <t>RefXstart 3</t>
  </si>
  <si>
    <t>RefYstart 1</t>
  </si>
  <si>
    <t>RefYstart 2</t>
  </si>
  <si>
    <t>Object_start_x</t>
  </si>
  <si>
    <t>Object_start_y</t>
  </si>
  <si>
    <t>X_0</t>
  </si>
  <si>
    <t>Y_0</t>
  </si>
  <si>
    <t>X_1</t>
  </si>
  <si>
    <t>Y_1</t>
  </si>
  <si>
    <t>X_2</t>
  </si>
  <si>
    <t>Y_3</t>
  </si>
  <si>
    <t>Y_2</t>
  </si>
  <si>
    <t>X1</t>
  </si>
  <si>
    <t>Y1</t>
  </si>
  <si>
    <t>X2</t>
  </si>
  <si>
    <t>Y2</t>
  </si>
  <si>
    <t>X3</t>
  </si>
  <si>
    <t>Y3</t>
  </si>
  <si>
    <t>X4</t>
  </si>
  <si>
    <t>Y4</t>
  </si>
  <si>
    <t>X5</t>
  </si>
  <si>
    <t>R0</t>
  </si>
  <si>
    <t>R1</t>
  </si>
  <si>
    <t>R2</t>
  </si>
  <si>
    <t>R3</t>
  </si>
  <si>
    <t>R4</t>
  </si>
  <si>
    <t>R5</t>
  </si>
  <si>
    <t>XC</t>
  </si>
  <si>
    <t>YC</t>
  </si>
  <si>
    <t>X02</t>
  </si>
  <si>
    <t>Y02</t>
  </si>
  <si>
    <t>X03</t>
  </si>
  <si>
    <t>Y03</t>
  </si>
  <si>
    <t>X04</t>
  </si>
  <si>
    <t>Y04</t>
  </si>
  <si>
    <t>X05</t>
  </si>
  <si>
    <t>Y05</t>
  </si>
  <si>
    <t>Y5</t>
  </si>
  <si>
    <t>Box dimensions (in Diameters)</t>
  </si>
  <si>
    <t>*(such that 3 of 4 sides are equidistant from cylinder centre: with refinement in wake)</t>
  </si>
  <si>
    <t>Total Cells</t>
  </si>
  <si>
    <t>Mesh0</t>
  </si>
  <si>
    <t>Mesh1</t>
  </si>
  <si>
    <t>Mesh2</t>
  </si>
  <si>
    <t>Mesh3</t>
  </si>
  <si>
    <t>Mesh4</t>
  </si>
  <si>
    <t>Mesh5</t>
  </si>
  <si>
    <t>X0</t>
  </si>
  <si>
    <t>Y0</t>
  </si>
  <si>
    <t>Y01</t>
  </si>
  <si>
    <t>X01</t>
  </si>
  <si>
    <t xml:space="preserve">Box location (in Diameters) * </t>
  </si>
  <si>
    <t>Total Active</t>
  </si>
  <si>
    <t>Total active sites</t>
  </si>
  <si>
    <t>Level</t>
  </si>
  <si>
    <t>D</t>
  </si>
  <si>
    <t>% of Volume</t>
  </si>
  <si>
    <t>% active sites</t>
  </si>
  <si>
    <t>LUPTS</t>
  </si>
  <si>
    <t>% LUPTS</t>
  </si>
  <si>
    <t>LUMA Refs</t>
  </si>
  <si>
    <t>Object @</t>
  </si>
  <si>
    <t>RefXstart</t>
  </si>
  <si>
    <t>RefXend</t>
  </si>
  <si>
    <t>RefYstart</t>
  </si>
  <si>
    <t>RefYend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</si>
</sst>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10">
    <xf numFmtId="0" fontId="0" fillId="0" borderId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0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4" borderId="0" xfId="0" applyFill="1"/>
    <xf numFmtId="0" fontId="0" fillId="4" borderId="1" xfId="0" applyFill="1" applyBorder="1"/>
    <xf numFmtId="0" fontId="0" fillId="3" borderId="1" xfId="0" applyFill="1" applyBorder="1"/>
    <xf numFmtId="0" fontId="0" fillId="5" borderId="1" xfId="0" applyFill="1" applyBorder="1"/>
    <xf numFmtId="0" fontId="3" fillId="6" borderId="1" xfId="0" applyFont="1" applyFill="1" applyBorder="1"/>
    <xf numFmtId="0" fontId="0" fillId="3" borderId="0" xfId="0" applyFill="1" applyBorder="1"/>
    <xf numFmtId="0" fontId="0" fillId="6" borderId="1" xfId="0" applyFill="1" applyBorder="1"/>
    <xf numFmtId="0" fontId="0" fillId="4" borderId="0" xfId="0" applyFill="1" applyBorder="1"/>
    <xf numFmtId="0" fontId="0" fillId="4" borderId="1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5" fillId="0" borderId="0" xfId="0" applyFont="1"/>
    <xf numFmtId="0" fontId="8" fillId="7" borderId="0" xfId="0" applyFont="1" applyFill="1"/>
    <xf numFmtId="9" fontId="0" fillId="0" borderId="0" xfId="1" applyFont="1"/>
    <xf numFmtId="164" fontId="0" fillId="0" borderId="0" xfId="1" applyNumberFormat="1" applyFont="1"/>
    <xf numFmtId="164" fontId="0" fillId="0" borderId="0" xfId="0" applyNumberFormat="1"/>
    <xf numFmtId="0" fontId="5" fillId="2" borderId="0" xfId="0" applyFont="1" applyFill="1"/>
    <xf numFmtId="0" fontId="9" fillId="0" borderId="0" xfId="0" applyFont="1" applyFill="1" applyAlignment="1">
      <alignment horizontal="center"/>
    </xf>
    <xf numFmtId="0" fontId="8" fillId="7" borderId="0" xfId="0" applyFont="1" applyFill="1" applyAlignment="1">
      <alignment horizontal="left"/>
    </xf>
    <xf numFmtId="0" fontId="8" fillId="7" borderId="0" xfId="0" applyFont="1" applyFill="1" applyAlignment="1">
      <alignment horizontal="left"/>
    </xf>
    <xf numFmtId="0" fontId="5" fillId="0" borderId="0" xfId="0" applyFont="1" applyFill="1"/>
    <xf numFmtId="0" fontId="0" fillId="0" borderId="0" xfId="0" applyFill="1"/>
    <xf numFmtId="1" fontId="0" fillId="0" borderId="0" xfId="0" applyNumberFormat="1"/>
    <xf numFmtId="0" fontId="3" fillId="0" borderId="0" xfId="0" applyFont="1" applyFill="1"/>
    <xf numFmtId="0" fontId="8" fillId="7" borderId="0" xfId="0" applyFont="1" applyFill="1" applyAlignment="1">
      <alignment horizontal="left"/>
    </xf>
    <xf numFmtId="0" fontId="0" fillId="3" borderId="0" xfId="0" applyFill="1" applyAlignment="1">
      <alignment horizontal="center" vertical="center"/>
    </xf>
    <xf numFmtId="0" fontId="8" fillId="7" borderId="0" xfId="0" applyFont="1" applyFill="1" applyAlignment="1">
      <alignment horizontal="left"/>
    </xf>
    <xf numFmtId="0" fontId="8" fillId="7" borderId="0" xfId="0" applyFont="1" applyFill="1" applyAlignment="1">
      <alignment horizontal="center"/>
    </xf>
  </cellXfs>
  <cellStyles count="110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678656</xdr:colOff>
      <xdr:row>66</xdr:row>
      <xdr:rowOff>11908</xdr:rowOff>
    </xdr:from>
    <xdr:to>
      <xdr:col>16</xdr:col>
      <xdr:colOff>355849</xdr:colOff>
      <xdr:row>67</xdr:row>
      <xdr:rowOff>127593</xdr:rowOff>
    </xdr:to>
    <xdr:sp macro="" textlink="">
      <xdr:nvSpPr>
        <xdr:cNvPr id="143" name="67 Cuadro de texto"/>
        <xdr:cNvSpPr txBox="1"/>
      </xdr:nvSpPr>
      <xdr:spPr>
        <a:xfrm>
          <a:off x="15132844" y="12013408"/>
          <a:ext cx="439193" cy="306185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>
            <a:lnSpc>
              <a:spcPct val="115000"/>
            </a:lnSpc>
            <a:spcAft>
              <a:spcPts val="1000"/>
            </a:spcAft>
          </a:pPr>
          <a:r>
            <a:rPr lang="en-GB" sz="1100">
              <a:effectLst/>
              <a:ea typeface="Calibri"/>
              <a:cs typeface="Times New Roman"/>
            </a:rPr>
            <a:t>2.5L</a:t>
          </a:r>
          <a:endParaRPr lang="es-MX" sz="1100">
            <a:effectLst/>
            <a:ea typeface="Calibri"/>
            <a:cs typeface="Times New Roman"/>
          </a:endParaRPr>
        </a:p>
      </xdr:txBody>
    </xdr:sp>
    <xdr:clientData/>
  </xdr:twoCellAnchor>
  <xdr:twoCellAnchor>
    <xdr:from>
      <xdr:col>15</xdr:col>
      <xdr:colOff>738186</xdr:colOff>
      <xdr:row>72</xdr:row>
      <xdr:rowOff>57148</xdr:rowOff>
    </xdr:from>
    <xdr:to>
      <xdr:col>16</xdr:col>
      <xdr:colOff>532061</xdr:colOff>
      <xdr:row>73</xdr:row>
      <xdr:rowOff>172833</xdr:rowOff>
    </xdr:to>
    <xdr:sp macro="" textlink="">
      <xdr:nvSpPr>
        <xdr:cNvPr id="146" name="67 Cuadro de texto"/>
        <xdr:cNvSpPr txBox="1"/>
      </xdr:nvSpPr>
      <xdr:spPr>
        <a:xfrm>
          <a:off x="15192374" y="13201648"/>
          <a:ext cx="555875" cy="306185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>
            <a:lnSpc>
              <a:spcPct val="115000"/>
            </a:lnSpc>
            <a:spcAft>
              <a:spcPts val="1000"/>
            </a:spcAft>
          </a:pPr>
          <a:r>
            <a:rPr lang="en-GB" sz="1100">
              <a:effectLst/>
              <a:ea typeface="Calibri"/>
              <a:cs typeface="Times New Roman"/>
            </a:rPr>
            <a:t>2.5L</a:t>
          </a:r>
        </a:p>
        <a:p>
          <a:pPr>
            <a:lnSpc>
              <a:spcPct val="115000"/>
            </a:lnSpc>
            <a:spcAft>
              <a:spcPts val="1000"/>
            </a:spcAft>
          </a:pPr>
          <a:r>
            <a:rPr lang="en-GB" sz="1100">
              <a:effectLst/>
              <a:ea typeface="Calibri"/>
              <a:cs typeface="Times New Roman"/>
            </a:rPr>
            <a:t>L</a:t>
          </a:r>
          <a:endParaRPr lang="es-MX" sz="1100">
            <a:effectLst/>
            <a:ea typeface="Calibri"/>
            <a:cs typeface="Times New Roman"/>
          </a:endParaRPr>
        </a:p>
      </xdr:txBody>
    </xdr:sp>
    <xdr:clientData/>
  </xdr:twoCellAnchor>
  <xdr:twoCellAnchor>
    <xdr:from>
      <xdr:col>16</xdr:col>
      <xdr:colOff>759622</xdr:colOff>
      <xdr:row>69</xdr:row>
      <xdr:rowOff>21432</xdr:rowOff>
    </xdr:from>
    <xdr:to>
      <xdr:col>17</xdr:col>
      <xdr:colOff>476250</xdr:colOff>
      <xdr:row>70</xdr:row>
      <xdr:rowOff>137117</xdr:rowOff>
    </xdr:to>
    <xdr:sp macro="" textlink="">
      <xdr:nvSpPr>
        <xdr:cNvPr id="150" name="67 Cuadro de texto"/>
        <xdr:cNvSpPr txBox="1"/>
      </xdr:nvSpPr>
      <xdr:spPr>
        <a:xfrm>
          <a:off x="15975810" y="12594432"/>
          <a:ext cx="478628" cy="306185"/>
        </a:xfrm>
        <a:prstGeom prst="rect">
          <a:avLst/>
        </a:prstGeom>
        <a:noFill/>
        <a:ln w="6350">
          <a:noFill/>
        </a:ln>
        <a:effectLst/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>
            <a:lnSpc>
              <a:spcPct val="115000"/>
            </a:lnSpc>
            <a:spcAft>
              <a:spcPts val="1000"/>
            </a:spcAft>
          </a:pPr>
          <a:endParaRPr lang="es-MX" sz="1100">
            <a:effectLst/>
            <a:ea typeface="Calibri"/>
            <a:cs typeface="Times New Roman"/>
          </a:endParaRPr>
        </a:p>
      </xdr:txBody>
    </xdr:sp>
    <xdr:clientData/>
  </xdr:twoCellAnchor>
  <xdr:twoCellAnchor editAs="oneCell">
    <xdr:from>
      <xdr:col>0</xdr:col>
      <xdr:colOff>102054</xdr:colOff>
      <xdr:row>16</xdr:row>
      <xdr:rowOff>120583</xdr:rowOff>
    </xdr:from>
    <xdr:to>
      <xdr:col>4</xdr:col>
      <xdr:colOff>404812</xdr:colOff>
      <xdr:row>36</xdr:row>
      <xdr:rowOff>110558</xdr:rowOff>
    </xdr:to>
    <xdr:pic>
      <xdr:nvPicPr>
        <xdr:cNvPr id="2" name="1 Imagen" descr="Recorte de pantalla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054" y="2597083"/>
          <a:ext cx="4956401" cy="3799975"/>
        </a:xfrm>
        <a:prstGeom prst="rect">
          <a:avLst/>
        </a:prstGeom>
      </xdr:spPr>
    </xdr:pic>
    <xdr:clientData/>
  </xdr:twoCellAnchor>
  <xdr:twoCellAnchor>
    <xdr:from>
      <xdr:col>10</xdr:col>
      <xdr:colOff>884464</xdr:colOff>
      <xdr:row>3</xdr:row>
      <xdr:rowOff>35750</xdr:rowOff>
    </xdr:from>
    <xdr:to>
      <xdr:col>19</xdr:col>
      <xdr:colOff>658472</xdr:colOff>
      <xdr:row>40</xdr:row>
      <xdr:rowOff>68036</xdr:rowOff>
    </xdr:to>
    <xdr:grpSp>
      <xdr:nvGrpSpPr>
        <xdr:cNvPr id="5" name="4 Grupo"/>
        <xdr:cNvGrpSpPr/>
      </xdr:nvGrpSpPr>
      <xdr:grpSpPr>
        <a:xfrm>
          <a:off x="11748407" y="590921"/>
          <a:ext cx="7491979" cy="8359858"/>
          <a:chOff x="11579678" y="607250"/>
          <a:chExt cx="7611723" cy="8604786"/>
        </a:xfrm>
      </xdr:grpSpPr>
      <xdr:pic>
        <xdr:nvPicPr>
          <xdr:cNvPr id="3" name="2 Imagen" descr="Recorte de pantalla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579678" y="607250"/>
            <a:ext cx="7611723" cy="4320606"/>
          </a:xfrm>
          <a:prstGeom prst="rect">
            <a:avLst/>
          </a:prstGeom>
        </xdr:spPr>
      </xdr:pic>
      <xdr:pic>
        <xdr:nvPicPr>
          <xdr:cNvPr id="4" name="3 Imagen" descr="Recorte de pantalla"/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028714" y="5157106"/>
            <a:ext cx="6966857" cy="405493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105784</xdr:colOff>
      <xdr:row>15</xdr:row>
      <xdr:rowOff>23309</xdr:rowOff>
    </xdr:from>
    <xdr:to>
      <xdr:col>37</xdr:col>
      <xdr:colOff>437478</xdr:colOff>
      <xdr:row>46</xdr:row>
      <xdr:rowOff>68133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4411" r="3509" b="24252"/>
        <a:stretch/>
      </xdr:blipFill>
      <xdr:spPr>
        <a:xfrm>
          <a:off x="12000604" y="571949"/>
          <a:ext cx="8256494" cy="57141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9"/>
  <sheetViews>
    <sheetView zoomScale="70" zoomScaleNormal="70" zoomScalePageLayoutView="70" workbookViewId="0">
      <selection activeCell="H25" sqref="H25"/>
    </sheetView>
  </sheetViews>
  <sheetFormatPr baseColWidth="10" defaultColWidth="10.7109375" defaultRowHeight="15" x14ac:dyDescent="0.25"/>
  <cols>
    <col min="1" max="1" width="20.42578125" style="3" customWidth="1"/>
    <col min="2" max="2" width="10.7109375" style="3"/>
    <col min="3" max="3" width="18.42578125" style="3" customWidth="1"/>
    <col min="4" max="4" width="19.42578125" style="3" customWidth="1"/>
    <col min="5" max="6" width="10.7109375" style="3"/>
    <col min="7" max="7" width="19" style="3" customWidth="1"/>
    <col min="8" max="8" width="15.7109375" style="3" customWidth="1"/>
    <col min="9" max="9" width="20.42578125" style="3" customWidth="1"/>
    <col min="10" max="10" width="12.42578125" style="3" customWidth="1"/>
    <col min="11" max="11" width="26.140625" style="3" customWidth="1"/>
    <col min="12" max="16384" width="10.7109375" style="3"/>
  </cols>
  <sheetData>
    <row r="1" spans="1:12" x14ac:dyDescent="0.25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</row>
    <row r="2" spans="1:12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</row>
    <row r="3" spans="1:12" ht="14.45" x14ac:dyDescent="0.3">
      <c r="A3" s="1" t="s">
        <v>15</v>
      </c>
      <c r="B3" s="5">
        <v>80</v>
      </c>
      <c r="C3" s="5"/>
      <c r="D3" s="4" t="s">
        <v>12</v>
      </c>
    </row>
    <row r="4" spans="1:12" ht="14.45" x14ac:dyDescent="0.3">
      <c r="A4" s="1" t="s">
        <v>16</v>
      </c>
      <c r="B4" s="5">
        <f>B3/(2^1)</f>
        <v>40</v>
      </c>
      <c r="C4" s="8"/>
      <c r="D4" s="10"/>
    </row>
    <row r="5" spans="1:12" ht="14.45" x14ac:dyDescent="0.3">
      <c r="A5" s="1" t="s">
        <v>17</v>
      </c>
      <c r="B5" s="5">
        <f>B3/(2^2)</f>
        <v>20</v>
      </c>
      <c r="C5" s="8"/>
      <c r="D5" s="10"/>
    </row>
    <row r="6" spans="1:12" ht="14.45" x14ac:dyDescent="0.3">
      <c r="A6" s="1" t="s">
        <v>18</v>
      </c>
      <c r="B6" s="5">
        <f>B3/(2^3)</f>
        <v>10</v>
      </c>
      <c r="C6" s="8"/>
      <c r="D6" s="10"/>
    </row>
    <row r="7" spans="1:12" ht="14.45" x14ac:dyDescent="0.3">
      <c r="A7" s="1" t="s">
        <v>1</v>
      </c>
      <c r="B7" s="5">
        <v>3</v>
      </c>
      <c r="C7" s="8"/>
    </row>
    <row r="8" spans="1:12" ht="14.45" x14ac:dyDescent="0.3">
      <c r="A8" s="2" t="s">
        <v>11</v>
      </c>
      <c r="B8" s="4">
        <f>$B$7+1</f>
        <v>4</v>
      </c>
      <c r="C8" s="4" t="s">
        <v>14</v>
      </c>
    </row>
    <row r="9" spans="1:12" ht="28.9" x14ac:dyDescent="0.3">
      <c r="A9" s="2" t="s">
        <v>2</v>
      </c>
      <c r="B9" s="5">
        <v>5</v>
      </c>
      <c r="C9" s="9">
        <f>B9</f>
        <v>5</v>
      </c>
      <c r="D9" s="4" t="s">
        <v>10</v>
      </c>
      <c r="G9" s="2" t="s">
        <v>24</v>
      </c>
      <c r="H9" s="6">
        <f>2*B6</f>
        <v>20</v>
      </c>
      <c r="I9" s="11" t="s">
        <v>13</v>
      </c>
    </row>
    <row r="10" spans="1:12" ht="28.9" x14ac:dyDescent="0.3">
      <c r="A10" s="2" t="s">
        <v>3</v>
      </c>
      <c r="B10" s="5">
        <f>1+1+(1/4)</f>
        <v>2.25</v>
      </c>
      <c r="C10" s="9">
        <f>B10</f>
        <v>2.25</v>
      </c>
      <c r="D10" s="4" t="s">
        <v>10</v>
      </c>
      <c r="G10" s="2" t="s">
        <v>25</v>
      </c>
      <c r="H10" s="6">
        <f>B6</f>
        <v>10</v>
      </c>
      <c r="I10" s="11" t="s">
        <v>13</v>
      </c>
    </row>
    <row r="11" spans="1:12" ht="28.9" x14ac:dyDescent="0.3">
      <c r="A11" s="2" t="s">
        <v>4</v>
      </c>
      <c r="B11" s="5">
        <f>1+1</f>
        <v>2</v>
      </c>
      <c r="C11" s="9">
        <f t="shared" ref="C11:C16" si="0">C9+B11</f>
        <v>7</v>
      </c>
      <c r="D11" s="4" t="s">
        <v>10</v>
      </c>
      <c r="G11" s="2" t="s">
        <v>19</v>
      </c>
      <c r="H11" s="6">
        <f>B6</f>
        <v>10</v>
      </c>
      <c r="I11" s="11" t="s">
        <v>13</v>
      </c>
    </row>
    <row r="12" spans="1:12" ht="28.9" x14ac:dyDescent="0.3">
      <c r="A12" s="2" t="s">
        <v>5</v>
      </c>
      <c r="B12" s="5">
        <f>1+1</f>
        <v>2</v>
      </c>
      <c r="C12" s="9">
        <f t="shared" si="0"/>
        <v>4.25</v>
      </c>
      <c r="D12" s="4" t="s">
        <v>10</v>
      </c>
      <c r="G12" s="2" t="s">
        <v>22</v>
      </c>
      <c r="H12" s="6">
        <f>B6</f>
        <v>10</v>
      </c>
      <c r="I12" s="11" t="s">
        <v>13</v>
      </c>
    </row>
    <row r="13" spans="1:12" ht="28.9" x14ac:dyDescent="0.3">
      <c r="A13" s="2" t="s">
        <v>6</v>
      </c>
      <c r="B13" s="5">
        <f>1+1</f>
        <v>2</v>
      </c>
      <c r="C13" s="7">
        <f t="shared" si="0"/>
        <v>9</v>
      </c>
      <c r="D13" s="4" t="s">
        <v>10</v>
      </c>
      <c r="G13" s="2" t="s">
        <v>20</v>
      </c>
      <c r="H13" s="6">
        <f>B6</f>
        <v>10</v>
      </c>
      <c r="I13" s="11" t="s">
        <v>13</v>
      </c>
    </row>
    <row r="14" spans="1:12" ht="28.9" x14ac:dyDescent="0.3">
      <c r="A14" s="2" t="s">
        <v>7</v>
      </c>
      <c r="B14" s="5">
        <f>1+1</f>
        <v>2</v>
      </c>
      <c r="C14" s="7">
        <f t="shared" si="0"/>
        <v>6.25</v>
      </c>
      <c r="D14" s="4" t="s">
        <v>10</v>
      </c>
      <c r="G14" s="2" t="s">
        <v>23</v>
      </c>
      <c r="H14" s="6">
        <f>B6</f>
        <v>10</v>
      </c>
      <c r="I14" s="12" t="s">
        <v>13</v>
      </c>
    </row>
    <row r="15" spans="1:12" ht="28.9" x14ac:dyDescent="0.3">
      <c r="A15" s="2" t="s">
        <v>9</v>
      </c>
      <c r="B15" s="5">
        <f>3+3</f>
        <v>6</v>
      </c>
      <c r="C15" s="7">
        <f t="shared" si="0"/>
        <v>15</v>
      </c>
      <c r="D15" s="4" t="s">
        <v>10</v>
      </c>
      <c r="G15" s="2" t="s">
        <v>21</v>
      </c>
      <c r="H15" s="6">
        <f>B6*3</f>
        <v>30</v>
      </c>
      <c r="I15" s="11" t="s">
        <v>13</v>
      </c>
    </row>
    <row r="16" spans="1:12" ht="28.9" x14ac:dyDescent="0.3">
      <c r="A16" s="2" t="s">
        <v>8</v>
      </c>
      <c r="B16" s="5">
        <f>2+2</f>
        <v>4</v>
      </c>
      <c r="C16" s="7">
        <f t="shared" si="0"/>
        <v>10.25</v>
      </c>
      <c r="D16" s="4" t="s">
        <v>10</v>
      </c>
      <c r="G16" s="2" t="s">
        <v>21</v>
      </c>
      <c r="H16" s="6">
        <f>2*B6</f>
        <v>20</v>
      </c>
      <c r="I16" s="11" t="s">
        <v>13</v>
      </c>
    </row>
    <row r="21" spans="6:10" ht="14.45" x14ac:dyDescent="0.3">
      <c r="G21" s="3" t="s">
        <v>15</v>
      </c>
      <c r="H21" s="3" t="s">
        <v>16</v>
      </c>
      <c r="I21" s="3" t="s">
        <v>17</v>
      </c>
      <c r="J21" s="3" t="s">
        <v>18</v>
      </c>
    </row>
    <row r="22" spans="6:10" ht="14.45" x14ac:dyDescent="0.3">
      <c r="F22" s="3" t="s">
        <v>26</v>
      </c>
      <c r="G22" s="2">
        <f>$B$3*C9</f>
        <v>400</v>
      </c>
      <c r="H22" s="2">
        <f>$B$4*C9</f>
        <v>200</v>
      </c>
      <c r="I22" s="2">
        <f>$B$5*C9</f>
        <v>100</v>
      </c>
      <c r="J22" s="2">
        <f>$B$6*C9</f>
        <v>50</v>
      </c>
    </row>
    <row r="23" spans="6:10" ht="14.45" x14ac:dyDescent="0.3">
      <c r="F23" s="3" t="s">
        <v>27</v>
      </c>
      <c r="G23" s="2">
        <f t="shared" ref="G23:G29" si="1">$B$3*C10</f>
        <v>180</v>
      </c>
      <c r="H23" s="2">
        <f t="shared" ref="H23:H29" si="2">$B$4*C10</f>
        <v>90</v>
      </c>
      <c r="I23" s="2">
        <f t="shared" ref="I23:I29" si="3">$B$5*C10</f>
        <v>45</v>
      </c>
      <c r="J23" s="2">
        <f t="shared" ref="J23:J29" si="4">$B$6*C10</f>
        <v>22.5</v>
      </c>
    </row>
    <row r="24" spans="6:10" ht="14.45" x14ac:dyDescent="0.3">
      <c r="F24" s="3" t="s">
        <v>28</v>
      </c>
      <c r="G24" s="2">
        <f t="shared" si="1"/>
        <v>560</v>
      </c>
      <c r="H24" s="2">
        <f t="shared" si="2"/>
        <v>280</v>
      </c>
      <c r="I24" s="2">
        <f t="shared" si="3"/>
        <v>140</v>
      </c>
      <c r="J24" s="2">
        <f t="shared" si="4"/>
        <v>70</v>
      </c>
    </row>
    <row r="25" spans="6:10" ht="14.45" x14ac:dyDescent="0.3">
      <c r="F25" s="3" t="s">
        <v>29</v>
      </c>
      <c r="G25" s="2">
        <f t="shared" si="1"/>
        <v>340</v>
      </c>
      <c r="H25" s="2">
        <f t="shared" si="2"/>
        <v>170</v>
      </c>
      <c r="I25" s="2">
        <f t="shared" si="3"/>
        <v>85</v>
      </c>
      <c r="J25" s="2">
        <f t="shared" si="4"/>
        <v>42.5</v>
      </c>
    </row>
    <row r="26" spans="6:10" ht="14.45" x14ac:dyDescent="0.3">
      <c r="F26" s="3" t="s">
        <v>30</v>
      </c>
      <c r="G26" s="2">
        <f t="shared" si="1"/>
        <v>720</v>
      </c>
      <c r="H26" s="2">
        <f t="shared" si="2"/>
        <v>360</v>
      </c>
      <c r="I26" s="2">
        <f t="shared" si="3"/>
        <v>180</v>
      </c>
      <c r="J26" s="2">
        <f t="shared" si="4"/>
        <v>90</v>
      </c>
    </row>
    <row r="27" spans="6:10" ht="14.45" x14ac:dyDescent="0.3">
      <c r="F27" s="3" t="s">
        <v>32</v>
      </c>
      <c r="G27" s="2">
        <f t="shared" si="1"/>
        <v>500</v>
      </c>
      <c r="H27" s="2">
        <f t="shared" si="2"/>
        <v>250</v>
      </c>
      <c r="I27" s="2">
        <f t="shared" si="3"/>
        <v>125</v>
      </c>
      <c r="J27" s="2">
        <f t="shared" si="4"/>
        <v>62.5</v>
      </c>
    </row>
    <row r="28" spans="6:10" ht="14.45" x14ac:dyDescent="0.3">
      <c r="F28" s="3" t="s">
        <v>31</v>
      </c>
      <c r="G28" s="2">
        <f t="shared" si="1"/>
        <v>1200</v>
      </c>
      <c r="H28" s="2">
        <f t="shared" si="2"/>
        <v>600</v>
      </c>
      <c r="I28" s="2">
        <f t="shared" si="3"/>
        <v>300</v>
      </c>
      <c r="J28" s="2">
        <f t="shared" si="4"/>
        <v>150</v>
      </c>
    </row>
    <row r="29" spans="6:10" ht="14.45" x14ac:dyDescent="0.3">
      <c r="F29" s="3" t="s">
        <v>31</v>
      </c>
      <c r="G29" s="2">
        <f t="shared" si="1"/>
        <v>820</v>
      </c>
      <c r="H29" s="2">
        <f t="shared" si="2"/>
        <v>410</v>
      </c>
      <c r="I29" s="2">
        <f t="shared" si="3"/>
        <v>205</v>
      </c>
      <c r="J29" s="2">
        <f t="shared" si="4"/>
        <v>102.5</v>
      </c>
    </row>
  </sheetData>
  <mergeCells count="1">
    <mergeCell ref="A1:L2"/>
  </mergeCells>
  <pageMargins left="0.7" right="0.7" top="0.75" bottom="0.75" header="0.3" footer="0.3"/>
  <pageSetup orientation="portrait" verticalDpi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7"/>
  <sheetViews>
    <sheetView tabSelected="1" zoomScale="85" zoomScaleNormal="85" workbookViewId="0">
      <selection activeCell="M14" sqref="M14"/>
    </sheetView>
  </sheetViews>
  <sheetFormatPr baseColWidth="10" defaultColWidth="11.5703125" defaultRowHeight="15" x14ac:dyDescent="0.25"/>
  <cols>
    <col min="2" max="2" width="5.28515625" bestFit="1" customWidth="1"/>
    <col min="3" max="3" width="4.140625" bestFit="1" customWidth="1"/>
    <col min="4" max="4" width="3.140625" bestFit="1" customWidth="1"/>
    <col min="5" max="5" width="3.28515625" customWidth="1"/>
    <col min="6" max="6" width="5" customWidth="1"/>
    <col min="7" max="7" width="3.7109375" customWidth="1"/>
    <col min="8" max="8" width="4.7109375" customWidth="1"/>
    <col min="9" max="9" width="9.7109375" customWidth="1"/>
    <col min="10" max="11" width="5.140625" customWidth="1"/>
    <col min="12" max="12" width="8" customWidth="1"/>
    <col min="13" max="13" width="4" bestFit="1" customWidth="1"/>
    <col min="14" max="14" width="8" customWidth="1"/>
    <col min="15" max="15" width="8.85546875" bestFit="1" customWidth="1"/>
    <col min="16" max="16" width="8.7109375" bestFit="1" customWidth="1"/>
    <col min="17" max="17" width="8" customWidth="1"/>
    <col min="18" max="18" width="8.7109375" bestFit="1" customWidth="1"/>
    <col min="19" max="19" width="8" customWidth="1"/>
    <col min="21" max="21" width="6.28515625" bestFit="1" customWidth="1"/>
    <col min="24" max="24" width="16.42578125" bestFit="1" customWidth="1"/>
    <col min="25" max="25" width="12" bestFit="1" customWidth="1"/>
  </cols>
  <sheetData>
    <row r="1" spans="1:27" ht="14.45" x14ac:dyDescent="0.3">
      <c r="A1" s="19">
        <v>1</v>
      </c>
      <c r="B1" s="14" t="s">
        <v>75</v>
      </c>
      <c r="C1" s="14" t="s">
        <v>76</v>
      </c>
      <c r="D1" s="14"/>
      <c r="E1" s="28" t="s">
        <v>59</v>
      </c>
      <c r="F1" s="28"/>
      <c r="G1" s="28"/>
      <c r="H1" s="28"/>
      <c r="I1" s="28"/>
      <c r="J1" s="14"/>
      <c r="K1" s="28" t="s">
        <v>72</v>
      </c>
      <c r="L1" s="28"/>
      <c r="M1" s="28"/>
      <c r="N1" s="28"/>
      <c r="O1" s="26"/>
      <c r="P1" s="29" t="s">
        <v>81</v>
      </c>
      <c r="Q1" s="29"/>
      <c r="R1" s="29"/>
      <c r="S1" s="29"/>
      <c r="T1" s="14"/>
      <c r="U1" s="14"/>
      <c r="V1" s="14" t="s">
        <v>61</v>
      </c>
      <c r="W1" s="14" t="s">
        <v>73</v>
      </c>
      <c r="X1" s="14" t="s">
        <v>77</v>
      </c>
      <c r="Y1" s="14" t="s">
        <v>78</v>
      </c>
      <c r="Z1" s="14" t="s">
        <v>79</v>
      </c>
      <c r="AA1" s="14" t="s">
        <v>80</v>
      </c>
    </row>
    <row r="2" spans="1:27" ht="14.45" x14ac:dyDescent="0.3">
      <c r="A2" s="19"/>
      <c r="B2" t="s">
        <v>42</v>
      </c>
      <c r="C2" s="18">
        <v>64</v>
      </c>
      <c r="E2" t="s">
        <v>68</v>
      </c>
      <c r="F2" s="18">
        <v>20</v>
      </c>
      <c r="G2" t="s">
        <v>69</v>
      </c>
      <c r="H2" s="18">
        <v>20</v>
      </c>
      <c r="I2" s="13"/>
      <c r="K2" t="s">
        <v>48</v>
      </c>
      <c r="L2" s="18">
        <v>10</v>
      </c>
      <c r="M2" t="s">
        <v>49</v>
      </c>
      <c r="N2" s="18">
        <v>10</v>
      </c>
      <c r="O2" s="22"/>
      <c r="U2" t="s">
        <v>62</v>
      </c>
      <c r="V2">
        <f>F2*H2*C2^2</f>
        <v>1638400</v>
      </c>
      <c r="W2">
        <f>C2^2*(F2*H2-F7*H7)</f>
        <v>1638400</v>
      </c>
      <c r="X2" s="16">
        <f>(F2*H2-F7*H7)/(F2*H2)</f>
        <v>1</v>
      </c>
      <c r="Y2" s="15">
        <f>W2/W10</f>
        <v>100</v>
      </c>
      <c r="Z2">
        <f>W2</f>
        <v>1638400</v>
      </c>
      <c r="AA2" s="15">
        <f>Z2/$Z$2</f>
        <v>1</v>
      </c>
    </row>
    <row r="3" spans="1:27" ht="14.45" x14ac:dyDescent="0.3">
      <c r="A3" s="19"/>
      <c r="B3" s="23"/>
      <c r="C3" s="22"/>
      <c r="D3" s="23"/>
      <c r="E3" s="23"/>
      <c r="F3" s="22"/>
      <c r="G3" s="23"/>
      <c r="H3" s="22"/>
      <c r="I3" s="22"/>
      <c r="J3" s="23"/>
      <c r="K3" s="23"/>
      <c r="L3" s="22"/>
      <c r="M3" s="23"/>
      <c r="N3" s="22"/>
      <c r="O3" s="22"/>
      <c r="X3" s="16"/>
      <c r="Y3" s="15"/>
      <c r="AA3" s="15"/>
    </row>
    <row r="4" spans="1:27" ht="14.45" x14ac:dyDescent="0.3">
      <c r="A4" s="19"/>
      <c r="B4" s="23"/>
      <c r="C4" s="22"/>
      <c r="D4" s="23"/>
      <c r="E4" s="23"/>
      <c r="F4" s="22"/>
      <c r="G4" s="23"/>
      <c r="H4" s="22"/>
      <c r="I4" s="22"/>
      <c r="J4" s="23"/>
      <c r="K4" s="23"/>
      <c r="L4" s="22"/>
      <c r="M4" s="23"/>
      <c r="N4" s="22"/>
      <c r="O4" t="s">
        <v>82</v>
      </c>
      <c r="P4" s="25">
        <f>(F2-1)/2 *C2</f>
        <v>608</v>
      </c>
      <c r="Q4" s="25">
        <f>(H2-1)/2 *C2</f>
        <v>608</v>
      </c>
      <c r="X4" s="16"/>
      <c r="Y4" s="15"/>
      <c r="AA4" s="15"/>
    </row>
    <row r="5" spans="1:27" ht="14.45" x14ac:dyDescent="0.3">
      <c r="A5" s="19"/>
      <c r="B5" s="23"/>
      <c r="C5" s="22"/>
      <c r="D5" s="23"/>
      <c r="E5" s="23"/>
      <c r="F5" s="22"/>
      <c r="G5" s="23"/>
      <c r="H5" s="22"/>
      <c r="I5" s="22"/>
      <c r="J5" s="23"/>
      <c r="K5" s="23"/>
      <c r="L5" s="22"/>
      <c r="M5" s="23"/>
      <c r="N5" s="22"/>
      <c r="P5" s="25"/>
      <c r="Q5" s="25"/>
      <c r="X5" s="16"/>
      <c r="Y5" s="15"/>
      <c r="AA5" s="15"/>
    </row>
    <row r="6" spans="1:27" ht="14.45" x14ac:dyDescent="0.3">
      <c r="A6" s="19"/>
      <c r="B6" s="23"/>
      <c r="C6" s="22"/>
      <c r="D6" s="23"/>
      <c r="E6" s="23"/>
      <c r="F6" s="22"/>
      <c r="G6" s="23"/>
      <c r="H6" s="22"/>
      <c r="I6" s="22"/>
      <c r="J6" s="23"/>
      <c r="K6" s="23"/>
      <c r="L6" s="22"/>
      <c r="M6" s="23"/>
      <c r="N6" s="22"/>
      <c r="P6" s="25"/>
      <c r="Q6" s="25"/>
      <c r="X6" s="16"/>
      <c r="Y6" s="15"/>
      <c r="AA6" s="15"/>
    </row>
    <row r="8" spans="1:27" ht="14.45" x14ac:dyDescent="0.3">
      <c r="A8" s="19">
        <v>2</v>
      </c>
      <c r="B8" s="14" t="s">
        <v>75</v>
      </c>
      <c r="C8" s="14" t="s">
        <v>76</v>
      </c>
      <c r="D8" s="14"/>
      <c r="E8" s="28" t="s">
        <v>59</v>
      </c>
      <c r="F8" s="28"/>
      <c r="G8" s="28"/>
      <c r="H8" s="28"/>
      <c r="I8" s="28"/>
      <c r="J8" s="14"/>
      <c r="K8" s="28" t="s">
        <v>72</v>
      </c>
      <c r="L8" s="28"/>
      <c r="M8" s="28"/>
      <c r="N8" s="28"/>
      <c r="O8" s="26"/>
      <c r="P8" s="29" t="s">
        <v>81</v>
      </c>
      <c r="Q8" s="29"/>
      <c r="R8" s="29"/>
      <c r="S8" s="29"/>
      <c r="T8" s="14"/>
      <c r="U8" s="14"/>
      <c r="V8" s="14" t="s">
        <v>61</v>
      </c>
      <c r="W8" s="14" t="s">
        <v>73</v>
      </c>
      <c r="X8" s="14" t="s">
        <v>77</v>
      </c>
      <c r="Y8" s="14" t="s">
        <v>78</v>
      </c>
      <c r="Z8" s="14" t="s">
        <v>79</v>
      </c>
      <c r="AA8" s="14" t="s">
        <v>80</v>
      </c>
    </row>
    <row r="9" spans="1:27" ht="14.45" x14ac:dyDescent="0.3">
      <c r="A9" s="19"/>
      <c r="B9" t="s">
        <v>42</v>
      </c>
      <c r="C9" s="18">
        <v>32</v>
      </c>
      <c r="E9" t="s">
        <v>68</v>
      </c>
      <c r="F9" s="18">
        <v>20</v>
      </c>
      <c r="G9" t="s">
        <v>69</v>
      </c>
      <c r="H9" s="18">
        <v>20</v>
      </c>
      <c r="I9" s="13"/>
      <c r="K9" t="s">
        <v>48</v>
      </c>
      <c r="L9" s="18">
        <v>10</v>
      </c>
      <c r="M9" t="s">
        <v>49</v>
      </c>
      <c r="N9" s="18">
        <v>10</v>
      </c>
      <c r="O9" s="22"/>
      <c r="P9" t="s">
        <v>83</v>
      </c>
      <c r="Q9" t="s">
        <v>84</v>
      </c>
      <c r="R9" t="s">
        <v>85</v>
      </c>
      <c r="S9" t="s">
        <v>86</v>
      </c>
      <c r="U9" t="s">
        <v>62</v>
      </c>
      <c r="V9">
        <f>F9*H9*C9^2</f>
        <v>409600</v>
      </c>
      <c r="W9">
        <f>C9^2*(F9*H9-F10*H10)</f>
        <v>405504</v>
      </c>
      <c r="X9" s="16">
        <f>(F9*H9-F10*H10)/(F9*H9)</f>
        <v>0.99</v>
      </c>
      <c r="Y9" s="15">
        <f>W9/W13</f>
        <v>0.96116504854368934</v>
      </c>
      <c r="Z9">
        <f>W9</f>
        <v>405504</v>
      </c>
      <c r="AA9" s="15">
        <f>Z9/$Z$13</f>
        <v>0.92523364485981308</v>
      </c>
    </row>
    <row r="10" spans="1:27" ht="14.45" x14ac:dyDescent="0.3">
      <c r="A10" s="19"/>
      <c r="B10" t="s">
        <v>43</v>
      </c>
      <c r="C10">
        <f>C9*2</f>
        <v>64</v>
      </c>
      <c r="E10" t="s">
        <v>33</v>
      </c>
      <c r="F10" s="18">
        <v>2</v>
      </c>
      <c r="G10" t="s">
        <v>34</v>
      </c>
      <c r="H10" s="18">
        <v>2</v>
      </c>
      <c r="I10" s="13"/>
      <c r="K10" t="s">
        <v>71</v>
      </c>
      <c r="L10">
        <f>L9-F10/2</f>
        <v>9</v>
      </c>
      <c r="M10" t="s">
        <v>70</v>
      </c>
      <c r="N10">
        <f>N9-H10/2</f>
        <v>9</v>
      </c>
      <c r="P10" s="24">
        <f>L10*$C$9</f>
        <v>288</v>
      </c>
      <c r="Q10" s="24">
        <f>(L10+F10)*$C$9</f>
        <v>352</v>
      </c>
      <c r="R10" s="24">
        <f>N10*$C$9</f>
        <v>288</v>
      </c>
      <c r="S10" s="24">
        <f>(N10+H10)*$C$9</f>
        <v>352</v>
      </c>
      <c r="U10" t="s">
        <v>63</v>
      </c>
      <c r="V10">
        <f>F10*H10*C10^2</f>
        <v>16384</v>
      </c>
      <c r="W10">
        <f>V10</f>
        <v>16384</v>
      </c>
      <c r="X10" s="16">
        <f>(F10*H10)/(F9*H9)</f>
        <v>0.01</v>
      </c>
      <c r="Y10" s="15">
        <f>W10/W13</f>
        <v>3.8834951456310676E-2</v>
      </c>
      <c r="Z10">
        <f>W10*2</f>
        <v>32768</v>
      </c>
      <c r="AA10" s="15">
        <f>Z10/$Z$13</f>
        <v>7.476635514018691E-2</v>
      </c>
    </row>
    <row r="11" spans="1:27" ht="14.45" x14ac:dyDescent="0.3">
      <c r="A11" s="19"/>
      <c r="Q11" s="24"/>
      <c r="Y11" s="15"/>
    </row>
    <row r="12" spans="1:27" ht="14.45" x14ac:dyDescent="0.3">
      <c r="A12" s="19"/>
      <c r="O12" t="s">
        <v>82</v>
      </c>
      <c r="P12" s="25">
        <f>(F10-1)/2 *$C$10</f>
        <v>32</v>
      </c>
      <c r="Q12" s="25">
        <f>(H10-1)/2 *$C$10</f>
        <v>32</v>
      </c>
      <c r="R12" s="25"/>
      <c r="S12" s="25"/>
    </row>
    <row r="13" spans="1:27" ht="14.45" x14ac:dyDescent="0.3">
      <c r="A13" s="19"/>
      <c r="U13" t="s">
        <v>74</v>
      </c>
      <c r="W13">
        <f>SUM(W9:W10)</f>
        <v>421888</v>
      </c>
      <c r="X13" s="17">
        <f>SUM(X9:X10)</f>
        <v>1</v>
      </c>
      <c r="Y13" s="17">
        <f>SUM(Y9:Y10)</f>
        <v>1</v>
      </c>
      <c r="Z13">
        <f>SUM(Z9:Z10)</f>
        <v>438272</v>
      </c>
      <c r="AA13" s="15">
        <f>SUM(AA9:AA10)</f>
        <v>1</v>
      </c>
    </row>
    <row r="17" spans="1:27" ht="14.45" x14ac:dyDescent="0.3">
      <c r="A17" s="19">
        <v>3</v>
      </c>
      <c r="B17" s="14" t="s">
        <v>75</v>
      </c>
      <c r="C17" s="14" t="s">
        <v>76</v>
      </c>
      <c r="D17" s="14"/>
      <c r="E17" s="28" t="s">
        <v>59</v>
      </c>
      <c r="F17" s="28"/>
      <c r="G17" s="28"/>
      <c r="H17" s="28"/>
      <c r="I17" s="28"/>
      <c r="J17" s="14"/>
      <c r="K17" s="28" t="s">
        <v>72</v>
      </c>
      <c r="L17" s="28"/>
      <c r="M17" s="28"/>
      <c r="N17" s="28"/>
      <c r="O17" s="26"/>
      <c r="P17" s="29" t="s">
        <v>81</v>
      </c>
      <c r="Q17" s="29"/>
      <c r="R17" s="29"/>
      <c r="S17" s="29"/>
      <c r="T17" s="14"/>
      <c r="U17" s="14"/>
      <c r="V17" s="14" t="s">
        <v>61</v>
      </c>
      <c r="W17" s="14" t="s">
        <v>73</v>
      </c>
      <c r="X17" s="14" t="s">
        <v>77</v>
      </c>
      <c r="Y17" s="14" t="s">
        <v>78</v>
      </c>
      <c r="Z17" s="14" t="s">
        <v>79</v>
      </c>
      <c r="AA17" s="14" t="s">
        <v>80</v>
      </c>
    </row>
    <row r="18" spans="1:27" ht="14.45" x14ac:dyDescent="0.3">
      <c r="A18" s="19"/>
      <c r="B18" t="s">
        <v>42</v>
      </c>
      <c r="C18" s="18">
        <v>16</v>
      </c>
      <c r="E18" t="s">
        <v>68</v>
      </c>
      <c r="F18" s="18">
        <v>20</v>
      </c>
      <c r="G18" t="s">
        <v>69</v>
      </c>
      <c r="H18" s="18">
        <v>20</v>
      </c>
      <c r="I18" s="13"/>
      <c r="K18" t="s">
        <v>48</v>
      </c>
      <c r="L18" s="18">
        <v>10</v>
      </c>
      <c r="M18" t="s">
        <v>49</v>
      </c>
      <c r="N18" s="18">
        <v>10</v>
      </c>
      <c r="O18" s="22"/>
      <c r="P18" t="s">
        <v>83</v>
      </c>
      <c r="Q18" t="s">
        <v>84</v>
      </c>
      <c r="R18" t="s">
        <v>85</v>
      </c>
      <c r="S18" t="s">
        <v>86</v>
      </c>
      <c r="U18" t="s">
        <v>62</v>
      </c>
      <c r="V18">
        <f>F18*H18*C18^2</f>
        <v>102400</v>
      </c>
      <c r="W18">
        <f>C18^2*(F18*H18-F19*H19)</f>
        <v>98304</v>
      </c>
      <c r="X18" s="16">
        <f>(F18*H18-F19*H19)/(F18*H18)</f>
        <v>0.96</v>
      </c>
      <c r="Y18" s="15">
        <f>W18/W23</f>
        <v>0.77419354838709675</v>
      </c>
      <c r="Z18">
        <f>W18</f>
        <v>98304</v>
      </c>
      <c r="AA18" s="15">
        <f t="shared" ref="AA18:AA19" si="0">Z18/$Z$23</f>
        <v>0.52173913043478259</v>
      </c>
    </row>
    <row r="19" spans="1:27" ht="14.45" x14ac:dyDescent="0.3">
      <c r="A19" s="19"/>
      <c r="B19" t="s">
        <v>43</v>
      </c>
      <c r="C19">
        <f>C18*2</f>
        <v>32</v>
      </c>
      <c r="E19" t="s">
        <v>33</v>
      </c>
      <c r="F19">
        <v>4</v>
      </c>
      <c r="G19" t="s">
        <v>34</v>
      </c>
      <c r="H19">
        <v>4</v>
      </c>
      <c r="K19" t="s">
        <v>71</v>
      </c>
      <c r="L19">
        <f>L18-F19/2</f>
        <v>8</v>
      </c>
      <c r="M19" t="s">
        <v>70</v>
      </c>
      <c r="N19">
        <f>N18-H19/2</f>
        <v>8</v>
      </c>
      <c r="P19" s="24">
        <f>L19*$C$18</f>
        <v>128</v>
      </c>
      <c r="Q19" s="24">
        <f>(L19+F19)*$C$18</f>
        <v>192</v>
      </c>
      <c r="R19" s="24">
        <f>N19*$C$18</f>
        <v>128</v>
      </c>
      <c r="S19" s="24">
        <f>(N19+H19)*$C$18</f>
        <v>192</v>
      </c>
      <c r="U19" t="s">
        <v>63</v>
      </c>
      <c r="V19">
        <f>F19*H19*C19^2</f>
        <v>16384</v>
      </c>
      <c r="W19">
        <f>C19^2*(F19*H19-F20*H20)</f>
        <v>12288</v>
      </c>
      <c r="X19" s="16">
        <f>(F19*H19-F20*H20)/(F18*H18)</f>
        <v>0.03</v>
      </c>
      <c r="Y19" s="15">
        <f>W19/W23</f>
        <v>9.6774193548387094E-2</v>
      </c>
      <c r="Z19">
        <f>W19*2</f>
        <v>24576</v>
      </c>
      <c r="AA19" s="15">
        <f t="shared" si="0"/>
        <v>0.13043478260869565</v>
      </c>
    </row>
    <row r="20" spans="1:27" ht="14.45" x14ac:dyDescent="0.3">
      <c r="A20" s="19"/>
      <c r="B20" t="s">
        <v>44</v>
      </c>
      <c r="C20">
        <f>C19*2</f>
        <v>64</v>
      </c>
      <c r="E20" t="s">
        <v>35</v>
      </c>
      <c r="F20" s="18">
        <v>2</v>
      </c>
      <c r="G20" t="s">
        <v>36</v>
      </c>
      <c r="H20" s="18">
        <v>2</v>
      </c>
      <c r="I20" s="13"/>
      <c r="K20" t="s">
        <v>50</v>
      </c>
      <c r="L20">
        <f>L18-F20/2</f>
        <v>9</v>
      </c>
      <c r="M20" t="s">
        <v>51</v>
      </c>
      <c r="N20">
        <f>N18-H20/2</f>
        <v>9</v>
      </c>
      <c r="P20" s="24">
        <f>(L20-L19)*$C$19</f>
        <v>32</v>
      </c>
      <c r="Q20" s="24">
        <f>(L20-L19+F20)*$C$19</f>
        <v>96</v>
      </c>
      <c r="R20" s="24">
        <f>(N20-N19)*$C$19</f>
        <v>32</v>
      </c>
      <c r="S20" s="24">
        <f>(N20-N19+H20)*$C$19</f>
        <v>96</v>
      </c>
      <c r="U20" t="s">
        <v>64</v>
      </c>
      <c r="V20">
        <f>F20*H20*C20^2</f>
        <v>16384</v>
      </c>
      <c r="W20">
        <f>V20</f>
        <v>16384</v>
      </c>
      <c r="X20" s="16">
        <f>(F20*H20)/(F18*H18)</f>
        <v>0.01</v>
      </c>
      <c r="Y20" s="15">
        <f>W20/W23</f>
        <v>0.12903225806451613</v>
      </c>
      <c r="Z20">
        <f>W20*4</f>
        <v>65536</v>
      </c>
      <c r="AA20" s="15">
        <f>Z20/$Z$23</f>
        <v>0.34782608695652173</v>
      </c>
    </row>
    <row r="21" spans="1:27" ht="14.45" x14ac:dyDescent="0.3">
      <c r="A21" s="19"/>
      <c r="Y21" s="15"/>
    </row>
    <row r="22" spans="1:27" ht="14.45" x14ac:dyDescent="0.3">
      <c r="A22" s="19"/>
      <c r="O22" t="s">
        <v>82</v>
      </c>
      <c r="P22" s="25">
        <f>($F$20-1)/2 *$C$20</f>
        <v>32</v>
      </c>
      <c r="Q22" s="25">
        <f>($H$20-1)/2 *$C$20</f>
        <v>32</v>
      </c>
      <c r="R22" s="25"/>
      <c r="S22" s="25"/>
    </row>
    <row r="23" spans="1:27" ht="14.45" x14ac:dyDescent="0.3">
      <c r="A23" s="19"/>
      <c r="U23" t="s">
        <v>74</v>
      </c>
      <c r="W23">
        <f>SUM(W18:W20)</f>
        <v>126976</v>
      </c>
      <c r="X23" s="17">
        <f>SUM(X18:X20)</f>
        <v>1</v>
      </c>
      <c r="Y23" s="17">
        <f>SUM(Y18:Y20)</f>
        <v>1</v>
      </c>
      <c r="Z23">
        <f>SUM(Z18:Z20)</f>
        <v>188416</v>
      </c>
      <c r="AA23" s="15">
        <f>SUM(AA18:AA20)</f>
        <v>1</v>
      </c>
    </row>
    <row r="27" spans="1:27" ht="14.45" x14ac:dyDescent="0.3">
      <c r="A27" s="19">
        <v>4</v>
      </c>
      <c r="B27" s="14" t="s">
        <v>75</v>
      </c>
      <c r="C27" s="14" t="s">
        <v>76</v>
      </c>
      <c r="D27" s="14"/>
      <c r="E27" s="28" t="s">
        <v>59</v>
      </c>
      <c r="F27" s="28"/>
      <c r="G27" s="28"/>
      <c r="H27" s="28"/>
      <c r="I27" s="28"/>
      <c r="J27" s="14"/>
      <c r="K27" s="28" t="s">
        <v>72</v>
      </c>
      <c r="L27" s="28"/>
      <c r="M27" s="28"/>
      <c r="N27" s="28"/>
      <c r="O27" s="26"/>
      <c r="P27" s="29" t="s">
        <v>81</v>
      </c>
      <c r="Q27" s="29"/>
      <c r="R27" s="29"/>
      <c r="S27" s="29"/>
      <c r="T27" s="14"/>
      <c r="U27" s="14"/>
      <c r="V27" s="14" t="s">
        <v>61</v>
      </c>
      <c r="W27" s="14" t="s">
        <v>73</v>
      </c>
      <c r="X27" s="14" t="s">
        <v>77</v>
      </c>
      <c r="Y27" s="14" t="s">
        <v>78</v>
      </c>
      <c r="Z27" s="14" t="s">
        <v>79</v>
      </c>
      <c r="AA27" s="14" t="s">
        <v>80</v>
      </c>
    </row>
    <row r="28" spans="1:27" ht="14.45" x14ac:dyDescent="0.3">
      <c r="A28" s="19"/>
      <c r="B28" t="s">
        <v>42</v>
      </c>
      <c r="C28" s="18">
        <v>8</v>
      </c>
      <c r="E28" t="s">
        <v>68</v>
      </c>
      <c r="F28" s="18">
        <v>20</v>
      </c>
      <c r="G28" t="s">
        <v>69</v>
      </c>
      <c r="H28" s="18">
        <v>20</v>
      </c>
      <c r="I28" s="13"/>
      <c r="K28" t="s">
        <v>48</v>
      </c>
      <c r="L28" s="18">
        <v>10</v>
      </c>
      <c r="M28" t="s">
        <v>49</v>
      </c>
      <c r="N28" s="18">
        <v>10</v>
      </c>
      <c r="O28" s="22"/>
      <c r="P28" t="s">
        <v>83</v>
      </c>
      <c r="Q28" t="s">
        <v>84</v>
      </c>
      <c r="R28" t="s">
        <v>85</v>
      </c>
      <c r="S28" t="s">
        <v>86</v>
      </c>
      <c r="U28" t="s">
        <v>62</v>
      </c>
      <c r="V28">
        <f>F28*H28*C28^2</f>
        <v>25600</v>
      </c>
      <c r="W28">
        <f>C28^2*(F28*H28-F29*H29)</f>
        <v>21504</v>
      </c>
      <c r="X28" s="16">
        <f>(F28*H28-F29*H29)/(F28*H28)</f>
        <v>0.84</v>
      </c>
      <c r="Y28" s="15">
        <f>W28/W34</f>
        <v>0.34426229508196721</v>
      </c>
      <c r="Z28">
        <f>W28</f>
        <v>21504</v>
      </c>
      <c r="AA28" s="15">
        <f>Z28/$Z$34</f>
        <v>9.5022624434389136E-2</v>
      </c>
    </row>
    <row r="29" spans="1:27" ht="14.45" x14ac:dyDescent="0.3">
      <c r="A29" s="19"/>
      <c r="B29" t="s">
        <v>43</v>
      </c>
      <c r="C29">
        <f>C28*2</f>
        <v>16</v>
      </c>
      <c r="E29" t="s">
        <v>33</v>
      </c>
      <c r="F29">
        <v>8</v>
      </c>
      <c r="G29" t="s">
        <v>34</v>
      </c>
      <c r="H29">
        <v>8</v>
      </c>
      <c r="K29" t="s">
        <v>71</v>
      </c>
      <c r="L29">
        <f>L28-F29/2</f>
        <v>6</v>
      </c>
      <c r="M29" t="s">
        <v>70</v>
      </c>
      <c r="N29">
        <f>N28-H29/2</f>
        <v>6</v>
      </c>
      <c r="P29" s="24">
        <f>L29*$C$28</f>
        <v>48</v>
      </c>
      <c r="Q29" s="24">
        <f>(L29+F29)*$C$28</f>
        <v>112</v>
      </c>
      <c r="R29" s="24">
        <f>N29*$C$28</f>
        <v>48</v>
      </c>
      <c r="S29" s="24">
        <f>(N29+H29)*$C$28</f>
        <v>112</v>
      </c>
      <c r="U29" t="s">
        <v>63</v>
      </c>
      <c r="V29">
        <f>F29*H29*C29^2</f>
        <v>16384</v>
      </c>
      <c r="W29">
        <f>C29^2*(F29*H29-F30*H30)</f>
        <v>12288</v>
      </c>
      <c r="X29" s="16">
        <f>(F29*H29-F30*H30)/(F28*H28)</f>
        <v>0.12</v>
      </c>
      <c r="Y29" s="15">
        <f>W29/W34</f>
        <v>0.19672131147540983</v>
      </c>
      <c r="Z29">
        <f>W29*2</f>
        <v>24576</v>
      </c>
      <c r="AA29" s="15">
        <f t="shared" ref="AA29:AA31" si="1">Z29/$Z$34</f>
        <v>0.10859728506787331</v>
      </c>
    </row>
    <row r="30" spans="1:27" ht="14.45" x14ac:dyDescent="0.3">
      <c r="A30" s="19"/>
      <c r="B30" t="s">
        <v>44</v>
      </c>
      <c r="C30">
        <f>C29*2</f>
        <v>32</v>
      </c>
      <c r="E30" t="s">
        <v>35</v>
      </c>
      <c r="F30">
        <v>4</v>
      </c>
      <c r="G30" t="s">
        <v>36</v>
      </c>
      <c r="H30">
        <v>4</v>
      </c>
      <c r="K30" t="s">
        <v>50</v>
      </c>
      <c r="L30">
        <f>L28-F30/2</f>
        <v>8</v>
      </c>
      <c r="M30" t="s">
        <v>51</v>
      </c>
      <c r="N30">
        <f>N28-H30/2</f>
        <v>8</v>
      </c>
      <c r="P30" s="24">
        <f>(L30-L29)*$C$29</f>
        <v>32</v>
      </c>
      <c r="Q30" s="24">
        <f>(L30-L29+F30)*$C$29</f>
        <v>96</v>
      </c>
      <c r="R30" s="24">
        <f>(N30-N29)*$C$29</f>
        <v>32</v>
      </c>
      <c r="S30" s="24">
        <f>(N30-N29+H30)*$C$29</f>
        <v>96</v>
      </c>
      <c r="U30" t="s">
        <v>64</v>
      </c>
      <c r="V30">
        <f>F30*H30*C30^2</f>
        <v>16384</v>
      </c>
      <c r="W30">
        <f>C30^2*(H30*F30-F31*H31)</f>
        <v>12288</v>
      </c>
      <c r="X30" s="16">
        <f>(F30*H30-F31*H31)/(F28*H28)</f>
        <v>0.03</v>
      </c>
      <c r="Y30" s="15">
        <f>W30/W34</f>
        <v>0.19672131147540983</v>
      </c>
      <c r="Z30">
        <f>W30*4</f>
        <v>49152</v>
      </c>
      <c r="AA30" s="15">
        <f t="shared" si="1"/>
        <v>0.21719457013574661</v>
      </c>
    </row>
    <row r="31" spans="1:27" ht="14.45" x14ac:dyDescent="0.3">
      <c r="A31" s="19"/>
      <c r="B31" t="s">
        <v>45</v>
      </c>
      <c r="C31">
        <f>C30*2</f>
        <v>64</v>
      </c>
      <c r="E31" t="s">
        <v>37</v>
      </c>
      <c r="F31" s="18">
        <v>2</v>
      </c>
      <c r="G31" t="s">
        <v>38</v>
      </c>
      <c r="H31" s="18">
        <v>2</v>
      </c>
      <c r="I31" s="13"/>
      <c r="K31" t="s">
        <v>52</v>
      </c>
      <c r="L31">
        <f>L28-F31/2</f>
        <v>9</v>
      </c>
      <c r="M31" t="s">
        <v>53</v>
      </c>
      <c r="N31">
        <f>N28-H31/2</f>
        <v>9</v>
      </c>
      <c r="P31" s="24">
        <f>(L31-L30)*$C$30</f>
        <v>32</v>
      </c>
      <c r="Q31" s="24">
        <f>(L31-L30+F31)*$C$30</f>
        <v>96</v>
      </c>
      <c r="R31" s="24">
        <f>(N31-N30)*$C$30</f>
        <v>32</v>
      </c>
      <c r="S31" s="24">
        <f>(N31-N30+H31)*$C$30</f>
        <v>96</v>
      </c>
      <c r="U31" t="s">
        <v>65</v>
      </c>
      <c r="V31">
        <f>F31*H31*C31^2</f>
        <v>16384</v>
      </c>
      <c r="W31">
        <f>V31</f>
        <v>16384</v>
      </c>
      <c r="X31" s="16">
        <f>(F31*H31)/(F28*H28)</f>
        <v>0.01</v>
      </c>
      <c r="Y31" s="15">
        <f>W31/W34</f>
        <v>0.26229508196721313</v>
      </c>
      <c r="Z31">
        <f>W31*8</f>
        <v>131072</v>
      </c>
      <c r="AA31" s="15">
        <f t="shared" si="1"/>
        <v>0.579185520361991</v>
      </c>
    </row>
    <row r="32" spans="1:27" ht="14.45" x14ac:dyDescent="0.3">
      <c r="A32" s="19"/>
      <c r="Y32" s="15"/>
    </row>
    <row r="33" spans="1:27" ht="14.45" x14ac:dyDescent="0.3">
      <c r="A33" s="19"/>
      <c r="O33" t="s">
        <v>82</v>
      </c>
      <c r="P33" s="25">
        <f>($F$31-1)/2 *$C$31</f>
        <v>32</v>
      </c>
      <c r="Q33" s="25">
        <f>($H$31-1)/2 *$C$31</f>
        <v>32</v>
      </c>
      <c r="R33" s="25"/>
      <c r="S33" s="25"/>
    </row>
    <row r="34" spans="1:27" ht="14.45" x14ac:dyDescent="0.3">
      <c r="A34" s="19"/>
      <c r="U34" t="s">
        <v>74</v>
      </c>
      <c r="W34">
        <f>SUM(W28:W31)</f>
        <v>62464</v>
      </c>
      <c r="X34" s="17">
        <f>SUM(X28:X31)</f>
        <v>1</v>
      </c>
      <c r="Y34" s="17">
        <f>SUM(Y28:Y31)</f>
        <v>1</v>
      </c>
      <c r="Z34">
        <f>SUM(Z28:Z31)</f>
        <v>226304</v>
      </c>
      <c r="AA34" s="15">
        <f>SUM(AA28:AA31)</f>
        <v>1</v>
      </c>
    </row>
    <row r="35" spans="1:27" ht="14.45" x14ac:dyDescent="0.3">
      <c r="A35" s="19"/>
    </row>
    <row r="36" spans="1:27" ht="14.45" x14ac:dyDescent="0.3">
      <c r="A36" s="19"/>
      <c r="G36" s="13"/>
      <c r="H36" s="13"/>
      <c r="I36" s="13"/>
    </row>
    <row r="37" spans="1:27" ht="14.45" x14ac:dyDescent="0.3">
      <c r="A37" s="19"/>
    </row>
    <row r="38" spans="1:27" ht="14.45" x14ac:dyDescent="0.3">
      <c r="A38" s="19">
        <v>5</v>
      </c>
      <c r="B38" s="14" t="s">
        <v>75</v>
      </c>
      <c r="C38" s="14" t="s">
        <v>76</v>
      </c>
      <c r="D38" s="14"/>
      <c r="E38" s="28" t="s">
        <v>59</v>
      </c>
      <c r="F38" s="28"/>
      <c r="G38" s="28"/>
      <c r="H38" s="28"/>
      <c r="I38" s="28"/>
      <c r="J38" s="14"/>
      <c r="K38" s="28" t="s">
        <v>72</v>
      </c>
      <c r="L38" s="28"/>
      <c r="M38" s="28"/>
      <c r="N38" s="28"/>
      <c r="O38" s="21"/>
      <c r="P38" s="29" t="s">
        <v>81</v>
      </c>
      <c r="Q38" s="29"/>
      <c r="R38" s="29"/>
      <c r="S38" s="29"/>
      <c r="T38" s="14"/>
      <c r="U38" s="14"/>
      <c r="V38" s="14" t="s">
        <v>61</v>
      </c>
      <c r="W38" s="14" t="s">
        <v>73</v>
      </c>
      <c r="X38" s="14" t="s">
        <v>77</v>
      </c>
      <c r="Y38" s="14" t="s">
        <v>78</v>
      </c>
      <c r="Z38" s="14" t="s">
        <v>79</v>
      </c>
      <c r="AA38" s="14" t="s">
        <v>80</v>
      </c>
    </row>
    <row r="39" spans="1:27" ht="14.45" x14ac:dyDescent="0.3">
      <c r="A39" s="19"/>
      <c r="B39" t="s">
        <v>42</v>
      </c>
      <c r="C39" s="18">
        <v>4</v>
      </c>
      <c r="E39" t="s">
        <v>68</v>
      </c>
      <c r="F39" s="18">
        <v>20</v>
      </c>
      <c r="G39" t="s">
        <v>69</v>
      </c>
      <c r="H39" s="18">
        <v>20</v>
      </c>
      <c r="I39" s="13"/>
      <c r="K39" t="s">
        <v>48</v>
      </c>
      <c r="L39" s="18">
        <v>10</v>
      </c>
      <c r="M39" t="s">
        <v>49</v>
      </c>
      <c r="N39" s="18">
        <v>10</v>
      </c>
      <c r="O39" s="22"/>
      <c r="P39" t="s">
        <v>83</v>
      </c>
      <c r="Q39" t="s">
        <v>84</v>
      </c>
      <c r="R39" t="s">
        <v>85</v>
      </c>
      <c r="S39" t="s">
        <v>86</v>
      </c>
      <c r="U39" t="s">
        <v>62</v>
      </c>
      <c r="V39">
        <f>F39*H39*C39^2</f>
        <v>6400</v>
      </c>
      <c r="W39">
        <f>C39^2*(F39*H39-F40*H40)</f>
        <v>5376</v>
      </c>
      <c r="X39" s="16">
        <f>(F39*H39-F40*H40)/(F39*H39)</f>
        <v>0.84</v>
      </c>
      <c r="Y39" s="15">
        <f>W39/W46</f>
        <v>0.13125000000000001</v>
      </c>
      <c r="Z39">
        <f>W39</f>
        <v>5376</v>
      </c>
      <c r="AA39" s="15">
        <f>Z39/$Z$46</f>
        <v>1.3788575180564675E-2</v>
      </c>
    </row>
    <row r="40" spans="1:27" ht="14.45" x14ac:dyDescent="0.3">
      <c r="A40" s="19"/>
      <c r="B40" t="s">
        <v>43</v>
      </c>
      <c r="C40">
        <f>C39*2</f>
        <v>8</v>
      </c>
      <c r="E40" t="s">
        <v>33</v>
      </c>
      <c r="F40">
        <v>8</v>
      </c>
      <c r="G40" t="s">
        <v>34</v>
      </c>
      <c r="H40">
        <v>8</v>
      </c>
      <c r="K40" t="s">
        <v>71</v>
      </c>
      <c r="L40">
        <f>L39-F40/2</f>
        <v>6</v>
      </c>
      <c r="M40" t="s">
        <v>70</v>
      </c>
      <c r="N40">
        <f>N39-H40/2</f>
        <v>6</v>
      </c>
      <c r="O40" s="23"/>
      <c r="P40" s="24">
        <f>L40*$C$39</f>
        <v>24</v>
      </c>
      <c r="Q40" s="24">
        <f>(L40+F40)*$C$39</f>
        <v>56</v>
      </c>
      <c r="R40" s="24">
        <f>N40*$C$39</f>
        <v>24</v>
      </c>
      <c r="S40" s="24">
        <f>(N40+H40)*$C$39</f>
        <v>56</v>
      </c>
      <c r="U40" t="s">
        <v>63</v>
      </c>
      <c r="V40">
        <f>F40*H40*C40^2</f>
        <v>4096</v>
      </c>
      <c r="W40">
        <f>C40^2*(F40*H40-F41*H41)</f>
        <v>1792</v>
      </c>
      <c r="X40" s="16">
        <f>(F40*H40-F41*H41)/(F39*H39)</f>
        <v>7.0000000000000007E-2</v>
      </c>
      <c r="Y40" s="15">
        <f>W40/W46</f>
        <v>4.3749999999999997E-2</v>
      </c>
      <c r="Z40">
        <f>W40*2</f>
        <v>3584</v>
      </c>
      <c r="AA40" s="15">
        <f t="shared" ref="AA40:AA43" si="2">Z40/$Z$46</f>
        <v>9.1923834537097834E-3</v>
      </c>
    </row>
    <row r="41" spans="1:27" ht="14.45" x14ac:dyDescent="0.3">
      <c r="A41" s="19"/>
      <c r="B41" t="s">
        <v>44</v>
      </c>
      <c r="C41">
        <f>C40*2</f>
        <v>16</v>
      </c>
      <c r="E41" t="s">
        <v>35</v>
      </c>
      <c r="F41">
        <v>6</v>
      </c>
      <c r="G41" t="s">
        <v>36</v>
      </c>
      <c r="H41">
        <v>6</v>
      </c>
      <c r="K41" t="s">
        <v>50</v>
      </c>
      <c r="L41">
        <f>L39-F41/2</f>
        <v>7</v>
      </c>
      <c r="M41" t="s">
        <v>51</v>
      </c>
      <c r="N41">
        <f>N39-H41/2</f>
        <v>7</v>
      </c>
      <c r="P41" s="24">
        <f>(L41-L40)*$C$40</f>
        <v>8</v>
      </c>
      <c r="Q41" s="24">
        <f>(L41-L40+F41)*$C$40</f>
        <v>56</v>
      </c>
      <c r="R41" s="24">
        <f>(N41-N40)*$C$40</f>
        <v>8</v>
      </c>
      <c r="S41" s="24">
        <f>(N41-N40+H41)*$C$40</f>
        <v>56</v>
      </c>
      <c r="U41" t="s">
        <v>64</v>
      </c>
      <c r="V41">
        <f>F41*H41*C41^2</f>
        <v>9216</v>
      </c>
      <c r="W41">
        <f>C41^2*(H41*F41-H42*F42)</f>
        <v>5120</v>
      </c>
      <c r="X41" s="16">
        <f>(F41*H41-F42*H42)/(F39*H39)</f>
        <v>0.05</v>
      </c>
      <c r="Y41" s="15">
        <f>W41/W46</f>
        <v>0.125</v>
      </c>
      <c r="Z41">
        <f>W41*4</f>
        <v>20480</v>
      </c>
      <c r="AA41" s="15">
        <f t="shared" si="2"/>
        <v>5.2527905449770193E-2</v>
      </c>
    </row>
    <row r="42" spans="1:27" ht="14.45" x14ac:dyDescent="0.3">
      <c r="A42" s="19"/>
      <c r="B42" t="s">
        <v>45</v>
      </c>
      <c r="C42">
        <f>C41*2</f>
        <v>32</v>
      </c>
      <c r="E42" t="s">
        <v>37</v>
      </c>
      <c r="F42">
        <v>4</v>
      </c>
      <c r="G42" t="s">
        <v>38</v>
      </c>
      <c r="H42" s="18">
        <v>4</v>
      </c>
      <c r="I42" s="13"/>
      <c r="K42" t="s">
        <v>52</v>
      </c>
      <c r="L42">
        <f>L39-F42/2</f>
        <v>8</v>
      </c>
      <c r="M42" t="s">
        <v>53</v>
      </c>
      <c r="N42">
        <f>N39-H42/2</f>
        <v>8</v>
      </c>
      <c r="P42" s="24">
        <f>(L42-L41)*$C$41</f>
        <v>16</v>
      </c>
      <c r="Q42" s="24">
        <f>(L42-L41+F42)*$C$41</f>
        <v>80</v>
      </c>
      <c r="R42" s="24">
        <f>(N42-N41)*$C$41</f>
        <v>16</v>
      </c>
      <c r="S42" s="24">
        <f>(N42-N41+H42)*$C$41</f>
        <v>80</v>
      </c>
      <c r="U42" t="s">
        <v>65</v>
      </c>
      <c r="V42">
        <f>F42*H42*C42^2</f>
        <v>16384</v>
      </c>
      <c r="W42">
        <f>C42^2*(H42*F42-H43*F43)</f>
        <v>12288</v>
      </c>
      <c r="X42" s="16">
        <f>(F42*H42-F43*H43)/(F39*H39)</f>
        <v>0.03</v>
      </c>
      <c r="Y42" s="15">
        <f>W42/W46</f>
        <v>0.3</v>
      </c>
      <c r="Z42">
        <f>W42*8</f>
        <v>98304</v>
      </c>
      <c r="AA42" s="15">
        <f t="shared" si="2"/>
        <v>0.25213394615889689</v>
      </c>
    </row>
    <row r="43" spans="1:27" ht="14.45" x14ac:dyDescent="0.3">
      <c r="A43" s="19"/>
      <c r="B43" t="s">
        <v>46</v>
      </c>
      <c r="C43">
        <f>C42*2</f>
        <v>64</v>
      </c>
      <c r="E43" t="s">
        <v>39</v>
      </c>
      <c r="F43" s="18">
        <v>2</v>
      </c>
      <c r="G43" t="s">
        <v>40</v>
      </c>
      <c r="H43" s="18">
        <v>2</v>
      </c>
      <c r="I43" s="13"/>
      <c r="K43" t="s">
        <v>54</v>
      </c>
      <c r="L43">
        <f>L39-F43/2</f>
        <v>9</v>
      </c>
      <c r="M43" t="s">
        <v>55</v>
      </c>
      <c r="N43">
        <f>N39-H43/2</f>
        <v>9</v>
      </c>
      <c r="P43" s="24">
        <f>(L43-L42)*$C$42</f>
        <v>32</v>
      </c>
      <c r="Q43" s="24">
        <f>(L43-L42+F43)*$C$42</f>
        <v>96</v>
      </c>
      <c r="R43" s="24">
        <f>(N43-N42)*$C$42</f>
        <v>32</v>
      </c>
      <c r="S43" s="24">
        <f>(N43-N42+H43)*$C$42</f>
        <v>96</v>
      </c>
      <c r="U43" t="s">
        <v>66</v>
      </c>
      <c r="V43">
        <f>F43*H43*C43^2</f>
        <v>16384</v>
      </c>
      <c r="W43">
        <f>V43</f>
        <v>16384</v>
      </c>
      <c r="X43" s="16">
        <f>(F43*H43)/(F39*H39)</f>
        <v>0.01</v>
      </c>
      <c r="Y43" s="15">
        <f>W43/W46</f>
        <v>0.4</v>
      </c>
      <c r="Z43">
        <f>W43*16</f>
        <v>262144</v>
      </c>
      <c r="AA43" s="15">
        <f t="shared" si="2"/>
        <v>0.67235718975705838</v>
      </c>
    </row>
    <row r="44" spans="1:27" ht="14.45" x14ac:dyDescent="0.3">
      <c r="A44" s="19"/>
    </row>
    <row r="45" spans="1:27" ht="14.45" x14ac:dyDescent="0.3">
      <c r="A45" s="19"/>
      <c r="O45" t="s">
        <v>82</v>
      </c>
      <c r="P45" s="25">
        <f>($F$43-1)/2 *$C$43</f>
        <v>32</v>
      </c>
      <c r="Q45" s="25">
        <f>($H$43-1)/2 *$C$43</f>
        <v>32</v>
      </c>
      <c r="R45" s="25"/>
      <c r="S45" s="25"/>
    </row>
    <row r="46" spans="1:27" ht="14.45" x14ac:dyDescent="0.3">
      <c r="A46" s="19"/>
      <c r="U46" t="s">
        <v>74</v>
      </c>
      <c r="W46">
        <f>SUM(W39:W43)</f>
        <v>40960</v>
      </c>
      <c r="X46" s="17">
        <f>SUM(X39:X43)</f>
        <v>1</v>
      </c>
      <c r="Y46" s="17">
        <f>SUM(Y39:Y43)</f>
        <v>1</v>
      </c>
      <c r="Z46">
        <f>SUM(Z39:Z43)</f>
        <v>389888</v>
      </c>
      <c r="AA46" s="15">
        <f>SUM(AA39:AA43)</f>
        <v>1</v>
      </c>
    </row>
    <row r="47" spans="1:27" ht="14.45" x14ac:dyDescent="0.3">
      <c r="A47" s="19"/>
    </row>
    <row r="50" spans="1:27" ht="14.45" x14ac:dyDescent="0.3">
      <c r="A50" s="19">
        <v>6</v>
      </c>
      <c r="B50" s="14" t="s">
        <v>75</v>
      </c>
      <c r="C50" s="14" t="s">
        <v>76</v>
      </c>
      <c r="D50" s="14"/>
      <c r="E50" s="20" t="s">
        <v>59</v>
      </c>
      <c r="F50" s="20"/>
      <c r="G50" s="20"/>
      <c r="H50" s="20"/>
      <c r="I50" s="20"/>
      <c r="J50" s="14"/>
      <c r="K50" s="20" t="s">
        <v>72</v>
      </c>
      <c r="L50" s="20"/>
      <c r="M50" s="20"/>
      <c r="N50" s="20"/>
      <c r="O50" s="21"/>
      <c r="P50" s="29" t="s">
        <v>81</v>
      </c>
      <c r="Q50" s="29"/>
      <c r="R50" s="29"/>
      <c r="S50" s="29"/>
      <c r="T50" s="14"/>
      <c r="U50" s="14"/>
      <c r="V50" s="14" t="s">
        <v>61</v>
      </c>
      <c r="W50" s="14" t="s">
        <v>73</v>
      </c>
      <c r="X50" s="14" t="s">
        <v>77</v>
      </c>
      <c r="Y50" s="14" t="s">
        <v>78</v>
      </c>
      <c r="Z50" s="14" t="s">
        <v>79</v>
      </c>
      <c r="AA50" s="14" t="s">
        <v>80</v>
      </c>
    </row>
    <row r="51" spans="1:27" ht="14.45" x14ac:dyDescent="0.3">
      <c r="B51" t="s">
        <v>42</v>
      </c>
      <c r="C51" s="18">
        <v>2</v>
      </c>
      <c r="E51" t="s">
        <v>68</v>
      </c>
      <c r="F51" s="18">
        <v>20</v>
      </c>
      <c r="G51" t="s">
        <v>69</v>
      </c>
      <c r="H51" s="18">
        <v>20</v>
      </c>
      <c r="I51" s="13"/>
      <c r="K51" t="s">
        <v>48</v>
      </c>
      <c r="L51" s="18">
        <v>10</v>
      </c>
      <c r="M51" t="s">
        <v>49</v>
      </c>
      <c r="N51" s="18">
        <v>10</v>
      </c>
      <c r="O51" s="22"/>
      <c r="P51" t="s">
        <v>83</v>
      </c>
      <c r="Q51" t="s">
        <v>84</v>
      </c>
      <c r="R51" t="s">
        <v>85</v>
      </c>
      <c r="S51" t="s">
        <v>86</v>
      </c>
      <c r="U51" t="s">
        <v>62</v>
      </c>
      <c r="V51">
        <f>F51*H51*C51^2</f>
        <v>1600</v>
      </c>
      <c r="W51">
        <f>C51^2*(F51*H51-F52*H52)</f>
        <v>1200</v>
      </c>
      <c r="X51" s="16">
        <f>(F51*H51-F52*H52)/(F51*H51)</f>
        <v>0.75</v>
      </c>
      <c r="Y51" s="15">
        <f t="shared" ref="Y51:Y56" si="3">W51/$W$59</f>
        <v>3.2119914346895075E-2</v>
      </c>
      <c r="Z51">
        <f>W51</f>
        <v>1200</v>
      </c>
      <c r="AA51" s="15">
        <f t="shared" ref="AA51:AA55" si="4">Z51/$Z$59</f>
        <v>1.5556615710107652E-3</v>
      </c>
    </row>
    <row r="52" spans="1:27" ht="14.45" x14ac:dyDescent="0.3">
      <c r="B52" t="s">
        <v>43</v>
      </c>
      <c r="C52">
        <f>C51*2</f>
        <v>4</v>
      </c>
      <c r="E52" t="s">
        <v>33</v>
      </c>
      <c r="F52">
        <v>10</v>
      </c>
      <c r="G52" t="s">
        <v>34</v>
      </c>
      <c r="H52">
        <v>10</v>
      </c>
      <c r="K52" t="s">
        <v>71</v>
      </c>
      <c r="L52">
        <f>L51-F52/2</f>
        <v>5</v>
      </c>
      <c r="M52" t="s">
        <v>70</v>
      </c>
      <c r="N52">
        <f>N51-H52/2</f>
        <v>5</v>
      </c>
      <c r="P52" s="24">
        <f>L52*$C$51</f>
        <v>10</v>
      </c>
      <c r="Q52" s="24">
        <f>(L52+F52)*$C$51</f>
        <v>30</v>
      </c>
      <c r="R52" s="24">
        <f>N52*$C$51</f>
        <v>10</v>
      </c>
      <c r="S52" s="24">
        <f>(N52+H52)*$C$51</f>
        <v>30</v>
      </c>
      <c r="U52" t="s">
        <v>63</v>
      </c>
      <c r="V52">
        <f>F52*H52*C52^2</f>
        <v>1600</v>
      </c>
      <c r="W52">
        <f>C52^2*(F52*H52-F53*H53)</f>
        <v>576</v>
      </c>
      <c r="X52" s="16">
        <f>(F52*H52-F53*H53)/(F51*H51)</f>
        <v>0.09</v>
      </c>
      <c r="Y52" s="15">
        <f t="shared" si="3"/>
        <v>1.5417558886509636E-2</v>
      </c>
      <c r="Z52">
        <f>W52*2</f>
        <v>1152</v>
      </c>
      <c r="AA52" s="15">
        <f t="shared" si="4"/>
        <v>1.4934351081703347E-3</v>
      </c>
    </row>
    <row r="53" spans="1:27" ht="14.45" x14ac:dyDescent="0.3">
      <c r="B53" t="s">
        <v>44</v>
      </c>
      <c r="C53">
        <f>C52*2</f>
        <v>8</v>
      </c>
      <c r="E53" t="s">
        <v>35</v>
      </c>
      <c r="F53">
        <v>8</v>
      </c>
      <c r="G53" t="s">
        <v>36</v>
      </c>
      <c r="H53">
        <v>8</v>
      </c>
      <c r="K53" t="s">
        <v>50</v>
      </c>
      <c r="L53">
        <f>L51-F53/2</f>
        <v>6</v>
      </c>
      <c r="M53" t="s">
        <v>51</v>
      </c>
      <c r="N53">
        <f>N51-H53/2</f>
        <v>6</v>
      </c>
      <c r="P53" s="24">
        <f>(L53-L52)*$C$52</f>
        <v>4</v>
      </c>
      <c r="Q53" s="24">
        <f>(L53-L52+F53)*$C$52</f>
        <v>36</v>
      </c>
      <c r="R53" s="24">
        <f>(N53-N52)*$C$52</f>
        <v>4</v>
      </c>
      <c r="S53" s="24">
        <f>(N53-N52+H53)*$C$52</f>
        <v>36</v>
      </c>
      <c r="U53" t="s">
        <v>64</v>
      </c>
      <c r="V53">
        <f>F53*H53*C53^2</f>
        <v>4096</v>
      </c>
      <c r="W53">
        <f>C53^2*(F53*H53-F54*H54)</f>
        <v>1792</v>
      </c>
      <c r="X53" s="16">
        <f>(F53*H53-F54*H54)/(F51*H51)</f>
        <v>7.0000000000000007E-2</v>
      </c>
      <c r="Y53" s="15">
        <f t="shared" si="3"/>
        <v>4.796573875802998E-2</v>
      </c>
      <c r="Z53">
        <f>W53*4</f>
        <v>7168</v>
      </c>
      <c r="AA53" s="15">
        <f t="shared" si="4"/>
        <v>9.2924851175043045E-3</v>
      </c>
    </row>
    <row r="54" spans="1:27" ht="14.45" x14ac:dyDescent="0.3">
      <c r="B54" t="s">
        <v>45</v>
      </c>
      <c r="C54">
        <f>C53*2</f>
        <v>16</v>
      </c>
      <c r="E54" t="s">
        <v>37</v>
      </c>
      <c r="F54">
        <v>6</v>
      </c>
      <c r="G54" t="s">
        <v>38</v>
      </c>
      <c r="H54">
        <v>6</v>
      </c>
      <c r="K54" t="s">
        <v>52</v>
      </c>
      <c r="L54">
        <f>L51-F54/2</f>
        <v>7</v>
      </c>
      <c r="M54" t="s">
        <v>53</v>
      </c>
      <c r="N54">
        <f>N51-H54/2</f>
        <v>7</v>
      </c>
      <c r="P54" s="24">
        <f>(L54-L53)*$C$53</f>
        <v>8</v>
      </c>
      <c r="Q54" s="24">
        <f>(L54-L53+F54)*$C$53</f>
        <v>56</v>
      </c>
      <c r="R54" s="24">
        <f>(N54-N53)*$C$53</f>
        <v>8</v>
      </c>
      <c r="S54" s="24">
        <f>(N54-N53+H54)*$C$53</f>
        <v>56</v>
      </c>
      <c r="U54" t="s">
        <v>65</v>
      </c>
      <c r="V54">
        <f t="shared" ref="V54:V56" si="5">F54*H54*C54^2</f>
        <v>9216</v>
      </c>
      <c r="W54">
        <f>C54^2*(F54*H54-F55*H55)</f>
        <v>5120</v>
      </c>
      <c r="X54" s="16">
        <f>(F54*H54-F55*H55)/(F51*H51)</f>
        <v>0.05</v>
      </c>
      <c r="Y54" s="15">
        <f t="shared" si="3"/>
        <v>0.13704496788008566</v>
      </c>
      <c r="Z54">
        <f>W54*8</f>
        <v>40960</v>
      </c>
      <c r="AA54" s="15">
        <f t="shared" si="4"/>
        <v>5.3099914957167454E-2</v>
      </c>
    </row>
    <row r="55" spans="1:27" ht="14.45" x14ac:dyDescent="0.3">
      <c r="B55" t="s">
        <v>46</v>
      </c>
      <c r="C55">
        <f>C54*2</f>
        <v>32</v>
      </c>
      <c r="E55" t="s">
        <v>39</v>
      </c>
      <c r="F55">
        <v>4</v>
      </c>
      <c r="G55" t="s">
        <v>40</v>
      </c>
      <c r="H55" s="18">
        <v>4</v>
      </c>
      <c r="I55" s="13"/>
      <c r="K55" t="s">
        <v>54</v>
      </c>
      <c r="L55">
        <f>L51-F55/2</f>
        <v>8</v>
      </c>
      <c r="M55" t="s">
        <v>55</v>
      </c>
      <c r="N55">
        <f>N51-H55/2</f>
        <v>8</v>
      </c>
      <c r="P55" s="24">
        <f>(L55-L54)*$C$54</f>
        <v>16</v>
      </c>
      <c r="Q55" s="24">
        <f>(L55-L54+F55)*$C$54</f>
        <v>80</v>
      </c>
      <c r="R55" s="24">
        <f>(N55-N54)*$C$54</f>
        <v>16</v>
      </c>
      <c r="S55" s="24">
        <f>(N55-N54+H55)*$C$54</f>
        <v>80</v>
      </c>
      <c r="U55" t="s">
        <v>66</v>
      </c>
      <c r="V55">
        <f t="shared" si="5"/>
        <v>16384</v>
      </c>
      <c r="W55">
        <f>C55^2*(F55*H55-F56*H56)</f>
        <v>12288</v>
      </c>
      <c r="X55" s="16">
        <f>(F55*H55-F56*H56)/(F51*H51)</f>
        <v>0.03</v>
      </c>
      <c r="Y55" s="15">
        <f t="shared" si="3"/>
        <v>0.32890792291220555</v>
      </c>
      <c r="Z55">
        <f>W55*16</f>
        <v>196608</v>
      </c>
      <c r="AA55" s="15">
        <f t="shared" si="4"/>
        <v>0.25487959179440378</v>
      </c>
    </row>
    <row r="56" spans="1:27" ht="14.45" x14ac:dyDescent="0.3">
      <c r="B56" t="s">
        <v>47</v>
      </c>
      <c r="C56">
        <f>C55*2</f>
        <v>64</v>
      </c>
      <c r="E56" t="s">
        <v>41</v>
      </c>
      <c r="F56" s="18">
        <v>2</v>
      </c>
      <c r="G56" t="s">
        <v>58</v>
      </c>
      <c r="H56" s="18">
        <v>2</v>
      </c>
      <c r="I56" s="13"/>
      <c r="K56" t="s">
        <v>56</v>
      </c>
      <c r="L56">
        <f>L51-F56/2</f>
        <v>9</v>
      </c>
      <c r="M56" t="s">
        <v>57</v>
      </c>
      <c r="N56">
        <f>N51-H56/2</f>
        <v>9</v>
      </c>
      <c r="P56" s="24">
        <f>(L56-L55)*$C$55</f>
        <v>32</v>
      </c>
      <c r="Q56" s="24">
        <f>(L56-L55+F56)*$C$55</f>
        <v>96</v>
      </c>
      <c r="R56" s="24">
        <f>(N56-N55)*$C$55</f>
        <v>32</v>
      </c>
      <c r="S56" s="24">
        <f>(N56-N55+H56)*$C$55</f>
        <v>96</v>
      </c>
      <c r="U56" t="s">
        <v>67</v>
      </c>
      <c r="V56">
        <f t="shared" si="5"/>
        <v>16384</v>
      </c>
      <c r="W56">
        <f>V56</f>
        <v>16384</v>
      </c>
      <c r="X56" s="16">
        <f>(F56*H56)/(F51*H51)</f>
        <v>0.01</v>
      </c>
      <c r="Y56" s="15">
        <f t="shared" si="3"/>
        <v>0.43854389721627407</v>
      </c>
      <c r="Z56">
        <f>W56*32</f>
        <v>524288</v>
      </c>
      <c r="AA56" s="15">
        <f>Z56/$Z$59</f>
        <v>0.67967891145174342</v>
      </c>
    </row>
    <row r="58" spans="1:27" x14ac:dyDescent="0.25">
      <c r="O58" t="s">
        <v>82</v>
      </c>
      <c r="P58" s="25">
        <f>($F$56-1)/2 *$C$56</f>
        <v>32</v>
      </c>
      <c r="Q58" s="25">
        <f>($H$56-1)/2 *$C$56</f>
        <v>32</v>
      </c>
      <c r="R58" s="25"/>
      <c r="S58" s="25"/>
    </row>
    <row r="59" spans="1:27" x14ac:dyDescent="0.25">
      <c r="U59" t="s">
        <v>74</v>
      </c>
      <c r="W59">
        <f>SUM(W51:W56)</f>
        <v>37360</v>
      </c>
      <c r="X59" s="17">
        <f>SUM(X51:X56)</f>
        <v>1</v>
      </c>
      <c r="Y59" s="17">
        <f>SUM(Y51:Y56)</f>
        <v>1</v>
      </c>
      <c r="Z59">
        <f>SUM(Z51:Z56)</f>
        <v>771376</v>
      </c>
      <c r="AA59" s="15">
        <f>SUM(AA51:AA56)</f>
        <v>1</v>
      </c>
    </row>
    <row r="67" spans="1:1" x14ac:dyDescent="0.25">
      <c r="A67" t="s">
        <v>60</v>
      </c>
    </row>
  </sheetData>
  <mergeCells count="16">
    <mergeCell ref="P50:S50"/>
    <mergeCell ref="K27:N27"/>
    <mergeCell ref="E27:I27"/>
    <mergeCell ref="E38:I38"/>
    <mergeCell ref="K38:N38"/>
    <mergeCell ref="P27:S27"/>
    <mergeCell ref="P38:S38"/>
    <mergeCell ref="E1:I1"/>
    <mergeCell ref="K1:N1"/>
    <mergeCell ref="P1:S1"/>
    <mergeCell ref="E17:I17"/>
    <mergeCell ref="K17:N17"/>
    <mergeCell ref="P17:S17"/>
    <mergeCell ref="E8:I8"/>
    <mergeCell ref="K8:N8"/>
    <mergeCell ref="P8:S8"/>
  </mergeCells>
  <pageMargins left="0.7" right="0.7" top="0.75" bottom="0.75" header="0.3" footer="0.3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570312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sanchez muñoz</dc:creator>
  <cp:lastModifiedBy>jonathan sanchez muñoz</cp:lastModifiedBy>
  <dcterms:created xsi:type="dcterms:W3CDTF">2016-08-08T16:36:56Z</dcterms:created>
  <dcterms:modified xsi:type="dcterms:W3CDTF">2016-10-03T15:55:10Z</dcterms:modified>
</cp:coreProperties>
</file>