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"/>
    </mc:Choice>
  </mc:AlternateContent>
  <bookViews>
    <workbookView xWindow="14316" yWindow="2220" windowWidth="24840" windowHeight="17964" activeTab="1"/>
  </bookViews>
  <sheets>
    <sheet name="Hoja1" sheetId="1" r:id="rId1"/>
    <sheet name="Hoja2" sheetId="2" r:id="rId2"/>
    <sheet name="Hoja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" i="2" l="1"/>
  <c r="S36" i="2"/>
  <c r="S35" i="2"/>
  <c r="S34" i="2"/>
  <c r="R37" i="2"/>
  <c r="R36" i="2"/>
  <c r="R35" i="2"/>
  <c r="R34" i="2"/>
  <c r="Q37" i="2"/>
  <c r="Q36" i="2"/>
  <c r="Q35" i="2"/>
  <c r="Q34" i="2"/>
  <c r="P37" i="2"/>
  <c r="P36" i="2"/>
  <c r="P35" i="2"/>
  <c r="P34" i="2"/>
  <c r="S24" i="2"/>
  <c r="S23" i="2"/>
  <c r="S22" i="2"/>
  <c r="R24" i="2"/>
  <c r="R23" i="2"/>
  <c r="R22" i="2"/>
  <c r="Q24" i="2"/>
  <c r="Q23" i="2"/>
  <c r="Q22" i="2"/>
  <c r="P24" i="2"/>
  <c r="P23" i="2"/>
  <c r="P22" i="2"/>
  <c r="S12" i="2"/>
  <c r="S11" i="2"/>
  <c r="R12" i="2"/>
  <c r="R11" i="2"/>
  <c r="Q12" i="2"/>
  <c r="Q11" i="2"/>
  <c r="P11" i="2"/>
  <c r="P12" i="2"/>
  <c r="R33" i="2"/>
  <c r="S33" i="2"/>
  <c r="Q33" i="2"/>
  <c r="P33" i="2"/>
  <c r="R21" i="2"/>
  <c r="S21" i="2"/>
  <c r="Q21" i="2"/>
  <c r="P21" i="2"/>
  <c r="R10" i="2"/>
  <c r="S10" i="2"/>
  <c r="Q10" i="2"/>
  <c r="P10" i="2"/>
  <c r="Q39" i="2"/>
  <c r="P39" i="2"/>
  <c r="Q26" i="2"/>
  <c r="P26" i="2"/>
  <c r="Q14" i="2"/>
  <c r="P14" i="2"/>
  <c r="F11" i="2"/>
  <c r="F10" i="2"/>
  <c r="W9" i="2"/>
  <c r="Z9" i="2"/>
  <c r="C10" i="2"/>
  <c r="W10" i="2"/>
  <c r="Z10" i="2"/>
  <c r="C11" i="2"/>
  <c r="W11" i="2"/>
  <c r="Z11" i="2"/>
  <c r="C12" i="2"/>
  <c r="V12" i="2"/>
  <c r="W12" i="2"/>
  <c r="Z12" i="2"/>
  <c r="Z15" i="2"/>
  <c r="AA9" i="2"/>
  <c r="AA10" i="2"/>
  <c r="AA11" i="2"/>
  <c r="AA12" i="2"/>
  <c r="AA15" i="2"/>
  <c r="W20" i="2"/>
  <c r="Z20" i="2"/>
  <c r="C21" i="2"/>
  <c r="W21" i="2"/>
  <c r="Z21" i="2"/>
  <c r="C22" i="2"/>
  <c r="W22" i="2"/>
  <c r="Z22" i="2"/>
  <c r="C23" i="2"/>
  <c r="W23" i="2"/>
  <c r="Z23" i="2"/>
  <c r="C24" i="2"/>
  <c r="V24" i="2"/>
  <c r="W24" i="2"/>
  <c r="Z24" i="2"/>
  <c r="Z27" i="2"/>
  <c r="AA20" i="2"/>
  <c r="AA21" i="2"/>
  <c r="AA22" i="2"/>
  <c r="AA23" i="2"/>
  <c r="AA24" i="2"/>
  <c r="AA27" i="2"/>
  <c r="W32" i="2"/>
  <c r="Z32" i="2"/>
  <c r="C33" i="2"/>
  <c r="W33" i="2"/>
  <c r="Z33" i="2"/>
  <c r="C34" i="2"/>
  <c r="W34" i="2"/>
  <c r="Z34" i="2"/>
  <c r="C35" i="2"/>
  <c r="W35" i="2"/>
  <c r="Z35" i="2"/>
  <c r="C36" i="2"/>
  <c r="W36" i="2"/>
  <c r="Z36" i="2"/>
  <c r="C37" i="2"/>
  <c r="V37" i="2"/>
  <c r="W37" i="2"/>
  <c r="Z37" i="2"/>
  <c r="Z40" i="2"/>
  <c r="AA32" i="2"/>
  <c r="AA33" i="2"/>
  <c r="AA34" i="2"/>
  <c r="AA35" i="2"/>
  <c r="AA36" i="2"/>
  <c r="AA37" i="2"/>
  <c r="AA40" i="2"/>
  <c r="F23" i="2"/>
  <c r="F22" i="2"/>
  <c r="F21" i="2"/>
  <c r="H22" i="2"/>
  <c r="H21" i="2"/>
  <c r="X20" i="2"/>
  <c r="X21" i="2"/>
  <c r="X22" i="2"/>
  <c r="X23" i="2"/>
  <c r="X24" i="2"/>
  <c r="X27" i="2"/>
  <c r="H10" i="2"/>
  <c r="W15" i="2"/>
  <c r="Y9" i="2"/>
  <c r="Y10" i="2"/>
  <c r="Y11" i="2"/>
  <c r="Y12" i="2"/>
  <c r="Y15" i="2"/>
  <c r="W27" i="2"/>
  <c r="Y20" i="2"/>
  <c r="Y21" i="2"/>
  <c r="Y22" i="2"/>
  <c r="Y23" i="2"/>
  <c r="Y24" i="2"/>
  <c r="Y27" i="2"/>
  <c r="F36" i="2"/>
  <c r="F35" i="2"/>
  <c r="F34" i="2"/>
  <c r="F33" i="2"/>
  <c r="H35" i="2"/>
  <c r="H34" i="2"/>
  <c r="H33" i="2"/>
  <c r="W40" i="2"/>
  <c r="Y32" i="2"/>
  <c r="Y33" i="2"/>
  <c r="Y34" i="2"/>
  <c r="Y35" i="2"/>
  <c r="Y36" i="2"/>
  <c r="Y37" i="2"/>
  <c r="Y40" i="2"/>
  <c r="X32" i="2"/>
  <c r="X33" i="2"/>
  <c r="V35" i="2"/>
  <c r="V36" i="2"/>
  <c r="V34" i="2"/>
  <c r="V33" i="2"/>
  <c r="N33" i="2"/>
  <c r="L33" i="2"/>
  <c r="X11" i="2"/>
  <c r="X34" i="2"/>
  <c r="X35" i="2"/>
  <c r="X36" i="2"/>
  <c r="X37" i="2"/>
  <c r="X40" i="2"/>
  <c r="N37" i="2"/>
  <c r="L37" i="2"/>
  <c r="N36" i="2"/>
  <c r="L36" i="2"/>
  <c r="N35" i="2"/>
  <c r="L35" i="2"/>
  <c r="N34" i="2"/>
  <c r="L34" i="2"/>
  <c r="V32" i="2"/>
  <c r="N24" i="2"/>
  <c r="L24" i="2"/>
  <c r="V23" i="2"/>
  <c r="N23" i="2"/>
  <c r="L23" i="2"/>
  <c r="V22" i="2"/>
  <c r="N22" i="2"/>
  <c r="L22" i="2"/>
  <c r="V21" i="2"/>
  <c r="N21" i="2"/>
  <c r="L21" i="2"/>
  <c r="V20" i="2"/>
  <c r="X9" i="2"/>
  <c r="X10" i="2"/>
  <c r="X12" i="2"/>
  <c r="X15" i="2"/>
  <c r="V11" i="2"/>
  <c r="V10" i="2"/>
  <c r="V9" i="2"/>
  <c r="L10" i="2"/>
  <c r="N10" i="2"/>
  <c r="L11" i="2"/>
  <c r="N11" i="2"/>
  <c r="N12" i="2"/>
  <c r="L12" i="2"/>
  <c r="B6" i="1"/>
  <c r="H16" i="1"/>
  <c r="H15" i="1"/>
  <c r="H14" i="1"/>
  <c r="H12" i="1"/>
  <c r="H13" i="1"/>
  <c r="H11" i="1"/>
  <c r="H10" i="1"/>
  <c r="H9" i="1"/>
  <c r="B10" i="1"/>
  <c r="C10" i="1"/>
  <c r="J23" i="1"/>
  <c r="C9" i="1"/>
  <c r="B11" i="1"/>
  <c r="C11" i="1"/>
  <c r="J24" i="1"/>
  <c r="B12" i="1"/>
  <c r="C12" i="1"/>
  <c r="J25" i="1"/>
  <c r="B13" i="1"/>
  <c r="C13" i="1"/>
  <c r="J26" i="1"/>
  <c r="B14" i="1"/>
  <c r="C14" i="1"/>
  <c r="J27" i="1"/>
  <c r="B15" i="1"/>
  <c r="C15" i="1"/>
  <c r="J28" i="1"/>
  <c r="B16" i="1"/>
  <c r="C16" i="1"/>
  <c r="J29" i="1"/>
  <c r="J22" i="1"/>
  <c r="B5" i="1"/>
  <c r="I23" i="1"/>
  <c r="I24" i="1"/>
  <c r="I25" i="1"/>
  <c r="I26" i="1"/>
  <c r="I27" i="1"/>
  <c r="I28" i="1"/>
  <c r="I29" i="1"/>
  <c r="I22" i="1"/>
  <c r="B4" i="1"/>
  <c r="H23" i="1"/>
  <c r="H24" i="1"/>
  <c r="H25" i="1"/>
  <c r="H26" i="1"/>
  <c r="H27" i="1"/>
  <c r="H28" i="1"/>
  <c r="H29" i="1"/>
  <c r="H22" i="1"/>
  <c r="G23" i="1"/>
  <c r="G22" i="1"/>
  <c r="G25" i="1"/>
  <c r="B8" i="1"/>
  <c r="G24" i="1"/>
  <c r="G27" i="1"/>
  <c r="G26" i="1"/>
  <c r="G28" i="1"/>
  <c r="G29" i="1"/>
</calcChain>
</file>

<file path=xl/comments1.xml><?xml version="1.0" encoding="utf-8"?>
<comments xmlns="http://schemas.openxmlformats.org/spreadsheetml/2006/main">
  <authors>
    <author>jonathan sanchez muñoz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jonathan sanchez muñoz:</t>
        </r>
        <r>
          <rPr>
            <sz val="9"/>
            <color indexed="81"/>
            <rFont val="Tahoma"/>
            <charset val="1"/>
          </rPr>
          <t xml:space="preserve">
Red cells can be changed to obtain proper numbers.
</t>
        </r>
      </text>
    </comment>
  </commentList>
</comments>
</file>

<file path=xl/sharedStrings.xml><?xml version="1.0" encoding="utf-8"?>
<sst xmlns="http://schemas.openxmlformats.org/spreadsheetml/2006/main" count="196" uniqueCount="88">
  <si>
    <t>Computational domain size according with L</t>
  </si>
  <si>
    <t># Refinement</t>
  </si>
  <si>
    <t>Fine grid 1  X</t>
  </si>
  <si>
    <t>Fine grid 1  Y</t>
  </si>
  <si>
    <t>Fine grid 2  X</t>
  </si>
  <si>
    <t>Fine grid 2  Y</t>
  </si>
  <si>
    <t>Fine grid 3  X</t>
  </si>
  <si>
    <t>Fine grid 3  Y</t>
  </si>
  <si>
    <t xml:space="preserve">Coarse grid Y </t>
  </si>
  <si>
    <t xml:space="preserve">Coarse grid X </t>
  </si>
  <si>
    <t>Times L</t>
  </si>
  <si>
    <t>Grids</t>
  </si>
  <si>
    <t>Times L  Finest grid</t>
  </si>
  <si>
    <t>Lattice Units coarse grid</t>
  </si>
  <si>
    <t>Accumulative</t>
  </si>
  <si>
    <t>L0</t>
  </si>
  <si>
    <t>L1</t>
  </si>
  <si>
    <t>L2</t>
  </si>
  <si>
    <t>L3</t>
  </si>
  <si>
    <t>RefXstart 1</t>
  </si>
  <si>
    <t>RefXstart 2</t>
  </si>
  <si>
    <t>RefXstart 3</t>
  </si>
  <si>
    <t>RefYstart 1</t>
  </si>
  <si>
    <t>RefYstart 2</t>
  </si>
  <si>
    <t>Object_start_x</t>
  </si>
  <si>
    <t>Object_start_y</t>
  </si>
  <si>
    <t>X_0</t>
  </si>
  <si>
    <t>Y_0</t>
  </si>
  <si>
    <t>X_1</t>
  </si>
  <si>
    <t>Y_1</t>
  </si>
  <si>
    <t>X_2</t>
  </si>
  <si>
    <t>Y_3</t>
  </si>
  <si>
    <t>Y_2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</si>
  <si>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</si>
  <si>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</si>
  <si>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</si>
  <si>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</si>
  <si>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</si>
  <si>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</si>
  <si>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</si>
  <si>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</si>
  <si>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</si>
  <si>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R0</t>
  </si>
  <si>
    <t>R1</t>
  </si>
  <si>
    <t>R2</t>
  </si>
  <si>
    <t>R3</t>
  </si>
  <si>
    <t>R4</t>
  </si>
  <si>
    <t>R5</t>
  </si>
  <si>
    <t>XC</t>
  </si>
  <si>
    <t>YC</t>
  </si>
  <si>
    <t>X02</t>
  </si>
  <si>
    <t>Y02</t>
  </si>
  <si>
    <t>X03</t>
  </si>
  <si>
    <t>Y03</t>
  </si>
  <si>
    <t>X04</t>
  </si>
  <si>
    <t>Y04</t>
  </si>
  <si>
    <t>X05</t>
  </si>
  <si>
    <t>Y05</t>
  </si>
  <si>
    <t>Y5</t>
  </si>
  <si>
    <t>Box dimensions (in Diameters)</t>
  </si>
  <si>
    <t>*(such that 3 of 4 sides are equidistant from cylinder centre: with refinement in wake)</t>
  </si>
  <si>
    <t>Total Cells</t>
  </si>
  <si>
    <t>Mesh0</t>
  </si>
  <si>
    <t>Mesh1</t>
  </si>
  <si>
    <t>Mesh2</t>
  </si>
  <si>
    <t>Mesh3</t>
  </si>
  <si>
    <t>Mesh4</t>
  </si>
  <si>
    <t>Mesh5</t>
  </si>
  <si>
    <t>X0</t>
  </si>
  <si>
    <t>Y0</t>
  </si>
  <si>
    <t>Y01</t>
  </si>
  <si>
    <t>X01</t>
  </si>
  <si>
    <t xml:space="preserve">Box location (in Diameters) * </t>
  </si>
  <si>
    <t>Total Active</t>
  </si>
  <si>
    <t>Total active sites</t>
  </si>
  <si>
    <t>Level</t>
  </si>
  <si>
    <t>#Levels</t>
  </si>
  <si>
    <t>D</t>
  </si>
  <si>
    <t>% of Volume</t>
  </si>
  <si>
    <t>% active sites</t>
  </si>
  <si>
    <t>LUPTS</t>
  </si>
  <si>
    <t>% LUPTS</t>
  </si>
  <si>
    <t>LUMA Refs</t>
  </si>
  <si>
    <t>Object @</t>
  </si>
  <si>
    <t>RefXstart</t>
  </si>
  <si>
    <t>RefXend</t>
  </si>
  <si>
    <t>RefYstart</t>
  </si>
  <si>
    <t>RefYend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</si>
</sst>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0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3" fillId="6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4" borderId="0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0" borderId="0" xfId="0" applyFont="1"/>
    <xf numFmtId="0" fontId="8" fillId="7" borderId="0" xfId="0" applyFont="1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5" fillId="2" borderId="0" xfId="0" applyFont="1" applyFill="1"/>
    <xf numFmtId="0" fontId="9" fillId="0" borderId="0" xfId="0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ill="1"/>
    <xf numFmtId="1" fontId="0" fillId="0" borderId="0" xfId="0" applyNumberFormat="1"/>
    <xf numFmtId="0" fontId="3" fillId="0" borderId="0" xfId="0" applyFont="1" applyFill="1"/>
    <xf numFmtId="0" fontId="0" fillId="3" borderId="0" xfId="0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678656</xdr:colOff>
      <xdr:row>66</xdr:row>
      <xdr:rowOff>11908</xdr:rowOff>
    </xdr:from>
    <xdr:to>
      <xdr:col>16</xdr:col>
      <xdr:colOff>355849</xdr:colOff>
      <xdr:row>67</xdr:row>
      <xdr:rowOff>127593</xdr:rowOff>
    </xdr:to>
    <xdr:sp macro="" textlink="">
      <xdr:nvSpPr>
        <xdr:cNvPr id="143" name="67 Cuadro de texto"/>
        <xdr:cNvSpPr txBox="1"/>
      </xdr:nvSpPr>
      <xdr:spPr>
        <a:xfrm>
          <a:off x="15132844" y="12013408"/>
          <a:ext cx="439193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15</xdr:col>
      <xdr:colOff>738186</xdr:colOff>
      <xdr:row>72</xdr:row>
      <xdr:rowOff>57148</xdr:rowOff>
    </xdr:from>
    <xdr:to>
      <xdr:col>16</xdr:col>
      <xdr:colOff>532061</xdr:colOff>
      <xdr:row>73</xdr:row>
      <xdr:rowOff>172833</xdr:rowOff>
    </xdr:to>
    <xdr:sp macro="" textlink="">
      <xdr:nvSpPr>
        <xdr:cNvPr id="146" name="67 Cuadro de texto"/>
        <xdr:cNvSpPr txBox="1"/>
      </xdr:nvSpPr>
      <xdr:spPr>
        <a:xfrm>
          <a:off x="15192374" y="13201648"/>
          <a:ext cx="555875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16</xdr:col>
      <xdr:colOff>759622</xdr:colOff>
      <xdr:row>69</xdr:row>
      <xdr:rowOff>21432</xdr:rowOff>
    </xdr:from>
    <xdr:to>
      <xdr:col>17</xdr:col>
      <xdr:colOff>476250</xdr:colOff>
      <xdr:row>70</xdr:row>
      <xdr:rowOff>137117</xdr:rowOff>
    </xdr:to>
    <xdr:sp macro="" textlink="">
      <xdr:nvSpPr>
        <xdr:cNvPr id="150" name="67 Cuadro de texto"/>
        <xdr:cNvSpPr txBox="1"/>
      </xdr:nvSpPr>
      <xdr:spPr>
        <a:xfrm>
          <a:off x="15975810" y="12594432"/>
          <a:ext cx="478628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102054</xdr:colOff>
      <xdr:row>16</xdr:row>
      <xdr:rowOff>120583</xdr:rowOff>
    </xdr:from>
    <xdr:to>
      <xdr:col>4</xdr:col>
      <xdr:colOff>404812</xdr:colOff>
      <xdr:row>36</xdr:row>
      <xdr:rowOff>110558</xdr:rowOff>
    </xdr:to>
    <xdr:pic>
      <xdr:nvPicPr>
        <xdr:cNvPr id="2" name="1 Imagen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" y="2597083"/>
          <a:ext cx="4956401" cy="3799975"/>
        </a:xfrm>
        <a:prstGeom prst="rect">
          <a:avLst/>
        </a:prstGeom>
      </xdr:spPr>
    </xdr:pic>
    <xdr:clientData/>
  </xdr:twoCellAnchor>
  <xdr:twoCellAnchor>
    <xdr:from>
      <xdr:col>10</xdr:col>
      <xdr:colOff>884464</xdr:colOff>
      <xdr:row>3</xdr:row>
      <xdr:rowOff>35750</xdr:rowOff>
    </xdr:from>
    <xdr:to>
      <xdr:col>19</xdr:col>
      <xdr:colOff>658472</xdr:colOff>
      <xdr:row>40</xdr:row>
      <xdr:rowOff>68036</xdr:rowOff>
    </xdr:to>
    <xdr:grpSp>
      <xdr:nvGrpSpPr>
        <xdr:cNvPr id="5" name="4 Grupo"/>
        <xdr:cNvGrpSpPr/>
      </xdr:nvGrpSpPr>
      <xdr:grpSpPr>
        <a:xfrm>
          <a:off x="11748407" y="590921"/>
          <a:ext cx="7491979" cy="8359858"/>
          <a:chOff x="11579678" y="607250"/>
          <a:chExt cx="7611723" cy="8604786"/>
        </a:xfrm>
      </xdr:grpSpPr>
      <xdr:pic>
        <xdr:nvPicPr>
          <xdr:cNvPr id="3" name="2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79678" y="607250"/>
            <a:ext cx="7611723" cy="4320606"/>
          </a:xfrm>
          <a:prstGeom prst="rect">
            <a:avLst/>
          </a:prstGeom>
        </xdr:spPr>
      </xdr:pic>
      <xdr:pic>
        <xdr:nvPicPr>
          <xdr:cNvPr id="4" name="3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28714" y="5157106"/>
            <a:ext cx="6966857" cy="405493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105784</xdr:colOff>
      <xdr:row>3</xdr:row>
      <xdr:rowOff>23309</xdr:rowOff>
    </xdr:from>
    <xdr:to>
      <xdr:col>37</xdr:col>
      <xdr:colOff>437478</xdr:colOff>
      <xdr:row>34</xdr:row>
      <xdr:rowOff>68132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2000604" y="571949"/>
          <a:ext cx="8256494" cy="5714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="70" zoomScaleNormal="70" zoomScalePageLayoutView="70" workbookViewId="0">
      <selection activeCell="H25" sqref="H25"/>
    </sheetView>
  </sheetViews>
  <sheetFormatPr defaultColWidth="10.77734375" defaultRowHeight="14.4" x14ac:dyDescent="0.3"/>
  <cols>
    <col min="1" max="1" width="20.44140625" style="3" customWidth="1"/>
    <col min="2" max="2" width="10.77734375" style="3"/>
    <col min="3" max="3" width="18.44140625" style="3" customWidth="1"/>
    <col min="4" max="4" width="19.44140625" style="3" customWidth="1"/>
    <col min="5" max="6" width="10.77734375" style="3"/>
    <col min="7" max="7" width="19" style="3" customWidth="1"/>
    <col min="8" max="8" width="15.6640625" style="3" customWidth="1"/>
    <col min="9" max="9" width="20.44140625" style="3" customWidth="1"/>
    <col min="10" max="10" width="12.44140625" style="3" customWidth="1"/>
    <col min="11" max="11" width="26.109375" style="3" customWidth="1"/>
    <col min="12" max="16384" width="10.77734375" style="3"/>
  </cols>
  <sheetData>
    <row r="1" spans="1:12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3">
      <c r="A3" s="1" t="s">
        <v>15</v>
      </c>
      <c r="B3" s="5">
        <v>80</v>
      </c>
      <c r="C3" s="5"/>
      <c r="D3" s="4" t="s">
        <v>12</v>
      </c>
    </row>
    <row r="4" spans="1:12" x14ac:dyDescent="0.3">
      <c r="A4" s="1" t="s">
        <v>16</v>
      </c>
      <c r="B4" s="5">
        <f>B3/(2^1)</f>
        <v>40</v>
      </c>
      <c r="C4" s="8"/>
      <c r="D4" s="10"/>
    </row>
    <row r="5" spans="1:12" x14ac:dyDescent="0.3">
      <c r="A5" s="1" t="s">
        <v>17</v>
      </c>
      <c r="B5" s="5">
        <f>B3/(2^2)</f>
        <v>20</v>
      </c>
      <c r="C5" s="8"/>
      <c r="D5" s="10"/>
    </row>
    <row r="6" spans="1:12" x14ac:dyDescent="0.3">
      <c r="A6" s="1" t="s">
        <v>18</v>
      </c>
      <c r="B6" s="5">
        <f>B3/(2^3)</f>
        <v>10</v>
      </c>
      <c r="C6" s="8"/>
      <c r="D6" s="10"/>
    </row>
    <row r="7" spans="1:12" x14ac:dyDescent="0.3">
      <c r="A7" s="1" t="s">
        <v>1</v>
      </c>
      <c r="B7" s="5">
        <v>3</v>
      </c>
      <c r="C7" s="8"/>
    </row>
    <row r="8" spans="1:12" x14ac:dyDescent="0.3">
      <c r="A8" s="2" t="s">
        <v>11</v>
      </c>
      <c r="B8" s="4">
        <f>$B$7+1</f>
        <v>4</v>
      </c>
      <c r="C8" s="4" t="s">
        <v>14</v>
      </c>
    </row>
    <row r="9" spans="1:12" ht="28.8" x14ac:dyDescent="0.3">
      <c r="A9" s="2" t="s">
        <v>2</v>
      </c>
      <c r="B9" s="5">
        <v>5</v>
      </c>
      <c r="C9" s="9">
        <f>B9</f>
        <v>5</v>
      </c>
      <c r="D9" s="4" t="s">
        <v>10</v>
      </c>
      <c r="G9" s="2" t="s">
        <v>24</v>
      </c>
      <c r="H9" s="6">
        <f>2*B6</f>
        <v>20</v>
      </c>
      <c r="I9" s="11" t="s">
        <v>13</v>
      </c>
    </row>
    <row r="10" spans="1:12" ht="28.8" x14ac:dyDescent="0.3">
      <c r="A10" s="2" t="s">
        <v>3</v>
      </c>
      <c r="B10" s="5">
        <f>1+1+(1/4)</f>
        <v>2.25</v>
      </c>
      <c r="C10" s="9">
        <f>B10</f>
        <v>2.25</v>
      </c>
      <c r="D10" s="4" t="s">
        <v>10</v>
      </c>
      <c r="G10" s="2" t="s">
        <v>25</v>
      </c>
      <c r="H10" s="6">
        <f>B6</f>
        <v>10</v>
      </c>
      <c r="I10" s="11" t="s">
        <v>13</v>
      </c>
    </row>
    <row r="11" spans="1:12" ht="28.8" x14ac:dyDescent="0.3">
      <c r="A11" s="2" t="s">
        <v>4</v>
      </c>
      <c r="B11" s="5">
        <f>1+1</f>
        <v>2</v>
      </c>
      <c r="C11" s="9">
        <f t="shared" ref="C11:C16" si="0">C9+B11</f>
        <v>7</v>
      </c>
      <c r="D11" s="4" t="s">
        <v>10</v>
      </c>
      <c r="G11" s="2" t="s">
        <v>19</v>
      </c>
      <c r="H11" s="6">
        <f>B6</f>
        <v>10</v>
      </c>
      <c r="I11" s="11" t="s">
        <v>13</v>
      </c>
    </row>
    <row r="12" spans="1:12" ht="28.8" x14ac:dyDescent="0.3">
      <c r="A12" s="2" t="s">
        <v>5</v>
      </c>
      <c r="B12" s="5">
        <f>1+1</f>
        <v>2</v>
      </c>
      <c r="C12" s="9">
        <f t="shared" si="0"/>
        <v>4.25</v>
      </c>
      <c r="D12" s="4" t="s">
        <v>10</v>
      </c>
      <c r="G12" s="2" t="s">
        <v>22</v>
      </c>
      <c r="H12" s="6">
        <f>B6</f>
        <v>10</v>
      </c>
      <c r="I12" s="11" t="s">
        <v>13</v>
      </c>
    </row>
    <row r="13" spans="1:12" ht="28.8" x14ac:dyDescent="0.3">
      <c r="A13" s="2" t="s">
        <v>6</v>
      </c>
      <c r="B13" s="5">
        <f>1+1</f>
        <v>2</v>
      </c>
      <c r="C13" s="7">
        <f t="shared" si="0"/>
        <v>9</v>
      </c>
      <c r="D13" s="4" t="s">
        <v>10</v>
      </c>
      <c r="G13" s="2" t="s">
        <v>20</v>
      </c>
      <c r="H13" s="6">
        <f>B6</f>
        <v>10</v>
      </c>
      <c r="I13" s="11" t="s">
        <v>13</v>
      </c>
    </row>
    <row r="14" spans="1:12" ht="28.8" x14ac:dyDescent="0.3">
      <c r="A14" s="2" t="s">
        <v>7</v>
      </c>
      <c r="B14" s="5">
        <f>1+1</f>
        <v>2</v>
      </c>
      <c r="C14" s="7">
        <f t="shared" si="0"/>
        <v>6.25</v>
      </c>
      <c r="D14" s="4" t="s">
        <v>10</v>
      </c>
      <c r="G14" s="2" t="s">
        <v>23</v>
      </c>
      <c r="H14" s="6">
        <f>B6</f>
        <v>10</v>
      </c>
      <c r="I14" s="12" t="s">
        <v>13</v>
      </c>
    </row>
    <row r="15" spans="1:12" ht="28.8" x14ac:dyDescent="0.3">
      <c r="A15" s="2" t="s">
        <v>9</v>
      </c>
      <c r="B15" s="5">
        <f>3+3</f>
        <v>6</v>
      </c>
      <c r="C15" s="7">
        <f t="shared" si="0"/>
        <v>15</v>
      </c>
      <c r="D15" s="4" t="s">
        <v>10</v>
      </c>
      <c r="G15" s="2" t="s">
        <v>21</v>
      </c>
      <c r="H15" s="6">
        <f>B6*3</f>
        <v>30</v>
      </c>
      <c r="I15" s="11" t="s">
        <v>13</v>
      </c>
    </row>
    <row r="16" spans="1:12" ht="28.8" x14ac:dyDescent="0.3">
      <c r="A16" s="2" t="s">
        <v>8</v>
      </c>
      <c r="B16" s="5">
        <f>2+2</f>
        <v>4</v>
      </c>
      <c r="C16" s="7">
        <f t="shared" si="0"/>
        <v>10.25</v>
      </c>
      <c r="D16" s="4" t="s">
        <v>10</v>
      </c>
      <c r="G16" s="2" t="s">
        <v>21</v>
      </c>
      <c r="H16" s="6">
        <f>2*B6</f>
        <v>20</v>
      </c>
      <c r="I16" s="11" t="s">
        <v>13</v>
      </c>
    </row>
    <row r="21" spans="6:10" x14ac:dyDescent="0.3">
      <c r="G21" s="3" t="s">
        <v>15</v>
      </c>
      <c r="H21" s="3" t="s">
        <v>16</v>
      </c>
      <c r="I21" s="3" t="s">
        <v>17</v>
      </c>
      <c r="J21" s="3" t="s">
        <v>18</v>
      </c>
    </row>
    <row r="22" spans="6:10" x14ac:dyDescent="0.3">
      <c r="F22" s="3" t="s">
        <v>26</v>
      </c>
      <c r="G22" s="2">
        <f>$B$3*C9</f>
        <v>400</v>
      </c>
      <c r="H22" s="2">
        <f>$B$4*C9</f>
        <v>200</v>
      </c>
      <c r="I22" s="2">
        <f>$B$5*C9</f>
        <v>100</v>
      </c>
      <c r="J22" s="2">
        <f>$B$6*C9</f>
        <v>50</v>
      </c>
    </row>
    <row r="23" spans="6:10" x14ac:dyDescent="0.3">
      <c r="F23" s="3" t="s">
        <v>27</v>
      </c>
      <c r="G23" s="2">
        <f t="shared" ref="G23:G29" si="1">$B$3*C10</f>
        <v>180</v>
      </c>
      <c r="H23" s="2">
        <f t="shared" ref="H23:H29" si="2">$B$4*C10</f>
        <v>90</v>
      </c>
      <c r="I23" s="2">
        <f t="shared" ref="I23:I29" si="3">$B$5*C10</f>
        <v>45</v>
      </c>
      <c r="J23" s="2">
        <f t="shared" ref="J23:J29" si="4">$B$6*C10</f>
        <v>22.5</v>
      </c>
    </row>
    <row r="24" spans="6:10" x14ac:dyDescent="0.3">
      <c r="F24" s="3" t="s">
        <v>28</v>
      </c>
      <c r="G24" s="2">
        <f t="shared" si="1"/>
        <v>560</v>
      </c>
      <c r="H24" s="2">
        <f t="shared" si="2"/>
        <v>280</v>
      </c>
      <c r="I24" s="2">
        <f t="shared" si="3"/>
        <v>140</v>
      </c>
      <c r="J24" s="2">
        <f t="shared" si="4"/>
        <v>70</v>
      </c>
    </row>
    <row r="25" spans="6:10" x14ac:dyDescent="0.3">
      <c r="F25" s="3" t="s">
        <v>29</v>
      </c>
      <c r="G25" s="2">
        <f t="shared" si="1"/>
        <v>340</v>
      </c>
      <c r="H25" s="2">
        <f t="shared" si="2"/>
        <v>170</v>
      </c>
      <c r="I25" s="2">
        <f t="shared" si="3"/>
        <v>85</v>
      </c>
      <c r="J25" s="2">
        <f t="shared" si="4"/>
        <v>42.5</v>
      </c>
    </row>
    <row r="26" spans="6:10" x14ac:dyDescent="0.3">
      <c r="F26" s="3" t="s">
        <v>30</v>
      </c>
      <c r="G26" s="2">
        <f t="shared" si="1"/>
        <v>720</v>
      </c>
      <c r="H26" s="2">
        <f t="shared" si="2"/>
        <v>360</v>
      </c>
      <c r="I26" s="2">
        <f t="shared" si="3"/>
        <v>180</v>
      </c>
      <c r="J26" s="2">
        <f t="shared" si="4"/>
        <v>90</v>
      </c>
    </row>
    <row r="27" spans="6:10" x14ac:dyDescent="0.3">
      <c r="F27" s="3" t="s">
        <v>32</v>
      </c>
      <c r="G27" s="2">
        <f t="shared" si="1"/>
        <v>500</v>
      </c>
      <c r="H27" s="2">
        <f t="shared" si="2"/>
        <v>250</v>
      </c>
      <c r="I27" s="2">
        <f t="shared" si="3"/>
        <v>125</v>
      </c>
      <c r="J27" s="2">
        <f t="shared" si="4"/>
        <v>62.5</v>
      </c>
    </row>
    <row r="28" spans="6:10" x14ac:dyDescent="0.3">
      <c r="F28" s="3" t="s">
        <v>31</v>
      </c>
      <c r="G28" s="2">
        <f t="shared" si="1"/>
        <v>1200</v>
      </c>
      <c r="H28" s="2">
        <f t="shared" si="2"/>
        <v>600</v>
      </c>
      <c r="I28" s="2">
        <f t="shared" si="3"/>
        <v>300</v>
      </c>
      <c r="J28" s="2">
        <f t="shared" si="4"/>
        <v>150</v>
      </c>
    </row>
    <row r="29" spans="6:10" x14ac:dyDescent="0.3">
      <c r="F29" s="3" t="s">
        <v>31</v>
      </c>
      <c r="G29" s="2">
        <f t="shared" si="1"/>
        <v>820</v>
      </c>
      <c r="H29" s="2">
        <f t="shared" si="2"/>
        <v>410</v>
      </c>
      <c r="I29" s="2">
        <f t="shared" si="3"/>
        <v>205</v>
      </c>
      <c r="J29" s="2">
        <f t="shared" si="4"/>
        <v>102.5</v>
      </c>
    </row>
  </sheetData>
  <mergeCells count="1">
    <mergeCell ref="A1:L2"/>
  </mergeCells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40"/>
  <sheetViews>
    <sheetView tabSelected="1" topLeftCell="A4" zoomScale="85" zoomScaleNormal="85" workbookViewId="0">
      <selection activeCell="C9" sqref="C9"/>
    </sheetView>
  </sheetViews>
  <sheetFormatPr defaultColWidth="11.5546875" defaultRowHeight="14.4" x14ac:dyDescent="0.3"/>
  <cols>
    <col min="2" max="2" width="5.33203125" bestFit="1" customWidth="1"/>
    <col min="3" max="3" width="4.109375" bestFit="1" customWidth="1"/>
    <col min="4" max="4" width="3.109375" bestFit="1" customWidth="1"/>
    <col min="5" max="5" width="3.33203125" customWidth="1"/>
    <col min="6" max="6" width="5" customWidth="1"/>
    <col min="7" max="7" width="3.77734375" customWidth="1"/>
    <col min="8" max="8" width="4.77734375" customWidth="1"/>
    <col min="9" max="9" width="9.6640625" customWidth="1"/>
    <col min="10" max="11" width="5.109375" customWidth="1"/>
    <col min="12" max="12" width="8" customWidth="1"/>
    <col min="13" max="13" width="4" bestFit="1" customWidth="1"/>
    <col min="14" max="14" width="8" customWidth="1"/>
    <col min="15" max="15" width="8.88671875" bestFit="1" customWidth="1"/>
    <col min="16" max="16" width="8.77734375" bestFit="1" customWidth="1"/>
    <col min="17" max="17" width="8" customWidth="1"/>
    <col min="18" max="18" width="8.77734375" bestFit="1" customWidth="1"/>
    <col min="19" max="19" width="8" customWidth="1"/>
    <col min="21" max="21" width="6.33203125" bestFit="1" customWidth="1"/>
    <col min="24" max="24" width="16.44140625" bestFit="1" customWidth="1"/>
    <col min="25" max="25" width="12" bestFit="1" customWidth="1"/>
  </cols>
  <sheetData>
    <row r="4" spans="1:27" x14ac:dyDescent="0.3">
      <c r="J4" t="s">
        <v>60</v>
      </c>
    </row>
    <row r="6" spans="1:27" x14ac:dyDescent="0.3">
      <c r="A6" t="s">
        <v>76</v>
      </c>
    </row>
    <row r="8" spans="1:27" x14ac:dyDescent="0.3">
      <c r="A8" s="19">
        <v>4</v>
      </c>
      <c r="B8" s="14" t="s">
        <v>75</v>
      </c>
      <c r="C8" s="14" t="s">
        <v>77</v>
      </c>
      <c r="D8" s="14"/>
      <c r="E8" s="27" t="s">
        <v>59</v>
      </c>
      <c r="F8" s="27"/>
      <c r="G8" s="27"/>
      <c r="H8" s="27"/>
      <c r="I8" s="27"/>
      <c r="J8" s="14"/>
      <c r="K8" s="27" t="s">
        <v>72</v>
      </c>
      <c r="L8" s="27"/>
      <c r="M8" s="27"/>
      <c r="N8" s="27"/>
      <c r="O8" s="21"/>
      <c r="P8" s="28" t="s">
        <v>82</v>
      </c>
      <c r="Q8" s="28"/>
      <c r="R8" s="28"/>
      <c r="S8" s="28"/>
      <c r="T8" s="14"/>
      <c r="U8" s="14"/>
      <c r="V8" s="14" t="s">
        <v>61</v>
      </c>
      <c r="W8" s="14" t="s">
        <v>73</v>
      </c>
      <c r="X8" s="14" t="s">
        <v>78</v>
      </c>
      <c r="Y8" s="14" t="s">
        <v>79</v>
      </c>
      <c r="Z8" s="14" t="s">
        <v>80</v>
      </c>
      <c r="AA8" s="14" t="s">
        <v>81</v>
      </c>
    </row>
    <row r="9" spans="1:27" x14ac:dyDescent="0.3">
      <c r="A9" s="19"/>
      <c r="B9" t="s">
        <v>42</v>
      </c>
      <c r="C9" s="18">
        <v>10</v>
      </c>
      <c r="E9" t="s">
        <v>68</v>
      </c>
      <c r="F9" s="18">
        <v>50</v>
      </c>
      <c r="G9" t="s">
        <v>69</v>
      </c>
      <c r="H9" s="18">
        <v>50</v>
      </c>
      <c r="I9" s="13"/>
      <c r="K9" t="s">
        <v>48</v>
      </c>
      <c r="L9" s="18">
        <v>20</v>
      </c>
      <c r="M9" t="s">
        <v>49</v>
      </c>
      <c r="N9" s="18">
        <v>25</v>
      </c>
      <c r="O9" s="22"/>
      <c r="P9" t="s">
        <v>84</v>
      </c>
      <c r="Q9" t="s">
        <v>85</v>
      </c>
      <c r="R9" t="s">
        <v>86</v>
      </c>
      <c r="S9" t="s">
        <v>87</v>
      </c>
      <c r="U9" t="s">
        <v>62</v>
      </c>
      <c r="V9">
        <f>F9*H9*C9^2</f>
        <v>250000</v>
      </c>
      <c r="W9">
        <f>C9^2*(F9*H9-F10*H10)</f>
        <v>247600</v>
      </c>
      <c r="X9" s="16">
        <f>(F9*H9-F10*H10)/(F9*H9)</f>
        <v>0.99039999999999995</v>
      </c>
      <c r="Y9" s="15">
        <f>W9/W15</f>
        <v>0.88051209103840677</v>
      </c>
      <c r="Z9">
        <f>W9</f>
        <v>247600</v>
      </c>
      <c r="AA9" s="15">
        <f>Z9/$Z$15</f>
        <v>0.5551569506726457</v>
      </c>
    </row>
    <row r="10" spans="1:27" x14ac:dyDescent="0.3">
      <c r="A10" s="19"/>
      <c r="B10" t="s">
        <v>43</v>
      </c>
      <c r="C10">
        <f>C9*2</f>
        <v>20</v>
      </c>
      <c r="E10" t="s">
        <v>33</v>
      </c>
      <c r="F10">
        <f>F11*2</f>
        <v>8</v>
      </c>
      <c r="G10" t="s">
        <v>34</v>
      </c>
      <c r="H10">
        <f>H11+1</f>
        <v>3</v>
      </c>
      <c r="K10" t="s">
        <v>71</v>
      </c>
      <c r="L10">
        <f>L9-(H10-1)/2</f>
        <v>19</v>
      </c>
      <c r="M10" t="s">
        <v>70</v>
      </c>
      <c r="N10">
        <f>N9-(H10-1)/2</f>
        <v>24</v>
      </c>
      <c r="P10" s="24">
        <f>L10*$C$9</f>
        <v>190</v>
      </c>
      <c r="Q10" s="24">
        <f>(L10+F10)*$C$9</f>
        <v>270</v>
      </c>
      <c r="R10" s="24">
        <f>N10*$C$9</f>
        <v>240</v>
      </c>
      <c r="S10" s="24">
        <f>(N10+H10)*$C$9</f>
        <v>270</v>
      </c>
      <c r="U10" t="s">
        <v>63</v>
      </c>
      <c r="V10">
        <f>F10*H10*C10^2</f>
        <v>9600</v>
      </c>
      <c r="W10">
        <f>C10^2*(F10*H10-F11*H11)</f>
        <v>6400</v>
      </c>
      <c r="X10" s="16">
        <f>(F10*H10-F11*H11)/(F9*H9)</f>
        <v>6.4000000000000003E-3</v>
      </c>
      <c r="Y10" s="15">
        <f>W10/W15</f>
        <v>2.2759601706970129E-2</v>
      </c>
      <c r="Z10">
        <f>W10*2</f>
        <v>12800</v>
      </c>
      <c r="AA10" s="15">
        <f t="shared" ref="AA10:AA12" si="0">Z10/$Z$15</f>
        <v>2.8699551569506727E-2</v>
      </c>
    </row>
    <row r="11" spans="1:27" x14ac:dyDescent="0.3">
      <c r="A11" s="19"/>
      <c r="B11" t="s">
        <v>44</v>
      </c>
      <c r="C11">
        <f>C10*2</f>
        <v>40</v>
      </c>
      <c r="E11" t="s">
        <v>35</v>
      </c>
      <c r="F11">
        <f>F12*2</f>
        <v>4</v>
      </c>
      <c r="G11" t="s">
        <v>36</v>
      </c>
      <c r="H11">
        <v>2</v>
      </c>
      <c r="K11" t="s">
        <v>50</v>
      </c>
      <c r="L11">
        <f>L9-(H11-1)/2</f>
        <v>19.5</v>
      </c>
      <c r="M11" t="s">
        <v>51</v>
      </c>
      <c r="N11">
        <f>N9-(H11-1)/2</f>
        <v>24.5</v>
      </c>
      <c r="P11" s="24">
        <f>(L11-L10)*$C$10</f>
        <v>10</v>
      </c>
      <c r="Q11" s="24">
        <f>(L11-L10+F11)*$C$10</f>
        <v>90</v>
      </c>
      <c r="R11" s="24">
        <f>(N11-N10)*$C$10</f>
        <v>10</v>
      </c>
      <c r="S11" s="24">
        <f>(N11-N10+H11)*$C$10</f>
        <v>50</v>
      </c>
      <c r="U11" t="s">
        <v>64</v>
      </c>
      <c r="V11">
        <f>F11*H11*C11^2</f>
        <v>12800</v>
      </c>
      <c r="W11">
        <f>C11^2*(H11*F11-F12*H12)</f>
        <v>8000</v>
      </c>
      <c r="X11" s="16">
        <f>(F11*H11-F12*H12)/(F9*H9)</f>
        <v>2E-3</v>
      </c>
      <c r="Y11" s="15">
        <f>W11/W15</f>
        <v>2.8449502133712661E-2</v>
      </c>
      <c r="Z11">
        <f>W11*4</f>
        <v>32000</v>
      </c>
      <c r="AA11" s="15">
        <f t="shared" si="0"/>
        <v>7.1748878923766815E-2</v>
      </c>
    </row>
    <row r="12" spans="1:27" x14ac:dyDescent="0.3">
      <c r="A12" s="19"/>
      <c r="B12" t="s">
        <v>45</v>
      </c>
      <c r="C12">
        <f>C11*2</f>
        <v>80</v>
      </c>
      <c r="E12" t="s">
        <v>37</v>
      </c>
      <c r="F12" s="18">
        <v>2</v>
      </c>
      <c r="G12" t="s">
        <v>38</v>
      </c>
      <c r="H12" s="18">
        <v>1.5</v>
      </c>
      <c r="I12" s="13"/>
      <c r="K12" t="s">
        <v>52</v>
      </c>
      <c r="L12">
        <f>L9-(H12-1)/2</f>
        <v>19.75</v>
      </c>
      <c r="M12" t="s">
        <v>53</v>
      </c>
      <c r="N12">
        <f>N9-(H12-1)/2</f>
        <v>24.75</v>
      </c>
      <c r="P12" s="24">
        <f>(L12-L11)*$C$11</f>
        <v>10</v>
      </c>
      <c r="Q12" s="24">
        <f>(L12-L11+F12)*$C$11</f>
        <v>90</v>
      </c>
      <c r="R12" s="24">
        <f>(N12-N11)*$C$11</f>
        <v>10</v>
      </c>
      <c r="S12" s="24">
        <f>(N12-N11+H12)*$C$11</f>
        <v>70</v>
      </c>
      <c r="U12" t="s">
        <v>65</v>
      </c>
      <c r="V12">
        <f>F12*H12*C12^2</f>
        <v>19200</v>
      </c>
      <c r="W12">
        <f>V12</f>
        <v>19200</v>
      </c>
      <c r="X12" s="16">
        <f>(F12*H12)/(F9*H9)</f>
        <v>1.1999999999999999E-3</v>
      </c>
      <c r="Y12" s="15">
        <f>W12/W15</f>
        <v>6.8278805120910391E-2</v>
      </c>
      <c r="Z12">
        <f>W12*8</f>
        <v>153600</v>
      </c>
      <c r="AA12" s="15">
        <f t="shared" si="0"/>
        <v>0.34439461883408073</v>
      </c>
    </row>
    <row r="13" spans="1:27" x14ac:dyDescent="0.3">
      <c r="A13" s="19"/>
      <c r="Y13" s="15"/>
    </row>
    <row r="14" spans="1:27" x14ac:dyDescent="0.3">
      <c r="A14" s="19"/>
      <c r="O14" t="s">
        <v>83</v>
      </c>
      <c r="P14" s="25">
        <f>($F$12-1)/2 *$C$12</f>
        <v>40</v>
      </c>
      <c r="Q14" s="25">
        <f>($H$12-1)/2 *$C$12</f>
        <v>20</v>
      </c>
      <c r="R14" s="25"/>
      <c r="S14" s="25"/>
    </row>
    <row r="15" spans="1:27" x14ac:dyDescent="0.3">
      <c r="A15" s="19"/>
      <c r="U15" t="s">
        <v>74</v>
      </c>
      <c r="W15">
        <f>SUM(W9:W12)</f>
        <v>281200</v>
      </c>
      <c r="X15" s="17">
        <f>SUM(X9:X12)</f>
        <v>0.99999999999999989</v>
      </c>
      <c r="Y15" s="17">
        <f>SUM(Y9:Y12)</f>
        <v>1</v>
      </c>
      <c r="Z15">
        <f>SUM(Z9:Z12)</f>
        <v>446000</v>
      </c>
      <c r="AA15" s="15">
        <f>SUM(AA9:AA12)</f>
        <v>1</v>
      </c>
    </row>
    <row r="16" spans="1:27" x14ac:dyDescent="0.3">
      <c r="A16" s="19"/>
    </row>
    <row r="17" spans="1:27" x14ac:dyDescent="0.3">
      <c r="A17" s="19"/>
      <c r="G17" s="13"/>
      <c r="H17" s="13"/>
      <c r="I17" s="13"/>
    </row>
    <row r="18" spans="1:27" x14ac:dyDescent="0.3">
      <c r="A18" s="19"/>
    </row>
    <row r="19" spans="1:27" x14ac:dyDescent="0.3">
      <c r="A19" s="19">
        <v>5</v>
      </c>
      <c r="B19" s="14" t="s">
        <v>75</v>
      </c>
      <c r="C19" s="14" t="s">
        <v>77</v>
      </c>
      <c r="D19" s="14"/>
      <c r="E19" s="27" t="s">
        <v>59</v>
      </c>
      <c r="F19" s="27"/>
      <c r="G19" s="27"/>
      <c r="H19" s="27"/>
      <c r="I19" s="27"/>
      <c r="J19" s="14"/>
      <c r="K19" s="27" t="s">
        <v>72</v>
      </c>
      <c r="L19" s="27"/>
      <c r="M19" s="27"/>
      <c r="N19" s="27"/>
      <c r="O19" s="21"/>
      <c r="P19" s="28" t="s">
        <v>82</v>
      </c>
      <c r="Q19" s="28"/>
      <c r="R19" s="28"/>
      <c r="S19" s="28"/>
      <c r="T19" s="14"/>
      <c r="U19" s="14"/>
      <c r="V19" s="14" t="s">
        <v>61</v>
      </c>
      <c r="W19" s="14" t="s">
        <v>73</v>
      </c>
      <c r="X19" s="14" t="s">
        <v>78</v>
      </c>
      <c r="Y19" s="14" t="s">
        <v>79</v>
      </c>
      <c r="Z19" s="14" t="s">
        <v>80</v>
      </c>
      <c r="AA19" s="14" t="s">
        <v>81</v>
      </c>
    </row>
    <row r="20" spans="1:27" x14ac:dyDescent="0.3">
      <c r="A20" s="19"/>
      <c r="B20" t="s">
        <v>42</v>
      </c>
      <c r="C20" s="18">
        <v>5</v>
      </c>
      <c r="E20" t="s">
        <v>68</v>
      </c>
      <c r="F20" s="18">
        <v>50</v>
      </c>
      <c r="G20" t="s">
        <v>69</v>
      </c>
      <c r="H20" s="18">
        <v>50</v>
      </c>
      <c r="I20" s="13"/>
      <c r="K20" t="s">
        <v>48</v>
      </c>
      <c r="L20" s="18">
        <v>20</v>
      </c>
      <c r="M20" t="s">
        <v>49</v>
      </c>
      <c r="N20" s="18">
        <v>25</v>
      </c>
      <c r="O20" s="22"/>
      <c r="P20" t="s">
        <v>84</v>
      </c>
      <c r="Q20" t="s">
        <v>85</v>
      </c>
      <c r="R20" t="s">
        <v>86</v>
      </c>
      <c r="S20" t="s">
        <v>87</v>
      </c>
      <c r="U20" t="s">
        <v>62</v>
      </c>
      <c r="V20">
        <f>F20*H20*C20^2</f>
        <v>62500</v>
      </c>
      <c r="W20">
        <f>C20^2*(F20*H20-F21*H21)</f>
        <v>60900</v>
      </c>
      <c r="X20" s="16">
        <f>(F20*H20-F21*H21)/(F20*H20)</f>
        <v>0.97440000000000004</v>
      </c>
      <c r="Y20" s="15">
        <f>W20/W27</f>
        <v>0.61827411167512691</v>
      </c>
      <c r="Z20">
        <f>W20</f>
        <v>60900</v>
      </c>
      <c r="AA20" s="15">
        <f>Z20/$Z$27</f>
        <v>0.13077088254240929</v>
      </c>
    </row>
    <row r="21" spans="1:27" x14ac:dyDescent="0.3">
      <c r="A21" s="19"/>
      <c r="B21" t="s">
        <v>43</v>
      </c>
      <c r="C21">
        <f>C20*2</f>
        <v>10</v>
      </c>
      <c r="E21" t="s">
        <v>33</v>
      </c>
      <c r="F21">
        <f>F22*2</f>
        <v>16</v>
      </c>
      <c r="G21" t="s">
        <v>34</v>
      </c>
      <c r="H21">
        <f>H22+1</f>
        <v>4</v>
      </c>
      <c r="K21" t="s">
        <v>71</v>
      </c>
      <c r="L21">
        <f>L20-(H21-1)/2</f>
        <v>18.5</v>
      </c>
      <c r="M21" t="s">
        <v>70</v>
      </c>
      <c r="N21">
        <f>N20-(H21-1)/2</f>
        <v>23.5</v>
      </c>
      <c r="O21" s="23"/>
      <c r="P21" s="24">
        <f>L21*$C$20</f>
        <v>92.5</v>
      </c>
      <c r="Q21" s="24">
        <f>(L21+F21)*$C$20</f>
        <v>172.5</v>
      </c>
      <c r="R21" s="24">
        <f>N21*$C$20</f>
        <v>117.5</v>
      </c>
      <c r="S21" s="24">
        <f>(N21+H21)*$C$20</f>
        <v>137.5</v>
      </c>
      <c r="U21" t="s">
        <v>63</v>
      </c>
      <c r="V21">
        <f>F21*H21*C21^2</f>
        <v>6400</v>
      </c>
      <c r="W21">
        <f>C21^2*(F21*H21-F22*H22)</f>
        <v>4000</v>
      </c>
      <c r="X21" s="16">
        <f>(F21*H21-F22*H22)/(F20*H20)</f>
        <v>1.6E-2</v>
      </c>
      <c r="Y21" s="15">
        <f>W21/W27</f>
        <v>4.060913705583756E-2</v>
      </c>
      <c r="Z21">
        <f>W21*2</f>
        <v>8000</v>
      </c>
      <c r="AA21" s="15">
        <f t="shared" ref="AA21:AA24" si="1">Z21/$Z$27</f>
        <v>1.7178441056474127E-2</v>
      </c>
    </row>
    <row r="22" spans="1:27" x14ac:dyDescent="0.3">
      <c r="A22" s="19"/>
      <c r="B22" t="s">
        <v>44</v>
      </c>
      <c r="C22">
        <f>C21*2</f>
        <v>20</v>
      </c>
      <c r="E22" t="s">
        <v>35</v>
      </c>
      <c r="F22">
        <f>F23*2</f>
        <v>8</v>
      </c>
      <c r="G22" t="s">
        <v>36</v>
      </c>
      <c r="H22">
        <f>H23+1</f>
        <v>3</v>
      </c>
      <c r="K22" t="s">
        <v>50</v>
      </c>
      <c r="L22">
        <f>L20-(H22-1)/2</f>
        <v>19</v>
      </c>
      <c r="M22" t="s">
        <v>51</v>
      </c>
      <c r="N22">
        <f>N20-(H22-1)/2</f>
        <v>24</v>
      </c>
      <c r="P22" s="24">
        <f>(L22-L21)*$C$21</f>
        <v>5</v>
      </c>
      <c r="Q22" s="24">
        <f>(L22-L21+F22)*$C$21</f>
        <v>85</v>
      </c>
      <c r="R22" s="24">
        <f>(N22-N21)*$C$21</f>
        <v>5</v>
      </c>
      <c r="S22" s="24">
        <f>(N22-N21+H22)*$C$21</f>
        <v>35</v>
      </c>
      <c r="U22" t="s">
        <v>64</v>
      </c>
      <c r="V22">
        <f>F22*H22*C22^2</f>
        <v>9600</v>
      </c>
      <c r="W22">
        <f>C22^2*(H22*F22-H23*F23)</f>
        <v>6400</v>
      </c>
      <c r="X22" s="16">
        <f>(F22*H22-F23*H23)/(F20*H20)</f>
        <v>6.4000000000000003E-3</v>
      </c>
      <c r="Y22" s="15">
        <f>W22/W27</f>
        <v>6.4974619289340105E-2</v>
      </c>
      <c r="Z22">
        <f>W22*4</f>
        <v>25600</v>
      </c>
      <c r="AA22" s="15">
        <f t="shared" si="1"/>
        <v>5.4971011380717201E-2</v>
      </c>
    </row>
    <row r="23" spans="1:27" x14ac:dyDescent="0.3">
      <c r="A23" s="19"/>
      <c r="B23" t="s">
        <v>45</v>
      </c>
      <c r="C23">
        <f>C22*2</f>
        <v>40</v>
      </c>
      <c r="E23" t="s">
        <v>37</v>
      </c>
      <c r="F23">
        <f>F24*2</f>
        <v>4</v>
      </c>
      <c r="G23" t="s">
        <v>38</v>
      </c>
      <c r="H23" s="18">
        <v>2</v>
      </c>
      <c r="I23" s="13"/>
      <c r="K23" t="s">
        <v>52</v>
      </c>
      <c r="L23">
        <f>L20-(H23-1)/2</f>
        <v>19.5</v>
      </c>
      <c r="M23" t="s">
        <v>53</v>
      </c>
      <c r="N23">
        <f>N20-(H23-1)/2</f>
        <v>24.5</v>
      </c>
      <c r="P23" s="24">
        <f>(L23-L22)*$C$22</f>
        <v>10</v>
      </c>
      <c r="Q23" s="24">
        <f>(L23-L22+F23)*$C$22</f>
        <v>90</v>
      </c>
      <c r="R23" s="24">
        <f>(N23-N22)*$C$22</f>
        <v>10</v>
      </c>
      <c r="S23" s="24">
        <f>(N23-N22+H23)*$C$22</f>
        <v>50</v>
      </c>
      <c r="U23" t="s">
        <v>65</v>
      </c>
      <c r="V23">
        <f>F23*H23*C23^2</f>
        <v>12800</v>
      </c>
      <c r="W23">
        <f>C23^2*(H23*F23-H24*F24)</f>
        <v>8000</v>
      </c>
      <c r="X23" s="16">
        <f>(F23*H23-F24*H24)/(F20*H20)</f>
        <v>2E-3</v>
      </c>
      <c r="Y23" s="15">
        <f>W23/W27</f>
        <v>8.1218274111675121E-2</v>
      </c>
      <c r="Z23">
        <f>W23*8</f>
        <v>64000</v>
      </c>
      <c r="AA23" s="15">
        <f t="shared" si="1"/>
        <v>0.13742752845179301</v>
      </c>
    </row>
    <row r="24" spans="1:27" x14ac:dyDescent="0.3">
      <c r="A24" s="19"/>
      <c r="B24" t="s">
        <v>46</v>
      </c>
      <c r="C24">
        <f>C23*2</f>
        <v>80</v>
      </c>
      <c r="E24" t="s">
        <v>39</v>
      </c>
      <c r="F24" s="18">
        <v>2</v>
      </c>
      <c r="G24" t="s">
        <v>40</v>
      </c>
      <c r="H24" s="18">
        <v>1.5</v>
      </c>
      <c r="I24" s="13"/>
      <c r="K24" t="s">
        <v>54</v>
      </c>
      <c r="L24">
        <f>L20-(H24-1)/2</f>
        <v>19.75</v>
      </c>
      <c r="M24" t="s">
        <v>55</v>
      </c>
      <c r="N24">
        <f>N20-(H24-1)/2</f>
        <v>24.75</v>
      </c>
      <c r="P24" s="24">
        <f>(L24-L23)*$C$23</f>
        <v>10</v>
      </c>
      <c r="Q24" s="24">
        <f>(L24-L23+F24)*$C$23</f>
        <v>90</v>
      </c>
      <c r="R24" s="24">
        <f>(N24-N23)*$C$23</f>
        <v>10</v>
      </c>
      <c r="S24" s="24">
        <f>(N24-N23+H24)*$C$23</f>
        <v>70</v>
      </c>
      <c r="U24" t="s">
        <v>66</v>
      </c>
      <c r="V24">
        <f>F24*H24*C24^2</f>
        <v>19200</v>
      </c>
      <c r="W24">
        <f>V24</f>
        <v>19200</v>
      </c>
      <c r="X24" s="16">
        <f>(F24*H24)/(F20*H20)</f>
        <v>1.1999999999999999E-3</v>
      </c>
      <c r="Y24" s="15">
        <f>W24/W27</f>
        <v>0.1949238578680203</v>
      </c>
      <c r="Z24">
        <f>W24*16</f>
        <v>307200</v>
      </c>
      <c r="AA24" s="15">
        <f t="shared" si="1"/>
        <v>0.65965213656860644</v>
      </c>
    </row>
    <row r="25" spans="1:27" x14ac:dyDescent="0.3">
      <c r="A25" s="19"/>
    </row>
    <row r="26" spans="1:27" x14ac:dyDescent="0.3">
      <c r="A26" s="19"/>
      <c r="O26" t="s">
        <v>83</v>
      </c>
      <c r="P26" s="25">
        <f>($F$24-1)/2 *$C$24</f>
        <v>40</v>
      </c>
      <c r="Q26" s="25">
        <f>($H$24-1)/2 *$C$24</f>
        <v>20</v>
      </c>
      <c r="R26" s="25"/>
      <c r="S26" s="25"/>
    </row>
    <row r="27" spans="1:27" x14ac:dyDescent="0.3">
      <c r="A27" s="19"/>
      <c r="U27" t="s">
        <v>74</v>
      </c>
      <c r="W27">
        <f>SUM(W20:W24)</f>
        <v>98500</v>
      </c>
      <c r="X27" s="17">
        <f>SUM(X20:X24)</f>
        <v>1</v>
      </c>
      <c r="Y27" s="17">
        <f>SUM(Y20:Y24)</f>
        <v>1</v>
      </c>
      <c r="Z27">
        <f>SUM(Z20:Z24)</f>
        <v>465700</v>
      </c>
      <c r="AA27" s="15">
        <f>SUM(AA20:AA24)</f>
        <v>1</v>
      </c>
    </row>
    <row r="28" spans="1:27" x14ac:dyDescent="0.3">
      <c r="A28" s="19"/>
    </row>
    <row r="31" spans="1:27" x14ac:dyDescent="0.3">
      <c r="A31" s="19">
        <v>6</v>
      </c>
      <c r="B31" s="14" t="s">
        <v>75</v>
      </c>
      <c r="C31" s="14" t="s">
        <v>77</v>
      </c>
      <c r="D31" s="14"/>
      <c r="E31" s="20" t="s">
        <v>59</v>
      </c>
      <c r="F31" s="20"/>
      <c r="G31" s="20"/>
      <c r="H31" s="20"/>
      <c r="I31" s="20"/>
      <c r="J31" s="14"/>
      <c r="K31" s="20" t="s">
        <v>72</v>
      </c>
      <c r="L31" s="20"/>
      <c r="M31" s="20"/>
      <c r="N31" s="20"/>
      <c r="O31" s="21"/>
      <c r="P31" s="28" t="s">
        <v>82</v>
      </c>
      <c r="Q31" s="28"/>
      <c r="R31" s="28"/>
      <c r="S31" s="28"/>
      <c r="T31" s="14"/>
      <c r="U31" s="14"/>
      <c r="V31" s="14" t="s">
        <v>61</v>
      </c>
      <c r="W31" s="14" t="s">
        <v>73</v>
      </c>
      <c r="X31" s="14" t="s">
        <v>78</v>
      </c>
      <c r="Y31" s="14" t="s">
        <v>79</v>
      </c>
      <c r="Z31" s="14" t="s">
        <v>80</v>
      </c>
      <c r="AA31" s="14" t="s">
        <v>81</v>
      </c>
    </row>
    <row r="32" spans="1:27" x14ac:dyDescent="0.3">
      <c r="B32" t="s">
        <v>42</v>
      </c>
      <c r="C32" s="18">
        <v>2.5</v>
      </c>
      <c r="E32" t="s">
        <v>68</v>
      </c>
      <c r="F32" s="18">
        <v>50</v>
      </c>
      <c r="G32" t="s">
        <v>69</v>
      </c>
      <c r="H32" s="18">
        <v>50</v>
      </c>
      <c r="I32" s="13"/>
      <c r="K32" t="s">
        <v>48</v>
      </c>
      <c r="L32" s="18">
        <v>20</v>
      </c>
      <c r="M32" t="s">
        <v>49</v>
      </c>
      <c r="N32" s="18">
        <v>25</v>
      </c>
      <c r="O32" s="22"/>
      <c r="P32" t="s">
        <v>84</v>
      </c>
      <c r="Q32" t="s">
        <v>85</v>
      </c>
      <c r="R32" t="s">
        <v>86</v>
      </c>
      <c r="S32" t="s">
        <v>87</v>
      </c>
      <c r="U32" t="s">
        <v>62</v>
      </c>
      <c r="V32">
        <f>F32*H32*C32^2</f>
        <v>15625</v>
      </c>
      <c r="W32">
        <f>C32^2*(F32*H32-F33*H33)</f>
        <v>14625</v>
      </c>
      <c r="X32" s="16">
        <f>(F32*H32-F33*H33)/(F32*H32)</f>
        <v>0.93600000000000005</v>
      </c>
      <c r="Y32" s="15">
        <f t="shared" ref="Y32:Y37" si="2">W32/$W$40</f>
        <v>0.26773455377574373</v>
      </c>
      <c r="Z32">
        <f>W32</f>
        <v>14625</v>
      </c>
      <c r="AA32" s="15">
        <f t="shared" ref="AA32:AA36" si="3">Z32/$Z$40</f>
        <v>1.7641205030005127E-2</v>
      </c>
    </row>
    <row r="33" spans="2:27" x14ac:dyDescent="0.3">
      <c r="B33" t="s">
        <v>43</v>
      </c>
      <c r="C33">
        <f>C32*2</f>
        <v>5</v>
      </c>
      <c r="E33" t="s">
        <v>33</v>
      </c>
      <c r="F33">
        <f>F34*2</f>
        <v>32</v>
      </c>
      <c r="G33" t="s">
        <v>34</v>
      </c>
      <c r="H33">
        <f>H34+1</f>
        <v>5</v>
      </c>
      <c r="K33" t="s">
        <v>71</v>
      </c>
      <c r="L33">
        <f>L32-(H33-1)/2</f>
        <v>18</v>
      </c>
      <c r="M33" t="s">
        <v>70</v>
      </c>
      <c r="N33">
        <f>N32-(H33-1)/2</f>
        <v>23</v>
      </c>
      <c r="P33" s="24">
        <f>L33*$C$32</f>
        <v>45</v>
      </c>
      <c r="Q33" s="24">
        <f>(L33+F33)*$C$32</f>
        <v>125</v>
      </c>
      <c r="R33" s="24">
        <f>N33*$C$32</f>
        <v>57.5</v>
      </c>
      <c r="S33" s="24">
        <f>(N33+H33)*$C$32</f>
        <v>70</v>
      </c>
      <c r="U33" t="s">
        <v>63</v>
      </c>
      <c r="V33">
        <f>F33*H33*C33^2</f>
        <v>4000</v>
      </c>
      <c r="W33">
        <f>C33^2*(F33*H33-F34*H34)</f>
        <v>2400</v>
      </c>
      <c r="X33" s="16">
        <f>(F33*H33-F34*H34)/(F32*H32)</f>
        <v>3.8399999999999997E-2</v>
      </c>
      <c r="Y33" s="15">
        <f t="shared" si="2"/>
        <v>4.3935926773455376E-2</v>
      </c>
      <c r="Z33">
        <f>W33*2</f>
        <v>4800</v>
      </c>
      <c r="AA33" s="15">
        <f t="shared" si="3"/>
        <v>5.7899339585657855E-3</v>
      </c>
    </row>
    <row r="34" spans="2:27" x14ac:dyDescent="0.3">
      <c r="B34" t="s">
        <v>44</v>
      </c>
      <c r="C34">
        <f>C33*2</f>
        <v>10</v>
      </c>
      <c r="E34" t="s">
        <v>35</v>
      </c>
      <c r="F34">
        <f>F35*2</f>
        <v>16</v>
      </c>
      <c r="G34" t="s">
        <v>36</v>
      </c>
      <c r="H34">
        <f>H35+1</f>
        <v>4</v>
      </c>
      <c r="K34" t="s">
        <v>50</v>
      </c>
      <c r="L34">
        <f>L32-(H34-1)/2</f>
        <v>18.5</v>
      </c>
      <c r="M34" t="s">
        <v>51</v>
      </c>
      <c r="N34">
        <f>N32-(H34-1)/2</f>
        <v>23.5</v>
      </c>
      <c r="P34" s="24">
        <f>(L34-L33)*$C$33</f>
        <v>2.5</v>
      </c>
      <c r="Q34" s="24">
        <f>(L34-L33+F34)*$C$33</f>
        <v>82.5</v>
      </c>
      <c r="R34" s="24">
        <f>(N34-N33)*$C$33</f>
        <v>2.5</v>
      </c>
      <c r="S34" s="24">
        <f>(N34-N33+H34)*$C$33</f>
        <v>22.5</v>
      </c>
      <c r="U34" t="s">
        <v>64</v>
      </c>
      <c r="V34">
        <f>F34*H34*C34^2</f>
        <v>6400</v>
      </c>
      <c r="W34">
        <f>C34^2*(F34*H34-F35*H35)</f>
        <v>4000</v>
      </c>
      <c r="X34" s="16">
        <f>(F34*H34-F35*H35)/(F32*H32)</f>
        <v>1.6E-2</v>
      </c>
      <c r="Y34" s="15">
        <f t="shared" si="2"/>
        <v>7.3226544622425629E-2</v>
      </c>
      <c r="Z34">
        <f>W34*4</f>
        <v>16000</v>
      </c>
      <c r="AA34" s="15">
        <f t="shared" si="3"/>
        <v>1.9299779861885951E-2</v>
      </c>
    </row>
    <row r="35" spans="2:27" x14ac:dyDescent="0.3">
      <c r="B35" t="s">
        <v>45</v>
      </c>
      <c r="C35">
        <f>C34*2</f>
        <v>20</v>
      </c>
      <c r="E35" t="s">
        <v>37</v>
      </c>
      <c r="F35">
        <f>F36*2</f>
        <v>8</v>
      </c>
      <c r="G35" t="s">
        <v>38</v>
      </c>
      <c r="H35">
        <f>H36+1</f>
        <v>3</v>
      </c>
      <c r="K35" t="s">
        <v>52</v>
      </c>
      <c r="L35">
        <f>L32-(H35-1)/2</f>
        <v>19</v>
      </c>
      <c r="M35" t="s">
        <v>53</v>
      </c>
      <c r="N35">
        <f>N32-(H35-1)/2</f>
        <v>24</v>
      </c>
      <c r="P35" s="24">
        <f>(L35-L34)*$C$34</f>
        <v>5</v>
      </c>
      <c r="Q35" s="24">
        <f>(L35-L34+F35)*$C$34</f>
        <v>85</v>
      </c>
      <c r="R35" s="24">
        <f>(N35-N34)*$C$34</f>
        <v>5</v>
      </c>
      <c r="S35" s="24">
        <f>(N35-N34+H35)*$C$34</f>
        <v>35</v>
      </c>
      <c r="U35" t="s">
        <v>65</v>
      </c>
      <c r="V35">
        <f t="shared" ref="V35:V37" si="4">F35*H35*C35^2</f>
        <v>9600</v>
      </c>
      <c r="W35">
        <f>C35^2*(F35*H35-F36*H36)</f>
        <v>6400</v>
      </c>
      <c r="X35" s="16">
        <f>(F35*H35-F36*H36)/(F32*H32)</f>
        <v>6.4000000000000003E-3</v>
      </c>
      <c r="Y35" s="15">
        <f t="shared" si="2"/>
        <v>0.11716247139588101</v>
      </c>
      <c r="Z35">
        <f>W35*8</f>
        <v>51200</v>
      </c>
      <c r="AA35" s="15">
        <f t="shared" si="3"/>
        <v>6.1759295558035041E-2</v>
      </c>
    </row>
    <row r="36" spans="2:27" x14ac:dyDescent="0.3">
      <c r="B36" t="s">
        <v>46</v>
      </c>
      <c r="C36">
        <f>C35*2</f>
        <v>40</v>
      </c>
      <c r="E36" t="s">
        <v>39</v>
      </c>
      <c r="F36">
        <f>F37*2</f>
        <v>4</v>
      </c>
      <c r="G36" t="s">
        <v>40</v>
      </c>
      <c r="H36" s="18">
        <v>2</v>
      </c>
      <c r="I36" s="13"/>
      <c r="K36" t="s">
        <v>54</v>
      </c>
      <c r="L36">
        <f>L32-(H36-1)/2</f>
        <v>19.5</v>
      </c>
      <c r="M36" t="s">
        <v>55</v>
      </c>
      <c r="N36">
        <f>N32-(H36-1)/2</f>
        <v>24.5</v>
      </c>
      <c r="P36" s="24">
        <f>(L36-L35)*$C$35</f>
        <v>10</v>
      </c>
      <c r="Q36" s="24">
        <f>(L36-L35+F36)*$C$35</f>
        <v>90</v>
      </c>
      <c r="R36" s="24">
        <f>(N36-N35)*$C$35</f>
        <v>10</v>
      </c>
      <c r="S36" s="24">
        <f>(N36-N35+H36)*$C$35</f>
        <v>50</v>
      </c>
      <c r="U36" t="s">
        <v>66</v>
      </c>
      <c r="V36">
        <f t="shared" si="4"/>
        <v>12800</v>
      </c>
      <c r="W36">
        <f>C36^2*(F36*H36-F37*H37)</f>
        <v>8000</v>
      </c>
      <c r="X36" s="16">
        <f>(F36*H36-F37*H37)/(F32*H32)</f>
        <v>2E-3</v>
      </c>
      <c r="Y36" s="15">
        <f t="shared" si="2"/>
        <v>0.14645308924485126</v>
      </c>
      <c r="Z36">
        <f>W36*16</f>
        <v>128000</v>
      </c>
      <c r="AA36" s="15">
        <f t="shared" si="3"/>
        <v>0.15439823889508761</v>
      </c>
    </row>
    <row r="37" spans="2:27" x14ac:dyDescent="0.3">
      <c r="B37" t="s">
        <v>47</v>
      </c>
      <c r="C37">
        <f>C36*2</f>
        <v>80</v>
      </c>
      <c r="E37" t="s">
        <v>41</v>
      </c>
      <c r="F37" s="18">
        <v>2</v>
      </c>
      <c r="G37" t="s">
        <v>58</v>
      </c>
      <c r="H37" s="18">
        <v>1.5</v>
      </c>
      <c r="I37" s="13"/>
      <c r="K37" t="s">
        <v>56</v>
      </c>
      <c r="L37">
        <f>L32-(H37-1)/2</f>
        <v>19.75</v>
      </c>
      <c r="M37" t="s">
        <v>57</v>
      </c>
      <c r="N37">
        <f>N32-(H37-1)/2</f>
        <v>24.75</v>
      </c>
      <c r="P37" s="24">
        <f>(L37-L36)*$C$36</f>
        <v>10</v>
      </c>
      <c r="Q37" s="24">
        <f>(L37-L36+F37)*$C$36</f>
        <v>90</v>
      </c>
      <c r="R37" s="24">
        <f>(N37-N36)*$C$36</f>
        <v>10</v>
      </c>
      <c r="S37" s="24">
        <f>(N37-N36+H37)*$C$36</f>
        <v>70</v>
      </c>
      <c r="U37" t="s">
        <v>67</v>
      </c>
      <c r="V37">
        <f t="shared" si="4"/>
        <v>19200</v>
      </c>
      <c r="W37">
        <f>V37</f>
        <v>19200</v>
      </c>
      <c r="X37" s="16">
        <f>(F37*H37)/(F32*H32)</f>
        <v>1.1999999999999999E-3</v>
      </c>
      <c r="Y37" s="15">
        <f t="shared" si="2"/>
        <v>0.35148741418764301</v>
      </c>
      <c r="Z37">
        <f>W37*32</f>
        <v>614400</v>
      </c>
      <c r="AA37" s="15">
        <f>Z37/$Z$40</f>
        <v>0.74111154669642054</v>
      </c>
    </row>
    <row r="39" spans="2:27" x14ac:dyDescent="0.3">
      <c r="O39" t="s">
        <v>83</v>
      </c>
      <c r="P39" s="25">
        <f>($F$37-1)/2 *$C$37</f>
        <v>40</v>
      </c>
      <c r="Q39" s="25">
        <f>($H$37-1)/2 *$C$37</f>
        <v>20</v>
      </c>
      <c r="R39" s="25"/>
      <c r="S39" s="25"/>
    </row>
    <row r="40" spans="2:27" x14ac:dyDescent="0.3">
      <c r="U40" t="s">
        <v>74</v>
      </c>
      <c r="W40">
        <f>SUM(W32:W37)</f>
        <v>54625</v>
      </c>
      <c r="X40" s="17">
        <f>SUM(X32:X37)</f>
        <v>1</v>
      </c>
      <c r="Y40" s="17">
        <f>SUM(Y32:Y37)</f>
        <v>1</v>
      </c>
      <c r="Z40">
        <f>SUM(Z32:Z37)</f>
        <v>829025</v>
      </c>
      <c r="AA40" s="15">
        <f>SUM(AA32:AA37)</f>
        <v>1</v>
      </c>
    </row>
  </sheetData>
  <mergeCells count="7">
    <mergeCell ref="P31:S31"/>
    <mergeCell ref="K8:N8"/>
    <mergeCell ref="E8:I8"/>
    <mergeCell ref="E19:I19"/>
    <mergeCell ref="K19:N19"/>
    <mergeCell ref="P8:S8"/>
    <mergeCell ref="P19:S19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sanchez muñoz</dc:creator>
  <cp:lastModifiedBy>Adrian Harwood</cp:lastModifiedBy>
  <dcterms:created xsi:type="dcterms:W3CDTF">2016-08-08T16:36:56Z</dcterms:created>
  <dcterms:modified xsi:type="dcterms:W3CDTF">2016-08-30T16:09:51Z</dcterms:modified>
</cp:coreProperties>
</file>