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E8E06B84-B483-4F11-BF40-3B9F2BBD7190}" xr6:coauthVersionLast="36" xr6:coauthVersionMax="47" xr10:uidLastSave="{00000000-0000-0000-0000-000000000000}"/>
  <bookViews>
    <workbookView xWindow="28680" yWindow="-120" windowWidth="29040" windowHeight="15840" firstSheet="1" activeTab="2" xr2:uid="{00000000-000D-0000-FFFF-FFFF00000000}"/>
  </bookViews>
  <sheets>
    <sheet name="Introdução" sheetId="1" r:id="rId1"/>
    <sheet name="Resumo das informações" sheetId="2" r:id="rId2"/>
    <sheet name="Investimentos - Não Aposentado" sheetId="3" r:id="rId3"/>
    <sheet name="Investimentos - Aposentado" sheetId="4" r:id="rId4"/>
    <sheet name="Erro" sheetId="5" state="hidden" r:id="rId5"/>
    <sheet name="Proteção Familiar" sheetId="6" r:id="rId6"/>
    <sheet name="Investimentos - Projetos" sheetId="7" state="hidden" r:id="rId7"/>
  </sheets>
  <definedNames>
    <definedName name="Capital_para_Aposentadoria">'Proteção Familiar'!$BT$3</definedName>
    <definedName name="Dados_aposentadoria">'Resumo das informações'!$I$7</definedName>
    <definedName name="dados_bem1">'Resumo das informações'!$E$27</definedName>
    <definedName name="dados_bem2">'Resumo das informações'!$E$28</definedName>
    <definedName name="dados_bem3">'Resumo das informações'!$E$29</definedName>
    <definedName name="dados_bem4">'Resumo das informações'!$E$30</definedName>
    <definedName name="dados_bem5">'Resumo das informações'!$E$31</definedName>
    <definedName name="dados_cdi">'Resumo das informações'!$F$42</definedName>
    <definedName name="Dados_Datanascimento" localSheetId="5">#REF!</definedName>
    <definedName name="Dados_Datanascimento">#REF!</definedName>
    <definedName name="Dados_despesaatual">'Resumo das informações'!$F$14</definedName>
    <definedName name="Dados_idade">'Resumo das informações'!$I$6</definedName>
    <definedName name="dados_inflação">'Resumo das informações'!$E$42</definedName>
    <definedName name="dados_jurorealaposentadoria">'Resumo das informações'!$I$42</definedName>
    <definedName name="Dados_montanteprojeto1">'Resumo das informações'!$H$36</definedName>
    <definedName name="Dados_montanteprojeto2">'Resumo das informações'!$H$37</definedName>
    <definedName name="Dados_montanteprojeto3">'Resumo das informações'!$H$38</definedName>
    <definedName name="Dados_Nome">'Resumo das informações'!$F$6</definedName>
    <definedName name="dados_objetivo">'Resumo das informações'!$H$16</definedName>
    <definedName name="Dados_patrimoniofinanceiro">'Resumo das informações'!$F$23</definedName>
    <definedName name="Dados_patrimonionaofinanceiro">'Resumo das informações'!$F$32</definedName>
    <definedName name="Dados_poupancamensal">'Resumo das informações'!$F$15</definedName>
    <definedName name="dados_prazoprojeto1">'Resumo das informações'!$I$36</definedName>
    <definedName name="dados_prazoprojeto2">'Resumo das informações'!$I$37</definedName>
    <definedName name="dados_prazoprojeto3">'Resumo das informações'!$I$38</definedName>
    <definedName name="Dados_Projeto1">'Resumo das informações'!$E$36</definedName>
    <definedName name="Dados_projeto2">'Resumo das informações'!$E$37</definedName>
    <definedName name="Dados_projeto3">'Resumo das informações'!$E$38</definedName>
    <definedName name="dados_receitaaposentadoria">'Resumo das informações'!$I$15</definedName>
    <definedName name="Dados_rendaaposentadoria">'Resumo das informações'!$I$14</definedName>
    <definedName name="dados_rentabilidade_aposentadoria">'Resumo das informações'!$H$42</definedName>
    <definedName name="Dados_vida">'Resumo das informações'!$I$8</definedName>
    <definedName name="FV" localSheetId="5">'Proteção Familiar'!$I$141</definedName>
    <definedName name="FV">'Investimentos - Não Aposentado'!$Q$13</definedName>
    <definedName name="FV_desejado" localSheetId="5">'Proteção Familiar'!$Q$124</definedName>
    <definedName name="FV_desejado">'Investimentos - Não Aposentado'!$Q$43</definedName>
    <definedName name="FV_minimo" localSheetId="5">'Proteção Familiar'!$I$146</definedName>
    <definedName name="FV_minimo">'Investimentos - Não Aposentado'!$Q$18</definedName>
    <definedName name="FV_projetado" localSheetId="5">'Proteção Familiar'!$I$151</definedName>
    <definedName name="FV_projetado">'Investimentos - Não Aposentado'!$Q$23</definedName>
    <definedName name="I.R">'Resumo das informações'!$F$24</definedName>
    <definedName name="i_atual" localSheetId="5">'Proteção Familiar'!$H$115</definedName>
    <definedName name="i_atual">'Investimentos - Não Aposentado'!$H$34</definedName>
    <definedName name="i_re">'Investimentos - Não Aposentado'!$AW$7</definedName>
    <definedName name="i_real_atual" localSheetId="5">'Proteção Familiar'!$H$131</definedName>
    <definedName name="i_real_atual">'Investimentos - Não Aposentado'!$H$50</definedName>
    <definedName name="i_realaposentadoria" localSheetId="5">'Proteção Familiar'!$R$158</definedName>
    <definedName name="i_realaposentadoria">'Investimentos - Não Aposentado'!$R$57</definedName>
    <definedName name="Idade">'Proteção Familiar'!$BS$3</definedName>
    <definedName name="Imóveis_Vendáveis">'Proteção Familiar'!$BZ$8</definedName>
    <definedName name="inflação" localSheetId="5">'Proteção Familiar'!$F$158</definedName>
    <definedName name="inflação">'Investimentos - Não Aposentado'!$F$57</definedName>
    <definedName name="n" localSheetId="5">'Proteção Familiar'!$AP$9</definedName>
    <definedName name="n">'Investimentos - Não Aposentado'!$AP$9</definedName>
    <definedName name="n_atual" localSheetId="5">'Proteção Familiar'!$AP$9</definedName>
    <definedName name="n_atual">'Investimentos - Não Aposentado'!$AP$9</definedName>
    <definedName name="n_vida" localSheetId="5">'Proteção Familiar'!$AQ$9</definedName>
    <definedName name="n_vida">'Investimentos - Não Aposentado'!$AQ$9</definedName>
    <definedName name="nec_educação">'Proteção Familiar'!$BN$14</definedName>
    <definedName name="nec_padrão_de_vida">'Proteção Familiar'!$BN$12</definedName>
    <definedName name="nec_projetos">'Proteção Familiar'!$BN$13</definedName>
    <definedName name="perfil">'Resumo das informações'!$I$11</definedName>
    <definedName name="PMT_atual" localSheetId="5">'Proteção Familiar'!$L$7</definedName>
    <definedName name="PMT_atual">'Investimentos - Não Aposentado'!$L$7</definedName>
    <definedName name="PMT_necessario" localSheetId="5">'Proteção Familiar'!$AC$36</definedName>
    <definedName name="PMT_necessario">'Investimentos - Não Aposentado'!$AC$36</definedName>
    <definedName name="PV" localSheetId="5">'Proteção Familiar'!$F$115</definedName>
    <definedName name="PV">'Investimentos - Não Aposentado'!$F$34</definedName>
    <definedName name="Renda_aposentadoria" localSheetId="5">'Proteção Familiar'!$L$6</definedName>
    <definedName name="Renda_aposentadoria">'Investimentos - Não Aposentado'!$L$6</definedName>
    <definedName name="renda_extra_necessaria">'Investimentos - Aposentado'!$P$7</definedName>
    <definedName name="solver_adj" localSheetId="2">'Investimentos - Não Aposentado'!$Q$43</definedName>
    <definedName name="solver_adj" localSheetId="5">'Proteção Familiar'!$Q$124</definedName>
    <definedName name="solver_opt" localSheetId="2">'Investimentos - Não Aposentado'!$Q$50</definedName>
    <definedName name="solver_opt" localSheetId="5">'Proteção Familiar'!$Q$131</definedName>
    <definedName name="TIR">'Investimentos - Projetos'!$AC$24</definedName>
    <definedName name="TIR_2">'Investimentos - Projetos'!$AL$24</definedName>
    <definedName name="Total_Aposentadoria">'Proteção Familiar'!$BM$6</definedName>
    <definedName name="Total_Despesa_familiar_mensal">'Resumo das informações'!$F$58</definedName>
    <definedName name="Total_Educação">'Proteção Familiar'!$DJ$7</definedName>
    <definedName name="Total_Financiamentos">'Proteção Familiar'!$EB$7</definedName>
    <definedName name="Total_Gastos_Anual">'Proteção Familiar'!$BS$2</definedName>
    <definedName name="Total_Idade">'Proteção Familiar'!$BS$3</definedName>
    <definedName name="Total_Idade_Aposentadoria">'Proteção Familiar'!$BS$4</definedName>
    <definedName name="Total_Imóveis_Vendáveis">'Proteção Familiar'!$BZ$8</definedName>
    <definedName name="Total_Investimentos">'Resumo das informações'!$F$23</definedName>
    <definedName name="Total_Linha_Vida">'Proteção Familiar'!$BS$5</definedName>
    <definedName name="Total_Nec_Padrão_Vida">'Proteção Familiar'!$G$56</definedName>
    <definedName name="Total_Necessidade_de_Proteção">'Proteção Familiar'!$BT$9</definedName>
    <definedName name="Total_Padrão_de_Vida">'Proteção Familiar'!$BR$9</definedName>
    <definedName name="Total_Patrimônio">'Proteção Familiar'!$F$51</definedName>
    <definedName name="Total_Planej_Sucessão">'Proteção Familiar'!$BS$6</definedName>
    <definedName name="Total_Projeção_Receitas_Futuras">'Proteção Familiar'!$F$51</definedName>
    <definedName name="Total_Projetos_F">'Proteção Familiar'!$DR$7</definedName>
  </definedNames>
  <calcPr calcId="179021"/>
  <extLst>
    <ext uri="GoogleSheetsCustomDataVersion1">
      <go:sheetsCustomData xmlns:go="http://customooxmlschemas.google.com/" r:id="rId12" roundtripDataSignature="AMtx7mjlTtb6kpL8D7DsdofCM3kVCIKJ3A=="/>
    </ext>
  </extLst>
</workbook>
</file>

<file path=xl/calcChain.xml><?xml version="1.0" encoding="utf-8"?>
<calcChain xmlns="http://schemas.openxmlformats.org/spreadsheetml/2006/main">
  <c r="L50" i="7" l="1"/>
  <c r="G18" i="7" s="1"/>
  <c r="J50" i="7"/>
  <c r="N46" i="7"/>
  <c r="L46" i="7"/>
  <c r="J46" i="7"/>
  <c r="I46" i="7"/>
  <c r="N45" i="7"/>
  <c r="L45" i="7"/>
  <c r="J45" i="7"/>
  <c r="AK23" i="7"/>
  <c r="AH23" i="7"/>
  <c r="AG23" i="7"/>
  <c r="AF23" i="7"/>
  <c r="AI23" i="7" s="1"/>
  <c r="X23" i="7"/>
  <c r="AK22" i="7"/>
  <c r="AH22" i="7"/>
  <c r="AI22" i="7" s="1"/>
  <c r="AG22" i="7"/>
  <c r="AF22" i="7"/>
  <c r="AK21" i="7"/>
  <c r="AH21" i="7"/>
  <c r="AG21" i="7"/>
  <c r="AF21" i="7"/>
  <c r="AI21" i="7" s="1"/>
  <c r="X21" i="7"/>
  <c r="H21" i="7"/>
  <c r="E21" i="7"/>
  <c r="D21" i="7"/>
  <c r="AK20" i="7"/>
  <c r="AH20" i="7"/>
  <c r="AG20" i="7"/>
  <c r="AF20" i="7"/>
  <c r="AI20" i="7" s="1"/>
  <c r="X20" i="7"/>
  <c r="H20" i="7"/>
  <c r="E20" i="7"/>
  <c r="D20" i="7"/>
  <c r="AK19" i="7"/>
  <c r="AI19" i="7"/>
  <c r="AJ19" i="7" s="1"/>
  <c r="AE19" i="7" s="1"/>
  <c r="AL19" i="7" s="1"/>
  <c r="AH19" i="7"/>
  <c r="AG19" i="7"/>
  <c r="AF19" i="7"/>
  <c r="H19" i="7"/>
  <c r="E19" i="7"/>
  <c r="D19" i="7"/>
  <c r="AK18" i="7"/>
  <c r="AI18" i="7"/>
  <c r="AH18" i="7"/>
  <c r="AG18" i="7"/>
  <c r="AF18" i="7"/>
  <c r="H18" i="7"/>
  <c r="E18" i="7"/>
  <c r="D18" i="7"/>
  <c r="AK17" i="7"/>
  <c r="AH17" i="7"/>
  <c r="AF17" i="7"/>
  <c r="H17" i="7"/>
  <c r="E17" i="7"/>
  <c r="E22" i="7" s="1"/>
  <c r="D17" i="7"/>
  <c r="AK16" i="7"/>
  <c r="AH16" i="7"/>
  <c r="AF16" i="7"/>
  <c r="AK15" i="7"/>
  <c r="AH15" i="7"/>
  <c r="AF15" i="7"/>
  <c r="X15" i="7"/>
  <c r="AK14" i="7"/>
  <c r="AH14" i="7"/>
  <c r="AF14" i="7"/>
  <c r="AK13" i="7"/>
  <c r="AH13" i="7"/>
  <c r="AF13" i="7"/>
  <c r="AK12" i="7"/>
  <c r="AF12" i="7"/>
  <c r="AK11" i="7"/>
  <c r="AG11" i="7"/>
  <c r="AF11" i="7"/>
  <c r="X11" i="7"/>
  <c r="AK10" i="7"/>
  <c r="AF10" i="7"/>
  <c r="K10" i="7"/>
  <c r="AH11" i="7" s="1"/>
  <c r="J10" i="7"/>
  <c r="Y21" i="7" s="1"/>
  <c r="G10" i="7"/>
  <c r="AK9" i="7"/>
  <c r="AH9" i="7"/>
  <c r="AG9" i="7"/>
  <c r="AF9" i="7"/>
  <c r="AI9" i="7" s="1"/>
  <c r="Y9" i="7"/>
  <c r="X9" i="7"/>
  <c r="K9" i="7"/>
  <c r="AG15" i="7" s="1"/>
  <c r="J9" i="7"/>
  <c r="X19" i="7" s="1"/>
  <c r="G9" i="7"/>
  <c r="AK8" i="7"/>
  <c r="AH8" i="7"/>
  <c r="AG8" i="7"/>
  <c r="X8" i="7"/>
  <c r="K8" i="7"/>
  <c r="J8" i="7"/>
  <c r="G8" i="7"/>
  <c r="AK7" i="7"/>
  <c r="AH7" i="7"/>
  <c r="AG7" i="7"/>
  <c r="X7" i="7"/>
  <c r="AK6" i="7"/>
  <c r="AH6" i="7"/>
  <c r="AG6" i="7"/>
  <c r="X6" i="7"/>
  <c r="AK5" i="7"/>
  <c r="AH5" i="7"/>
  <c r="AG5" i="7"/>
  <c r="X5" i="7"/>
  <c r="W5" i="7"/>
  <c r="P5" i="7"/>
  <c r="L5" i="7"/>
  <c r="H5" i="7"/>
  <c r="D5" i="7"/>
  <c r="AK4" i="7"/>
  <c r="AH4" i="7"/>
  <c r="AG4" i="7"/>
  <c r="X4" i="7"/>
  <c r="AK3" i="7"/>
  <c r="AH3" i="7"/>
  <c r="AG3" i="7"/>
  <c r="X3" i="7"/>
  <c r="W3" i="7"/>
  <c r="H158" i="6"/>
  <c r="H112" i="6" s="1"/>
  <c r="F158" i="6"/>
  <c r="M141" i="6"/>
  <c r="Q126" i="6"/>
  <c r="N126" i="6"/>
  <c r="K126" i="6"/>
  <c r="F126" i="6"/>
  <c r="Q123" i="6"/>
  <c r="N123" i="6"/>
  <c r="K123" i="6"/>
  <c r="F123" i="6"/>
  <c r="K121" i="6"/>
  <c r="F121" i="6"/>
  <c r="I114" i="6"/>
  <c r="F114" i="6"/>
  <c r="E114" i="6"/>
  <c r="I113" i="6"/>
  <c r="F113" i="6"/>
  <c r="E113" i="6"/>
  <c r="I112" i="6"/>
  <c r="F112" i="6"/>
  <c r="E112" i="6"/>
  <c r="I111" i="6"/>
  <c r="F111" i="6"/>
  <c r="E111" i="6"/>
  <c r="I110" i="6"/>
  <c r="F110" i="6"/>
  <c r="F115" i="6" s="1"/>
  <c r="E110" i="6"/>
  <c r="F60" i="6"/>
  <c r="G60" i="6" s="1"/>
  <c r="G59" i="6"/>
  <c r="G50" i="6"/>
  <c r="AB49" i="6"/>
  <c r="F49" i="6"/>
  <c r="G49" i="6" s="1"/>
  <c r="DY48" i="6"/>
  <c r="DX48" i="6"/>
  <c r="DW48" i="6"/>
  <c r="DV48" i="6"/>
  <c r="DU48" i="6"/>
  <c r="DZ48" i="6" s="1"/>
  <c r="DO48" i="6"/>
  <c r="DP48" i="6" s="1"/>
  <c r="DN48" i="6"/>
  <c r="DM48" i="6"/>
  <c r="F48" i="6"/>
  <c r="G48" i="6" s="1"/>
  <c r="DY47" i="6"/>
  <c r="DX47" i="6"/>
  <c r="DW47" i="6"/>
  <c r="DV47" i="6"/>
  <c r="DU47" i="6"/>
  <c r="DO47" i="6"/>
  <c r="DN47" i="6"/>
  <c r="DM47" i="6"/>
  <c r="DP47" i="6" s="1"/>
  <c r="G47" i="6"/>
  <c r="F47" i="6"/>
  <c r="DY46" i="6"/>
  <c r="DX46" i="6"/>
  <c r="DW46" i="6"/>
  <c r="DV46" i="6"/>
  <c r="DU46" i="6"/>
  <c r="DP46" i="6"/>
  <c r="DO46" i="6"/>
  <c r="DN46" i="6"/>
  <c r="DM46" i="6"/>
  <c r="G46" i="6"/>
  <c r="F46" i="6"/>
  <c r="DZ45" i="6"/>
  <c r="DY45" i="6"/>
  <c r="DX45" i="6"/>
  <c r="DW45" i="6"/>
  <c r="DV45" i="6"/>
  <c r="DU45" i="6"/>
  <c r="DO45" i="6"/>
  <c r="DN45" i="6"/>
  <c r="DM45" i="6"/>
  <c r="DP45" i="6" s="1"/>
  <c r="I45" i="6"/>
  <c r="G45" i="6"/>
  <c r="F45" i="6"/>
  <c r="E45" i="6"/>
  <c r="DZ44" i="6"/>
  <c r="DY44" i="6"/>
  <c r="DX44" i="6"/>
  <c r="DW44" i="6"/>
  <c r="DV44" i="6"/>
  <c r="DU44" i="6"/>
  <c r="DO44" i="6"/>
  <c r="DN44" i="6"/>
  <c r="DM44" i="6"/>
  <c r="DP44" i="6" s="1"/>
  <c r="G44" i="6"/>
  <c r="F44" i="6"/>
  <c r="I44" i="6" s="1"/>
  <c r="E44" i="6"/>
  <c r="DY43" i="6"/>
  <c r="DX43" i="6"/>
  <c r="DW43" i="6"/>
  <c r="DV43" i="6"/>
  <c r="DU43" i="6"/>
  <c r="DP43" i="6"/>
  <c r="DO43" i="6"/>
  <c r="DN43" i="6"/>
  <c r="DM43" i="6"/>
  <c r="I43" i="6"/>
  <c r="G43" i="6"/>
  <c r="F43" i="6"/>
  <c r="E43" i="6"/>
  <c r="DY42" i="6"/>
  <c r="DX42" i="6"/>
  <c r="DW42" i="6"/>
  <c r="DV42" i="6"/>
  <c r="DU42" i="6"/>
  <c r="DO42" i="6"/>
  <c r="DN42" i="6"/>
  <c r="DP42" i="6" s="1"/>
  <c r="DM42" i="6"/>
  <c r="G42" i="6"/>
  <c r="F42" i="6"/>
  <c r="I42" i="6" s="1"/>
  <c r="E42" i="6"/>
  <c r="DY41" i="6"/>
  <c r="DX41" i="6"/>
  <c r="DZ41" i="6" s="1"/>
  <c r="DW41" i="6"/>
  <c r="DV41" i="6"/>
  <c r="DU41" i="6"/>
  <c r="DO41" i="6"/>
  <c r="DP41" i="6" s="1"/>
  <c r="DN41" i="6"/>
  <c r="DM41" i="6"/>
  <c r="G41" i="6"/>
  <c r="F41" i="6"/>
  <c r="I41" i="6" s="1"/>
  <c r="E41" i="6"/>
  <c r="DY40" i="6"/>
  <c r="DX40" i="6"/>
  <c r="DW40" i="6"/>
  <c r="DV40" i="6"/>
  <c r="DZ40" i="6" s="1"/>
  <c r="DU40" i="6"/>
  <c r="DO40" i="6"/>
  <c r="DN40" i="6"/>
  <c r="DM40" i="6"/>
  <c r="G40" i="6"/>
  <c r="F40" i="6"/>
  <c r="I40" i="6" s="1"/>
  <c r="DY39" i="6"/>
  <c r="DX39" i="6"/>
  <c r="DW39" i="6"/>
  <c r="DV39" i="6"/>
  <c r="DU39" i="6"/>
  <c r="DP39" i="6"/>
  <c r="DO39" i="6"/>
  <c r="DN39" i="6"/>
  <c r="DM39" i="6"/>
  <c r="F39" i="6"/>
  <c r="I39" i="6" s="1"/>
  <c r="E39" i="6"/>
  <c r="DY38" i="6"/>
  <c r="DX38" i="6"/>
  <c r="DW38" i="6"/>
  <c r="DV38" i="6"/>
  <c r="DU38" i="6"/>
  <c r="DZ38" i="6" s="1"/>
  <c r="DO38" i="6"/>
  <c r="DP38" i="6" s="1"/>
  <c r="DN38" i="6"/>
  <c r="DM38" i="6"/>
  <c r="I38" i="6"/>
  <c r="G38" i="6"/>
  <c r="F38" i="6"/>
  <c r="E38" i="6"/>
  <c r="DY37" i="6"/>
  <c r="DX37" i="6"/>
  <c r="DW37" i="6"/>
  <c r="DV37" i="6"/>
  <c r="DU37" i="6"/>
  <c r="DO37" i="6"/>
  <c r="DN37" i="6"/>
  <c r="DM37" i="6"/>
  <c r="DP37" i="6" s="1"/>
  <c r="F37" i="6"/>
  <c r="E37" i="6"/>
  <c r="DY36" i="6"/>
  <c r="DX36" i="6"/>
  <c r="DW36" i="6"/>
  <c r="DV36" i="6"/>
  <c r="DU36" i="6"/>
  <c r="DZ36" i="6" s="1"/>
  <c r="DP36" i="6"/>
  <c r="DO36" i="6"/>
  <c r="DN36" i="6"/>
  <c r="DM36" i="6"/>
  <c r="F36" i="6"/>
  <c r="I36" i="6" s="1"/>
  <c r="E36" i="6"/>
  <c r="DY35" i="6"/>
  <c r="DX35" i="6"/>
  <c r="DW35" i="6"/>
  <c r="DV35" i="6"/>
  <c r="DZ35" i="6" s="1"/>
  <c r="DU35" i="6"/>
  <c r="DO35" i="6"/>
  <c r="DN35" i="6"/>
  <c r="DM35" i="6"/>
  <c r="DY34" i="6"/>
  <c r="DX34" i="6"/>
  <c r="DW34" i="6"/>
  <c r="DV34" i="6"/>
  <c r="DU34" i="6"/>
  <c r="DZ34" i="6" s="1"/>
  <c r="DP34" i="6"/>
  <c r="DO34" i="6"/>
  <c r="DN34" i="6"/>
  <c r="DM34" i="6"/>
  <c r="DZ33" i="6"/>
  <c r="DY33" i="6"/>
  <c r="DX33" i="6"/>
  <c r="DW33" i="6"/>
  <c r="DV33" i="6"/>
  <c r="DU33" i="6"/>
  <c r="DO33" i="6"/>
  <c r="DN33" i="6"/>
  <c r="DM33" i="6"/>
  <c r="DP33" i="6" s="1"/>
  <c r="DY32" i="6"/>
  <c r="DX32" i="6"/>
  <c r="DW32" i="6"/>
  <c r="DV32" i="6"/>
  <c r="DU32" i="6"/>
  <c r="DZ32" i="6" s="1"/>
  <c r="DP32" i="6"/>
  <c r="DO32" i="6"/>
  <c r="DN32" i="6"/>
  <c r="DM32" i="6"/>
  <c r="DY31" i="6"/>
  <c r="DX31" i="6"/>
  <c r="DW31" i="6"/>
  <c r="DV31" i="6"/>
  <c r="DU31" i="6"/>
  <c r="DZ31" i="6" s="1"/>
  <c r="DO31" i="6"/>
  <c r="DN31" i="6"/>
  <c r="DM31" i="6"/>
  <c r="DP31" i="6" s="1"/>
  <c r="DY30" i="6"/>
  <c r="DX30" i="6"/>
  <c r="DW30" i="6"/>
  <c r="DV30" i="6"/>
  <c r="DU30" i="6"/>
  <c r="DZ30" i="6" s="1"/>
  <c r="DO30" i="6"/>
  <c r="DN30" i="6"/>
  <c r="DM30" i="6"/>
  <c r="DP30" i="6" s="1"/>
  <c r="BB30" i="6"/>
  <c r="DZ29" i="6"/>
  <c r="DY29" i="6"/>
  <c r="DX29" i="6"/>
  <c r="DW29" i="6"/>
  <c r="DV29" i="6"/>
  <c r="DU29" i="6"/>
  <c r="DO29" i="6"/>
  <c r="DN29" i="6"/>
  <c r="DM29" i="6"/>
  <c r="DZ28" i="6"/>
  <c r="DY28" i="6"/>
  <c r="DX28" i="6"/>
  <c r="DW28" i="6"/>
  <c r="DV28" i="6"/>
  <c r="DU28" i="6"/>
  <c r="DO28" i="6"/>
  <c r="DN28" i="6"/>
  <c r="DM28" i="6"/>
  <c r="DP28" i="6" s="1"/>
  <c r="BA28" i="6"/>
  <c r="DZ27" i="6"/>
  <c r="DY27" i="6"/>
  <c r="DX27" i="6"/>
  <c r="DW27" i="6"/>
  <c r="DV27" i="6"/>
  <c r="DU27" i="6"/>
  <c r="DO27" i="6"/>
  <c r="DN27" i="6"/>
  <c r="DM27" i="6"/>
  <c r="DP27" i="6" s="1"/>
  <c r="DY26" i="6"/>
  <c r="DZ26" i="6" s="1"/>
  <c r="DX26" i="6"/>
  <c r="DW26" i="6"/>
  <c r="DV26" i="6"/>
  <c r="DU26" i="6"/>
  <c r="DO26" i="6"/>
  <c r="DN26" i="6"/>
  <c r="DM26" i="6"/>
  <c r="DP26" i="6" s="1"/>
  <c r="DY25" i="6"/>
  <c r="DX25" i="6"/>
  <c r="DW25" i="6"/>
  <c r="DV25" i="6"/>
  <c r="DU25" i="6"/>
  <c r="DZ25" i="6" s="1"/>
  <c r="DO25" i="6"/>
  <c r="DN25" i="6"/>
  <c r="DM25" i="6"/>
  <c r="DP25" i="6" s="1"/>
  <c r="DY24" i="6"/>
  <c r="DX24" i="6"/>
  <c r="DW24" i="6"/>
  <c r="DV24" i="6"/>
  <c r="DU24" i="6"/>
  <c r="DZ24" i="6" s="1"/>
  <c r="DO24" i="6"/>
  <c r="DN24" i="6"/>
  <c r="DM24" i="6"/>
  <c r="X24" i="6"/>
  <c r="DY23" i="6"/>
  <c r="DX23" i="6"/>
  <c r="DW23" i="6"/>
  <c r="DV23" i="6"/>
  <c r="DU23" i="6"/>
  <c r="DO23" i="6"/>
  <c r="DP23" i="6" s="1"/>
  <c r="DN23" i="6"/>
  <c r="DM23" i="6"/>
  <c r="DY22" i="6"/>
  <c r="DX22" i="6"/>
  <c r="DW22" i="6"/>
  <c r="DV22" i="6"/>
  <c r="DU22" i="6"/>
  <c r="DZ22" i="6" s="1"/>
  <c r="DO22" i="6"/>
  <c r="DP22" i="6" s="1"/>
  <c r="DN22" i="6"/>
  <c r="DM22" i="6"/>
  <c r="DY21" i="6"/>
  <c r="DX21" i="6"/>
  <c r="DW21" i="6"/>
  <c r="DV21" i="6"/>
  <c r="DU21" i="6"/>
  <c r="DZ21" i="6" s="1"/>
  <c r="DP21" i="6"/>
  <c r="DO21" i="6"/>
  <c r="DN21" i="6"/>
  <c r="DM21" i="6"/>
  <c r="DY20" i="6"/>
  <c r="DX20" i="6"/>
  <c r="DW20" i="6"/>
  <c r="DV20" i="6"/>
  <c r="DU20" i="6"/>
  <c r="DZ20" i="6" s="1"/>
  <c r="DO20" i="6"/>
  <c r="DN20" i="6"/>
  <c r="DM20" i="6"/>
  <c r="DP20" i="6" s="1"/>
  <c r="DZ19" i="6"/>
  <c r="DY19" i="6"/>
  <c r="DX19" i="6"/>
  <c r="DW19" i="6"/>
  <c r="DV19" i="6"/>
  <c r="DU19" i="6"/>
  <c r="DO19" i="6"/>
  <c r="DN19" i="6"/>
  <c r="DM19" i="6"/>
  <c r="DY18" i="6"/>
  <c r="DX18" i="6"/>
  <c r="DW18" i="6"/>
  <c r="DV18" i="6"/>
  <c r="DU18" i="6"/>
  <c r="DZ18" i="6" s="1"/>
  <c r="DP18" i="6"/>
  <c r="DO18" i="6"/>
  <c r="DN18" i="6"/>
  <c r="DM18" i="6"/>
  <c r="DY17" i="6"/>
  <c r="DX17" i="6"/>
  <c r="DW17" i="6"/>
  <c r="DV17" i="6"/>
  <c r="DU17" i="6"/>
  <c r="DO17" i="6"/>
  <c r="DN17" i="6"/>
  <c r="DM17" i="6"/>
  <c r="DP17" i="6" s="1"/>
  <c r="DY16" i="6"/>
  <c r="DX16" i="6"/>
  <c r="DW16" i="6"/>
  <c r="DV16" i="6"/>
  <c r="DU16" i="6"/>
  <c r="DZ16" i="6" s="1"/>
  <c r="DO16" i="6"/>
  <c r="DN16" i="6"/>
  <c r="DM16" i="6"/>
  <c r="DP16" i="6" s="1"/>
  <c r="ED15" i="6"/>
  <c r="DZ15" i="6"/>
  <c r="DY15" i="6"/>
  <c r="DX15" i="6"/>
  <c r="DW15" i="6"/>
  <c r="DV15" i="6"/>
  <c r="DU15" i="6"/>
  <c r="DO15" i="6"/>
  <c r="DN15" i="6"/>
  <c r="DM15" i="6"/>
  <c r="DP15" i="6" s="1"/>
  <c r="ED14" i="6"/>
  <c r="DY14" i="6"/>
  <c r="DX14" i="6"/>
  <c r="DW14" i="6"/>
  <c r="DV14" i="6"/>
  <c r="DU14" i="6"/>
  <c r="DZ14" i="6" s="1"/>
  <c r="DP14" i="6"/>
  <c r="DO14" i="6"/>
  <c r="DN14" i="6"/>
  <c r="DM14" i="6"/>
  <c r="ED13" i="6"/>
  <c r="DY13" i="6"/>
  <c r="DX13" i="6"/>
  <c r="DW13" i="6"/>
  <c r="DV13" i="6"/>
  <c r="DU13" i="6"/>
  <c r="DZ13" i="6" s="1"/>
  <c r="DP13" i="6"/>
  <c r="DO13" i="6"/>
  <c r="DN13" i="6"/>
  <c r="DM13" i="6"/>
  <c r="ED12" i="6"/>
  <c r="DZ12" i="6"/>
  <c r="DY12" i="6"/>
  <c r="DX12" i="6"/>
  <c r="DW12" i="6"/>
  <c r="DV12" i="6"/>
  <c r="DU12" i="6"/>
  <c r="DO12" i="6"/>
  <c r="DN12" i="6"/>
  <c r="DP12" i="6" s="1"/>
  <c r="DM12" i="6"/>
  <c r="ED11" i="6"/>
  <c r="DY11" i="6"/>
  <c r="DX11" i="6"/>
  <c r="DW11" i="6"/>
  <c r="DV11" i="6"/>
  <c r="DU11" i="6"/>
  <c r="DZ11" i="6" s="1"/>
  <c r="DO11" i="6"/>
  <c r="DN11" i="6"/>
  <c r="DM11" i="6"/>
  <c r="DP11" i="6" s="1"/>
  <c r="ED10" i="6"/>
  <c r="DY10" i="6"/>
  <c r="DX10" i="6"/>
  <c r="DW10" i="6"/>
  <c r="DV10" i="6"/>
  <c r="DU10" i="6"/>
  <c r="DZ10" i="6" s="1"/>
  <c r="DO10" i="6"/>
  <c r="DP10" i="6" s="1"/>
  <c r="DN10" i="6"/>
  <c r="DM10" i="6"/>
  <c r="CL10" i="6"/>
  <c r="ED9" i="6"/>
  <c r="DY9" i="6"/>
  <c r="DX9" i="6"/>
  <c r="DW9" i="6"/>
  <c r="DV9" i="6"/>
  <c r="DU9" i="6"/>
  <c r="DZ9" i="6" s="1"/>
  <c r="EB7" i="6" s="1"/>
  <c r="DO9" i="6"/>
  <c r="DN9" i="6"/>
  <c r="DM9" i="6"/>
  <c r="DP9" i="6" s="1"/>
  <c r="DR7" i="6" s="1"/>
  <c r="DA9" i="6"/>
  <c r="DF9" i="6" s="1"/>
  <c r="CS9" i="6"/>
  <c r="CX9" i="6" s="1"/>
  <c r="CP9" i="6"/>
  <c r="CL9" i="6"/>
  <c r="CK9" i="6"/>
  <c r="CK10" i="6" s="1"/>
  <c r="CC9" i="6"/>
  <c r="CF9" i="6" s="1"/>
  <c r="ED8" i="6"/>
  <c r="BZ8" i="6"/>
  <c r="X7" i="6"/>
  <c r="L7" i="6"/>
  <c r="L6" i="6"/>
  <c r="H6" i="6"/>
  <c r="F6" i="6"/>
  <c r="BS5" i="6"/>
  <c r="BN5" i="6"/>
  <c r="L5" i="6"/>
  <c r="F5" i="6"/>
  <c r="BS4" i="6"/>
  <c r="BS3" i="6"/>
  <c r="BS9" i="6" s="1"/>
  <c r="BS10" i="6" s="1"/>
  <c r="BS11" i="6" s="1"/>
  <c r="BS12" i="6" s="1"/>
  <c r="BS13" i="6" s="1"/>
  <c r="BS14" i="6" s="1"/>
  <c r="BS15" i="6" s="1"/>
  <c r="BS16" i="6" s="1"/>
  <c r="BS17" i="6" s="1"/>
  <c r="BS18" i="6" s="1"/>
  <c r="BS19" i="6" s="1"/>
  <c r="BS20" i="6" s="1"/>
  <c r="BS21" i="6" s="1"/>
  <c r="BS22" i="6" s="1"/>
  <c r="BS23" i="6" s="1"/>
  <c r="BS24" i="6" s="1"/>
  <c r="BS25" i="6" s="1"/>
  <c r="BS26" i="6" s="1"/>
  <c r="BS27" i="6" s="1"/>
  <c r="BS28" i="6" s="1"/>
  <c r="BS29" i="6" s="1"/>
  <c r="BS30" i="6" s="1"/>
  <c r="BS31" i="6" s="1"/>
  <c r="BS32" i="6" s="1"/>
  <c r="BS33" i="6" s="1"/>
  <c r="BS34" i="6" s="1"/>
  <c r="BS35" i="6" s="1"/>
  <c r="BS36" i="6" s="1"/>
  <c r="BS37" i="6" s="1"/>
  <c r="BS38" i="6" s="1"/>
  <c r="BS39" i="6" s="1"/>
  <c r="BS40" i="6" s="1"/>
  <c r="BS41" i="6" s="1"/>
  <c r="BS42" i="6" s="1"/>
  <c r="BS43" i="6" s="1"/>
  <c r="BS44" i="6" s="1"/>
  <c r="BS45" i="6" s="1"/>
  <c r="BS46" i="6" s="1"/>
  <c r="BS47" i="6" s="1"/>
  <c r="BS48" i="6" s="1"/>
  <c r="BS49" i="6" s="1"/>
  <c r="BS50" i="6" s="1"/>
  <c r="BS51" i="6" s="1"/>
  <c r="BS52" i="6" s="1"/>
  <c r="BS53" i="6" s="1"/>
  <c r="BS54" i="6" s="1"/>
  <c r="BS55" i="6" s="1"/>
  <c r="BS56" i="6" s="1"/>
  <c r="BS57" i="6" s="1"/>
  <c r="BS58" i="6" s="1"/>
  <c r="BS59" i="6" s="1"/>
  <c r="BS60" i="6" s="1"/>
  <c r="BS61" i="6" s="1"/>
  <c r="BS62" i="6" s="1"/>
  <c r="BS63" i="6" s="1"/>
  <c r="BS64" i="6" s="1"/>
  <c r="BS65" i="6" s="1"/>
  <c r="BS66" i="6" s="1"/>
  <c r="BS67" i="6" s="1"/>
  <c r="BS68" i="6" s="1"/>
  <c r="BS69" i="6" s="1"/>
  <c r="BS70" i="6" s="1"/>
  <c r="BS71" i="6" s="1"/>
  <c r="BS72" i="6" s="1"/>
  <c r="BS73" i="6" s="1"/>
  <c r="BS74" i="6" s="1"/>
  <c r="BS75" i="6" s="1"/>
  <c r="BS76" i="6" s="1"/>
  <c r="BS77" i="6" s="1"/>
  <c r="BS78" i="6" s="1"/>
  <c r="BS79" i="6" s="1"/>
  <c r="AN61" i="4"/>
  <c r="G52" i="4"/>
  <c r="H29" i="4" s="1"/>
  <c r="E52" i="4"/>
  <c r="F41" i="4"/>
  <c r="S38" i="4"/>
  <c r="O38" i="4"/>
  <c r="L38" i="4"/>
  <c r="AC36" i="4"/>
  <c r="U16" i="4" s="1"/>
  <c r="T16" i="4" s="1"/>
  <c r="S16" i="4" s="1"/>
  <c r="Z36" i="4"/>
  <c r="Z35" i="4"/>
  <c r="AC35" i="4" s="1"/>
  <c r="U15" i="4" s="1"/>
  <c r="F35" i="4"/>
  <c r="Z34" i="4"/>
  <c r="AC34" i="4" s="1"/>
  <c r="AC33" i="4"/>
  <c r="Z33" i="4"/>
  <c r="AC32" i="4"/>
  <c r="Z32" i="4"/>
  <c r="S32" i="4"/>
  <c r="O32" i="4"/>
  <c r="L32" i="4"/>
  <c r="F32" i="4"/>
  <c r="I31" i="4"/>
  <c r="F31" i="4"/>
  <c r="E31" i="4"/>
  <c r="I30" i="4"/>
  <c r="F30" i="4"/>
  <c r="E30" i="4"/>
  <c r="I29" i="4"/>
  <c r="F29" i="4"/>
  <c r="E29" i="4"/>
  <c r="I28" i="4"/>
  <c r="F28" i="4"/>
  <c r="E28" i="4"/>
  <c r="I27" i="4"/>
  <c r="E27" i="4"/>
  <c r="T15" i="4"/>
  <c r="S15" i="4" s="1"/>
  <c r="U14" i="4"/>
  <c r="T14" i="4" s="1"/>
  <c r="S14" i="4" s="1"/>
  <c r="U13" i="4"/>
  <c r="T13" i="4" s="1"/>
  <c r="S13" i="4" s="1"/>
  <c r="U12" i="4"/>
  <c r="T12" i="4" s="1"/>
  <c r="S12" i="4" s="1"/>
  <c r="U11" i="4"/>
  <c r="T11" i="4"/>
  <c r="S11" i="4"/>
  <c r="AE8" i="4"/>
  <c r="F7" i="4"/>
  <c r="P6" i="4"/>
  <c r="H6" i="4"/>
  <c r="AW3" i="4"/>
  <c r="AW4" i="4" s="1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T5" i="4"/>
  <c r="P5" i="4"/>
  <c r="AU3" i="4"/>
  <c r="I57" i="3"/>
  <c r="H57" i="3"/>
  <c r="H32" i="3" s="1"/>
  <c r="F57" i="3"/>
  <c r="K19" i="7" s="1"/>
  <c r="AB49" i="3"/>
  <c r="F48" i="3"/>
  <c r="Q45" i="3"/>
  <c r="N45" i="3"/>
  <c r="K45" i="3"/>
  <c r="F45" i="3"/>
  <c r="Q42" i="3"/>
  <c r="N42" i="3"/>
  <c r="K42" i="3"/>
  <c r="F42" i="3"/>
  <c r="K40" i="3"/>
  <c r="F40" i="3"/>
  <c r="K37" i="3"/>
  <c r="F37" i="3"/>
  <c r="I33" i="3"/>
  <c r="F33" i="3"/>
  <c r="E33" i="3"/>
  <c r="I32" i="3"/>
  <c r="F32" i="3"/>
  <c r="E32" i="3"/>
  <c r="I31" i="3"/>
  <c r="F31" i="3"/>
  <c r="E31" i="3"/>
  <c r="BB30" i="3"/>
  <c r="I30" i="3"/>
  <c r="F30" i="3"/>
  <c r="E30" i="3"/>
  <c r="I29" i="3"/>
  <c r="F29" i="3"/>
  <c r="F34" i="3" s="1"/>
  <c r="E29" i="3"/>
  <c r="BA28" i="3"/>
  <c r="AQ9" i="3"/>
  <c r="AO9" i="3"/>
  <c r="X7" i="3"/>
  <c r="F7" i="3"/>
  <c r="AV6" i="3"/>
  <c r="AV7" i="3" s="1"/>
  <c r="AS6" i="3"/>
  <c r="AR6" i="3"/>
  <c r="AQ6" i="3"/>
  <c r="H6" i="3"/>
  <c r="E6" i="3"/>
  <c r="Q5" i="3"/>
  <c r="L5" i="3"/>
  <c r="H42" i="2"/>
  <c r="I42" i="2" s="1"/>
  <c r="G41" i="2"/>
  <c r="F32" i="2"/>
  <c r="F23" i="2"/>
  <c r="L33" i="4" s="1"/>
  <c r="G22" i="2" l="1"/>
  <c r="AV6" i="6"/>
  <c r="G20" i="7"/>
  <c r="G21" i="7"/>
  <c r="H113" i="6"/>
  <c r="H111" i="6"/>
  <c r="H30" i="4"/>
  <c r="G17" i="7"/>
  <c r="H31" i="3"/>
  <c r="H114" i="6"/>
  <c r="H28" i="4"/>
  <c r="H31" i="4"/>
  <c r="G19" i="7"/>
  <c r="H29" i="3"/>
  <c r="H33" i="3"/>
  <c r="H27" i="4"/>
  <c r="H110" i="6"/>
  <c r="H30" i="3"/>
  <c r="P7" i="4"/>
  <c r="O36" i="4" s="1"/>
  <c r="G18" i="2"/>
  <c r="G29" i="3" s="1"/>
  <c r="G19" i="2"/>
  <c r="G30" i="3" s="1"/>
  <c r="G20" i="2"/>
  <c r="G112" i="6" s="1"/>
  <c r="G36" i="6"/>
  <c r="G21" i="2"/>
  <c r="G32" i="3" s="1"/>
  <c r="F51" i="6"/>
  <c r="BM2" i="6" s="1"/>
  <c r="CG9" i="6"/>
  <c r="CC10" i="6"/>
  <c r="CH10" i="6" s="1"/>
  <c r="CH9" i="6"/>
  <c r="AC3" i="7"/>
  <c r="K25" i="7" s="1"/>
  <c r="G25" i="7" s="1"/>
  <c r="AJ3" i="7"/>
  <c r="AB3" i="7"/>
  <c r="AA3" i="7"/>
  <c r="AD3" i="7"/>
  <c r="AM3" i="7"/>
  <c r="AL3" i="7"/>
  <c r="AY3" i="4"/>
  <c r="AX3" i="4"/>
  <c r="AZ3" i="4"/>
  <c r="AZ6" i="3"/>
  <c r="AW6" i="3"/>
  <c r="AW6" i="6" s="1"/>
  <c r="AY6" i="3"/>
  <c r="AY6" i="6" s="1"/>
  <c r="AX6" i="3"/>
  <c r="AX6" i="6" s="1"/>
  <c r="AV7" i="6"/>
  <c r="AV8" i="3"/>
  <c r="F57" i="6"/>
  <c r="BM5" i="6"/>
  <c r="G114" i="6"/>
  <c r="F21" i="7"/>
  <c r="G23" i="2"/>
  <c r="CP10" i="6"/>
  <c r="CO10" i="6"/>
  <c r="CQ10" i="6" s="1"/>
  <c r="CN10" i="6"/>
  <c r="CK11" i="6"/>
  <c r="CM10" i="6"/>
  <c r="G33" i="3"/>
  <c r="G31" i="4"/>
  <c r="S39" i="4"/>
  <c r="O39" i="4"/>
  <c r="L39" i="4"/>
  <c r="K158" i="6"/>
  <c r="M57" i="3"/>
  <c r="K52" i="4"/>
  <c r="AP9" i="3"/>
  <c r="F20" i="7"/>
  <c r="R158" i="6"/>
  <c r="O79" i="6" s="1"/>
  <c r="R57" i="3"/>
  <c r="T52" i="4"/>
  <c r="DZ17" i="6"/>
  <c r="DP19" i="6"/>
  <c r="DB9" i="6"/>
  <c r="CT9" i="6"/>
  <c r="DC9" i="6"/>
  <c r="CU9" i="6"/>
  <c r="DD9" i="6"/>
  <c r="CD9" i="6"/>
  <c r="CM9" i="6"/>
  <c r="CV9" i="6"/>
  <c r="DE9" i="6"/>
  <c r="DA10" i="6"/>
  <c r="CE9" i="6"/>
  <c r="CN9" i="6"/>
  <c r="CW9" i="6"/>
  <c r="CS10" i="6"/>
  <c r="F118" i="6"/>
  <c r="K118" i="6"/>
  <c r="CO9" i="6"/>
  <c r="DP24" i="6"/>
  <c r="DP35" i="6"/>
  <c r="I37" i="6"/>
  <c r="G37" i="6"/>
  <c r="DZ47" i="6"/>
  <c r="DP29" i="6"/>
  <c r="DZ23" i="6"/>
  <c r="DZ42" i="6"/>
  <c r="DZ37" i="6"/>
  <c r="W16" i="7"/>
  <c r="AJ22" i="7"/>
  <c r="AE22" i="7"/>
  <c r="AL22" i="7" s="1"/>
  <c r="W8" i="7"/>
  <c r="Z8" i="7" s="1"/>
  <c r="AF5" i="7"/>
  <c r="AI5" i="7" s="1"/>
  <c r="AF3" i="7"/>
  <c r="AI3" i="7" s="1"/>
  <c r="W19" i="7"/>
  <c r="W18" i="7"/>
  <c r="W17" i="7"/>
  <c r="W12" i="7"/>
  <c r="W21" i="7"/>
  <c r="Z21" i="7" s="1"/>
  <c r="W20" i="7"/>
  <c r="W15" i="7"/>
  <c r="AF7" i="7"/>
  <c r="AI7" i="7" s="1"/>
  <c r="K11" i="7"/>
  <c r="W7" i="7"/>
  <c r="Z7" i="7" s="1"/>
  <c r="AF6" i="7"/>
  <c r="AI6" i="7" s="1"/>
  <c r="AF4" i="7"/>
  <c r="AI4" i="7" s="1"/>
  <c r="AF8" i="7"/>
  <c r="AI8" i="7" s="1"/>
  <c r="W6" i="7"/>
  <c r="W4" i="7"/>
  <c r="AI11" i="7"/>
  <c r="AJ20" i="7"/>
  <c r="AE20" i="7" s="1"/>
  <c r="AL20" i="7" s="1"/>
  <c r="AJ21" i="7"/>
  <c r="AE21" i="7" s="1"/>
  <c r="AL21" i="7" s="1"/>
  <c r="DZ39" i="6"/>
  <c r="DZ43" i="6"/>
  <c r="AJ23" i="7"/>
  <c r="AE23" i="7" s="1"/>
  <c r="AL23" i="7" s="1"/>
  <c r="G39" i="6"/>
  <c r="AI15" i="7"/>
  <c r="AI13" i="7"/>
  <c r="E40" i="6"/>
  <c r="I51" i="6"/>
  <c r="F58" i="6" s="1"/>
  <c r="DP40" i="6"/>
  <c r="DZ46" i="6"/>
  <c r="Y3" i="7"/>
  <c r="Z3" i="7" s="1"/>
  <c r="Y5" i="7"/>
  <c r="Z5" i="7" s="1"/>
  <c r="Y12" i="7"/>
  <c r="AG12" i="7"/>
  <c r="AI12" i="7" s="1"/>
  <c r="W13" i="7"/>
  <c r="X16" i="7"/>
  <c r="Y17" i="7"/>
  <c r="AG17" i="7"/>
  <c r="AI17" i="7" s="1"/>
  <c r="AJ18" i="7" s="1"/>
  <c r="AE18" i="7" s="1"/>
  <c r="AL18" i="7" s="1"/>
  <c r="Y18" i="7"/>
  <c r="Y19" i="7"/>
  <c r="Y8" i="7"/>
  <c r="W10" i="7"/>
  <c r="AH12" i="7"/>
  <c r="X13" i="7"/>
  <c r="Y16" i="7"/>
  <c r="AG16" i="7"/>
  <c r="AI16" i="7" s="1"/>
  <c r="Y4" i="7"/>
  <c r="Y6" i="7"/>
  <c r="X10" i="7"/>
  <c r="Y13" i="7"/>
  <c r="AG13" i="7"/>
  <c r="W14" i="7"/>
  <c r="W22" i="7"/>
  <c r="Y10" i="7"/>
  <c r="AG10" i="7"/>
  <c r="AI10" i="7" s="1"/>
  <c r="X14" i="7"/>
  <c r="X22" i="7"/>
  <c r="Y7" i="7"/>
  <c r="W9" i="7"/>
  <c r="Z9" i="7" s="1"/>
  <c r="AH10" i="7"/>
  <c r="W11" i="7"/>
  <c r="Z11" i="7" s="1"/>
  <c r="Y14" i="7"/>
  <c r="AG14" i="7"/>
  <c r="AI14" i="7" s="1"/>
  <c r="Y22" i="7"/>
  <c r="W23" i="7"/>
  <c r="Z23" i="7" s="1"/>
  <c r="Y11" i="7"/>
  <c r="Y23" i="7"/>
  <c r="X12" i="7"/>
  <c r="Y15" i="7"/>
  <c r="X17" i="7"/>
  <c r="X18" i="7"/>
  <c r="Y20" i="7"/>
  <c r="CD10" i="6" l="1"/>
  <c r="G31" i="3"/>
  <c r="H34" i="3" s="1"/>
  <c r="U3" i="7"/>
  <c r="G27" i="4"/>
  <c r="G28" i="4"/>
  <c r="G30" i="4"/>
  <c r="F18" i="7"/>
  <c r="P43" i="4"/>
  <c r="O43" i="4" s="1"/>
  <c r="O46" i="4" s="1"/>
  <c r="AP1" i="4"/>
  <c r="L36" i="4"/>
  <c r="M43" i="4"/>
  <c r="L43" i="4" s="1"/>
  <c r="L46" i="4" s="1"/>
  <c r="H23" i="2"/>
  <c r="I115" i="6" s="1"/>
  <c r="G110" i="6"/>
  <c r="F17" i="7"/>
  <c r="G29" i="4"/>
  <c r="G111" i="6"/>
  <c r="F19" i="7"/>
  <c r="AE3" i="7"/>
  <c r="G113" i="6"/>
  <c r="AF7" i="6"/>
  <c r="AE10" i="6" s="1"/>
  <c r="CC11" i="6"/>
  <c r="CG11" i="6" s="1"/>
  <c r="CF10" i="6"/>
  <c r="CG10" i="6"/>
  <c r="CE10" i="6"/>
  <c r="AE16" i="7"/>
  <c r="AL16" i="7" s="1"/>
  <c r="AJ16" i="7"/>
  <c r="AJ8" i="7"/>
  <c r="AE8" i="7" s="1"/>
  <c r="AL8" i="7" s="1"/>
  <c r="AJ9" i="7"/>
  <c r="AE9" i="7" s="1"/>
  <c r="AL9" i="7" s="1"/>
  <c r="Z17" i="7"/>
  <c r="DA11" i="6"/>
  <c r="DC10" i="6"/>
  <c r="DB10" i="6"/>
  <c r="DG10" i="6" s="1"/>
  <c r="DF10" i="6"/>
  <c r="DE10" i="6"/>
  <c r="DD10" i="6"/>
  <c r="CY9" i="6"/>
  <c r="Q127" i="6"/>
  <c r="Q131" i="6"/>
  <c r="U19" i="4"/>
  <c r="L7" i="4"/>
  <c r="Z12" i="7"/>
  <c r="Z22" i="7"/>
  <c r="Z14" i="7"/>
  <c r="Z18" i="7"/>
  <c r="Z16" i="7"/>
  <c r="DG9" i="6"/>
  <c r="AZ6" i="6"/>
  <c r="BC9" i="6" s="1"/>
  <c r="AJ4" i="7"/>
  <c r="AE4" i="7" s="1"/>
  <c r="AL4" i="7" s="1"/>
  <c r="AA11" i="7"/>
  <c r="U11" i="7" s="1"/>
  <c r="AB11" i="7" s="1"/>
  <c r="AJ6" i="7"/>
  <c r="AE6" i="7" s="1"/>
  <c r="AL6" i="7" s="1"/>
  <c r="Z19" i="7"/>
  <c r="I146" i="6"/>
  <c r="AJ10" i="7"/>
  <c r="AE10" i="7" s="1"/>
  <c r="AL10" i="7" s="1"/>
  <c r="AJ15" i="7"/>
  <c r="AE15" i="7" s="1"/>
  <c r="AL15" i="7" s="1"/>
  <c r="O76" i="3"/>
  <c r="Q46" i="3" s="1"/>
  <c r="Q18" i="3"/>
  <c r="AF5" i="3" s="1"/>
  <c r="AJ17" i="7"/>
  <c r="AE17" i="7" s="1"/>
  <c r="AL17" i="7" s="1"/>
  <c r="U9" i="7"/>
  <c r="AB9" i="7" s="1"/>
  <c r="AA9" i="7"/>
  <c r="Z10" i="7"/>
  <c r="Z13" i="7"/>
  <c r="AJ11" i="7"/>
  <c r="AE11" i="7" s="1"/>
  <c r="AL11" i="7" s="1"/>
  <c r="AJ7" i="7"/>
  <c r="AE7" i="7"/>
  <c r="AL7" i="7" s="1"/>
  <c r="I141" i="6"/>
  <c r="CQ9" i="6"/>
  <c r="AJ14" i="7"/>
  <c r="AE14" i="7"/>
  <c r="AL14" i="7" s="1"/>
  <c r="AJ13" i="7"/>
  <c r="AE13" i="7"/>
  <c r="AL13" i="7" s="1"/>
  <c r="U21" i="7"/>
  <c r="AB21" i="7" s="1"/>
  <c r="AA21" i="7"/>
  <c r="U23" i="7"/>
  <c r="AB23" i="7" s="1"/>
  <c r="AA23" i="7"/>
  <c r="AJ12" i="7"/>
  <c r="AE12" i="7" s="1"/>
  <c r="AL12" i="7" s="1"/>
  <c r="G58" i="6"/>
  <c r="BS6" i="6"/>
  <c r="P28" i="6" s="1"/>
  <c r="S22" i="4" s="1"/>
  <c r="Z4" i="7"/>
  <c r="Z15" i="7"/>
  <c r="AJ5" i="7"/>
  <c r="AE5" i="7" s="1"/>
  <c r="AL5" i="7" s="1"/>
  <c r="CT10" i="6"/>
  <c r="CX10" i="6"/>
  <c r="CW10" i="6"/>
  <c r="CV10" i="6"/>
  <c r="CU10" i="6"/>
  <c r="CS11" i="6"/>
  <c r="CI9" i="6"/>
  <c r="CK12" i="6"/>
  <c r="CP11" i="6"/>
  <c r="CO11" i="6"/>
  <c r="CN11" i="6"/>
  <c r="CM11" i="6"/>
  <c r="CL11" i="6"/>
  <c r="Z6" i="7"/>
  <c r="AA7" i="7" s="1"/>
  <c r="U7" i="7" s="1"/>
  <c r="AB7" i="7" s="1"/>
  <c r="Z20" i="7"/>
  <c r="AA8" i="7"/>
  <c r="U8" i="7"/>
  <c r="AB8" i="7" s="1"/>
  <c r="AV8" i="6"/>
  <c r="AV9" i="3"/>
  <c r="Q13" i="3"/>
  <c r="CH11" i="6" l="1"/>
  <c r="F50" i="3"/>
  <c r="H50" i="3" s="1"/>
  <c r="Q23" i="3" s="1"/>
  <c r="AN60" i="4"/>
  <c r="AN63" i="4" s="1"/>
  <c r="AR3" i="4" s="1"/>
  <c r="F43" i="4"/>
  <c r="H43" i="4" s="1"/>
  <c r="AB48" i="3"/>
  <c r="H22" i="7"/>
  <c r="H32" i="4"/>
  <c r="CD11" i="6"/>
  <c r="G22" i="7"/>
  <c r="H115" i="6"/>
  <c r="F131" i="6" s="1"/>
  <c r="AR9" i="3"/>
  <c r="J15" i="7"/>
  <c r="K18" i="7"/>
  <c r="K21" i="7" s="1"/>
  <c r="I32" i="4"/>
  <c r="AY4" i="4"/>
  <c r="AY5" i="4" s="1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Z4" i="4"/>
  <c r="AZ5" i="4" s="1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CI10" i="6"/>
  <c r="I34" i="3"/>
  <c r="CF11" i="6"/>
  <c r="CE11" i="6"/>
  <c r="CC12" i="6"/>
  <c r="CC13" i="6" s="1"/>
  <c r="AL24" i="7"/>
  <c r="AA17" i="7"/>
  <c r="U17" i="7" s="1"/>
  <c r="AB17" i="7" s="1"/>
  <c r="BA3" i="4"/>
  <c r="T43" i="4"/>
  <c r="S43" i="4" s="1"/>
  <c r="S46" i="4" s="1"/>
  <c r="AA20" i="7"/>
  <c r="U20" i="7" s="1"/>
  <c r="AB20" i="7" s="1"/>
  <c r="CO12" i="6"/>
  <c r="CK13" i="6"/>
  <c r="CN12" i="6"/>
  <c r="CM12" i="6"/>
  <c r="CP12" i="6"/>
  <c r="CL12" i="6"/>
  <c r="CQ12" i="6" s="1"/>
  <c r="AA19" i="7"/>
  <c r="U19" i="7" s="1"/>
  <c r="AB19" i="7" s="1"/>
  <c r="AW7" i="3"/>
  <c r="N124" i="6"/>
  <c r="N127" i="6"/>
  <c r="K124" i="6"/>
  <c r="N131" i="6"/>
  <c r="CY10" i="6"/>
  <c r="N46" i="3"/>
  <c r="O50" i="3" s="1"/>
  <c r="N50" i="3" s="1"/>
  <c r="N52" i="3" s="1"/>
  <c r="O52" i="3" s="1"/>
  <c r="BM6" i="6"/>
  <c r="BT3" i="6"/>
  <c r="N43" i="3"/>
  <c r="K43" i="3"/>
  <c r="AF4" i="3"/>
  <c r="AH5" i="3" s="1"/>
  <c r="DI9" i="6"/>
  <c r="AA16" i="7"/>
  <c r="U16" i="7" s="1"/>
  <c r="AB16" i="7" s="1"/>
  <c r="AV9" i="6"/>
  <c r="AV10" i="3"/>
  <c r="AA18" i="7"/>
  <c r="U18" i="7" s="1"/>
  <c r="AB18" i="7" s="1"/>
  <c r="AA6" i="7"/>
  <c r="U6" i="7" s="1"/>
  <c r="AB6" i="7" s="1"/>
  <c r="CS12" i="6"/>
  <c r="CX11" i="6"/>
  <c r="CW11" i="6"/>
  <c r="CV11" i="6"/>
  <c r="CU11" i="6"/>
  <c r="CT11" i="6"/>
  <c r="CY11" i="6" s="1"/>
  <c r="AA15" i="7"/>
  <c r="U15" i="7" s="1"/>
  <c r="AB15" i="7" s="1"/>
  <c r="AF8" i="3"/>
  <c r="R50" i="3"/>
  <c r="AA14" i="7"/>
  <c r="U14" i="7"/>
  <c r="AB14" i="7" s="1"/>
  <c r="AS9" i="3"/>
  <c r="CQ11" i="6"/>
  <c r="AA4" i="7"/>
  <c r="U4" i="7" s="1"/>
  <c r="AB4" i="7" s="1"/>
  <c r="AA13" i="7"/>
  <c r="U13" i="7" s="1"/>
  <c r="AB13" i="7" s="1"/>
  <c r="AA22" i="7"/>
  <c r="U22" i="7"/>
  <c r="AB22" i="7" s="1"/>
  <c r="AT9" i="3"/>
  <c r="AY7" i="3" s="1"/>
  <c r="AA10" i="7"/>
  <c r="U10" i="7"/>
  <c r="AB10" i="7" s="1"/>
  <c r="AA12" i="7"/>
  <c r="U12" i="7" s="1"/>
  <c r="AB12" i="7" s="1"/>
  <c r="K131" i="6"/>
  <c r="Q133" i="6"/>
  <c r="R131" i="6"/>
  <c r="DA12" i="6"/>
  <c r="DE11" i="6"/>
  <c r="DB11" i="6"/>
  <c r="DF11" i="6"/>
  <c r="DD11" i="6"/>
  <c r="DC11" i="6"/>
  <c r="AA5" i="7"/>
  <c r="U5" i="7" s="1"/>
  <c r="AB5" i="7" s="1"/>
  <c r="AB48" i="6" l="1"/>
  <c r="H131" i="6" s="1"/>
  <c r="I151" i="6" s="1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D15" i="4"/>
  <c r="AC36" i="3"/>
  <c r="AX7" i="3" s="1"/>
  <c r="AX8" i="3" s="1"/>
  <c r="AE8" i="3"/>
  <c r="CD12" i="6"/>
  <c r="CI11" i="6"/>
  <c r="DI10" i="6"/>
  <c r="CH12" i="6"/>
  <c r="CG12" i="6"/>
  <c r="CE12" i="6"/>
  <c r="CI12" i="6" s="1"/>
  <c r="CF12" i="6"/>
  <c r="AC24" i="7"/>
  <c r="AC4" i="7"/>
  <c r="AC5" i="7" s="1"/>
  <c r="AC6" i="7" s="1"/>
  <c r="AC7" i="7" s="1"/>
  <c r="AC8" i="7" s="1"/>
  <c r="AC9" i="7" s="1"/>
  <c r="AC10" i="7" s="1"/>
  <c r="AC11" i="7" s="1"/>
  <c r="AC12" i="7" s="1"/>
  <c r="AC13" i="7" s="1"/>
  <c r="AC14" i="7" s="1"/>
  <c r="AC15" i="7" s="1"/>
  <c r="AC16" i="7" s="1"/>
  <c r="AC17" i="7" s="1"/>
  <c r="AC18" i="7" s="1"/>
  <c r="AC19" i="7" s="1"/>
  <c r="AC20" i="7" s="1"/>
  <c r="AC21" i="7" s="1"/>
  <c r="AC22" i="7" s="1"/>
  <c r="AC23" i="7" s="1"/>
  <c r="CE13" i="6"/>
  <c r="CD13" i="6"/>
  <c r="CC14" i="6"/>
  <c r="CF13" i="6"/>
  <c r="CH13" i="6"/>
  <c r="CG13" i="6"/>
  <c r="I61" i="6"/>
  <c r="AA24" i="6"/>
  <c r="AW7" i="6"/>
  <c r="AW8" i="3"/>
  <c r="AF7" i="3"/>
  <c r="AF10" i="3"/>
  <c r="AE10" i="3"/>
  <c r="CK14" i="6"/>
  <c r="CN13" i="6"/>
  <c r="CM13" i="6"/>
  <c r="CL13" i="6"/>
  <c r="CO13" i="6"/>
  <c r="CP13" i="6"/>
  <c r="Q50" i="3"/>
  <c r="Q52" i="3" s="1"/>
  <c r="R52" i="3" s="1"/>
  <c r="AP6" i="3"/>
  <c r="F58" i="2"/>
  <c r="CX12" i="6"/>
  <c r="CW12" i="6"/>
  <c r="CS13" i="6"/>
  <c r="CV12" i="6"/>
  <c r="CU12" i="6"/>
  <c r="CT12" i="6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DF12" i="6"/>
  <c r="DE12" i="6"/>
  <c r="DB12" i="6"/>
  <c r="DG12" i="6" s="1"/>
  <c r="DD12" i="6"/>
  <c r="DC12" i="6"/>
  <c r="DA13" i="6"/>
  <c r="AY7" i="6"/>
  <c r="AY8" i="3"/>
  <c r="DG11" i="6"/>
  <c r="DI11" i="6" s="1"/>
  <c r="AV10" i="6"/>
  <c r="AV11" i="3"/>
  <c r="O131" i="6"/>
  <c r="N133" i="6"/>
  <c r="K133" i="6"/>
  <c r="L131" i="6"/>
  <c r="G47" i="7"/>
  <c r="F47" i="7" s="1"/>
  <c r="D47" i="7" s="1"/>
  <c r="AM4" i="7"/>
  <c r="AM5" i="7" s="1"/>
  <c r="AM6" i="7" s="1"/>
  <c r="AM7" i="7" s="1"/>
  <c r="AM8" i="7" s="1"/>
  <c r="AM9" i="7" s="1"/>
  <c r="AM10" i="7" s="1"/>
  <c r="AM11" i="7" s="1"/>
  <c r="AM12" i="7" s="1"/>
  <c r="AM13" i="7" s="1"/>
  <c r="AM14" i="7" s="1"/>
  <c r="AM15" i="7" s="1"/>
  <c r="AM16" i="7" s="1"/>
  <c r="AM17" i="7" s="1"/>
  <c r="AM18" i="7" s="1"/>
  <c r="AM19" i="7" s="1"/>
  <c r="AM20" i="7" s="1"/>
  <c r="AM21" i="7" s="1"/>
  <c r="AM22" i="7" s="1"/>
  <c r="AM23" i="7" s="1"/>
  <c r="AX7" i="6" l="1"/>
  <c r="AC36" i="6"/>
  <c r="F36" i="4"/>
  <c r="DF13" i="6"/>
  <c r="DE13" i="6"/>
  <c r="DA14" i="6"/>
  <c r="DD13" i="6"/>
  <c r="DC13" i="6"/>
  <c r="DB13" i="6"/>
  <c r="DG13" i="6" s="1"/>
  <c r="CW13" i="6"/>
  <c r="CS14" i="6"/>
  <c r="CV13" i="6"/>
  <c r="CU13" i="6"/>
  <c r="CT13" i="6"/>
  <c r="CX13" i="6"/>
  <c r="AE7" i="3"/>
  <c r="E16" i="3"/>
  <c r="AH7" i="3"/>
  <c r="G46" i="7"/>
  <c r="F46" i="7" s="1"/>
  <c r="D46" i="7" s="1"/>
  <c r="AD4" i="7"/>
  <c r="AD5" i="7" s="1"/>
  <c r="AD6" i="7" s="1"/>
  <c r="AD7" i="7" s="1"/>
  <c r="AD8" i="7" s="1"/>
  <c r="AD9" i="7" s="1"/>
  <c r="AD10" i="7" s="1"/>
  <c r="AD11" i="7" s="1"/>
  <c r="AD12" i="7" s="1"/>
  <c r="AD13" i="7" s="1"/>
  <c r="AD14" i="7" s="1"/>
  <c r="AD15" i="7" s="1"/>
  <c r="AD16" i="7" s="1"/>
  <c r="AD17" i="7" s="1"/>
  <c r="AD18" i="7" s="1"/>
  <c r="AD19" i="7" s="1"/>
  <c r="AD20" i="7" s="1"/>
  <c r="AD21" i="7" s="1"/>
  <c r="AD22" i="7" s="1"/>
  <c r="AD23" i="7" s="1"/>
  <c r="CQ13" i="6"/>
  <c r="AV11" i="6"/>
  <c r="AV12" i="3"/>
  <c r="BR9" i="6"/>
  <c r="BS2" i="6"/>
  <c r="AW8" i="6"/>
  <c r="AW9" i="3"/>
  <c r="AX8" i="6"/>
  <c r="AX9" i="3"/>
  <c r="AY8" i="6"/>
  <c r="AY9" i="3"/>
  <c r="CY12" i="6"/>
  <c r="AZ7" i="3"/>
  <c r="BC9" i="3"/>
  <c r="CP14" i="6"/>
  <c r="CO14" i="6"/>
  <c r="CM14" i="6"/>
  <c r="CL14" i="6"/>
  <c r="CQ14" i="6" s="1"/>
  <c r="CK15" i="6"/>
  <c r="CN14" i="6"/>
  <c r="CH14" i="6"/>
  <c r="CG14" i="6"/>
  <c r="CC15" i="6"/>
  <c r="CF14" i="6"/>
  <c r="CD14" i="6"/>
  <c r="CE14" i="6"/>
  <c r="CI13" i="6"/>
  <c r="F56" i="6" l="1"/>
  <c r="BM4" i="6"/>
  <c r="BL12" i="6" s="1"/>
  <c r="BR10" i="6"/>
  <c r="BM9" i="6"/>
  <c r="AZ7" i="6"/>
  <c r="AZ8" i="3"/>
  <c r="AW9" i="6"/>
  <c r="AW10" i="3"/>
  <c r="AX9" i="6"/>
  <c r="AX10" i="3"/>
  <c r="CY13" i="6"/>
  <c r="DI13" i="6"/>
  <c r="CP15" i="6"/>
  <c r="CO15" i="6"/>
  <c r="CK16" i="6"/>
  <c r="CN15" i="6"/>
  <c r="CM15" i="6"/>
  <c r="CL15" i="6"/>
  <c r="CQ15" i="6" s="1"/>
  <c r="AY9" i="6"/>
  <c r="AY10" i="3"/>
  <c r="DC14" i="6"/>
  <c r="DB14" i="6"/>
  <c r="DE14" i="6"/>
  <c r="DA15" i="6"/>
  <c r="DD14" i="6"/>
  <c r="DF14" i="6"/>
  <c r="CT14" i="6"/>
  <c r="CX14" i="6"/>
  <c r="CS15" i="6"/>
  <c r="CV14" i="6"/>
  <c r="CU14" i="6"/>
  <c r="CW14" i="6"/>
  <c r="CG15" i="6"/>
  <c r="CC16" i="6"/>
  <c r="CF15" i="6"/>
  <c r="CE15" i="6"/>
  <c r="CD15" i="6"/>
  <c r="CH15" i="6"/>
  <c r="DI12" i="6"/>
  <c r="CI14" i="6"/>
  <c r="AV12" i="6"/>
  <c r="AV13" i="3"/>
  <c r="CI15" i="6" l="1"/>
  <c r="CX15" i="6"/>
  <c r="CW15" i="6"/>
  <c r="CS16" i="6"/>
  <c r="CV15" i="6"/>
  <c r="CU15" i="6"/>
  <c r="CT15" i="6"/>
  <c r="AZ8" i="6"/>
  <c r="AZ9" i="3"/>
  <c r="CY14" i="6"/>
  <c r="DI14" i="6" s="1"/>
  <c r="AY10" i="6"/>
  <c r="AY11" i="3"/>
  <c r="AV13" i="6"/>
  <c r="AV14" i="3"/>
  <c r="CC17" i="6"/>
  <c r="CD16" i="6"/>
  <c r="CH16" i="6"/>
  <c r="CF16" i="6"/>
  <c r="CE16" i="6"/>
  <c r="CG16" i="6"/>
  <c r="DF15" i="6"/>
  <c r="DE15" i="6"/>
  <c r="DA16" i="6"/>
  <c r="DD15" i="6"/>
  <c r="DB15" i="6"/>
  <c r="DG15" i="6" s="1"/>
  <c r="DC15" i="6"/>
  <c r="AX10" i="6"/>
  <c r="AX11" i="3"/>
  <c r="BR11" i="6"/>
  <c r="BL13" i="6"/>
  <c r="DG14" i="6"/>
  <c r="CM16" i="6"/>
  <c r="CK17" i="6"/>
  <c r="CL16" i="6"/>
  <c r="CO16" i="6"/>
  <c r="CN16" i="6"/>
  <c r="CP16" i="6"/>
  <c r="AW10" i="6"/>
  <c r="AW11" i="3"/>
  <c r="CY15" i="6" l="1"/>
  <c r="DE16" i="6"/>
  <c r="DD16" i="6"/>
  <c r="DC16" i="6"/>
  <c r="DA17" i="6"/>
  <c r="DB16" i="6"/>
  <c r="DF16" i="6"/>
  <c r="CI16" i="6"/>
  <c r="AY11" i="6"/>
  <c r="AY12" i="3"/>
  <c r="CV16" i="6"/>
  <c r="CU16" i="6"/>
  <c r="CS17" i="6"/>
  <c r="CT16" i="6"/>
  <c r="CX16" i="6"/>
  <c r="CW16" i="6"/>
  <c r="CQ16" i="6"/>
  <c r="CK18" i="6"/>
  <c r="CL17" i="6"/>
  <c r="CP17" i="6"/>
  <c r="CN17" i="6"/>
  <c r="CM17" i="6"/>
  <c r="CO17" i="6"/>
  <c r="AV14" i="6"/>
  <c r="AV15" i="3"/>
  <c r="CH17" i="6"/>
  <c r="CG17" i="6"/>
  <c r="CE17" i="6"/>
  <c r="CC18" i="6"/>
  <c r="CD17" i="6"/>
  <c r="CF17" i="6"/>
  <c r="BR12" i="6"/>
  <c r="AX11" i="6"/>
  <c r="AX12" i="3"/>
  <c r="AZ9" i="6"/>
  <c r="AZ10" i="3"/>
  <c r="DI15" i="6"/>
  <c r="AW11" i="6"/>
  <c r="AW12" i="3"/>
  <c r="CI17" i="6" l="1"/>
  <c r="AW12" i="6"/>
  <c r="AW13" i="3"/>
  <c r="CQ17" i="6"/>
  <c r="AZ10" i="6"/>
  <c r="AZ11" i="3"/>
  <c r="CH18" i="6"/>
  <c r="CG18" i="6"/>
  <c r="CC19" i="6"/>
  <c r="CF18" i="6"/>
  <c r="CD18" i="6"/>
  <c r="CE18" i="6"/>
  <c r="AV15" i="6"/>
  <c r="AV16" i="3"/>
  <c r="CP18" i="6"/>
  <c r="CO18" i="6"/>
  <c r="CM18" i="6"/>
  <c r="CL18" i="6"/>
  <c r="CK19" i="6"/>
  <c r="CN18" i="6"/>
  <c r="AY12" i="6"/>
  <c r="AY13" i="3"/>
  <c r="CU17" i="6"/>
  <c r="CS18" i="6"/>
  <c r="CT17" i="6"/>
  <c r="CW17" i="6"/>
  <c r="CV17" i="6"/>
  <c r="CX17" i="6"/>
  <c r="BR13" i="6"/>
  <c r="DD17" i="6"/>
  <c r="DC17" i="6"/>
  <c r="DA18" i="6"/>
  <c r="DB17" i="6"/>
  <c r="DF17" i="6"/>
  <c r="DE17" i="6"/>
  <c r="AX12" i="6"/>
  <c r="AX13" i="3"/>
  <c r="CY16" i="6"/>
  <c r="DI16" i="6" s="1"/>
  <c r="DG16" i="6"/>
  <c r="AV16" i="6" l="1"/>
  <c r="AV17" i="3"/>
  <c r="CP19" i="6"/>
  <c r="CO19" i="6"/>
  <c r="CK20" i="6"/>
  <c r="CN19" i="6"/>
  <c r="CM19" i="6"/>
  <c r="CL19" i="6"/>
  <c r="DG17" i="6"/>
  <c r="CQ18" i="6"/>
  <c r="AZ11" i="6"/>
  <c r="AZ12" i="3"/>
  <c r="CG19" i="6"/>
  <c r="CC20" i="6"/>
  <c r="CF19" i="6"/>
  <c r="CE19" i="6"/>
  <c r="CD19" i="6"/>
  <c r="CH19" i="6"/>
  <c r="CY17" i="6"/>
  <c r="DI17" i="6" s="1"/>
  <c r="CT18" i="6"/>
  <c r="CY18" i="6" s="1"/>
  <c r="CX18" i="6"/>
  <c r="CS19" i="6"/>
  <c r="CV18" i="6"/>
  <c r="CU18" i="6"/>
  <c r="CW18" i="6"/>
  <c r="CI18" i="6"/>
  <c r="AW13" i="6"/>
  <c r="AW14" i="3"/>
  <c r="DC18" i="6"/>
  <c r="DB18" i="6"/>
  <c r="DE18" i="6"/>
  <c r="DA19" i="6"/>
  <c r="DD18" i="6"/>
  <c r="DF18" i="6"/>
  <c r="AX13" i="6"/>
  <c r="AX14" i="3"/>
  <c r="BR14" i="6"/>
  <c r="AY13" i="6"/>
  <c r="AY14" i="3"/>
  <c r="AW14" i="6" l="1"/>
  <c r="AW15" i="3"/>
  <c r="CI19" i="6"/>
  <c r="AV17" i="6"/>
  <c r="AV18" i="3"/>
  <c r="AZ12" i="6"/>
  <c r="AZ13" i="3"/>
  <c r="CQ19" i="6"/>
  <c r="AX14" i="6"/>
  <c r="AX15" i="3"/>
  <c r="DI18" i="6"/>
  <c r="BR15" i="6"/>
  <c r="AY14" i="6"/>
  <c r="AY15" i="3"/>
  <c r="DF19" i="6"/>
  <c r="DE19" i="6"/>
  <c r="DA20" i="6"/>
  <c r="DD19" i="6"/>
  <c r="DB19" i="6"/>
  <c r="DG19" i="6" s="1"/>
  <c r="DC19" i="6"/>
  <c r="DG18" i="6"/>
  <c r="CX19" i="6"/>
  <c r="CW19" i="6"/>
  <c r="CS20" i="6"/>
  <c r="CV19" i="6"/>
  <c r="CU19" i="6"/>
  <c r="CT19" i="6"/>
  <c r="CY19" i="6" s="1"/>
  <c r="CD20" i="6"/>
  <c r="CH20" i="6"/>
  <c r="CF20" i="6"/>
  <c r="CC21" i="6"/>
  <c r="CE20" i="6"/>
  <c r="CG20" i="6"/>
  <c r="CK21" i="6"/>
  <c r="CM20" i="6"/>
  <c r="CL20" i="6"/>
  <c r="CO20" i="6"/>
  <c r="CN20" i="6"/>
  <c r="CP20" i="6"/>
  <c r="AX15" i="6" l="1"/>
  <c r="AX16" i="3"/>
  <c r="CV20" i="6"/>
  <c r="CS21" i="6"/>
  <c r="CU20" i="6"/>
  <c r="CT20" i="6"/>
  <c r="CX20" i="6"/>
  <c r="CW20" i="6"/>
  <c r="AV18" i="6"/>
  <c r="AV19" i="3"/>
  <c r="CH21" i="6"/>
  <c r="CG21" i="6"/>
  <c r="CF21" i="6"/>
  <c r="CD21" i="6"/>
  <c r="CC22" i="6"/>
  <c r="CE21" i="6"/>
  <c r="AY15" i="6"/>
  <c r="AY16" i="3"/>
  <c r="AZ13" i="6"/>
  <c r="AZ14" i="3"/>
  <c r="DI19" i="6"/>
  <c r="BR16" i="6"/>
  <c r="DE20" i="6"/>
  <c r="DD20" i="6"/>
  <c r="DA21" i="6"/>
  <c r="DC20" i="6"/>
  <c r="DB20" i="6"/>
  <c r="DG20" i="6" s="1"/>
  <c r="DF20" i="6"/>
  <c r="AW15" i="6"/>
  <c r="AW16" i="3"/>
  <c r="CP21" i="6"/>
  <c r="CO21" i="6"/>
  <c r="CK22" i="6"/>
  <c r="CM21" i="6"/>
  <c r="CL21" i="6"/>
  <c r="CQ21" i="6" s="1"/>
  <c r="CN21" i="6"/>
  <c r="CQ20" i="6"/>
  <c r="CI20" i="6"/>
  <c r="CY20" i="6" l="1"/>
  <c r="AY16" i="6"/>
  <c r="AY17" i="3"/>
  <c r="CT21" i="6"/>
  <c r="CX21" i="6"/>
  <c r="CV21" i="6"/>
  <c r="CS22" i="6"/>
  <c r="CU21" i="6"/>
  <c r="CW21" i="6"/>
  <c r="AW16" i="6"/>
  <c r="AW17" i="3"/>
  <c r="BR17" i="6"/>
  <c r="CH22" i="6"/>
  <c r="CG22" i="6"/>
  <c r="CF22" i="6"/>
  <c r="CC23" i="6"/>
  <c r="CE22" i="6"/>
  <c r="CD22" i="6"/>
  <c r="AV19" i="6"/>
  <c r="AV20" i="3"/>
  <c r="AZ14" i="6"/>
  <c r="AZ15" i="3"/>
  <c r="CK23" i="6"/>
  <c r="CP22" i="6"/>
  <c r="CO22" i="6"/>
  <c r="CN22" i="6"/>
  <c r="CM22" i="6"/>
  <c r="CL22" i="6"/>
  <c r="CI21" i="6"/>
  <c r="AX16" i="6"/>
  <c r="AX17" i="3"/>
  <c r="DA22" i="6"/>
  <c r="DC21" i="6"/>
  <c r="DB21" i="6"/>
  <c r="DE21" i="6"/>
  <c r="DD21" i="6"/>
  <c r="DF21" i="6"/>
  <c r="DI20" i="6"/>
  <c r="AV20" i="6" l="1"/>
  <c r="AV21" i="3"/>
  <c r="CS23" i="6"/>
  <c r="CX22" i="6"/>
  <c r="CW22" i="6"/>
  <c r="CV22" i="6"/>
  <c r="CT22" i="6"/>
  <c r="CU22" i="6"/>
  <c r="BR18" i="6"/>
  <c r="AX17" i="6"/>
  <c r="AX18" i="3"/>
  <c r="CO23" i="6"/>
  <c r="CN23" i="6"/>
  <c r="CL23" i="6"/>
  <c r="CP23" i="6"/>
  <c r="CK24" i="6"/>
  <c r="CM23" i="6"/>
  <c r="CY21" i="6"/>
  <c r="AZ15" i="6"/>
  <c r="AZ16" i="3"/>
  <c r="CI22" i="6"/>
  <c r="AW17" i="6"/>
  <c r="AW18" i="3"/>
  <c r="AY17" i="6"/>
  <c r="AY18" i="3"/>
  <c r="DG21" i="6"/>
  <c r="DI21" i="6" s="1"/>
  <c r="DA23" i="6"/>
  <c r="DF22" i="6"/>
  <c r="DE22" i="6"/>
  <c r="DC22" i="6"/>
  <c r="DB22" i="6"/>
  <c r="DD22" i="6"/>
  <c r="CQ22" i="6"/>
  <c r="CH23" i="6"/>
  <c r="CF23" i="6"/>
  <c r="CC24" i="6"/>
  <c r="CE23" i="6"/>
  <c r="CG23" i="6"/>
  <c r="CD23" i="6"/>
  <c r="AX18" i="6" l="1"/>
  <c r="AX19" i="3"/>
  <c r="CT23" i="6"/>
  <c r="CX23" i="6"/>
  <c r="CW23" i="6"/>
  <c r="CV23" i="6"/>
  <c r="CS24" i="6"/>
  <c r="CU23" i="6"/>
  <c r="BR19" i="6"/>
  <c r="CI23" i="6"/>
  <c r="DG22" i="6"/>
  <c r="CP24" i="6"/>
  <c r="CO24" i="6"/>
  <c r="CM24" i="6"/>
  <c r="CL24" i="6"/>
  <c r="CQ24" i="6" s="1"/>
  <c r="CK25" i="6"/>
  <c r="CN24" i="6"/>
  <c r="AY18" i="6"/>
  <c r="AY19" i="3"/>
  <c r="AW18" i="6"/>
  <c r="AW19" i="3"/>
  <c r="CQ23" i="6"/>
  <c r="CY22" i="6"/>
  <c r="DI22" i="6" s="1"/>
  <c r="CH24" i="6"/>
  <c r="CG24" i="6"/>
  <c r="CF24" i="6"/>
  <c r="CD24" i="6"/>
  <c r="CC25" i="6"/>
  <c r="CE24" i="6"/>
  <c r="AV21" i="6"/>
  <c r="AV22" i="3"/>
  <c r="DA24" i="6"/>
  <c r="DC23" i="6"/>
  <c r="DB23" i="6"/>
  <c r="DF23" i="6"/>
  <c r="DE23" i="6"/>
  <c r="DD23" i="6"/>
  <c r="AZ16" i="6"/>
  <c r="AZ17" i="3"/>
  <c r="CX24" i="6" l="1"/>
  <c r="CV24" i="6"/>
  <c r="CU24" i="6"/>
  <c r="CW24" i="6"/>
  <c r="CT24" i="6"/>
  <c r="CY24" i="6" s="1"/>
  <c r="CS25" i="6"/>
  <c r="AW19" i="6"/>
  <c r="AW20" i="3"/>
  <c r="DA25" i="6"/>
  <c r="DE24" i="6"/>
  <c r="DD24" i="6"/>
  <c r="DF24" i="6"/>
  <c r="DC24" i="6"/>
  <c r="DB24" i="6"/>
  <c r="DG24" i="6" s="1"/>
  <c r="AZ17" i="6"/>
  <c r="AZ18" i="3"/>
  <c r="CH25" i="6"/>
  <c r="CG25" i="6"/>
  <c r="CF25" i="6"/>
  <c r="CD25" i="6"/>
  <c r="CC26" i="6"/>
  <c r="CE25" i="6"/>
  <c r="DG23" i="6"/>
  <c r="CI24" i="6"/>
  <c r="AY19" i="6"/>
  <c r="AY20" i="3"/>
  <c r="AV22" i="6"/>
  <c r="AV23" i="3"/>
  <c r="CY23" i="6"/>
  <c r="DI23" i="6" s="1"/>
  <c r="AX19" i="6"/>
  <c r="AX20" i="3"/>
  <c r="CP25" i="6"/>
  <c r="CO25" i="6"/>
  <c r="CM25" i="6"/>
  <c r="CL25" i="6"/>
  <c r="CN25" i="6"/>
  <c r="CK26" i="6"/>
  <c r="BR20" i="6"/>
  <c r="CQ25" i="6" l="1"/>
  <c r="AV23" i="6"/>
  <c r="AV24" i="3"/>
  <c r="DI24" i="6"/>
  <c r="AZ18" i="6"/>
  <c r="AZ19" i="3"/>
  <c r="AW20" i="6"/>
  <c r="AW21" i="3"/>
  <c r="CH26" i="6"/>
  <c r="CG26" i="6"/>
  <c r="CF26" i="6"/>
  <c r="CD26" i="6"/>
  <c r="CC27" i="6"/>
  <c r="CE26" i="6"/>
  <c r="BR21" i="6"/>
  <c r="AX20" i="6"/>
  <c r="AX21" i="3"/>
  <c r="CI25" i="6"/>
  <c r="CX25" i="6"/>
  <c r="CV25" i="6"/>
  <c r="CU25" i="6"/>
  <c r="CS26" i="6"/>
  <c r="CT25" i="6"/>
  <c r="CW25" i="6"/>
  <c r="CP26" i="6"/>
  <c r="CO26" i="6"/>
  <c r="CM26" i="6"/>
  <c r="CL26" i="6"/>
  <c r="CN26" i="6"/>
  <c r="CK27" i="6"/>
  <c r="AY20" i="6"/>
  <c r="AY21" i="3"/>
  <c r="DA26" i="6"/>
  <c r="DE25" i="6"/>
  <c r="DD25" i="6"/>
  <c r="DF25" i="6"/>
  <c r="DC25" i="6"/>
  <c r="DB25" i="6"/>
  <c r="CI26" i="6" l="1"/>
  <c r="CY25" i="6"/>
  <c r="AW21" i="6"/>
  <c r="AW22" i="3"/>
  <c r="AV24" i="6"/>
  <c r="AV25" i="3"/>
  <c r="DG25" i="6"/>
  <c r="DI25" i="6" s="1"/>
  <c r="AX21" i="6"/>
  <c r="AX22" i="3"/>
  <c r="AY21" i="6"/>
  <c r="AY22" i="3"/>
  <c r="CP27" i="6"/>
  <c r="CO27" i="6"/>
  <c r="CM27" i="6"/>
  <c r="CL27" i="6"/>
  <c r="CN27" i="6"/>
  <c r="CK28" i="6"/>
  <c r="CX26" i="6"/>
  <c r="CV26" i="6"/>
  <c r="CU26" i="6"/>
  <c r="CT26" i="6"/>
  <c r="CS27" i="6"/>
  <c r="CW26" i="6"/>
  <c r="AZ19" i="6"/>
  <c r="AZ20" i="3"/>
  <c r="DA27" i="6"/>
  <c r="DE26" i="6"/>
  <c r="DD26" i="6"/>
  <c r="DF26" i="6"/>
  <c r="DB26" i="6"/>
  <c r="DC26" i="6"/>
  <c r="BR22" i="6"/>
  <c r="CQ26" i="6"/>
  <c r="CH27" i="6"/>
  <c r="CG27" i="6"/>
  <c r="CC28" i="6"/>
  <c r="CF27" i="6"/>
  <c r="CD27" i="6"/>
  <c r="CE27" i="6"/>
  <c r="AY22" i="6" l="1"/>
  <c r="AY23" i="3"/>
  <c r="DE27" i="6"/>
  <c r="DA28" i="6"/>
  <c r="DD27" i="6"/>
  <c r="DB27" i="6"/>
  <c r="DF27" i="6"/>
  <c r="DC27" i="6"/>
  <c r="AZ20" i="6"/>
  <c r="AZ21" i="3"/>
  <c r="CN28" i="6"/>
  <c r="CM28" i="6"/>
  <c r="CL28" i="6"/>
  <c r="CP28" i="6"/>
  <c r="CK29" i="6"/>
  <c r="CO28" i="6"/>
  <c r="AX22" i="6"/>
  <c r="AX23" i="3"/>
  <c r="BR23" i="6"/>
  <c r="CI27" i="6"/>
  <c r="CQ27" i="6"/>
  <c r="AW22" i="6"/>
  <c r="AW23" i="3"/>
  <c r="DG26" i="6"/>
  <c r="CX27" i="6"/>
  <c r="CS28" i="6"/>
  <c r="CV27" i="6"/>
  <c r="CU27" i="6"/>
  <c r="CW27" i="6"/>
  <c r="CT27" i="6"/>
  <c r="CE28" i="6"/>
  <c r="CD28" i="6"/>
  <c r="CC29" i="6"/>
  <c r="CH28" i="6"/>
  <c r="CF28" i="6"/>
  <c r="CG28" i="6"/>
  <c r="CY26" i="6"/>
  <c r="DI26" i="6" s="1"/>
  <c r="AV25" i="6"/>
  <c r="AV26" i="3"/>
  <c r="CY27" i="6" l="1"/>
  <c r="CN29" i="6"/>
  <c r="CM29" i="6"/>
  <c r="CK30" i="6"/>
  <c r="CL29" i="6"/>
  <c r="CO29" i="6"/>
  <c r="CP29" i="6"/>
  <c r="AV26" i="6"/>
  <c r="AV27" i="3"/>
  <c r="CQ28" i="6"/>
  <c r="AW23" i="6"/>
  <c r="AW24" i="3"/>
  <c r="DF28" i="6"/>
  <c r="DE28" i="6"/>
  <c r="DD28" i="6"/>
  <c r="DB28" i="6"/>
  <c r="DA29" i="6"/>
  <c r="DC28" i="6"/>
  <c r="CW28" i="6"/>
  <c r="CV28" i="6"/>
  <c r="CU28" i="6"/>
  <c r="CS29" i="6"/>
  <c r="CX28" i="6"/>
  <c r="CT28" i="6"/>
  <c r="BR24" i="6"/>
  <c r="AX23" i="6"/>
  <c r="AX24" i="3"/>
  <c r="AZ21" i="6"/>
  <c r="AZ22" i="3"/>
  <c r="AY23" i="6"/>
  <c r="AY24" i="3"/>
  <c r="DG27" i="6"/>
  <c r="DI27" i="6" s="1"/>
  <c r="CE29" i="6"/>
  <c r="CC30" i="6"/>
  <c r="CD29" i="6"/>
  <c r="CH29" i="6"/>
  <c r="CG29" i="6"/>
  <c r="CF29" i="6"/>
  <c r="CI28" i="6"/>
  <c r="CD30" i="6" l="1"/>
  <c r="CC31" i="6"/>
  <c r="CH30" i="6"/>
  <c r="CG30" i="6"/>
  <c r="CF30" i="6"/>
  <c r="CE30" i="6"/>
  <c r="AW24" i="6"/>
  <c r="AW25" i="3"/>
  <c r="BR25" i="6"/>
  <c r="DF29" i="6"/>
  <c r="DE29" i="6"/>
  <c r="DD29" i="6"/>
  <c r="DA30" i="6"/>
  <c r="DB29" i="6"/>
  <c r="DG29" i="6" s="1"/>
  <c r="DC29" i="6"/>
  <c r="CQ29" i="6"/>
  <c r="AY24" i="6"/>
  <c r="AY25" i="3"/>
  <c r="CY28" i="6"/>
  <c r="DG28" i="6"/>
  <c r="DI28" i="6" s="1"/>
  <c r="CM30" i="6"/>
  <c r="CL30" i="6"/>
  <c r="CQ30" i="6" s="1"/>
  <c r="CK31" i="6"/>
  <c r="CP30" i="6"/>
  <c r="CN30" i="6"/>
  <c r="CO30" i="6"/>
  <c r="AZ22" i="6"/>
  <c r="AZ23" i="3"/>
  <c r="CW29" i="6"/>
  <c r="CV29" i="6"/>
  <c r="CU29" i="6"/>
  <c r="CX29" i="6"/>
  <c r="CS30" i="6"/>
  <c r="CT29" i="6"/>
  <c r="CI29" i="6"/>
  <c r="AX24" i="6"/>
  <c r="AX25" i="3"/>
  <c r="AV27" i="6"/>
  <c r="AV28" i="3"/>
  <c r="DE30" i="6" l="1"/>
  <c r="DD30" i="6"/>
  <c r="DC30" i="6"/>
  <c r="DA31" i="6"/>
  <c r="DF30" i="6"/>
  <c r="DB30" i="6"/>
  <c r="DG30" i="6" s="1"/>
  <c r="AW25" i="6"/>
  <c r="AW26" i="3"/>
  <c r="AV28" i="6"/>
  <c r="AV29" i="3"/>
  <c r="AX25" i="6"/>
  <c r="AX26" i="3"/>
  <c r="CY29" i="6"/>
  <c r="DI29" i="6" s="1"/>
  <c r="AY25" i="6"/>
  <c r="AY26" i="3"/>
  <c r="CV30" i="6"/>
  <c r="CU30" i="6"/>
  <c r="CT30" i="6"/>
  <c r="CX30" i="6"/>
  <c r="CW30" i="6"/>
  <c r="CS31" i="6"/>
  <c r="AZ23" i="6"/>
  <c r="AZ24" i="3"/>
  <c r="BR26" i="6"/>
  <c r="CC32" i="6"/>
  <c r="CD31" i="6"/>
  <c r="CH31" i="6"/>
  <c r="CG31" i="6"/>
  <c r="CF31" i="6"/>
  <c r="CE31" i="6"/>
  <c r="CM31" i="6"/>
  <c r="CK32" i="6"/>
  <c r="CL31" i="6"/>
  <c r="CP31" i="6"/>
  <c r="CN31" i="6"/>
  <c r="CO31" i="6"/>
  <c r="CI30" i="6"/>
  <c r="CI31" i="6" l="1"/>
  <c r="AW26" i="6"/>
  <c r="AW27" i="3"/>
  <c r="CQ31" i="6"/>
  <c r="CG32" i="6"/>
  <c r="CF32" i="6"/>
  <c r="CH32" i="6"/>
  <c r="CE32" i="6"/>
  <c r="CD32" i="6"/>
  <c r="CY30" i="6"/>
  <c r="CL32" i="6"/>
  <c r="CP32" i="6"/>
  <c r="CO32" i="6"/>
  <c r="CN32" i="6"/>
  <c r="CM32" i="6"/>
  <c r="BR27" i="6"/>
  <c r="AZ24" i="6"/>
  <c r="AZ25" i="3"/>
  <c r="AY26" i="6"/>
  <c r="AY27" i="3"/>
  <c r="DE31" i="6"/>
  <c r="DD31" i="6"/>
  <c r="DC31" i="6"/>
  <c r="DF31" i="6"/>
  <c r="DB31" i="6"/>
  <c r="DA32" i="6"/>
  <c r="DI30" i="6"/>
  <c r="AV29" i="6"/>
  <c r="AV30" i="3"/>
  <c r="CV31" i="6"/>
  <c r="CU31" i="6"/>
  <c r="CS32" i="6"/>
  <c r="CT31" i="6"/>
  <c r="CX31" i="6"/>
  <c r="CW31" i="6"/>
  <c r="AX26" i="6"/>
  <c r="AX27" i="3"/>
  <c r="CI32" i="6" l="1"/>
  <c r="CI33" i="6" s="1"/>
  <c r="BR28" i="6"/>
  <c r="AY27" i="6"/>
  <c r="AY28" i="3"/>
  <c r="CY31" i="6"/>
  <c r="CU32" i="6"/>
  <c r="CT32" i="6"/>
  <c r="CX32" i="6"/>
  <c r="CW32" i="6"/>
  <c r="CV32" i="6"/>
  <c r="AZ25" i="6"/>
  <c r="AZ26" i="3"/>
  <c r="CQ32" i="6"/>
  <c r="CQ33" i="6" s="1"/>
  <c r="AW27" i="6"/>
  <c r="AW28" i="3"/>
  <c r="AV30" i="6"/>
  <c r="AV31" i="3"/>
  <c r="AX27" i="6"/>
  <c r="AX28" i="3"/>
  <c r="DD32" i="6"/>
  <c r="DC32" i="6"/>
  <c r="DB32" i="6"/>
  <c r="DF32" i="6"/>
  <c r="DE32" i="6"/>
  <c r="DG31" i="6"/>
  <c r="DI31" i="6" l="1"/>
  <c r="AZ26" i="6"/>
  <c r="AZ27" i="3"/>
  <c r="AY28" i="6"/>
  <c r="AY29" i="3"/>
  <c r="AV31" i="6"/>
  <c r="AV32" i="3"/>
  <c r="DG32" i="6"/>
  <c r="DG33" i="6" s="1"/>
  <c r="AX28" i="6"/>
  <c r="AX29" i="3"/>
  <c r="AW28" i="6"/>
  <c r="AW29" i="3"/>
  <c r="CY32" i="6"/>
  <c r="CY33" i="6" s="1"/>
  <c r="BR29" i="6"/>
  <c r="AX29" i="6" l="1"/>
  <c r="AX30" i="3"/>
  <c r="AY29" i="6"/>
  <c r="AY30" i="3"/>
  <c r="DI32" i="6"/>
  <c r="DJ7" i="6" s="1"/>
  <c r="BR30" i="6"/>
  <c r="AZ27" i="6"/>
  <c r="AZ28" i="3"/>
  <c r="AW29" i="6"/>
  <c r="AW30" i="3"/>
  <c r="AV32" i="6"/>
  <c r="AV33" i="3"/>
  <c r="F55" i="6" l="1"/>
  <c r="F61" i="6" s="1"/>
  <c r="AF4" i="6" s="1"/>
  <c r="DJ9" i="6"/>
  <c r="BM3" i="6"/>
  <c r="BL14" i="6" s="1"/>
  <c r="F54" i="2"/>
  <c r="BT9" i="6"/>
  <c r="BR31" i="6"/>
  <c r="AY30" i="6"/>
  <c r="AY31" i="3"/>
  <c r="AV33" i="6"/>
  <c r="AV34" i="3"/>
  <c r="AW30" i="6"/>
  <c r="AW31" i="3"/>
  <c r="AX30" i="6"/>
  <c r="AX31" i="3"/>
  <c r="AZ28" i="6"/>
  <c r="AZ29" i="3"/>
  <c r="BR32" i="6" l="1"/>
  <c r="AV34" i="6"/>
  <c r="AV35" i="3"/>
  <c r="BL21" i="6"/>
  <c r="BL15" i="6"/>
  <c r="AZ29" i="6"/>
  <c r="AZ30" i="3"/>
  <c r="AX31" i="6"/>
  <c r="AX32" i="3"/>
  <c r="DJ10" i="6"/>
  <c r="BT10" i="6"/>
  <c r="BV10" i="6" s="1"/>
  <c r="AW31" i="6"/>
  <c r="AW32" i="3"/>
  <c r="AY31" i="6"/>
  <c r="AY32" i="3"/>
  <c r="AF10" i="6"/>
  <c r="AH5" i="6"/>
  <c r="AE7" i="6"/>
  <c r="E16" i="6" s="1"/>
  <c r="AV35" i="6" l="1"/>
  <c r="AV36" i="3"/>
  <c r="AX32" i="6"/>
  <c r="AX33" i="3"/>
  <c r="AW32" i="6"/>
  <c r="AW33" i="3"/>
  <c r="DJ11" i="6"/>
  <c r="BT11" i="6"/>
  <c r="AZ30" i="6"/>
  <c r="AZ31" i="3"/>
  <c r="G55" i="6"/>
  <c r="BN20" i="6"/>
  <c r="BL20" i="6" s="1"/>
  <c r="G57" i="6" s="1"/>
  <c r="I57" i="6" s="1"/>
  <c r="BR33" i="6"/>
  <c r="AY32" i="6"/>
  <c r="AY33" i="3"/>
  <c r="I55" i="6" l="1"/>
  <c r="AV36" i="6"/>
  <c r="AV37" i="3"/>
  <c r="AY33" i="6"/>
  <c r="AY34" i="3"/>
  <c r="DJ12" i="6"/>
  <c r="BT12" i="6"/>
  <c r="AZ31" i="6"/>
  <c r="BA32" i="6" s="1"/>
  <c r="BA32" i="3"/>
  <c r="AZ32" i="3"/>
  <c r="AX33" i="6"/>
  <c r="AX34" i="3"/>
  <c r="BV11" i="6"/>
  <c r="BR34" i="6"/>
  <c r="AW33" i="6"/>
  <c r="AW34" i="3"/>
  <c r="BN19" i="6"/>
  <c r="BL19" i="6" s="1"/>
  <c r="AV37" i="6" l="1"/>
  <c r="AV38" i="3"/>
  <c r="AZ32" i="6"/>
  <c r="AZ33" i="3"/>
  <c r="DJ13" i="6"/>
  <c r="BT13" i="6"/>
  <c r="BR35" i="6"/>
  <c r="BT34" i="6"/>
  <c r="AY34" i="6"/>
  <c r="AY35" i="3"/>
  <c r="G56" i="6"/>
  <c r="BL22" i="6"/>
  <c r="AX34" i="6"/>
  <c r="AX35" i="3"/>
  <c r="AW34" i="6"/>
  <c r="AW35" i="3"/>
  <c r="BV12" i="6"/>
  <c r="I56" i="6" l="1"/>
  <c r="G28" i="6"/>
  <c r="AY35" i="6"/>
  <c r="AY36" i="3"/>
  <c r="BT35" i="6"/>
  <c r="BR36" i="6"/>
  <c r="AV38" i="6"/>
  <c r="AV39" i="3"/>
  <c r="AZ33" i="6"/>
  <c r="AZ34" i="3"/>
  <c r="AW35" i="6"/>
  <c r="AW36" i="3"/>
  <c r="AX35" i="6"/>
  <c r="AX36" i="3"/>
  <c r="BV13" i="6"/>
  <c r="DJ14" i="6"/>
  <c r="BT14" i="6"/>
  <c r="BV14" i="6" s="1"/>
  <c r="BT36" i="6" l="1"/>
  <c r="BR37" i="6"/>
  <c r="AW36" i="6"/>
  <c r="AW37" i="3"/>
  <c r="AY36" i="6"/>
  <c r="AY37" i="3"/>
  <c r="DJ15" i="6"/>
  <c r="BT15" i="6"/>
  <c r="AV39" i="6"/>
  <c r="AV40" i="3"/>
  <c r="AZ34" i="6"/>
  <c r="AZ35" i="3"/>
  <c r="AX36" i="6"/>
  <c r="AX37" i="3"/>
  <c r="AZ35" i="6" l="1"/>
  <c r="AZ36" i="3"/>
  <c r="DJ16" i="6"/>
  <c r="BT16" i="6"/>
  <c r="BV16" i="6" s="1"/>
  <c r="AY37" i="6"/>
  <c r="AY38" i="3"/>
  <c r="AV40" i="6"/>
  <c r="AV41" i="3"/>
  <c r="AW37" i="6"/>
  <c r="AW38" i="3"/>
  <c r="AX37" i="6"/>
  <c r="AX38" i="3"/>
  <c r="BV15" i="6"/>
  <c r="BR38" i="6"/>
  <c r="BT37" i="6"/>
  <c r="AW38" i="6" l="1"/>
  <c r="AW39" i="3"/>
  <c r="BR39" i="6"/>
  <c r="BT38" i="6"/>
  <c r="DJ17" i="6"/>
  <c r="BT17" i="6"/>
  <c r="AZ36" i="6"/>
  <c r="AZ37" i="3"/>
  <c r="AY38" i="6"/>
  <c r="AY39" i="3"/>
  <c r="AX38" i="6"/>
  <c r="AX39" i="3"/>
  <c r="AV41" i="6"/>
  <c r="AV42" i="3"/>
  <c r="AV42" i="6" l="1"/>
  <c r="AV43" i="3"/>
  <c r="AX39" i="6"/>
  <c r="AX40" i="3"/>
  <c r="BT39" i="6"/>
  <c r="BR40" i="6"/>
  <c r="AY39" i="6"/>
  <c r="AY40" i="3"/>
  <c r="AW39" i="6"/>
  <c r="AW40" i="3"/>
  <c r="DJ18" i="6"/>
  <c r="BT18" i="6"/>
  <c r="AZ37" i="6"/>
  <c r="AZ38" i="3"/>
  <c r="BV17" i="6"/>
  <c r="AY40" i="6" l="1"/>
  <c r="AY41" i="3"/>
  <c r="AZ38" i="6"/>
  <c r="AZ39" i="3"/>
  <c r="BR41" i="6"/>
  <c r="BT40" i="6"/>
  <c r="AV43" i="6"/>
  <c r="AV44" i="3"/>
  <c r="AW40" i="6"/>
  <c r="AW41" i="3"/>
  <c r="DJ19" i="6"/>
  <c r="BT19" i="6"/>
  <c r="AX40" i="6"/>
  <c r="AX41" i="3"/>
  <c r="BV18" i="6"/>
  <c r="AV44" i="6" l="1"/>
  <c r="AV45" i="3"/>
  <c r="DJ20" i="6"/>
  <c r="BT20" i="6"/>
  <c r="BV20" i="6" s="1"/>
  <c r="BR42" i="6"/>
  <c r="BT41" i="6"/>
  <c r="AZ39" i="6"/>
  <c r="AZ40" i="3"/>
  <c r="AX41" i="6"/>
  <c r="AX42" i="3"/>
  <c r="AY41" i="6"/>
  <c r="AY42" i="3"/>
  <c r="AW41" i="6"/>
  <c r="AW42" i="3"/>
  <c r="BV19" i="6"/>
  <c r="DJ21" i="6" l="1"/>
  <c r="BT21" i="6"/>
  <c r="BV21" i="6" s="1"/>
  <c r="AX42" i="6"/>
  <c r="AX43" i="3"/>
  <c r="AZ40" i="6"/>
  <c r="AZ41" i="3"/>
  <c r="AV45" i="6"/>
  <c r="AV46" i="3"/>
  <c r="AW42" i="6"/>
  <c r="AW43" i="3"/>
  <c r="AY42" i="6"/>
  <c r="AY43" i="3"/>
  <c r="BT42" i="6"/>
  <c r="BR43" i="6"/>
  <c r="AX43" i="6" l="1"/>
  <c r="AX44" i="3"/>
  <c r="AW43" i="6"/>
  <c r="AW44" i="3"/>
  <c r="AZ41" i="6"/>
  <c r="AZ42" i="3"/>
  <c r="BR44" i="6"/>
  <c r="BT43" i="6"/>
  <c r="AV46" i="6"/>
  <c r="AV47" i="3"/>
  <c r="AY43" i="6"/>
  <c r="AY44" i="3"/>
  <c r="DJ22" i="6"/>
  <c r="BT22" i="6"/>
  <c r="BV22" i="6" s="1"/>
  <c r="AZ42" i="6" l="1"/>
  <c r="AZ43" i="3"/>
  <c r="AV47" i="6"/>
  <c r="AV48" i="3"/>
  <c r="AW44" i="6"/>
  <c r="AW45" i="3"/>
  <c r="BR45" i="6"/>
  <c r="BT44" i="6"/>
  <c r="DJ23" i="6"/>
  <c r="BT23" i="6"/>
  <c r="BV23" i="6" s="1"/>
  <c r="AX44" i="6"/>
  <c r="AX45" i="3"/>
  <c r="AY44" i="6"/>
  <c r="AY45" i="3"/>
  <c r="AV48" i="6" l="1"/>
  <c r="AV49" i="3"/>
  <c r="DJ24" i="6"/>
  <c r="BT24" i="6"/>
  <c r="BT45" i="6"/>
  <c r="BR46" i="6"/>
  <c r="AZ43" i="6"/>
  <c r="AZ44" i="3"/>
  <c r="AY45" i="6"/>
  <c r="AY46" i="3"/>
  <c r="AW45" i="6"/>
  <c r="AW46" i="3"/>
  <c r="AX45" i="6"/>
  <c r="AX46" i="3"/>
  <c r="DJ25" i="6" l="1"/>
  <c r="BT25" i="6"/>
  <c r="AY46" i="6"/>
  <c r="AY47" i="3"/>
  <c r="AW46" i="6"/>
  <c r="AW47" i="3"/>
  <c r="BR47" i="6"/>
  <c r="BT46" i="6"/>
  <c r="AV49" i="6"/>
  <c r="AV50" i="3"/>
  <c r="AZ44" i="6"/>
  <c r="AZ45" i="3"/>
  <c r="AX46" i="6"/>
  <c r="AX47" i="3"/>
  <c r="AY47" i="6" l="1"/>
  <c r="AY48" i="3"/>
  <c r="AZ45" i="6"/>
  <c r="AZ46" i="3"/>
  <c r="AW47" i="6"/>
  <c r="AW48" i="3"/>
  <c r="BR48" i="6"/>
  <c r="BT47" i="6"/>
  <c r="AV50" i="6"/>
  <c r="AV51" i="3"/>
  <c r="AX47" i="6"/>
  <c r="AX48" i="3"/>
  <c r="DJ26" i="6"/>
  <c r="BT26" i="6"/>
  <c r="BR49" i="6" l="1"/>
  <c r="BT48" i="6"/>
  <c r="AW48" i="6"/>
  <c r="AW49" i="3"/>
  <c r="AZ46" i="6"/>
  <c r="AZ47" i="3"/>
  <c r="AX48" i="6"/>
  <c r="AX49" i="3"/>
  <c r="AY48" i="6"/>
  <c r="AY49" i="3"/>
  <c r="AV51" i="6"/>
  <c r="AV52" i="3"/>
  <c r="DJ27" i="6"/>
  <c r="BT27" i="6"/>
  <c r="AZ47" i="6" l="1"/>
  <c r="AZ48" i="3"/>
  <c r="AX49" i="6"/>
  <c r="AX50" i="3"/>
  <c r="AV52" i="6"/>
  <c r="AV53" i="3"/>
  <c r="AW49" i="6"/>
  <c r="AW50" i="3"/>
  <c r="AY49" i="6"/>
  <c r="AY50" i="3"/>
  <c r="DJ28" i="6"/>
  <c r="BT28" i="6"/>
  <c r="BR50" i="6"/>
  <c r="BT49" i="6"/>
  <c r="DJ29" i="6" l="1"/>
  <c r="BT29" i="6"/>
  <c r="AV53" i="6"/>
  <c r="AV54" i="3"/>
  <c r="AW50" i="6"/>
  <c r="AW51" i="3"/>
  <c r="AX50" i="6"/>
  <c r="AX51" i="3"/>
  <c r="AY50" i="6"/>
  <c r="AY51" i="3"/>
  <c r="AZ48" i="6"/>
  <c r="AZ49" i="3"/>
  <c r="BR51" i="6"/>
  <c r="BT50" i="6"/>
  <c r="AY51" i="6" l="1"/>
  <c r="AY52" i="3"/>
  <c r="AZ49" i="6"/>
  <c r="AZ50" i="3"/>
  <c r="AX51" i="6"/>
  <c r="AX52" i="3"/>
  <c r="AV54" i="6"/>
  <c r="AV55" i="3"/>
  <c r="AW51" i="6"/>
  <c r="AW52" i="3"/>
  <c r="BR52" i="6"/>
  <c r="BT51" i="6"/>
  <c r="DJ30" i="6"/>
  <c r="BT30" i="6"/>
  <c r="BR53" i="6" l="1"/>
  <c r="BT52" i="6"/>
  <c r="AZ50" i="6"/>
  <c r="AZ51" i="3"/>
  <c r="AX52" i="6"/>
  <c r="AX53" i="3"/>
  <c r="AW52" i="6"/>
  <c r="AW53" i="3"/>
  <c r="AY52" i="6"/>
  <c r="AY53" i="3"/>
  <c r="AV55" i="6"/>
  <c r="AV56" i="3"/>
  <c r="DJ31" i="6"/>
  <c r="BT31" i="6"/>
  <c r="AW53" i="6" l="1"/>
  <c r="AW54" i="3"/>
  <c r="AZ51" i="6"/>
  <c r="AZ52" i="3"/>
  <c r="AX53" i="6"/>
  <c r="AX54" i="3"/>
  <c r="AV56" i="6"/>
  <c r="AV57" i="3"/>
  <c r="AY53" i="6"/>
  <c r="AY54" i="3"/>
  <c r="DJ32" i="6"/>
  <c r="BT33" i="6" s="1"/>
  <c r="BT32" i="6"/>
  <c r="BR54" i="6"/>
  <c r="BT53" i="6"/>
  <c r="AX54" i="6" l="1"/>
  <c r="AX55" i="3"/>
  <c r="AZ52" i="6"/>
  <c r="AZ53" i="3"/>
  <c r="AY54" i="6"/>
  <c r="AY55" i="3"/>
  <c r="AW54" i="6"/>
  <c r="AW55" i="3"/>
  <c r="BR55" i="6"/>
  <c r="BT54" i="6"/>
  <c r="AV57" i="6"/>
  <c r="AV58" i="3"/>
  <c r="AW55" i="6" l="1"/>
  <c r="AW56" i="3"/>
  <c r="AZ53" i="6"/>
  <c r="AZ54" i="3"/>
  <c r="AY55" i="6"/>
  <c r="AY56" i="3"/>
  <c r="AX55" i="6"/>
  <c r="AX56" i="3"/>
  <c r="AV58" i="6"/>
  <c r="AV59" i="3"/>
  <c r="BT55" i="6"/>
  <c r="BR56" i="6"/>
  <c r="AX56" i="6" l="1"/>
  <c r="AX57" i="3"/>
  <c r="AY56" i="6"/>
  <c r="AY57" i="3"/>
  <c r="AZ54" i="6"/>
  <c r="AZ55" i="3"/>
  <c r="AV59" i="6"/>
  <c r="AV60" i="3"/>
  <c r="AW56" i="6"/>
  <c r="AW57" i="3"/>
  <c r="BT56" i="6"/>
  <c r="BR57" i="6"/>
  <c r="BR58" i="6" l="1"/>
  <c r="BT57" i="6"/>
  <c r="AW57" i="6"/>
  <c r="AW58" i="3"/>
  <c r="AY57" i="6"/>
  <c r="AY58" i="3"/>
  <c r="AZ55" i="6"/>
  <c r="AZ56" i="3"/>
  <c r="AV60" i="6"/>
  <c r="AV61" i="3"/>
  <c r="AX57" i="6"/>
  <c r="AX58" i="3"/>
  <c r="AX58" i="6" l="1"/>
  <c r="AX59" i="3"/>
  <c r="AZ56" i="6"/>
  <c r="AZ57" i="3"/>
  <c r="AV61" i="6"/>
  <c r="AV62" i="3"/>
  <c r="AW58" i="6"/>
  <c r="AW59" i="3"/>
  <c r="AY58" i="6"/>
  <c r="AY59" i="3"/>
  <c r="BT58" i="6"/>
  <c r="BR59" i="6"/>
  <c r="AV62" i="6" l="1"/>
  <c r="AV63" i="3"/>
  <c r="AW59" i="6"/>
  <c r="AW60" i="3"/>
  <c r="AZ57" i="6"/>
  <c r="AZ58" i="3"/>
  <c r="AY59" i="6"/>
  <c r="AY60" i="3"/>
  <c r="AX59" i="6"/>
  <c r="AX60" i="3"/>
  <c r="BR60" i="6"/>
  <c r="BT59" i="6"/>
  <c r="AW60" i="6" l="1"/>
  <c r="AW61" i="3"/>
  <c r="BR61" i="6"/>
  <c r="BT60" i="6"/>
  <c r="AX60" i="6"/>
  <c r="AX61" i="3"/>
  <c r="AZ58" i="6"/>
  <c r="AZ59" i="3"/>
  <c r="AV63" i="6"/>
  <c r="AV64" i="3"/>
  <c r="AY60" i="6"/>
  <c r="AY61" i="3"/>
  <c r="AY61" i="6" l="1"/>
  <c r="AY62" i="3"/>
  <c r="AZ59" i="6"/>
  <c r="AZ60" i="3"/>
  <c r="BR62" i="6"/>
  <c r="BT61" i="6"/>
  <c r="AX61" i="6"/>
  <c r="AX62" i="3"/>
  <c r="AW61" i="6"/>
  <c r="AW62" i="3"/>
  <c r="AV64" i="6"/>
  <c r="AV65" i="3"/>
  <c r="AX62" i="6" l="1"/>
  <c r="AX63" i="3"/>
  <c r="AZ60" i="6"/>
  <c r="AZ61" i="3"/>
  <c r="AV65" i="6"/>
  <c r="AV66" i="3"/>
  <c r="AW62" i="6"/>
  <c r="AW63" i="3"/>
  <c r="AY62" i="6"/>
  <c r="AY63" i="3"/>
  <c r="BR63" i="6"/>
  <c r="BT62" i="6"/>
  <c r="AZ61" i="6" l="1"/>
  <c r="AZ62" i="3"/>
  <c r="BR64" i="6"/>
  <c r="BT63" i="6"/>
  <c r="AW63" i="6"/>
  <c r="AW64" i="3"/>
  <c r="AV66" i="6"/>
  <c r="AV67" i="3"/>
  <c r="AX63" i="6"/>
  <c r="AX64" i="3"/>
  <c r="AY63" i="6"/>
  <c r="AY64" i="3"/>
  <c r="AY64" i="6" l="1"/>
  <c r="AY65" i="3"/>
  <c r="AW64" i="6"/>
  <c r="AW65" i="3"/>
  <c r="BR65" i="6"/>
  <c r="BT64" i="6"/>
  <c r="AV67" i="6"/>
  <c r="AV68" i="3"/>
  <c r="AZ62" i="6"/>
  <c r="AZ63" i="3"/>
  <c r="AX64" i="6"/>
  <c r="AX65" i="3"/>
  <c r="AV68" i="6" l="1"/>
  <c r="AV69" i="3"/>
  <c r="BR66" i="6"/>
  <c r="BT65" i="6"/>
  <c r="AZ63" i="6"/>
  <c r="AZ64" i="3"/>
  <c r="AW65" i="6"/>
  <c r="AW66" i="3"/>
  <c r="AX65" i="6"/>
  <c r="AX66" i="3"/>
  <c r="AY65" i="6"/>
  <c r="AY66" i="3"/>
  <c r="AY66" i="6" l="1"/>
  <c r="AY67" i="3"/>
  <c r="BR67" i="6"/>
  <c r="BT66" i="6"/>
  <c r="AV69" i="6"/>
  <c r="AV70" i="3"/>
  <c r="AW66" i="6"/>
  <c r="AW67" i="3"/>
  <c r="AX66" i="6"/>
  <c r="AX67" i="3"/>
  <c r="AZ64" i="6"/>
  <c r="AZ65" i="3"/>
  <c r="AX67" i="6" l="1"/>
  <c r="AX68" i="3"/>
  <c r="AV70" i="6"/>
  <c r="AV71" i="3"/>
  <c r="BR68" i="6"/>
  <c r="BT67" i="6"/>
  <c r="AY67" i="6"/>
  <c r="AY68" i="3"/>
  <c r="AZ65" i="6"/>
  <c r="AZ66" i="3"/>
  <c r="AW67" i="6"/>
  <c r="AW68" i="3"/>
  <c r="AZ66" i="6" l="1"/>
  <c r="AZ67" i="3"/>
  <c r="AW68" i="6"/>
  <c r="AW69" i="3"/>
  <c r="AY68" i="6"/>
  <c r="AY69" i="3"/>
  <c r="AV71" i="6"/>
  <c r="AX68" i="6"/>
  <c r="AX69" i="3"/>
  <c r="BR69" i="6"/>
  <c r="BT68" i="6"/>
  <c r="AW69" i="6" l="1"/>
  <c r="AW70" i="3"/>
  <c r="AX69" i="6"/>
  <c r="AX70" i="3"/>
  <c r="BR70" i="6"/>
  <c r="BT69" i="6"/>
  <c r="AZ67" i="6"/>
  <c r="AZ68" i="3"/>
  <c r="AY69" i="6"/>
  <c r="AY70" i="3"/>
  <c r="BR71" i="6" l="1"/>
  <c r="BT70" i="6"/>
  <c r="AW70" i="6"/>
  <c r="AW71" i="3"/>
  <c r="AW71" i="6" s="1"/>
  <c r="AZ68" i="6"/>
  <c r="AZ69" i="3"/>
  <c r="AX70" i="6"/>
  <c r="AX71" i="3"/>
  <c r="AX71" i="6" s="1"/>
  <c r="AY70" i="6"/>
  <c r="AY71" i="3"/>
  <c r="AZ69" i="6" l="1"/>
  <c r="AZ70" i="3"/>
  <c r="AY71" i="6"/>
  <c r="K46" i="3"/>
  <c r="L50" i="3" s="1"/>
  <c r="K50" i="3" s="1"/>
  <c r="K52" i="3" s="1"/>
  <c r="L52" i="3" s="1"/>
  <c r="F46" i="3"/>
  <c r="F43" i="3"/>
  <c r="BR72" i="6"/>
  <c r="BT71" i="6"/>
  <c r="BT72" i="6" l="1"/>
  <c r="BR73" i="6"/>
  <c r="K127" i="6"/>
  <c r="F127" i="6"/>
  <c r="F124" i="6"/>
  <c r="AZ70" i="6"/>
  <c r="AZ71" i="3"/>
  <c r="AZ71" i="6" s="1"/>
  <c r="BT73" i="6" l="1"/>
  <c r="BR74" i="6"/>
  <c r="BR75" i="6" l="1"/>
  <c r="BT74" i="6"/>
  <c r="BR76" i="6" l="1"/>
  <c r="BT75" i="6"/>
  <c r="BR77" i="6" l="1"/>
  <c r="BT76" i="6"/>
  <c r="BR78" i="6" l="1"/>
  <c r="BT77" i="6"/>
  <c r="BR79" i="6" l="1"/>
  <c r="BT79" i="6" s="1"/>
  <c r="BT7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15" authorId="0" shapeId="0" xr:uid="{00000000-0006-0000-0100-000001000000}">
      <text>
        <r>
          <rPr>
            <sz val="11"/>
            <color theme="1"/>
            <rFont val="Arial"/>
          </rPr>
          <t>======
ID#AAAAP-DUHmY
Estimar receitas com    (2021-09-28 17:42:37)
-INSS
- Fundos de pensão
- Aposentadorias garantidas</t>
        </r>
      </text>
    </comment>
    <comment ref="H27" authorId="0" shapeId="0" xr:uid="{00000000-0006-0000-0100-000009000000}">
      <text>
        <r>
          <rPr>
            <sz val="11"/>
            <color theme="1"/>
            <rFont val="Arial"/>
          </rPr>
          <t>======
ID#AAAAP-DUHlw
Bruno Penna    (2021-09-28 17:42:37)
Informe SIM somente para considerar este bem para quitar despesas (ex. educação)</t>
        </r>
      </text>
    </comment>
    <comment ref="I27" authorId="0" shapeId="0" xr:uid="{00000000-0006-0000-0100-000002000000}">
      <text>
        <r>
          <rPr>
            <sz val="11"/>
            <color theme="1"/>
            <rFont val="Arial"/>
          </rPr>
          <t>======
ID#AAAAP-DUHmU
Bruno Penna    (2021-09-28 17:42:37)
Não preencher se o imóvel for vendável</t>
        </r>
      </text>
    </comment>
    <comment ref="H28" authorId="0" shapeId="0" xr:uid="{00000000-0006-0000-0100-000005000000}">
      <text>
        <r>
          <rPr>
            <sz val="11"/>
            <color theme="1"/>
            <rFont val="Arial"/>
          </rPr>
          <t>======
ID#AAAAP-DUHmA
Bruno Penna    (2021-09-28 17:42:37)
Informe SIM somente para considerar este bem para quitar despesas (ex. educação)</t>
        </r>
      </text>
    </comment>
    <comment ref="I28" authorId="0" shapeId="0" xr:uid="{00000000-0006-0000-0100-000004000000}">
      <text>
        <r>
          <rPr>
            <sz val="11"/>
            <color theme="1"/>
            <rFont val="Arial"/>
          </rPr>
          <t>======
ID#AAAAP-DUHmE
Bruno Penna    (2021-09-28 17:42:37)
Não preencher se o imóvel for vendável</t>
        </r>
      </text>
    </comment>
    <comment ref="H29" authorId="0" shapeId="0" xr:uid="{00000000-0006-0000-0100-00000C000000}">
      <text>
        <r>
          <rPr>
            <sz val="11"/>
            <color theme="1"/>
            <rFont val="Arial"/>
          </rPr>
          <t>======
ID#AAAAP-DUHlk
Bruno Penna    (2021-09-28 17:42:37)
Informe SIM somente para considerar este bem para quitar despesas (ex. educação)</t>
        </r>
      </text>
    </comment>
    <comment ref="I29" authorId="0" shapeId="0" xr:uid="{00000000-0006-0000-0100-000003000000}">
      <text>
        <r>
          <rPr>
            <sz val="11"/>
            <color theme="1"/>
            <rFont val="Arial"/>
          </rPr>
          <t>======
ID#AAAAP-DUHmM
Bruno Penna    (2021-09-28 17:42:37)
Não preencher se o imóvel for vendável</t>
        </r>
      </text>
    </comment>
    <comment ref="H30" authorId="0" shapeId="0" xr:uid="{00000000-0006-0000-0100-00000B000000}">
      <text>
        <r>
          <rPr>
            <sz val="11"/>
            <color theme="1"/>
            <rFont val="Arial"/>
          </rPr>
          <t>======
ID#AAAAP-DUHlo
Bruno Penna    (2021-09-28 17:42:37)
Informe SIM somente para considerar este bem para quitar despesas (ex. educação)</t>
        </r>
      </text>
    </comment>
    <comment ref="I30" authorId="0" shapeId="0" xr:uid="{00000000-0006-0000-0100-000007000000}">
      <text>
        <r>
          <rPr>
            <sz val="11"/>
            <color theme="1"/>
            <rFont val="Arial"/>
          </rPr>
          <t>======
ID#AAAAP-DUHl4
Bruno Penna    (2021-09-28 17:42:37)
Não preencher se o imóvel for vendável</t>
        </r>
      </text>
    </comment>
    <comment ref="H31" authorId="0" shapeId="0" xr:uid="{00000000-0006-0000-0100-000008000000}">
      <text>
        <r>
          <rPr>
            <sz val="11"/>
            <color theme="1"/>
            <rFont val="Arial"/>
          </rPr>
          <t>======
ID#AAAAP-DUHl0
Bruno Penna    (2021-09-28 17:42:37)
Informe SIM somente para considerar este bem para quitar despesas (ex. educação)</t>
        </r>
      </text>
    </comment>
    <comment ref="I31" authorId="0" shapeId="0" xr:uid="{00000000-0006-0000-0100-00000A000000}">
      <text>
        <r>
          <rPr>
            <sz val="11"/>
            <color theme="1"/>
            <rFont val="Arial"/>
          </rPr>
          <t>======
ID#AAAAP-DUHls
Bruno Penna    (2021-09-28 17:42:37)
Não preencher se o imóvel for vendável</t>
        </r>
      </text>
    </comment>
    <comment ref="I58" authorId="0" shapeId="0" xr:uid="{00000000-0006-0000-0100-000006000000}">
      <text>
        <r>
          <rPr>
            <sz val="11"/>
            <color theme="1"/>
            <rFont val="Arial"/>
          </rPr>
          <t>======
ID#AAAAP-DUHl8
Bruno Penna    (2021-09-28 17:42:37)
% de contribuição deste cliente na despesa familiar mensal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wXJDSAVBiaTV0vxLct4Uj5q+UE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6" authorId="0" shapeId="0" xr:uid="{00000000-0006-0000-0200-000001000000}">
      <text>
        <r>
          <rPr>
            <sz val="11"/>
            <color theme="1"/>
            <rFont val="Arial"/>
          </rPr>
          <t>======
ID#AAAAP-DUHmI
Guilherme Kolberg    (2021-09-28 17:42:37)
Renda necessária - receitas previstas na aposentadoria - alugueis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i3U40OfKAbQ0phmpKlW8RtRk11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6" authorId="0" shapeId="0" xr:uid="{00000000-0006-0000-0300-000001000000}">
      <text>
        <r>
          <rPr>
            <sz val="11"/>
            <color theme="1"/>
            <rFont val="Arial"/>
          </rPr>
          <t>======
ID#AAAAP-DUHmQ
Guilherme Kolberg    (2021-09-28 17:42:37)
Receitas previstas + receitas de aluguel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6mopotVNqiBHixjlBP9Hk4f9yjA=="/>
    </ext>
  </extLst>
</comments>
</file>

<file path=xl/sharedStrings.xml><?xml version="1.0" encoding="utf-8"?>
<sst xmlns="http://schemas.openxmlformats.org/spreadsheetml/2006/main" count="472" uniqueCount="252">
  <si>
    <t>Cliente Atual</t>
  </si>
  <si>
    <t>Dados</t>
  </si>
  <si>
    <t>Preservar capital</t>
  </si>
  <si>
    <t>Solteiro</t>
  </si>
  <si>
    <t>Conservador</t>
  </si>
  <si>
    <t>Acumular Recursos</t>
  </si>
  <si>
    <t>Casado</t>
  </si>
  <si>
    <t>Moderado</t>
  </si>
  <si>
    <t>Nome</t>
  </si>
  <si>
    <t>Idade</t>
  </si>
  <si>
    <t>Especular</t>
  </si>
  <si>
    <t>Divorciado</t>
  </si>
  <si>
    <t>Moderado-Agressivo</t>
  </si>
  <si>
    <t>Dependentes</t>
  </si>
  <si>
    <t>Observações</t>
  </si>
  <si>
    <t>Idade aposentadoria</t>
  </si>
  <si>
    <t>União Estável</t>
  </si>
  <si>
    <t>Agressivo</t>
  </si>
  <si>
    <t>Linha de vida</t>
  </si>
  <si>
    <t>Viúvo(a)</t>
  </si>
  <si>
    <t>Estado civil</t>
  </si>
  <si>
    <t>Profissão</t>
  </si>
  <si>
    <t>Perfil</t>
  </si>
  <si>
    <t>Expectativa de retorno</t>
  </si>
  <si>
    <t>Suitability</t>
  </si>
  <si>
    <t>Despesa familiar mensal</t>
  </si>
  <si>
    <t>Renda mensal desejada na aposentadoria</t>
  </si>
  <si>
    <t>Sem considerar I.R</t>
  </si>
  <si>
    <t>Poupança mensal</t>
  </si>
  <si>
    <t>Receitas mensais previstas na aposentadoria</t>
  </si>
  <si>
    <t>Objetivo dos Investimentos:</t>
  </si>
  <si>
    <t>Ativo</t>
  </si>
  <si>
    <t>R$</t>
  </si>
  <si>
    <t>% da carteira</t>
  </si>
  <si>
    <t>% CDI Bruto</t>
  </si>
  <si>
    <t>Observação</t>
  </si>
  <si>
    <t>Contribuição</t>
  </si>
  <si>
    <t>Carteira</t>
  </si>
  <si>
    <t>Previdência</t>
  </si>
  <si>
    <t>Total</t>
  </si>
  <si>
    <t>I.R considerado</t>
  </si>
  <si>
    <t>Necessidade de Liquidez Imediata (%)</t>
  </si>
  <si>
    <t>Bens Móveis/Imóveis</t>
  </si>
  <si>
    <t>Valor</t>
  </si>
  <si>
    <t>Vendável</t>
  </si>
  <si>
    <t>Renda de Aluguel</t>
  </si>
  <si>
    <t>Casa Própria</t>
  </si>
  <si>
    <t>Não</t>
  </si>
  <si>
    <t>Veículo</t>
  </si>
  <si>
    <t>Sim</t>
  </si>
  <si>
    <t>Pessoais e familiares</t>
  </si>
  <si>
    <t>P/F</t>
  </si>
  <si>
    <t>Montante</t>
  </si>
  <si>
    <t>Prazo</t>
  </si>
  <si>
    <t>Inflação anual</t>
  </si>
  <si>
    <t>CDI anual</t>
  </si>
  <si>
    <t>Juro real na aposentadoria</t>
  </si>
  <si>
    <t>Ciclo</t>
  </si>
  <si>
    <t>Planejamento Educacional</t>
  </si>
  <si>
    <t>Pré Escola</t>
  </si>
  <si>
    <t>Considerar mensalidades, idiomas, transportes, refeições, materiais e cursos extracurriculares.</t>
  </si>
  <si>
    <t>Ensino Fundamental</t>
  </si>
  <si>
    <t>Ensino Médio</t>
  </si>
  <si>
    <t>Ensino Superior</t>
  </si>
  <si>
    <t>Pós Graduação</t>
  </si>
  <si>
    <t>% de Contribuição</t>
  </si>
  <si>
    <t>Financiamentos/Dívidas</t>
  </si>
  <si>
    <t>Saldo Devedor</t>
  </si>
  <si>
    <t>Prazo para saldar</t>
  </si>
  <si>
    <t>Com Seguro de Vida?</t>
  </si>
  <si>
    <t>Outras Receitas</t>
  </si>
  <si>
    <t>FGTS</t>
  </si>
  <si>
    <t>Seguro de Vida</t>
  </si>
  <si>
    <t>Area de controle - não imprimir</t>
  </si>
  <si>
    <t>Termometro</t>
  </si>
  <si>
    <t xml:space="preserve">   Cenário 1</t>
  </si>
  <si>
    <t xml:space="preserve">   Cenário 2</t>
  </si>
  <si>
    <t>Idade atual</t>
  </si>
  <si>
    <t>Despesa mensal atual</t>
  </si>
  <si>
    <t>Perfil de Investidor</t>
  </si>
  <si>
    <t>Cenário escolhido</t>
  </si>
  <si>
    <t>Rentabilidade</t>
  </si>
  <si>
    <t>Poupança anual</t>
  </si>
  <si>
    <t>Aposentadoria</t>
  </si>
  <si>
    <t>Capital a transmitir</t>
  </si>
  <si>
    <t>Projeção atual (linha preta)</t>
  </si>
  <si>
    <t>Caso 1: Manutenção do patrimônio (linha verde)</t>
  </si>
  <si>
    <t>Caso 2: Consumo do patrimônio (linha vermelha)</t>
  </si>
  <si>
    <t xml:space="preserve">   Cenário 3</t>
  </si>
  <si>
    <t>Objetivo</t>
  </si>
  <si>
    <t>Idade Aposentadoria</t>
  </si>
  <si>
    <t>Renda mensal adicional necessária na aposentadoria</t>
  </si>
  <si>
    <t>I.R Considerado</t>
  </si>
  <si>
    <t>Capacidade de poupança anual</t>
  </si>
  <si>
    <t>Expectativo vida</t>
  </si>
  <si>
    <t>n_aposentadoria</t>
  </si>
  <si>
    <t>n_vida</t>
  </si>
  <si>
    <t>i atual</t>
  </si>
  <si>
    <t>i caso 1</t>
  </si>
  <si>
    <t>i caso 2</t>
  </si>
  <si>
    <t>Caso 1</t>
  </si>
  <si>
    <t>Viver de renda</t>
  </si>
  <si>
    <t>Caso 2</t>
  </si>
  <si>
    <t>Consumo do patrimônio</t>
  </si>
  <si>
    <t xml:space="preserve"> </t>
  </si>
  <si>
    <t>Realidade atual</t>
  </si>
  <si>
    <t>Projeção de capital</t>
  </si>
  <si>
    <t>%</t>
  </si>
  <si>
    <t xml:space="preserve"> Rentabilidade</t>
  </si>
  <si>
    <t>%CDI</t>
  </si>
  <si>
    <t>Cenário 1</t>
  </si>
  <si>
    <t>Cenário 2</t>
  </si>
  <si>
    <t>Cenário 3</t>
  </si>
  <si>
    <t>Poupança anual necessária para atingir o objetivo</t>
  </si>
  <si>
    <t>Idade de aposentadoria</t>
  </si>
  <si>
    <t>RESUMO DA RENTABILIDADE</t>
  </si>
  <si>
    <t>Rentabilidade necessária</t>
  </si>
  <si>
    <t>Rentabilidade atual</t>
  </si>
  <si>
    <t>Nominal</t>
  </si>
  <si>
    <t>Real</t>
  </si>
  <si>
    <t>Nominal bruta</t>
  </si>
  <si>
    <t>Real líquida</t>
  </si>
  <si>
    <t>Inflação -</t>
  </si>
  <si>
    <t xml:space="preserve">Rentabilidade real atual </t>
  </si>
  <si>
    <t>Pressupostos</t>
  </si>
  <si>
    <t>CDI Anual</t>
  </si>
  <si>
    <t>FV necessario para cenário 3</t>
  </si>
  <si>
    <t>Renda necessária do patrimônio</t>
  </si>
  <si>
    <t>(AX6*(1+i_realaposentadoria))-($L$6*12)</t>
  </si>
  <si>
    <t>n</t>
  </si>
  <si>
    <t>Carteira atual</t>
  </si>
  <si>
    <t>Carteira renda vitalicia</t>
  </si>
  <si>
    <t>Carteira Consumo Patrimonio Financeiro</t>
  </si>
  <si>
    <t>Carteira consumo patrimônio total</t>
  </si>
  <si>
    <t>Renda média gerada pelo patrimônio financeiro</t>
  </si>
  <si>
    <t>Patrimônio Financeiro acumulado</t>
  </si>
  <si>
    <t xml:space="preserve">Renda mensal desejada </t>
  </si>
  <si>
    <t>Patrimônio Não Financeiro acumulado</t>
  </si>
  <si>
    <t xml:space="preserve">Receitas previstas </t>
  </si>
  <si>
    <t>Patrimônio Total</t>
  </si>
  <si>
    <t>Renda mensal extra necessária</t>
  </si>
  <si>
    <t>Idade de sobrevivência do patrimônio financeiro</t>
  </si>
  <si>
    <t>Não financeiro</t>
  </si>
  <si>
    <t>Financeiro</t>
  </si>
  <si>
    <t>Patrimônio Financeiro</t>
  </si>
  <si>
    <t>Necessidade de liquidez para a sucessão</t>
  </si>
  <si>
    <t>#</t>
  </si>
  <si>
    <t>Manter bem?</t>
  </si>
  <si>
    <t>Bem 1</t>
  </si>
  <si>
    <t>Bem 2</t>
  </si>
  <si>
    <t>Bem 3</t>
  </si>
  <si>
    <t>Bem 4</t>
  </si>
  <si>
    <t>Bem 5</t>
  </si>
  <si>
    <t>Rentabilidade Atual</t>
  </si>
  <si>
    <t>Rentabilidade na aposentadoria</t>
  </si>
  <si>
    <t>Patrimônio</t>
  </si>
  <si>
    <t>Receitas Futuras</t>
  </si>
  <si>
    <t>Gastos Anual</t>
  </si>
  <si>
    <t>Capital para Aposentadoria</t>
  </si>
  <si>
    <t>Educação</t>
  </si>
  <si>
    <t>Manutenção do padrão de vida</t>
  </si>
  <si>
    <t>Apo</t>
  </si>
  <si>
    <t xml:space="preserve">Projetos de Vida e/ou Financiamentos </t>
  </si>
  <si>
    <t>Vida</t>
  </si>
  <si>
    <t>Planej_Sucessão</t>
  </si>
  <si>
    <t>Proteção Pessoal, Familiar e Sucessão</t>
  </si>
  <si>
    <t>Capacidade de Poupança Anual</t>
  </si>
  <si>
    <t>Imóveis Vendáveis</t>
  </si>
  <si>
    <t>Filho1</t>
  </si>
  <si>
    <t>Filho2</t>
  </si>
  <si>
    <t>Filho3</t>
  </si>
  <si>
    <t>Filho4</t>
  </si>
  <si>
    <t>Total Educação</t>
  </si>
  <si>
    <t>Projetos</t>
  </si>
  <si>
    <t>Total Projetos F</t>
  </si>
  <si>
    <t>Financiamentos</t>
  </si>
  <si>
    <t>Total Financiamentos</t>
  </si>
  <si>
    <t>Prazos projetos/financiamento</t>
  </si>
  <si>
    <t>Padrão de Vida</t>
  </si>
  <si>
    <t>Necessidade de Proteção</t>
  </si>
  <si>
    <t>Pré</t>
  </si>
  <si>
    <t>Fundamental</t>
  </si>
  <si>
    <t>Médio</t>
  </si>
  <si>
    <t>Faculdade</t>
  </si>
  <si>
    <t>Pós</t>
  </si>
  <si>
    <t>Projeto 1</t>
  </si>
  <si>
    <t>Projeto2</t>
  </si>
  <si>
    <t>Projeto3</t>
  </si>
  <si>
    <t>Fin. 1</t>
  </si>
  <si>
    <t>Fin. 2</t>
  </si>
  <si>
    <t>Fin. 3</t>
  </si>
  <si>
    <t>Fin. 4</t>
  </si>
  <si>
    <t>Fin. 5</t>
  </si>
  <si>
    <t>Necessidade Padrão de Vida</t>
  </si>
  <si>
    <t>padrão de vida</t>
  </si>
  <si>
    <t>projetos</t>
  </si>
  <si>
    <t>educação</t>
  </si>
  <si>
    <t>TOTAL</t>
  </si>
  <si>
    <t>Projetos de Vida</t>
  </si>
  <si>
    <t>Necessidade de Proteção Imediata</t>
  </si>
  <si>
    <t>Necessidade de Liquidez para Sucessão</t>
  </si>
  <si>
    <t>Proteção Familiar</t>
  </si>
  <si>
    <t>Planejamento Sucessório</t>
  </si>
  <si>
    <t>Utilizar para manter padrão de vida?</t>
  </si>
  <si>
    <t>Inventário</t>
  </si>
  <si>
    <t>Seguro de Vida (atual)</t>
  </si>
  <si>
    <t>Alugueis</t>
  </si>
  <si>
    <t>INSS / Outras Receitas</t>
  </si>
  <si>
    <t>Encargos Sucessórios</t>
  </si>
  <si>
    <t>Projeção Receitas Futuras</t>
  </si>
  <si>
    <t>Patrimônio p/ Inventário</t>
  </si>
  <si>
    <t>Planejamento</t>
  </si>
  <si>
    <t>Proteção Necessária</t>
  </si>
  <si>
    <t>Período</t>
  </si>
  <si>
    <t>Liquidez para Inventário</t>
  </si>
  <si>
    <t>Vitalício</t>
  </si>
  <si>
    <t xml:space="preserve">Despesas Póstumas </t>
  </si>
  <si>
    <t>Reestabelecimento de Vida</t>
  </si>
  <si>
    <t>Projeção Despesas Futuras</t>
  </si>
  <si>
    <t>Diferença Financeira p/ Viver de Renda *</t>
  </si>
  <si>
    <t>* Em caso de Invalidez ou Morte Prematura</t>
  </si>
  <si>
    <t>Proteção Necessária - Padrão de Vida</t>
  </si>
  <si>
    <t>Proteção Necessária - Projetos de Vida</t>
  </si>
  <si>
    <t>Realização de Projetos</t>
  </si>
  <si>
    <t>Proteção Necessária - Inventário e Desp. Póstumas</t>
  </si>
  <si>
    <t>Cenário 1 e cenário atual</t>
  </si>
  <si>
    <t>PMT atual</t>
  </si>
  <si>
    <t>Ano</t>
  </si>
  <si>
    <t>Projeto 2</t>
  </si>
  <si>
    <t>Projeto 3</t>
  </si>
  <si>
    <t>Total Projetos</t>
  </si>
  <si>
    <t>Fluxo entrada</t>
  </si>
  <si>
    <t>Fluxo de caixa</t>
  </si>
  <si>
    <t>Projeção atual</t>
  </si>
  <si>
    <t>Projeção necessária</t>
  </si>
  <si>
    <t>PMT novo</t>
  </si>
  <si>
    <t>Empréstimos</t>
  </si>
  <si>
    <t>Projeção cenário 2</t>
  </si>
  <si>
    <t>Investimentos - Projetos</t>
  </si>
  <si>
    <t>Perfil Suitability</t>
  </si>
  <si>
    <t>Prazo em anos</t>
  </si>
  <si>
    <t>Guardar mensalmente para realizar projetos</t>
  </si>
  <si>
    <t>Total projetos</t>
  </si>
  <si>
    <t>SITUAÇÃO ATUAL</t>
  </si>
  <si>
    <t>TIR necessária</t>
  </si>
  <si>
    <t>SOLUÇÕES</t>
  </si>
  <si>
    <t>Poupança anual necessária</t>
  </si>
  <si>
    <t>Tempo dos projetos</t>
  </si>
  <si>
    <t>Necessidade de financiamento</t>
  </si>
  <si>
    <t>Empréstimos necessários</t>
  </si>
  <si>
    <t>Marcel</t>
  </si>
  <si>
    <t>Marcos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</si>
</sst>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&quot;R$&quot;\ #,##0;[Red]\-&quot;R$&quot;\ #,##0"/>
    <numFmt numFmtId="8" formatCode="&quot;R$&quot;\ #,##0.00;[Red]\-&quot;R$&quot;\ #,##0.00"/>
    <numFmt numFmtId="164" formatCode="_-* #,##0_-;\-* #,##0_-;_-* &quot;-&quot;??_-;_-@"/>
    <numFmt numFmtId="165" formatCode="&quot;I.R de &quot;##%"/>
    <numFmt numFmtId="166" formatCode="_-&quot;R$&quot;\ * #,##0_-;\-&quot;R$&quot;\ * #,##0_-;_-&quot;R$&quot;\ * &quot;-&quot;??_-;_-@"/>
    <numFmt numFmtId="167" formatCode="&quot;Sem considerar IR&quot;##%"/>
    <numFmt numFmtId="168" formatCode="0%&quot; do CDI&quot;"/>
    <numFmt numFmtId="169" formatCode="&quot;I.R de&quot;\ #%"/>
    <numFmt numFmtId="170" formatCode="_-&quot;R$&quot;\ * #,##0.00_-;\-&quot;R$&quot;\ * #,##0.00_-;_-&quot;R$&quot;\ * &quot;-&quot;??_-;_-@"/>
    <numFmt numFmtId="171" formatCode="0\ &quot;anos&quot;"/>
    <numFmt numFmtId="172" formatCode="&quot;Rentabilidade aposentadoria com I.R de&quot;\ #%"/>
    <numFmt numFmtId="173" formatCode="0%\ &quot;do CDI&quot;"/>
    <numFmt numFmtId="174" formatCode="_-* #,##0.00_-;\-* #,##0.00_-;_-* &quot;-&quot;??_-;_-@"/>
    <numFmt numFmtId="175" formatCode="#,##0.0"/>
    <numFmt numFmtId="176" formatCode="0.0%"/>
    <numFmt numFmtId="177" formatCode="_-[$R$-416]\ * #,##0_-;\-[$R$-416]\ * #,##0_-;_-[$R$-416]\ * &quot;-&quot;??_-;_-@"/>
    <numFmt numFmtId="178" formatCode="&quot;Projeção de capital aos&quot;\ #\ &quot;anos&quot;"/>
    <numFmt numFmtId="179" formatCode="&quot;Rentabilidade com I.R de&quot;\ #%"/>
    <numFmt numFmtId="180" formatCode="_-[$R$-416]\ * #,##0.00_-;\-[$R$-416]\ * #,##0.00_-;_-[$R$-416]\ * &quot;-&quot;??_-;_-@"/>
    <numFmt numFmtId="181" formatCode="0.00000%"/>
    <numFmt numFmtId="182" formatCode="&quot;Patrimônio Financeiro aos&quot;\ #\ &quot;anos&quot;"/>
    <numFmt numFmtId="183" formatCode="&quot;Patrimônio NÃO Financeiro aos&quot;\ #\ &quot;anos&quot;"/>
    <numFmt numFmtId="184" formatCode="#,##0_ ;\-#,##0\ "/>
    <numFmt numFmtId="185" formatCode="0.000%"/>
  </numFmts>
  <fonts count="45" x14ac:knownFonts="1">
    <font>
      <sz val="11"/>
      <color theme="1"/>
      <name val="Arial"/>
    </font>
    <font>
      <sz val="11"/>
      <color theme="1"/>
      <name val="Calibri"/>
    </font>
    <font>
      <sz val="11"/>
      <name val="Arial"/>
    </font>
    <font>
      <b/>
      <sz val="18"/>
      <color theme="1"/>
      <name val="Calibri"/>
    </font>
    <font>
      <sz val="11"/>
      <color theme="0"/>
      <name val="Calibri"/>
    </font>
    <font>
      <b/>
      <sz val="11"/>
      <color theme="0"/>
      <name val="Calibri"/>
    </font>
    <font>
      <b/>
      <sz val="14"/>
      <color theme="1"/>
      <name val="Calibri"/>
    </font>
    <font>
      <b/>
      <sz val="11"/>
      <color theme="1"/>
      <name val="Calibri"/>
    </font>
    <font>
      <u/>
      <sz val="10"/>
      <color theme="1"/>
      <name val="Calibri"/>
    </font>
    <font>
      <i/>
      <sz val="10"/>
      <color theme="1"/>
      <name val="Calibri"/>
    </font>
    <font>
      <b/>
      <sz val="14"/>
      <color theme="0"/>
      <name val="Calibri"/>
    </font>
    <font>
      <b/>
      <sz val="10"/>
      <color theme="1"/>
      <name val="Calibri"/>
    </font>
    <font>
      <b/>
      <sz val="26"/>
      <color theme="1"/>
      <name val="Calibri"/>
    </font>
    <font>
      <sz val="12"/>
      <color theme="1"/>
      <name val="Calibri"/>
    </font>
    <font>
      <b/>
      <sz val="18"/>
      <color theme="0"/>
      <name val="Calibri"/>
    </font>
    <font>
      <i/>
      <sz val="16"/>
      <color theme="1"/>
      <name val="Calibri"/>
    </font>
    <font>
      <sz val="10"/>
      <color theme="1"/>
      <name val="Calibri"/>
    </font>
    <font>
      <b/>
      <sz val="10"/>
      <color rgb="FF000000"/>
      <name val="Calibri"/>
    </font>
    <font>
      <b/>
      <u/>
      <sz val="10"/>
      <color theme="1"/>
      <name val="Calibri"/>
    </font>
    <font>
      <b/>
      <sz val="12"/>
      <color theme="1"/>
      <name val="Calibri"/>
    </font>
    <font>
      <sz val="14"/>
      <color theme="1"/>
      <name val="Calibri"/>
    </font>
    <font>
      <b/>
      <sz val="12"/>
      <color theme="0"/>
      <name val="Calibri"/>
    </font>
    <font>
      <u/>
      <sz val="14"/>
      <color theme="1"/>
      <name val="Calibri"/>
    </font>
    <font>
      <b/>
      <sz val="11"/>
      <color rgb="FFFF0000"/>
      <name val="Calibri"/>
    </font>
    <font>
      <b/>
      <i/>
      <sz val="10"/>
      <color theme="1"/>
      <name val="Calibri"/>
    </font>
    <font>
      <b/>
      <sz val="11"/>
      <color rgb="FF000000"/>
      <name val="Calibri"/>
    </font>
    <font>
      <b/>
      <i/>
      <sz val="11"/>
      <color theme="0"/>
      <name val="Calibri"/>
    </font>
    <font>
      <i/>
      <sz val="11"/>
      <color theme="1"/>
      <name val="Calibri"/>
    </font>
    <font>
      <i/>
      <sz val="14"/>
      <color theme="1"/>
      <name val="Calibri"/>
    </font>
    <font>
      <sz val="10"/>
      <color theme="0"/>
      <name val="Calibri"/>
    </font>
    <font>
      <i/>
      <sz val="10"/>
      <color theme="0"/>
      <name val="Calibri"/>
    </font>
    <font>
      <b/>
      <sz val="13"/>
      <color rgb="FF009999"/>
      <name val="Calibri"/>
    </font>
    <font>
      <sz val="11"/>
      <color rgb="FFFF0000"/>
      <name val="Calibri"/>
    </font>
    <font>
      <b/>
      <sz val="32"/>
      <color theme="1"/>
      <name val="Calibri"/>
    </font>
    <font>
      <u/>
      <sz val="14"/>
      <color theme="1"/>
      <name val="Calibri"/>
    </font>
    <font>
      <sz val="20"/>
      <color theme="1"/>
      <name val="Calibri"/>
    </font>
    <font>
      <sz val="16"/>
      <color theme="1"/>
      <name val="Calibri"/>
    </font>
    <font>
      <i/>
      <sz val="12"/>
      <color theme="1"/>
      <name val="Calibri"/>
    </font>
    <font>
      <b/>
      <sz val="25"/>
      <color theme="0"/>
      <name val="Calibri"/>
    </font>
    <font>
      <b/>
      <sz val="24"/>
      <color theme="1"/>
      <name val="Calibri"/>
    </font>
    <font>
      <b/>
      <i/>
      <sz val="24"/>
      <color theme="1"/>
      <name val="Calibri"/>
    </font>
    <font>
      <b/>
      <i/>
      <sz val="11"/>
      <color theme="1"/>
      <name val="Calibri"/>
    </font>
    <font>
      <u/>
      <sz val="14"/>
      <color theme="1"/>
      <name val="Calibri"/>
    </font>
    <font>
      <sz val="18"/>
      <color theme="1"/>
      <name val="Calibri"/>
    </font>
    <font>
      <b/>
      <u/>
      <sz val="12"/>
      <color theme="0"/>
      <name val="Calibri"/>
    </font>
  </fonts>
  <fills count="1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DDD9C3"/>
        <bgColor rgb="FFDDD9C3"/>
      </patternFill>
    </fill>
    <fill>
      <patternFill patternType="solid">
        <fgColor rgb="FFEEF3F8"/>
        <bgColor rgb="FFEEF3F8"/>
      </patternFill>
    </fill>
    <fill>
      <patternFill patternType="solid">
        <fgColor rgb="FFFFFFCC"/>
        <bgColor rgb="FFFFFFCC"/>
      </patternFill>
    </fill>
    <fill>
      <patternFill patternType="solid">
        <fgColor rgb="FF009999"/>
        <bgColor rgb="FF009999"/>
      </patternFill>
    </fill>
    <fill>
      <patternFill patternType="solid">
        <fgColor rgb="FFEEECE1"/>
        <bgColor rgb="FFEEECE1"/>
      </patternFill>
    </fill>
    <fill>
      <patternFill patternType="solid">
        <fgColor rgb="FF7F7F7F"/>
        <bgColor rgb="FF7F7F7F"/>
      </patternFill>
    </fill>
    <fill>
      <patternFill patternType="solid">
        <fgColor rgb="FFF2F2F2"/>
        <bgColor rgb="FFF2F2F2"/>
      </patternFill>
    </fill>
    <fill>
      <patternFill patternType="solid">
        <fgColor rgb="FF595959"/>
        <bgColor rgb="FF595959"/>
      </patternFill>
    </fill>
    <fill>
      <patternFill patternType="solid">
        <fgColor rgb="FF008080"/>
        <bgColor rgb="FF008080"/>
      </patternFill>
    </fill>
    <fill>
      <patternFill patternType="solid">
        <fgColor rgb="FFDE0404"/>
        <bgColor rgb="FFDE0404"/>
      </patternFill>
    </fill>
    <fill>
      <patternFill patternType="solid">
        <fgColor rgb="FF92D050"/>
        <bgColor rgb="FF92D050"/>
      </patternFill>
    </fill>
    <fill>
      <patternFill patternType="solid">
        <fgColor rgb="FF938953"/>
        <bgColor rgb="FF938953"/>
      </patternFill>
    </fill>
    <fill>
      <patternFill patternType="solid">
        <fgColor rgb="FFDBE5F1"/>
        <bgColor rgb="FFDBE5F1"/>
      </patternFill>
    </fill>
  </fills>
  <borders count="22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 style="thin">
        <color rgb="FF009999"/>
      </bottom>
      <diagonal/>
    </border>
    <border>
      <left/>
      <right/>
      <top/>
      <bottom style="thin">
        <color rgb="FF009999"/>
      </bottom>
      <diagonal/>
    </border>
    <border>
      <left/>
      <right/>
      <top/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/>
      <right/>
      <top/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/>
      <top/>
      <bottom style="thin">
        <color rgb="FF009999"/>
      </bottom>
      <diagonal/>
    </border>
    <border>
      <left/>
      <right style="thin">
        <color rgb="FF009999"/>
      </right>
      <top/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9999"/>
      </left>
      <right/>
      <top style="medium">
        <color rgb="FF009999"/>
      </top>
      <bottom style="thin">
        <color rgb="FF009999"/>
      </bottom>
      <diagonal/>
    </border>
    <border>
      <left/>
      <right/>
      <top style="medium">
        <color rgb="FF009999"/>
      </top>
      <bottom style="thin">
        <color rgb="FF009999"/>
      </bottom>
      <diagonal/>
    </border>
    <border>
      <left/>
      <right style="medium">
        <color rgb="FF009999"/>
      </right>
      <top style="medium">
        <color rgb="FF009999"/>
      </top>
      <bottom style="thin">
        <color rgb="FF009999"/>
      </bottom>
      <diagonal/>
    </border>
    <border>
      <left style="thin">
        <color rgb="FF000000"/>
      </left>
      <right/>
      <top style="medium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/>
      <diagonal/>
    </border>
    <border>
      <left/>
      <right/>
      <top style="medium">
        <color rgb="FF009999"/>
      </top>
      <bottom/>
      <diagonal/>
    </border>
    <border>
      <left style="thin">
        <color rgb="FF009999"/>
      </left>
      <right/>
      <top style="medium">
        <color rgb="FF009999"/>
      </top>
      <bottom/>
      <diagonal/>
    </border>
    <border>
      <left/>
      <right style="medium">
        <color rgb="FF009999"/>
      </right>
      <top style="medium">
        <color rgb="FF009999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9999"/>
      </left>
      <right/>
      <top style="thin">
        <color rgb="FF009999"/>
      </top>
      <bottom/>
      <diagonal/>
    </border>
    <border>
      <left/>
      <right/>
      <top style="thin">
        <color rgb="FF009999"/>
      </top>
      <bottom/>
      <diagonal/>
    </border>
    <border>
      <left/>
      <right style="medium">
        <color rgb="FF009999"/>
      </right>
      <top style="thin">
        <color rgb="FF009999"/>
      </top>
      <bottom/>
      <diagonal/>
    </border>
    <border>
      <left style="medium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 style="medium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/>
      <bottom/>
      <diagonal/>
    </border>
    <border>
      <left style="thin">
        <color rgb="FF009999"/>
      </left>
      <right/>
      <top/>
      <bottom/>
      <diagonal/>
    </border>
    <border>
      <left/>
      <right style="medium">
        <color rgb="FF009999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9999"/>
      </left>
      <right/>
      <top style="thin">
        <color rgb="FF009999"/>
      </top>
      <bottom style="medium">
        <color rgb="FF009999"/>
      </bottom>
      <diagonal/>
    </border>
    <border>
      <left style="thin">
        <color rgb="FF009999"/>
      </left>
      <right/>
      <top style="thin">
        <color rgb="FF009999"/>
      </top>
      <bottom style="medium">
        <color rgb="FF009999"/>
      </bottom>
      <diagonal/>
    </border>
    <border>
      <left/>
      <right/>
      <top style="thin">
        <color rgb="FF009999"/>
      </top>
      <bottom style="medium">
        <color rgb="FF009999"/>
      </bottom>
      <diagonal/>
    </border>
    <border>
      <left/>
      <right style="medium">
        <color rgb="FF009999"/>
      </right>
      <top style="thin">
        <color rgb="FF009999"/>
      </top>
      <bottom style="medium">
        <color rgb="FF009999"/>
      </bottom>
      <diagonal/>
    </border>
    <border>
      <left style="medium">
        <color rgb="FF009999"/>
      </left>
      <right/>
      <top/>
      <bottom style="medium">
        <color rgb="FF009999"/>
      </bottom>
      <diagonal/>
    </border>
    <border>
      <left/>
      <right/>
      <top/>
      <bottom style="medium">
        <color rgb="FF009999"/>
      </bottom>
      <diagonal/>
    </border>
    <border>
      <left/>
      <right style="medium">
        <color rgb="FF009999"/>
      </right>
      <top/>
      <bottom style="medium">
        <color rgb="FF009999"/>
      </bottom>
      <diagonal/>
    </border>
    <border>
      <left/>
      <right/>
      <top/>
      <bottom style="medium">
        <color rgb="FF009999"/>
      </bottom>
      <diagonal/>
    </border>
    <border>
      <left style="thin">
        <color rgb="FF009999"/>
      </left>
      <right/>
      <top/>
      <bottom style="medium">
        <color rgb="FF009999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9999"/>
      </left>
      <right/>
      <top/>
      <bottom/>
      <diagonal/>
    </border>
    <border>
      <left/>
      <right style="medium">
        <color rgb="FF009999"/>
      </right>
      <top/>
      <bottom/>
      <diagonal/>
    </border>
    <border>
      <left/>
      <right/>
      <top/>
      <bottom style="medium">
        <color rgb="FF00999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9999"/>
      </left>
      <right/>
      <top style="medium">
        <color rgb="FF009999"/>
      </top>
      <bottom style="thin">
        <color rgb="FF009999"/>
      </bottom>
      <diagonal/>
    </border>
    <border>
      <left/>
      <right/>
      <top style="medium">
        <color rgb="FF009999"/>
      </top>
      <bottom style="thin">
        <color rgb="FF009999"/>
      </bottom>
      <diagonal/>
    </border>
    <border>
      <left/>
      <right style="medium">
        <color rgb="FF009999"/>
      </right>
      <top style="medium">
        <color rgb="FF009999"/>
      </top>
      <bottom style="thin">
        <color rgb="FF009999"/>
      </bottom>
      <diagonal/>
    </border>
    <border>
      <left style="medium">
        <color rgb="FF009999"/>
      </left>
      <right/>
      <top/>
      <bottom/>
      <diagonal/>
    </border>
    <border>
      <left/>
      <right style="medium">
        <color rgb="FF009999"/>
      </right>
      <top/>
      <bottom/>
      <diagonal/>
    </border>
    <border>
      <left/>
      <right/>
      <top style="thin">
        <color rgb="FF009999"/>
      </top>
      <bottom style="medium">
        <color rgb="FF009999"/>
      </bottom>
      <diagonal/>
    </border>
    <border>
      <left/>
      <right style="medium">
        <color rgb="FF009999"/>
      </right>
      <top style="thin">
        <color rgb="FF009999"/>
      </top>
      <bottom style="medium">
        <color rgb="FF009999"/>
      </bottom>
      <diagonal/>
    </border>
    <border>
      <left style="medium">
        <color rgb="FF009999"/>
      </left>
      <right/>
      <top style="medium">
        <color rgb="FF009999"/>
      </top>
      <bottom/>
      <diagonal/>
    </border>
    <border>
      <left/>
      <right style="medium">
        <color rgb="FF009999"/>
      </right>
      <top style="medium">
        <color rgb="FF009999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9999"/>
      </left>
      <right/>
      <top/>
      <bottom style="medium">
        <color rgb="FF009999"/>
      </bottom>
      <diagonal/>
    </border>
    <border>
      <left/>
      <right/>
      <top/>
      <bottom style="medium">
        <color rgb="FF009999"/>
      </bottom>
      <diagonal/>
    </border>
    <border>
      <left/>
      <right style="medium">
        <color rgb="FF009999"/>
      </right>
      <top/>
      <bottom style="medium">
        <color rgb="FF009999"/>
      </bottom>
      <diagonal/>
    </border>
    <border>
      <left style="medium">
        <color rgb="FFE36C09"/>
      </left>
      <right/>
      <top style="medium">
        <color rgb="FFE36C09"/>
      </top>
      <bottom style="medium">
        <color rgb="FFE36C09"/>
      </bottom>
      <diagonal/>
    </border>
    <border>
      <left/>
      <right style="medium">
        <color rgb="FFE36C09"/>
      </right>
      <top style="medium">
        <color rgb="FFE36C09"/>
      </top>
      <bottom style="medium">
        <color rgb="FFE36C09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9999"/>
      </left>
      <right/>
      <top/>
      <bottom style="medium">
        <color rgb="FF009999"/>
      </bottom>
      <diagonal/>
    </border>
    <border>
      <left/>
      <right/>
      <top/>
      <bottom style="medium">
        <color rgb="FF009999"/>
      </bottom>
      <diagonal/>
    </border>
    <border>
      <left/>
      <right style="medium">
        <color rgb="FF009999"/>
      </right>
      <top/>
      <bottom style="medium">
        <color rgb="FF009999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rgb="FF009999"/>
      </left>
      <right/>
      <top style="medium">
        <color rgb="FF009999"/>
      </top>
      <bottom style="thin">
        <color rgb="FF000000"/>
      </bottom>
      <diagonal/>
    </border>
    <border>
      <left/>
      <right/>
      <top style="medium">
        <color rgb="FF009999"/>
      </top>
      <bottom style="thin">
        <color rgb="FF000000"/>
      </bottom>
      <diagonal/>
    </border>
    <border>
      <left/>
      <right style="medium">
        <color rgb="FF009999"/>
      </right>
      <top style="medium">
        <color rgb="FF009999"/>
      </top>
      <bottom style="thin">
        <color rgb="FF000000"/>
      </bottom>
      <diagonal/>
    </border>
    <border>
      <left/>
      <right style="thin">
        <color rgb="FF009999"/>
      </right>
      <top style="thin">
        <color rgb="FF009999"/>
      </top>
      <bottom style="medium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medium">
        <color rgb="FF009999"/>
      </bottom>
      <diagonal/>
    </border>
    <border>
      <left/>
      <right style="medium">
        <color rgb="FF009999"/>
      </right>
      <top style="thin">
        <color rgb="FF000000"/>
      </top>
      <bottom style="medium">
        <color rgb="FF009999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9999"/>
      </top>
      <bottom/>
      <diagonal/>
    </border>
    <border>
      <left/>
      <right style="thin">
        <color rgb="FF009999"/>
      </right>
      <top style="thin">
        <color rgb="FF009999"/>
      </top>
      <bottom style="thin">
        <color rgb="FF009999"/>
      </bottom>
      <diagonal/>
    </border>
    <border>
      <left/>
      <right style="medium">
        <color rgb="FF009999"/>
      </right>
      <top style="thin">
        <color rgb="FF009999"/>
      </top>
      <bottom style="thin">
        <color rgb="FF009999"/>
      </bottom>
      <diagonal/>
    </border>
    <border>
      <left/>
      <right/>
      <top/>
      <bottom style="medium">
        <color rgb="FF009999"/>
      </bottom>
      <diagonal/>
    </border>
    <border>
      <left style="thin">
        <color rgb="FF000000"/>
      </left>
      <right/>
      <top style="thin">
        <color rgb="FFE36C09"/>
      </top>
      <bottom style="thin">
        <color rgb="FFE36C09"/>
      </bottom>
      <diagonal/>
    </border>
    <border>
      <left/>
      <right/>
      <top style="thin">
        <color rgb="FFE36C09"/>
      </top>
      <bottom style="thin">
        <color rgb="FFE36C09"/>
      </bottom>
      <diagonal/>
    </border>
    <border>
      <left/>
      <right style="thin">
        <color rgb="FF000000"/>
      </right>
      <top style="thin">
        <color rgb="FFE36C09"/>
      </top>
      <bottom style="thin">
        <color rgb="FFE36C09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E36C09"/>
      </bottom>
      <diagonal/>
    </border>
    <border>
      <left/>
      <right/>
      <top style="thin">
        <color rgb="FF000000"/>
      </top>
      <bottom style="thin">
        <color rgb="FFE36C09"/>
      </bottom>
      <diagonal/>
    </border>
    <border>
      <left/>
      <right style="thin">
        <color rgb="FF000000"/>
      </right>
      <top style="thin">
        <color rgb="FF000000"/>
      </top>
      <bottom style="thin">
        <color rgb="FFE36C09"/>
      </bottom>
      <diagonal/>
    </border>
    <border>
      <left style="thin">
        <color rgb="FF000000"/>
      </left>
      <right/>
      <top style="thin">
        <color rgb="FFE36C09"/>
      </top>
      <bottom style="thin">
        <color rgb="FF000000"/>
      </bottom>
      <diagonal/>
    </border>
    <border>
      <left/>
      <right/>
      <top style="thin">
        <color rgb="FFE36C09"/>
      </top>
      <bottom style="thin">
        <color rgb="FF000000"/>
      </bottom>
      <diagonal/>
    </border>
    <border>
      <left/>
      <right style="thin">
        <color rgb="FF000000"/>
      </right>
      <top style="thin">
        <color rgb="FFE36C09"/>
      </top>
      <bottom style="thin">
        <color rgb="FF000000"/>
      </bottom>
      <diagonal/>
    </border>
    <border>
      <left style="thin">
        <color rgb="FF009999"/>
      </left>
      <right/>
      <top/>
      <bottom style="thin">
        <color rgb="FF009999"/>
      </bottom>
      <diagonal/>
    </border>
    <border>
      <left/>
      <right style="thin">
        <color rgb="FF009999"/>
      </right>
      <top/>
      <bottom style="thin">
        <color rgb="FF009999"/>
      </bottom>
      <diagonal/>
    </border>
    <border>
      <left style="thin">
        <color rgb="FF009999"/>
      </left>
      <right/>
      <top/>
      <bottom/>
      <diagonal/>
    </border>
    <border>
      <left/>
      <right/>
      <top/>
      <bottom/>
      <diagonal/>
    </border>
    <border>
      <left style="medium">
        <color rgb="FF008080"/>
      </left>
      <right/>
      <top style="medium">
        <color rgb="FF008080"/>
      </top>
      <bottom style="medium">
        <color rgb="FFE36C09"/>
      </bottom>
      <diagonal/>
    </border>
    <border>
      <left/>
      <right style="thin">
        <color rgb="FF000000"/>
      </right>
      <top style="medium">
        <color rgb="FF008080"/>
      </top>
      <bottom style="medium">
        <color rgb="FFE36C09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E36C09"/>
      </top>
      <bottom style="medium">
        <color rgb="FFE36C09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rgb="FF000000"/>
      </right>
      <top/>
      <bottom style="medium">
        <color rgb="FF009999"/>
      </bottom>
      <diagonal/>
    </border>
    <border>
      <left style="thin">
        <color rgb="FF000000"/>
      </left>
      <right/>
      <top style="thin">
        <color rgb="FF009999"/>
      </top>
      <bottom style="medium">
        <color rgb="FF009999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9999"/>
      </right>
      <top style="thin">
        <color rgb="FF009999"/>
      </top>
      <bottom/>
      <diagonal/>
    </border>
    <border>
      <left/>
      <right/>
      <top style="thin">
        <color rgb="FF009999"/>
      </top>
      <bottom/>
      <diagonal/>
    </border>
    <border>
      <left/>
      <right style="thin">
        <color rgb="FF009999"/>
      </right>
      <top/>
      <bottom style="medium">
        <color rgb="FF009999"/>
      </bottom>
      <diagonal/>
    </border>
    <border>
      <left style="medium">
        <color rgb="FF009999"/>
      </left>
      <right/>
      <top/>
      <bottom style="thin">
        <color rgb="FF009999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009999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 style="thin">
        <color rgb="FF009999"/>
      </right>
      <top style="thin">
        <color rgb="FF009999"/>
      </top>
      <bottom style="thin">
        <color rgb="FF009999"/>
      </bottom>
      <diagonal/>
    </border>
    <border>
      <left/>
      <right style="medium">
        <color rgb="FF009999"/>
      </right>
      <top/>
      <bottom style="thin">
        <color rgb="FF009999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852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Alignment="1">
      <alignment vertical="center"/>
    </xf>
    <xf numFmtId="0" fontId="4" fillId="2" borderId="1" xfId="0" applyFont="1" applyFill="1" applyBorder="1"/>
    <xf numFmtId="0" fontId="1" fillId="2" borderId="14" xfId="0" applyFont="1" applyFill="1" applyBorder="1"/>
    <xf numFmtId="0" fontId="3" fillId="0" borderId="0" xfId="0" applyFont="1" applyAlignment="1">
      <alignment horizontal="center"/>
    </xf>
    <xf numFmtId="0" fontId="3" fillId="0" borderId="15" xfId="0" applyFont="1" applyBorder="1"/>
    <xf numFmtId="0" fontId="4" fillId="2" borderId="16" xfId="0" applyFont="1" applyFill="1" applyBorder="1"/>
    <xf numFmtId="0" fontId="4" fillId="2" borderId="17" xfId="0" applyFont="1" applyFill="1" applyBorder="1"/>
    <xf numFmtId="0" fontId="1" fillId="2" borderId="18" xfId="0" applyFont="1" applyFill="1" applyBorder="1"/>
    <xf numFmtId="0" fontId="6" fillId="3" borderId="1" xfId="0" applyFont="1" applyFill="1" applyBorder="1"/>
    <xf numFmtId="0" fontId="1" fillId="0" borderId="15" xfId="0" applyFont="1" applyBorder="1"/>
    <xf numFmtId="0" fontId="7" fillId="0" borderId="19" xfId="0" applyFont="1" applyBorder="1"/>
    <xf numFmtId="0" fontId="7" fillId="0" borderId="0" xfId="0" applyFont="1"/>
    <xf numFmtId="0" fontId="1" fillId="5" borderId="1" xfId="0" applyFont="1" applyFill="1" applyBorder="1" applyAlignment="1">
      <alignment horizontal="left" vertical="center"/>
    </xf>
    <xf numFmtId="0" fontId="9" fillId="0" borderId="22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4" fillId="2" borderId="23" xfId="0" applyFont="1" applyFill="1" applyBorder="1"/>
    <xf numFmtId="0" fontId="4" fillId="2" borderId="24" xfId="0" applyFont="1" applyFill="1" applyBorder="1"/>
    <xf numFmtId="0" fontId="4" fillId="2" borderId="25" xfId="0" applyFont="1" applyFill="1" applyBorder="1"/>
    <xf numFmtId="0" fontId="4" fillId="2" borderId="26" xfId="0" applyFont="1" applyFill="1" applyBorder="1"/>
    <xf numFmtId="0" fontId="5" fillId="2" borderId="27" xfId="0" applyFont="1" applyFill="1" applyBorder="1"/>
    <xf numFmtId="0" fontId="4" fillId="2" borderId="28" xfId="0" applyFont="1" applyFill="1" applyBorder="1"/>
    <xf numFmtId="0" fontId="5" fillId="2" borderId="1" xfId="0" applyFont="1" applyFill="1" applyBorder="1"/>
    <xf numFmtId="164" fontId="1" fillId="5" borderId="1" xfId="0" applyNumberFormat="1" applyFont="1" applyFill="1" applyBorder="1" applyAlignment="1">
      <alignment horizontal="left" vertical="center"/>
    </xf>
    <xf numFmtId="0" fontId="5" fillId="2" borderId="18" xfId="0" applyFont="1" applyFill="1" applyBorder="1"/>
    <xf numFmtId="9" fontId="4" fillId="2" borderId="1" xfId="0" applyNumberFormat="1" applyFont="1" applyFill="1" applyBorder="1"/>
    <xf numFmtId="9" fontId="4" fillId="2" borderId="17" xfId="0" applyNumberFormat="1" applyFont="1" applyFill="1" applyBorder="1"/>
    <xf numFmtId="165" fontId="4" fillId="2" borderId="1" xfId="0" applyNumberFormat="1" applyFont="1" applyFill="1" applyBorder="1"/>
    <xf numFmtId="0" fontId="1" fillId="0" borderId="0" xfId="0" applyFont="1"/>
    <xf numFmtId="166" fontId="1" fillId="5" borderId="1" xfId="0" applyNumberFormat="1" applyFont="1" applyFill="1" applyBorder="1" applyAlignment="1">
      <alignment horizontal="center" vertical="center"/>
    </xf>
    <xf numFmtId="0" fontId="5" fillId="2" borderId="29" xfId="0" applyFont="1" applyFill="1" applyBorder="1"/>
    <xf numFmtId="9" fontId="4" fillId="2" borderId="24" xfId="0" applyNumberFormat="1" applyFont="1" applyFill="1" applyBorder="1"/>
    <xf numFmtId="9" fontId="4" fillId="2" borderId="25" xfId="0" applyNumberFormat="1" applyFont="1" applyFill="1" applyBorder="1"/>
    <xf numFmtId="167" fontId="4" fillId="2" borderId="1" xfId="0" applyNumberFormat="1" applyFont="1" applyFill="1" applyBorder="1"/>
    <xf numFmtId="0" fontId="7" fillId="0" borderId="19" xfId="0" applyFont="1" applyBorder="1" applyAlignment="1">
      <alignment horizontal="center"/>
    </xf>
    <xf numFmtId="0" fontId="1" fillId="2" borderId="29" xfId="0" applyFont="1" applyFill="1" applyBorder="1"/>
    <xf numFmtId="0" fontId="1" fillId="5" borderId="1" xfId="0" applyFont="1" applyFill="1" applyBorder="1"/>
    <xf numFmtId="9" fontId="1" fillId="3" borderId="1" xfId="0" applyNumberFormat="1" applyFont="1" applyFill="1" applyBorder="1" applyAlignment="1">
      <alignment horizontal="center" vertical="center"/>
    </xf>
    <xf numFmtId="9" fontId="1" fillId="5" borderId="1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/>
    <xf numFmtId="0" fontId="1" fillId="3" borderId="32" xfId="0" applyFont="1" applyFill="1" applyBorder="1"/>
    <xf numFmtId="164" fontId="1" fillId="5" borderId="32" xfId="0" applyNumberFormat="1" applyFont="1" applyFill="1" applyBorder="1" applyAlignment="1">
      <alignment horizontal="center" vertical="center"/>
    </xf>
    <xf numFmtId="9" fontId="1" fillId="3" borderId="32" xfId="0" applyNumberFormat="1" applyFont="1" applyFill="1" applyBorder="1" applyAlignment="1">
      <alignment horizontal="center" vertical="center"/>
    </xf>
    <xf numFmtId="9" fontId="1" fillId="5" borderId="32" xfId="0" applyNumberFormat="1" applyFont="1" applyFill="1" applyBorder="1" applyAlignment="1">
      <alignment horizontal="center" vertical="center"/>
    </xf>
    <xf numFmtId="0" fontId="1" fillId="5" borderId="32" xfId="0" applyFont="1" applyFill="1" applyBorder="1"/>
    <xf numFmtId="0" fontId="7" fillId="6" borderId="33" xfId="0" applyFont="1" applyFill="1" applyBorder="1"/>
    <xf numFmtId="166" fontId="7" fillId="6" borderId="33" xfId="0" applyNumberFormat="1" applyFont="1" applyFill="1" applyBorder="1"/>
    <xf numFmtId="9" fontId="7" fillId="6" borderId="33" xfId="0" applyNumberFormat="1" applyFont="1" applyFill="1" applyBorder="1"/>
    <xf numFmtId="168" fontId="7" fillId="6" borderId="33" xfId="0" applyNumberFormat="1" applyFont="1" applyFill="1" applyBorder="1"/>
    <xf numFmtId="0" fontId="1" fillId="6" borderId="33" xfId="0" applyFont="1" applyFill="1" applyBorder="1"/>
    <xf numFmtId="169" fontId="1" fillId="5" borderId="1" xfId="0" applyNumberFormat="1" applyFont="1" applyFill="1" applyBorder="1"/>
    <xf numFmtId="0" fontId="7" fillId="0" borderId="0" xfId="0" applyFont="1" applyAlignment="1">
      <alignment horizontal="center"/>
    </xf>
    <xf numFmtId="9" fontId="1" fillId="5" borderId="1" xfId="0" applyNumberFormat="1" applyFont="1" applyFill="1" applyBorder="1"/>
    <xf numFmtId="0" fontId="7" fillId="0" borderId="3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1" fillId="5" borderId="37" xfId="0" applyFont="1" applyFill="1" applyBorder="1"/>
    <xf numFmtId="170" fontId="1" fillId="5" borderId="1" xfId="0" applyNumberFormat="1" applyFont="1" applyFill="1" applyBorder="1"/>
    <xf numFmtId="9" fontId="1" fillId="5" borderId="32" xfId="0" applyNumberFormat="1" applyFont="1" applyFill="1" applyBorder="1"/>
    <xf numFmtId="170" fontId="1" fillId="5" borderId="32" xfId="0" applyNumberFormat="1" applyFont="1" applyFill="1" applyBorder="1"/>
    <xf numFmtId="0" fontId="7" fillId="6" borderId="1" xfId="0" applyFont="1" applyFill="1" applyBorder="1"/>
    <xf numFmtId="0" fontId="1" fillId="6" borderId="1" xfId="0" applyFont="1" applyFill="1" applyBorder="1"/>
    <xf numFmtId="0" fontId="7" fillId="0" borderId="19" xfId="0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171" fontId="1" fillId="5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/>
    <xf numFmtId="0" fontId="11" fillId="0" borderId="19" xfId="0" applyFont="1" applyBorder="1" applyAlignment="1">
      <alignment horizontal="center" vertical="center"/>
    </xf>
    <xf numFmtId="10" fontId="1" fillId="5" borderId="1" xfId="0" applyNumberFormat="1" applyFont="1" applyFill="1" applyBorder="1" applyAlignment="1">
      <alignment horizontal="center" vertical="center"/>
    </xf>
    <xf numFmtId="173" fontId="1" fillId="5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vertical="center"/>
    </xf>
    <xf numFmtId="10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1" xfId="0" applyFont="1" applyFill="1" applyBorder="1" applyAlignment="1">
      <alignment vertical="center"/>
    </xf>
    <xf numFmtId="0" fontId="7" fillId="0" borderId="19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9" fontId="1" fillId="3" borderId="1" xfId="0" applyNumberFormat="1" applyFont="1" applyFill="1" applyBorder="1" applyAlignment="1">
      <alignment horizontal="center" vertical="center" wrapText="1"/>
    </xf>
    <xf numFmtId="0" fontId="7" fillId="6" borderId="37" xfId="0" applyFont="1" applyFill="1" applyBorder="1" applyAlignment="1">
      <alignment horizontal="center" vertical="center"/>
    </xf>
    <xf numFmtId="166" fontId="7" fillId="6" borderId="37" xfId="0" applyNumberFormat="1" applyFont="1" applyFill="1" applyBorder="1" applyAlignment="1">
      <alignment horizontal="center" vertical="center"/>
    </xf>
    <xf numFmtId="9" fontId="7" fillId="6" borderId="37" xfId="0" applyNumberFormat="1" applyFont="1" applyFill="1" applyBorder="1" applyAlignment="1">
      <alignment horizontal="center" vertical="center"/>
    </xf>
    <xf numFmtId="168" fontId="7" fillId="6" borderId="37" xfId="0" applyNumberFormat="1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166" fontId="1" fillId="3" borderId="32" xfId="0" applyNumberFormat="1" applyFont="1" applyFill="1" applyBorder="1"/>
    <xf numFmtId="0" fontId="5" fillId="3" borderId="32" xfId="0" applyFont="1" applyFill="1" applyBorder="1" applyAlignment="1">
      <alignment horizontal="center"/>
    </xf>
    <xf numFmtId="9" fontId="1" fillId="3" borderId="32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70" fontId="1" fillId="5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0" fontId="1" fillId="5" borderId="1" xfId="0" applyNumberFormat="1" applyFont="1" applyFill="1" applyBorder="1" applyAlignment="1">
      <alignment horizontal="center"/>
    </xf>
    <xf numFmtId="0" fontId="1" fillId="2" borderId="45" xfId="0" applyFont="1" applyFill="1" applyBorder="1"/>
    <xf numFmtId="0" fontId="1" fillId="2" borderId="46" xfId="0" applyFont="1" applyFill="1" applyBorder="1"/>
    <xf numFmtId="0" fontId="3" fillId="3" borderId="1" xfId="0" applyFont="1" applyFill="1" applyBorder="1"/>
    <xf numFmtId="6" fontId="3" fillId="3" borderId="1" xfId="0" applyNumberFormat="1" applyFont="1" applyFill="1" applyBorder="1"/>
    <xf numFmtId="164" fontId="1" fillId="0" borderId="0" xfId="0" applyNumberFormat="1" applyFont="1"/>
    <xf numFmtId="0" fontId="1" fillId="2" borderId="51" xfId="0" applyFont="1" applyFill="1" applyBorder="1"/>
    <xf numFmtId="0" fontId="9" fillId="2" borderId="1" xfId="0" applyFont="1" applyFill="1" applyBorder="1"/>
    <xf numFmtId="0" fontId="1" fillId="2" borderId="55" xfId="0" applyFont="1" applyFill="1" applyBorder="1"/>
    <xf numFmtId="174" fontId="1" fillId="2" borderId="56" xfId="0" applyNumberFormat="1" applyFont="1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7" fillId="0" borderId="57" xfId="0" applyFont="1" applyBorder="1" applyAlignment="1">
      <alignment horizontal="left" vertical="center"/>
    </xf>
    <xf numFmtId="0" fontId="7" fillId="0" borderId="58" xfId="0" applyFont="1" applyBorder="1" applyAlignment="1">
      <alignment vertical="center"/>
    </xf>
    <xf numFmtId="0" fontId="13" fillId="0" borderId="59" xfId="0" applyFont="1" applyBorder="1" applyAlignment="1">
      <alignment horizontal="center" vertical="center"/>
    </xf>
    <xf numFmtId="0" fontId="7" fillId="0" borderId="57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9" fillId="2" borderId="55" xfId="0" applyFont="1" applyFill="1" applyBorder="1"/>
    <xf numFmtId="10" fontId="15" fillId="2" borderId="1" xfId="0" applyNumberFormat="1" applyFont="1" applyFill="1" applyBorder="1"/>
    <xf numFmtId="0" fontId="9" fillId="3" borderId="1" xfId="0" applyFont="1" applyFill="1" applyBorder="1"/>
    <xf numFmtId="0" fontId="11" fillId="3" borderId="65" xfId="0" applyFont="1" applyFill="1" applyBorder="1"/>
    <xf numFmtId="0" fontId="11" fillId="3" borderId="56" xfId="0" applyFont="1" applyFill="1" applyBorder="1"/>
    <xf numFmtId="0" fontId="7" fillId="3" borderId="26" xfId="0" applyFont="1" applyFill="1" applyBorder="1"/>
    <xf numFmtId="0" fontId="7" fillId="3" borderId="27" xfId="0" applyFont="1" applyFill="1" applyBorder="1"/>
    <xf numFmtId="0" fontId="7" fillId="3" borderId="66" xfId="0" applyFont="1" applyFill="1" applyBorder="1"/>
    <xf numFmtId="0" fontId="7" fillId="0" borderId="67" xfId="0" applyFont="1" applyBorder="1" applyAlignment="1">
      <alignment horizontal="left" vertical="center"/>
    </xf>
    <xf numFmtId="0" fontId="7" fillId="0" borderId="68" xfId="0" applyFont="1" applyBorder="1" applyAlignment="1">
      <alignment vertical="center"/>
    </xf>
    <xf numFmtId="0" fontId="13" fillId="0" borderId="69" xfId="0" applyFont="1" applyBorder="1" applyAlignment="1">
      <alignment horizontal="center" vertical="center"/>
    </xf>
    <xf numFmtId="0" fontId="16" fillId="3" borderId="65" xfId="0" applyFont="1" applyFill="1" applyBorder="1"/>
    <xf numFmtId="10" fontId="16" fillId="3" borderId="56" xfId="0" applyNumberFormat="1" applyFont="1" applyFill="1" applyBorder="1"/>
    <xf numFmtId="174" fontId="16" fillId="3" borderId="56" xfId="0" applyNumberFormat="1" applyFont="1" applyFill="1" applyBorder="1"/>
    <xf numFmtId="164" fontId="1" fillId="3" borderId="75" xfId="0" applyNumberFormat="1" applyFont="1" applyFill="1" applyBorder="1"/>
    <xf numFmtId="164" fontId="1" fillId="3" borderId="76" xfId="0" applyNumberFormat="1" applyFont="1" applyFill="1" applyBorder="1"/>
    <xf numFmtId="164" fontId="1" fillId="3" borderId="77" xfId="0" applyNumberFormat="1" applyFont="1" applyFill="1" applyBorder="1"/>
    <xf numFmtId="0" fontId="7" fillId="0" borderId="78" xfId="0" applyFont="1" applyBorder="1" applyAlignment="1">
      <alignment horizontal="left" vertical="center"/>
    </xf>
    <xf numFmtId="0" fontId="7" fillId="0" borderId="79" xfId="0" applyFont="1" applyBorder="1" applyAlignment="1">
      <alignment horizontal="left" vertical="center"/>
    </xf>
    <xf numFmtId="0" fontId="7" fillId="0" borderId="82" xfId="0" applyFont="1" applyBorder="1" applyAlignment="1">
      <alignment vertical="center"/>
    </xf>
    <xf numFmtId="0" fontId="7" fillId="0" borderId="83" xfId="0" applyFont="1" applyBorder="1" applyAlignment="1">
      <alignment vertical="center"/>
    </xf>
    <xf numFmtId="174" fontId="1" fillId="2" borderId="55" xfId="0" applyNumberFormat="1" applyFont="1" applyFill="1" applyBorder="1"/>
    <xf numFmtId="174" fontId="1" fillId="3" borderId="16" xfId="0" applyNumberFormat="1" applyFont="1" applyFill="1" applyBorder="1"/>
    <xf numFmtId="174" fontId="1" fillId="3" borderId="1" xfId="0" applyNumberFormat="1" applyFont="1" applyFill="1" applyBorder="1"/>
    <xf numFmtId="174" fontId="1" fillId="3" borderId="17" xfId="0" applyNumberFormat="1" applyFont="1" applyFill="1" applyBorder="1"/>
    <xf numFmtId="0" fontId="17" fillId="0" borderId="0" xfId="0" applyFont="1" applyAlignment="1">
      <alignment horizontal="center" vertical="center" readingOrder="1"/>
    </xf>
    <xf numFmtId="166" fontId="1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/>
    <xf numFmtId="174" fontId="1" fillId="2" borderId="1" xfId="0" applyNumberFormat="1" applyFont="1" applyFill="1" applyBorder="1"/>
    <xf numFmtId="166" fontId="1" fillId="2" borderId="1" xfId="0" applyNumberFormat="1" applyFont="1" applyFill="1" applyBorder="1"/>
    <xf numFmtId="0" fontId="7" fillId="3" borderId="66" xfId="0" applyFont="1" applyFill="1" applyBorder="1" applyAlignment="1">
      <alignment horizontal="center"/>
    </xf>
    <xf numFmtId="0" fontId="7" fillId="3" borderId="28" xfId="0" applyFont="1" applyFill="1" applyBorder="1"/>
    <xf numFmtId="0" fontId="7" fillId="3" borderId="28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0" borderId="0" xfId="0" applyFont="1" applyAlignment="1">
      <alignment horizontal="left"/>
    </xf>
    <xf numFmtId="8" fontId="1" fillId="2" borderId="51" xfId="0" applyNumberFormat="1" applyFont="1" applyFill="1" applyBorder="1"/>
    <xf numFmtId="0" fontId="1" fillId="3" borderId="66" xfId="0" applyFont="1" applyFill="1" applyBorder="1"/>
    <xf numFmtId="0" fontId="1" fillId="3" borderId="29" xfId="0" applyFont="1" applyFill="1" applyBorder="1" applyAlignment="1">
      <alignment horizontal="center"/>
    </xf>
    <xf numFmtId="0" fontId="1" fillId="3" borderId="29" xfId="0" applyFont="1" applyFill="1" applyBorder="1"/>
    <xf numFmtId="10" fontId="1" fillId="3" borderId="25" xfId="0" applyNumberFormat="1" applyFont="1" applyFill="1" applyBorder="1"/>
    <xf numFmtId="8" fontId="1" fillId="2" borderId="1" xfId="0" applyNumberFormat="1" applyFont="1" applyFill="1" applyBorder="1"/>
    <xf numFmtId="174" fontId="1" fillId="2" borderId="51" xfId="0" applyNumberFormat="1" applyFont="1" applyFill="1" applyBorder="1"/>
    <xf numFmtId="0" fontId="7" fillId="3" borderId="1" xfId="0" applyFont="1" applyFill="1" applyBorder="1"/>
    <xf numFmtId="0" fontId="19" fillId="2" borderId="1" xfId="0" applyFont="1" applyFill="1" applyBorder="1"/>
    <xf numFmtId="0" fontId="16" fillId="0" borderId="0" xfId="0" applyFont="1" applyAlignment="1">
      <alignment horizontal="left"/>
    </xf>
    <xf numFmtId="0" fontId="19" fillId="3" borderId="1" xfId="0" applyFont="1" applyFill="1" applyBorder="1"/>
    <xf numFmtId="0" fontId="16" fillId="3" borderId="1" xfId="0" applyFont="1" applyFill="1" applyBorder="1" applyAlignment="1">
      <alignment horizontal="left"/>
    </xf>
    <xf numFmtId="0" fontId="21" fillId="9" borderId="97" xfId="0" applyFont="1" applyFill="1" applyBorder="1" applyAlignment="1">
      <alignment horizontal="center" vertical="center"/>
    </xf>
    <xf numFmtId="0" fontId="21" fillId="9" borderId="98" xfId="0" applyFont="1" applyFill="1" applyBorder="1" applyAlignment="1">
      <alignment horizontal="center" vertical="center"/>
    </xf>
    <xf numFmtId="0" fontId="21" fillId="9" borderId="99" xfId="0" applyFont="1" applyFill="1" applyBorder="1" applyAlignment="1">
      <alignment horizontal="center" vertical="center"/>
    </xf>
    <xf numFmtId="166" fontId="1" fillId="3" borderId="1" xfId="0" applyNumberFormat="1" applyFont="1" applyFill="1" applyBorder="1"/>
    <xf numFmtId="174" fontId="1" fillId="8" borderId="100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9" fontId="1" fillId="8" borderId="1" xfId="0" applyNumberFormat="1" applyFont="1" applyFill="1" applyBorder="1" applyAlignment="1">
      <alignment horizontal="center" vertical="center"/>
    </xf>
    <xf numFmtId="176" fontId="1" fillId="8" borderId="1" xfId="0" applyNumberFormat="1" applyFont="1" applyFill="1" applyBorder="1" applyAlignment="1">
      <alignment horizontal="center" vertical="center"/>
    </xf>
    <xf numFmtId="9" fontId="1" fillId="8" borderId="101" xfId="0" applyNumberFormat="1" applyFont="1" applyFill="1" applyBorder="1" applyAlignment="1">
      <alignment horizontal="center" vertical="center"/>
    </xf>
    <xf numFmtId="174" fontId="1" fillId="4" borderId="100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9" fontId="1" fillId="4" borderId="1" xfId="0" applyNumberFormat="1" applyFont="1" applyFill="1" applyBorder="1" applyAlignment="1">
      <alignment horizontal="center" vertical="center"/>
    </xf>
    <xf numFmtId="176" fontId="1" fillId="4" borderId="1" xfId="0" applyNumberFormat="1" applyFont="1" applyFill="1" applyBorder="1" applyAlignment="1">
      <alignment horizontal="center" vertical="center"/>
    </xf>
    <xf numFmtId="9" fontId="1" fillId="4" borderId="10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7" fillId="0" borderId="78" xfId="0" applyFont="1" applyBorder="1" applyAlignment="1">
      <alignment horizontal="center" vertical="center"/>
    </xf>
    <xf numFmtId="164" fontId="7" fillId="0" borderId="80" xfId="0" applyNumberFormat="1" applyFont="1" applyBorder="1" applyAlignment="1">
      <alignment horizontal="center" vertical="center"/>
    </xf>
    <xf numFmtId="9" fontId="7" fillId="0" borderId="80" xfId="0" applyNumberFormat="1" applyFont="1" applyBorder="1" applyAlignment="1">
      <alignment horizontal="center" vertical="center"/>
    </xf>
    <xf numFmtId="10" fontId="7" fillId="3" borderId="102" xfId="0" applyNumberFormat="1" applyFont="1" applyFill="1" applyBorder="1" applyAlignment="1">
      <alignment horizontal="center" vertical="center"/>
    </xf>
    <xf numFmtId="168" fontId="7" fillId="3" borderId="103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178" fontId="1" fillId="0" borderId="0" xfId="0" applyNumberFormat="1" applyFont="1"/>
    <xf numFmtId="178" fontId="1" fillId="0" borderId="0" xfId="0" applyNumberFormat="1" applyFont="1" applyAlignment="1">
      <alignment horizontal="center"/>
    </xf>
    <xf numFmtId="0" fontId="27" fillId="2" borderId="1" xfId="0" applyFont="1" applyFill="1" applyBorder="1"/>
    <xf numFmtId="10" fontId="7" fillId="2" borderId="1" xfId="0" applyNumberFormat="1" applyFont="1" applyFill="1" applyBorder="1"/>
    <xf numFmtId="9" fontId="28" fillId="8" borderId="100" xfId="0" applyNumberFormat="1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/>
    </xf>
    <xf numFmtId="0" fontId="28" fillId="8" borderId="101" xfId="0" applyFont="1" applyFill="1" applyBorder="1" applyAlignment="1">
      <alignment horizontal="center"/>
    </xf>
    <xf numFmtId="0" fontId="27" fillId="4" borderId="100" xfId="0" applyFont="1" applyFill="1" applyBorder="1" applyAlignment="1">
      <alignment horizontal="center"/>
    </xf>
    <xf numFmtId="0" fontId="27" fillId="4" borderId="101" xfId="0" applyFont="1" applyFill="1" applyBorder="1" applyAlignment="1">
      <alignment horizontal="center"/>
    </xf>
    <xf numFmtId="176" fontId="6" fillId="8" borderId="117" xfId="0" applyNumberFormat="1" applyFont="1" applyFill="1" applyBorder="1" applyAlignment="1">
      <alignment horizontal="center" vertical="center"/>
    </xf>
    <xf numFmtId="0" fontId="27" fillId="8" borderId="118" xfId="0" applyFont="1" applyFill="1" applyBorder="1" applyAlignment="1">
      <alignment horizontal="center"/>
    </xf>
    <xf numFmtId="176" fontId="6" fillId="8" borderId="119" xfId="0" applyNumberFormat="1" applyFont="1" applyFill="1" applyBorder="1" applyAlignment="1">
      <alignment horizontal="center" vertical="center"/>
    </xf>
    <xf numFmtId="176" fontId="6" fillId="10" borderId="117" xfId="0" applyNumberFormat="1" applyFont="1" applyFill="1" applyBorder="1" applyAlignment="1">
      <alignment horizontal="center" vertical="center"/>
    </xf>
    <xf numFmtId="176" fontId="6" fillId="10" borderId="119" xfId="0" applyNumberFormat="1" applyFont="1" applyFill="1" applyBorder="1" applyAlignment="1">
      <alignment horizontal="center" vertical="center"/>
    </xf>
    <xf numFmtId="176" fontId="6" fillId="10" borderId="117" xfId="0" applyNumberFormat="1" applyFont="1" applyFill="1" applyBorder="1" applyAlignment="1">
      <alignment horizontal="center"/>
    </xf>
    <xf numFmtId="176" fontId="6" fillId="10" borderId="119" xfId="0" applyNumberFormat="1" applyFont="1" applyFill="1" applyBorder="1" applyAlignment="1">
      <alignment horizontal="center"/>
    </xf>
    <xf numFmtId="10" fontId="1" fillId="3" borderId="1" xfId="0" applyNumberFormat="1" applyFont="1" applyFill="1" applyBorder="1"/>
    <xf numFmtId="10" fontId="1" fillId="3" borderId="120" xfId="0" applyNumberFormat="1" applyFont="1" applyFill="1" applyBorder="1"/>
    <xf numFmtId="0" fontId="1" fillId="3" borderId="121" xfId="0" applyFont="1" applyFill="1" applyBorder="1"/>
    <xf numFmtId="0" fontId="7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174" fontId="1" fillId="3" borderId="16" xfId="0" applyNumberFormat="1" applyFont="1" applyFill="1" applyBorder="1" applyAlignment="1">
      <alignment horizontal="center" vertical="center"/>
    </xf>
    <xf numFmtId="174" fontId="1" fillId="3" borderId="1" xfId="0" applyNumberFormat="1" applyFont="1" applyFill="1" applyBorder="1" applyAlignment="1">
      <alignment horizontal="center" vertical="center"/>
    </xf>
    <xf numFmtId="174" fontId="1" fillId="3" borderId="17" xfId="0" applyNumberFormat="1" applyFont="1" applyFill="1" applyBorder="1" applyAlignment="1">
      <alignment horizontal="center" vertical="center"/>
    </xf>
    <xf numFmtId="10" fontId="16" fillId="0" borderId="130" xfId="0" applyNumberFormat="1" applyFont="1" applyBorder="1" applyAlignment="1">
      <alignment horizontal="center" vertical="center"/>
    </xf>
    <xf numFmtId="0" fontId="16" fillId="0" borderId="130" xfId="0" applyFont="1" applyBorder="1" applyAlignment="1">
      <alignment horizontal="center" vertical="center"/>
    </xf>
    <xf numFmtId="10" fontId="16" fillId="0" borderId="131" xfId="0" applyNumberFormat="1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" fillId="3" borderId="51" xfId="0" applyFont="1" applyFill="1" applyBorder="1"/>
    <xf numFmtId="0" fontId="1" fillId="0" borderId="132" xfId="0" applyFont="1" applyBorder="1"/>
    <xf numFmtId="0" fontId="9" fillId="3" borderId="133" xfId="0" applyFont="1" applyFill="1" applyBorder="1"/>
    <xf numFmtId="0" fontId="16" fillId="3" borderId="133" xfId="0" applyFont="1" applyFill="1" applyBorder="1" applyAlignment="1">
      <alignment horizontal="left"/>
    </xf>
    <xf numFmtId="0" fontId="1" fillId="3" borderId="133" xfId="0" applyFont="1" applyFill="1" applyBorder="1"/>
    <xf numFmtId="0" fontId="16" fillId="3" borderId="133" xfId="0" applyFont="1" applyFill="1" applyBorder="1"/>
    <xf numFmtId="166" fontId="16" fillId="3" borderId="133" xfId="0" applyNumberFormat="1" applyFont="1" applyFill="1" applyBorder="1" applyAlignment="1">
      <alignment horizontal="center"/>
    </xf>
    <xf numFmtId="0" fontId="1" fillId="3" borderId="134" xfId="0" applyFont="1" applyFill="1" applyBorder="1"/>
    <xf numFmtId="0" fontId="1" fillId="2" borderId="133" xfId="0" applyFont="1" applyFill="1" applyBorder="1"/>
    <xf numFmtId="0" fontId="16" fillId="2" borderId="1" xfId="0" applyFont="1" applyFill="1" applyBorder="1"/>
    <xf numFmtId="0" fontId="19" fillId="2" borderId="1" xfId="0" applyFont="1" applyFill="1" applyBorder="1" applyAlignment="1">
      <alignment horizontal="left"/>
    </xf>
    <xf numFmtId="164" fontId="19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9" fontId="1" fillId="2" borderId="1" xfId="0" applyNumberFormat="1" applyFont="1" applyFill="1" applyBorder="1"/>
    <xf numFmtId="10" fontId="1" fillId="2" borderId="1" xfId="0" applyNumberFormat="1" applyFont="1" applyFill="1" applyBorder="1"/>
    <xf numFmtId="174" fontId="4" fillId="2" borderId="1" xfId="0" applyNumberFormat="1" applyFont="1" applyFill="1" applyBorder="1"/>
    <xf numFmtId="8" fontId="4" fillId="2" borderId="1" xfId="0" applyNumberFormat="1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174" fontId="1" fillId="3" borderId="23" xfId="0" applyNumberFormat="1" applyFont="1" applyFill="1" applyBorder="1"/>
    <xf numFmtId="174" fontId="1" fillId="3" borderId="24" xfId="0" applyNumberFormat="1" applyFont="1" applyFill="1" applyBorder="1"/>
    <xf numFmtId="0" fontId="7" fillId="2" borderId="66" xfId="0" applyFont="1" applyFill="1" applyBorder="1" applyAlignment="1">
      <alignment horizontal="center"/>
    </xf>
    <xf numFmtId="0" fontId="7" fillId="2" borderId="66" xfId="0" applyFont="1" applyFill="1" applyBorder="1"/>
    <xf numFmtId="0" fontId="7" fillId="2" borderId="27" xfId="0" applyFont="1" applyFill="1" applyBorder="1"/>
    <xf numFmtId="0" fontId="5" fillId="2" borderId="26" xfId="0" applyFont="1" applyFill="1" applyBorder="1"/>
    <xf numFmtId="166" fontId="29" fillId="2" borderId="27" xfId="0" applyNumberFormat="1" applyFont="1" applyFill="1" applyBorder="1"/>
    <xf numFmtId="166" fontId="29" fillId="2" borderId="28" xfId="0" applyNumberFormat="1" applyFont="1" applyFill="1" applyBorder="1"/>
    <xf numFmtId="0" fontId="1" fillId="2" borderId="29" xfId="0" applyFont="1" applyFill="1" applyBorder="1" applyAlignment="1">
      <alignment horizontal="center"/>
    </xf>
    <xf numFmtId="174" fontId="1" fillId="2" borderId="17" xfId="0" applyNumberFormat="1" applyFont="1" applyFill="1" applyBorder="1"/>
    <xf numFmtId="174" fontId="1" fillId="2" borderId="18" xfId="0" applyNumberFormat="1" applyFont="1" applyFill="1" applyBorder="1"/>
    <xf numFmtId="0" fontId="7" fillId="0" borderId="57" xfId="0" applyFont="1" applyBorder="1"/>
    <xf numFmtId="166" fontId="1" fillId="3" borderId="99" xfId="0" applyNumberFormat="1" applyFont="1" applyFill="1" applyBorder="1"/>
    <xf numFmtId="166" fontId="13" fillId="3" borderId="1" xfId="0" applyNumberFormat="1" applyFont="1" applyFill="1" applyBorder="1"/>
    <xf numFmtId="0" fontId="30" fillId="2" borderId="1" xfId="0" applyFont="1" applyFill="1" applyBorder="1"/>
    <xf numFmtId="0" fontId="7" fillId="0" borderId="70" xfId="0" applyFont="1" applyBorder="1"/>
    <xf numFmtId="0" fontId="16" fillId="0" borderId="142" xfId="0" applyFont="1" applyBorder="1" applyAlignment="1">
      <alignment horizontal="left"/>
    </xf>
    <xf numFmtId="0" fontId="7" fillId="0" borderId="22" xfId="0" applyFont="1" applyBorder="1"/>
    <xf numFmtId="0" fontId="16" fillId="0" borderId="71" xfId="0" applyFont="1" applyBorder="1" applyAlignment="1">
      <alignment horizontal="center"/>
    </xf>
    <xf numFmtId="166" fontId="1" fillId="3" borderId="143" xfId="0" applyNumberFormat="1" applyFont="1" applyFill="1" applyBorder="1"/>
    <xf numFmtId="0" fontId="7" fillId="0" borderId="82" xfId="0" applyFont="1" applyBorder="1"/>
    <xf numFmtId="166" fontId="7" fillId="6" borderId="119" xfId="0" applyNumberFormat="1" applyFont="1" applyFill="1" applyBorder="1"/>
    <xf numFmtId="0" fontId="14" fillId="3" borderId="1" xfId="0" applyFont="1" applyFill="1" applyBorder="1" applyAlignment="1">
      <alignment vertical="center"/>
    </xf>
    <xf numFmtId="166" fontId="32" fillId="3" borderId="1" xfId="0" applyNumberFormat="1" applyFont="1" applyFill="1" applyBorder="1" applyAlignment="1">
      <alignment horizontal="center"/>
    </xf>
    <xf numFmtId="0" fontId="31" fillId="0" borderId="7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13" fillId="0" borderId="7" xfId="0" applyFont="1" applyBorder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148" xfId="0" applyFont="1" applyBorder="1" applyAlignment="1">
      <alignment horizontal="left" vertical="center"/>
    </xf>
    <xf numFmtId="164" fontId="13" fillId="0" borderId="132" xfId="0" applyNumberFormat="1" applyFont="1" applyBorder="1" applyAlignment="1">
      <alignment horizontal="left" vertical="center"/>
    </xf>
    <xf numFmtId="164" fontId="13" fillId="0" borderId="149" xfId="0" applyNumberFormat="1" applyFont="1" applyBorder="1" applyAlignment="1">
      <alignment horizontal="left" vertical="center"/>
    </xf>
    <xf numFmtId="0" fontId="13" fillId="0" borderId="132" xfId="0" applyFont="1" applyBorder="1" applyAlignment="1">
      <alignment horizontal="left" vertical="center"/>
    </xf>
    <xf numFmtId="164" fontId="13" fillId="0" borderId="132" xfId="0" applyNumberFormat="1" applyFont="1" applyBorder="1" applyAlignment="1">
      <alignment horizontal="center" vertical="center"/>
    </xf>
    <xf numFmtId="164" fontId="13" fillId="0" borderId="149" xfId="0" applyNumberFormat="1" applyFont="1" applyBorder="1" applyAlignment="1">
      <alignment horizontal="center" vertical="center"/>
    </xf>
    <xf numFmtId="181" fontId="1" fillId="0" borderId="0" xfId="0" applyNumberFormat="1" applyFont="1"/>
    <xf numFmtId="0" fontId="6" fillId="3" borderId="1" xfId="0" applyFont="1" applyFill="1" applyBorder="1" applyAlignment="1">
      <alignment vertical="center"/>
    </xf>
    <xf numFmtId="10" fontId="1" fillId="3" borderId="1" xfId="0" applyNumberFormat="1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8" fontId="1" fillId="3" borderId="1" xfId="0" applyNumberFormat="1" applyFont="1" applyFill="1" applyBorder="1" applyAlignment="1">
      <alignment vertical="center"/>
    </xf>
    <xf numFmtId="0" fontId="21" fillId="9" borderId="97" xfId="0" applyFont="1" applyFill="1" applyBorder="1" applyAlignment="1">
      <alignment horizontal="center"/>
    </xf>
    <xf numFmtId="0" fontId="21" fillId="9" borderId="98" xfId="0" applyFont="1" applyFill="1" applyBorder="1" applyAlignment="1">
      <alignment horizontal="center"/>
    </xf>
    <xf numFmtId="0" fontId="21" fillId="9" borderId="99" xfId="0" applyFont="1" applyFill="1" applyBorder="1" applyAlignment="1">
      <alignment horizontal="center"/>
    </xf>
    <xf numFmtId="0" fontId="34" fillId="0" borderId="0" xfId="0" applyFont="1"/>
    <xf numFmtId="174" fontId="1" fillId="8" borderId="100" xfId="0" applyNumberFormat="1" applyFont="1" applyFill="1" applyBorder="1"/>
    <xf numFmtId="164" fontId="1" fillId="8" borderId="1" xfId="0" applyNumberFormat="1" applyFont="1" applyFill="1" applyBorder="1"/>
    <xf numFmtId="9" fontId="1" fillId="8" borderId="1" xfId="0" applyNumberFormat="1" applyFont="1" applyFill="1" applyBorder="1"/>
    <xf numFmtId="176" fontId="1" fillId="8" borderId="1" xfId="0" applyNumberFormat="1" applyFont="1" applyFill="1" applyBorder="1"/>
    <xf numFmtId="9" fontId="1" fillId="8" borderId="101" xfId="0" applyNumberFormat="1" applyFont="1" applyFill="1" applyBorder="1"/>
    <xf numFmtId="164" fontId="16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/>
    <xf numFmtId="0" fontId="1" fillId="3" borderId="1" xfId="0" applyFont="1" applyFill="1" applyBorder="1" applyAlignment="1">
      <alignment horizontal="center" wrapText="1"/>
    </xf>
    <xf numFmtId="8" fontId="1" fillId="3" borderId="1" xfId="0" applyNumberFormat="1" applyFont="1" applyFill="1" applyBorder="1" applyAlignment="1">
      <alignment horizontal="center" vertical="center"/>
    </xf>
    <xf numFmtId="174" fontId="1" fillId="4" borderId="100" xfId="0" applyNumberFormat="1" applyFont="1" applyFill="1" applyBorder="1"/>
    <xf numFmtId="164" fontId="1" fillId="4" borderId="1" xfId="0" applyNumberFormat="1" applyFont="1" applyFill="1" applyBorder="1"/>
    <xf numFmtId="9" fontId="1" fillId="4" borderId="1" xfId="0" applyNumberFormat="1" applyFont="1" applyFill="1" applyBorder="1"/>
    <xf numFmtId="176" fontId="1" fillId="4" borderId="1" xfId="0" applyNumberFormat="1" applyFont="1" applyFill="1" applyBorder="1"/>
    <xf numFmtId="9" fontId="1" fillId="4" borderId="101" xfId="0" applyNumberFormat="1" applyFont="1" applyFill="1" applyBorder="1"/>
    <xf numFmtId="0" fontId="7" fillId="0" borderId="1" xfId="0" applyFont="1" applyBorder="1" applyAlignment="1">
      <alignment horizontal="center" vertical="center"/>
    </xf>
    <xf numFmtId="164" fontId="7" fillId="0" borderId="83" xfId="0" applyNumberFormat="1" applyFont="1" applyBorder="1"/>
    <xf numFmtId="9" fontId="7" fillId="0" borderId="83" xfId="0" applyNumberFormat="1" applyFont="1" applyBorder="1"/>
    <xf numFmtId="10" fontId="7" fillId="3" borderId="118" xfId="0" applyNumberFormat="1" applyFont="1" applyFill="1" applyBorder="1"/>
    <xf numFmtId="168" fontId="7" fillId="3" borderId="119" xfId="0" applyNumberFormat="1" applyFont="1" applyFill="1" applyBorder="1"/>
    <xf numFmtId="0" fontId="1" fillId="0" borderId="37" xfId="0" applyFont="1" applyBorder="1"/>
    <xf numFmtId="164" fontId="1" fillId="0" borderId="1" xfId="0" applyNumberFormat="1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" fillId="0" borderId="1" xfId="0" applyFont="1" applyBorder="1"/>
    <xf numFmtId="0" fontId="1" fillId="0" borderId="32" xfId="0" applyFont="1" applyBorder="1"/>
    <xf numFmtId="166" fontId="36" fillId="2" borderId="1" xfId="0" applyNumberFormat="1" applyFont="1" applyFill="1" applyBorder="1" applyAlignment="1">
      <alignment vertical="center"/>
    </xf>
    <xf numFmtId="0" fontId="1" fillId="3" borderId="162" xfId="0" applyFont="1" applyFill="1" applyBorder="1"/>
    <xf numFmtId="176" fontId="1" fillId="0" borderId="0" xfId="0" applyNumberFormat="1" applyFont="1"/>
    <xf numFmtId="9" fontId="1" fillId="0" borderId="0" xfId="0" applyNumberFormat="1" applyFont="1"/>
    <xf numFmtId="174" fontId="1" fillId="2" borderId="29" xfId="0" applyNumberFormat="1" applyFont="1" applyFill="1" applyBorder="1"/>
    <xf numFmtId="10" fontId="1" fillId="0" borderId="0" xfId="0" applyNumberFormat="1" applyFont="1"/>
    <xf numFmtId="10" fontId="16" fillId="0" borderId="129" xfId="0" applyNumberFormat="1" applyFont="1" applyBorder="1" applyAlignment="1">
      <alignment horizontal="center"/>
    </xf>
    <xf numFmtId="0" fontId="16" fillId="0" borderId="83" xfId="0" applyFont="1" applyBorder="1"/>
    <xf numFmtId="10" fontId="16" fillId="0" borderId="166" xfId="0" applyNumberFormat="1" applyFont="1" applyBorder="1" applyAlignment="1">
      <alignment horizontal="center"/>
    </xf>
    <xf numFmtId="10" fontId="16" fillId="0" borderId="130" xfId="0" applyNumberFormat="1" applyFont="1" applyBorder="1"/>
    <xf numFmtId="0" fontId="1" fillId="0" borderId="149" xfId="0" applyFont="1" applyBorder="1"/>
    <xf numFmtId="0" fontId="27" fillId="2" borderId="75" xfId="0" applyFont="1" applyFill="1" applyBorder="1"/>
    <xf numFmtId="10" fontId="7" fillId="2" borderId="77" xfId="0" applyNumberFormat="1" applyFont="1" applyFill="1" applyBorder="1"/>
    <xf numFmtId="0" fontId="27" fillId="2" borderId="23" xfId="0" applyFont="1" applyFill="1" applyBorder="1"/>
    <xf numFmtId="10" fontId="7" fillId="2" borderId="25" xfId="0" applyNumberFormat="1" applyFont="1" applyFill="1" applyBorder="1"/>
    <xf numFmtId="0" fontId="7" fillId="2" borderId="26" xfId="0" applyFont="1" applyFill="1" applyBorder="1"/>
    <xf numFmtId="10" fontId="7" fillId="2" borderId="28" xfId="0" applyNumberFormat="1" applyFont="1" applyFill="1" applyBorder="1"/>
    <xf numFmtId="0" fontId="1" fillId="2" borderId="1" xfId="0" applyFont="1" applyFill="1" applyBorder="1" applyAlignment="1">
      <alignment horizontal="center"/>
    </xf>
    <xf numFmtId="174" fontId="1" fillId="2" borderId="1" xfId="0" applyNumberFormat="1" applyFont="1" applyFill="1" applyBorder="1" applyAlignment="1">
      <alignment horizontal="center"/>
    </xf>
    <xf numFmtId="0" fontId="1" fillId="2" borderId="56" xfId="0" applyFont="1" applyFill="1" applyBorder="1"/>
    <xf numFmtId="174" fontId="1" fillId="2" borderId="168" xfId="0" applyNumberFormat="1" applyFont="1" applyFill="1" applyBorder="1"/>
    <xf numFmtId="164" fontId="1" fillId="2" borderId="45" xfId="0" applyNumberFormat="1" applyFont="1" applyFill="1" applyBorder="1"/>
    <xf numFmtId="6" fontId="1" fillId="2" borderId="56" xfId="0" applyNumberFormat="1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174" fontId="1" fillId="2" borderId="162" xfId="0" applyNumberFormat="1" applyFont="1" applyFill="1" applyBorder="1"/>
    <xf numFmtId="164" fontId="1" fillId="2" borderId="1" xfId="0" applyNumberFormat="1" applyFont="1" applyFill="1" applyBorder="1"/>
    <xf numFmtId="0" fontId="7" fillId="0" borderId="58" xfId="0" applyFont="1" applyBorder="1"/>
    <xf numFmtId="0" fontId="9" fillId="0" borderId="15" xfId="0" applyFont="1" applyBorder="1"/>
    <xf numFmtId="0" fontId="11" fillId="2" borderId="65" xfId="0" applyFont="1" applyFill="1" applyBorder="1"/>
    <xf numFmtId="0" fontId="11" fillId="2" borderId="56" xfId="0" applyFont="1" applyFill="1" applyBorder="1"/>
    <xf numFmtId="0" fontId="7" fillId="2" borderId="76" xfId="0" applyFont="1" applyFill="1" applyBorder="1"/>
    <xf numFmtId="0" fontId="7" fillId="2" borderId="14" xfId="0" applyFont="1" applyFill="1" applyBorder="1"/>
    <xf numFmtId="0" fontId="7" fillId="0" borderId="70" xfId="0" applyFont="1" applyBorder="1" applyAlignment="1">
      <alignment vertical="center"/>
    </xf>
    <xf numFmtId="0" fontId="13" fillId="0" borderId="142" xfId="0" applyFont="1" applyBorder="1" applyAlignment="1">
      <alignment horizontal="left" vertical="center"/>
    </xf>
    <xf numFmtId="0" fontId="7" fillId="0" borderId="22" xfId="0" applyFont="1" applyBorder="1" applyAlignment="1">
      <alignment vertical="center"/>
    </xf>
    <xf numFmtId="0" fontId="13" fillId="0" borderId="71" xfId="0" applyFont="1" applyBorder="1" applyAlignment="1">
      <alignment vertical="center"/>
    </xf>
    <xf numFmtId="0" fontId="16" fillId="2" borderId="65" xfId="0" applyFont="1" applyFill="1" applyBorder="1"/>
    <xf numFmtId="10" fontId="16" fillId="2" borderId="56" xfId="0" applyNumberFormat="1" applyFont="1" applyFill="1" applyBorder="1"/>
    <xf numFmtId="174" fontId="16" fillId="2" borderId="56" xfId="0" applyNumberFormat="1" applyFont="1" applyFill="1" applyBorder="1"/>
    <xf numFmtId="164" fontId="1" fillId="2" borderId="56" xfId="0" applyNumberFormat="1" applyFont="1" applyFill="1" applyBorder="1"/>
    <xf numFmtId="0" fontId="7" fillId="0" borderId="83" xfId="0" applyFont="1" applyBorder="1"/>
    <xf numFmtId="9" fontId="1" fillId="2" borderId="55" xfId="0" applyNumberFormat="1" applyFont="1" applyFill="1" applyBorder="1"/>
    <xf numFmtId="0" fontId="1" fillId="2" borderId="24" xfId="0" applyFont="1" applyFill="1" applyBorder="1"/>
    <xf numFmtId="174" fontId="7" fillId="2" borderId="28" xfId="0" applyNumberFormat="1" applyFont="1" applyFill="1" applyBorder="1"/>
    <xf numFmtId="0" fontId="7" fillId="2" borderId="28" xfId="0" applyFont="1" applyFill="1" applyBorder="1"/>
    <xf numFmtId="0" fontId="7" fillId="2" borderId="28" xfId="0" applyFont="1" applyFill="1" applyBorder="1" applyAlignment="1">
      <alignment horizontal="center"/>
    </xf>
    <xf numFmtId="0" fontId="1" fillId="2" borderId="169" xfId="0" applyFont="1" applyFill="1" applyBorder="1"/>
    <xf numFmtId="170" fontId="1" fillId="2" borderId="29" xfId="0" applyNumberFormat="1" applyFont="1" applyFill="1" applyBorder="1"/>
    <xf numFmtId="0" fontId="1" fillId="2" borderId="170" xfId="0" applyFont="1" applyFill="1" applyBorder="1" applyAlignment="1">
      <alignment horizontal="center"/>
    </xf>
    <xf numFmtId="0" fontId="1" fillId="2" borderId="171" xfId="0" applyFont="1" applyFill="1" applyBorder="1" applyAlignment="1">
      <alignment horizontal="center"/>
    </xf>
    <xf numFmtId="0" fontId="1" fillId="2" borderId="172" xfId="0" applyFont="1" applyFill="1" applyBorder="1" applyAlignment="1">
      <alignment horizontal="center"/>
    </xf>
    <xf numFmtId="0" fontId="1" fillId="2" borderId="173" xfId="0" applyFont="1" applyFill="1" applyBorder="1"/>
    <xf numFmtId="0" fontId="1" fillId="2" borderId="174" xfId="0" applyFont="1" applyFill="1" applyBorder="1" applyAlignment="1">
      <alignment horizontal="center"/>
    </xf>
    <xf numFmtId="0" fontId="1" fillId="2" borderId="66" xfId="0" applyFont="1" applyFill="1" applyBorder="1"/>
    <xf numFmtId="10" fontId="1" fillId="2" borderId="25" xfId="0" applyNumberFormat="1" applyFont="1" applyFill="1" applyBorder="1"/>
    <xf numFmtId="174" fontId="1" fillId="2" borderId="1" xfId="0" applyNumberFormat="1" applyFont="1" applyFill="1" applyBorder="1" applyAlignment="1">
      <alignment horizontal="left"/>
    </xf>
    <xf numFmtId="8" fontId="1" fillId="0" borderId="15" xfId="0" applyNumberFormat="1" applyFont="1" applyBorder="1"/>
    <xf numFmtId="0" fontId="1" fillId="2" borderId="1" xfId="0" applyFont="1" applyFill="1" applyBorder="1" applyAlignment="1">
      <alignment horizontal="left"/>
    </xf>
    <xf numFmtId="171" fontId="1" fillId="2" borderId="174" xfId="0" applyNumberFormat="1" applyFont="1" applyFill="1" applyBorder="1" applyAlignment="1">
      <alignment horizontal="center"/>
    </xf>
    <xf numFmtId="174" fontId="1" fillId="0" borderId="15" xfId="0" applyNumberFormat="1" applyFont="1" applyBorder="1"/>
    <xf numFmtId="174" fontId="1" fillId="2" borderId="75" xfId="0" applyNumberFormat="1" applyFont="1" applyFill="1" applyBorder="1"/>
    <xf numFmtId="0" fontId="1" fillId="2" borderId="77" xfId="0" applyFont="1" applyFill="1" applyBorder="1" applyAlignment="1">
      <alignment horizontal="left"/>
    </xf>
    <xf numFmtId="174" fontId="1" fillId="2" borderId="16" xfId="0" applyNumberFormat="1" applyFont="1" applyFill="1" applyBorder="1"/>
    <xf numFmtId="0" fontId="1" fillId="2" borderId="17" xfId="0" applyFont="1" applyFill="1" applyBorder="1" applyAlignment="1">
      <alignment horizontal="left"/>
    </xf>
    <xf numFmtId="174" fontId="1" fillId="2" borderId="23" xfId="0" applyNumberFormat="1" applyFont="1" applyFill="1" applyBorder="1"/>
    <xf numFmtId="174" fontId="1" fillId="2" borderId="25" xfId="0" applyNumberFormat="1" applyFont="1" applyFill="1" applyBorder="1" applyAlignment="1">
      <alignment horizontal="left"/>
    </xf>
    <xf numFmtId="171" fontId="1" fillId="2" borderId="169" xfId="0" applyNumberFormat="1" applyFont="1" applyFill="1" applyBorder="1" applyAlignment="1">
      <alignment horizontal="center"/>
    </xf>
    <xf numFmtId="174" fontId="1" fillId="2" borderId="17" xfId="0" applyNumberFormat="1" applyFont="1" applyFill="1" applyBorder="1" applyAlignment="1">
      <alignment horizontal="center"/>
    </xf>
    <xf numFmtId="174" fontId="1" fillId="2" borderId="17" xfId="0" applyNumberFormat="1" applyFont="1" applyFill="1" applyBorder="1" applyAlignment="1">
      <alignment horizontal="left"/>
    </xf>
    <xf numFmtId="8" fontId="16" fillId="3" borderId="1" xfId="0" applyNumberFormat="1" applyFont="1" applyFill="1" applyBorder="1"/>
    <xf numFmtId="0" fontId="40" fillId="3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horizontal="center"/>
    </xf>
    <xf numFmtId="0" fontId="21" fillId="11" borderId="97" xfId="0" applyFont="1" applyFill="1" applyBorder="1" applyAlignment="1">
      <alignment horizontal="center" vertical="center"/>
    </xf>
    <xf numFmtId="0" fontId="21" fillId="11" borderId="98" xfId="0" applyFont="1" applyFill="1" applyBorder="1" applyAlignment="1">
      <alignment horizontal="center" vertical="center"/>
    </xf>
    <xf numFmtId="0" fontId="21" fillId="11" borderId="98" xfId="0" applyFont="1" applyFill="1" applyBorder="1" applyAlignment="1">
      <alignment vertical="center"/>
    </xf>
    <xf numFmtId="0" fontId="21" fillId="11" borderId="99" xfId="0" applyFont="1" applyFill="1" applyBorder="1" applyAlignment="1">
      <alignment horizontal="center" vertical="center"/>
    </xf>
    <xf numFmtId="174" fontId="1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horizontal="center"/>
    </xf>
    <xf numFmtId="9" fontId="1" fillId="8" borderId="101" xfId="0" applyNumberFormat="1" applyFont="1" applyFill="1" applyBorder="1" applyAlignment="1">
      <alignment horizontal="center"/>
    </xf>
    <xf numFmtId="174" fontId="1" fillId="4" borderId="1" xfId="0" applyNumberFormat="1" applyFont="1" applyFill="1" applyBorder="1" applyAlignment="1">
      <alignment horizontal="center" vertical="center"/>
    </xf>
    <xf numFmtId="9" fontId="1" fillId="4" borderId="1" xfId="0" applyNumberFormat="1" applyFont="1" applyFill="1" applyBorder="1" applyAlignment="1">
      <alignment horizontal="center"/>
    </xf>
    <xf numFmtId="9" fontId="1" fillId="4" borderId="101" xfId="0" applyNumberFormat="1" applyFont="1" applyFill="1" applyBorder="1" applyAlignment="1">
      <alignment horizontal="center"/>
    </xf>
    <xf numFmtId="174" fontId="1" fillId="4" borderId="1" xfId="0" applyNumberFormat="1" applyFont="1" applyFill="1" applyBorder="1" applyAlignment="1">
      <alignment vertical="center"/>
    </xf>
    <xf numFmtId="0" fontId="11" fillId="3" borderId="1" xfId="0" applyFont="1" applyFill="1" applyBorder="1"/>
    <xf numFmtId="178" fontId="1" fillId="3" borderId="1" xfId="0" applyNumberFormat="1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174" fontId="1" fillId="8" borderId="178" xfId="0" applyNumberFormat="1" applyFont="1" applyFill="1" applyBorder="1"/>
    <xf numFmtId="174" fontId="1" fillId="8" borderId="32" xfId="0" applyNumberFormat="1" applyFont="1" applyFill="1" applyBorder="1" applyAlignment="1">
      <alignment vertical="center"/>
    </xf>
    <xf numFmtId="9" fontId="1" fillId="8" borderId="32" xfId="0" applyNumberFormat="1" applyFont="1" applyFill="1" applyBorder="1" applyAlignment="1">
      <alignment horizontal="center"/>
    </xf>
    <xf numFmtId="9" fontId="1" fillId="8" borderId="32" xfId="0" applyNumberFormat="1" applyFont="1" applyFill="1" applyBorder="1" applyAlignment="1">
      <alignment horizontal="right"/>
    </xf>
    <xf numFmtId="9" fontId="20" fillId="5" borderId="179" xfId="0" applyNumberFormat="1" applyFont="1" applyFill="1" applyBorder="1" applyAlignment="1">
      <alignment horizontal="center" vertical="center"/>
    </xf>
    <xf numFmtId="176" fontId="6" fillId="3" borderId="1" xfId="0" applyNumberFormat="1" applyFont="1" applyFill="1" applyBorder="1" applyAlignment="1">
      <alignment horizontal="center" vertical="center"/>
    </xf>
    <xf numFmtId="176" fontId="6" fillId="3" borderId="1" xfId="0" applyNumberFormat="1" applyFont="1" applyFill="1" applyBorder="1" applyAlignment="1">
      <alignment horizontal="center"/>
    </xf>
    <xf numFmtId="0" fontId="7" fillId="6" borderId="117" xfId="0" applyFont="1" applyFill="1" applyBorder="1" applyAlignment="1">
      <alignment vertical="center"/>
    </xf>
    <xf numFmtId="164" fontId="19" fillId="6" borderId="118" xfId="0" applyNumberFormat="1" applyFont="1" applyFill="1" applyBorder="1" applyAlignment="1">
      <alignment vertical="center"/>
    </xf>
    <xf numFmtId="174" fontId="19" fillId="6" borderId="119" xfId="0" applyNumberFormat="1" applyFont="1" applyFill="1" applyBorder="1" applyAlignment="1">
      <alignment horizontal="center" vertical="center"/>
    </xf>
    <xf numFmtId="174" fontId="1" fillId="0" borderId="0" xfId="0" applyNumberFormat="1" applyFont="1"/>
    <xf numFmtId="164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left"/>
    </xf>
    <xf numFmtId="0" fontId="21" fillId="11" borderId="181" xfId="0" applyFont="1" applyFill="1" applyBorder="1" applyAlignment="1">
      <alignment horizontal="center"/>
    </xf>
    <xf numFmtId="0" fontId="21" fillId="11" borderId="33" xfId="0" applyFont="1" applyFill="1" applyBorder="1" applyAlignment="1">
      <alignment horizontal="center"/>
    </xf>
    <xf numFmtId="0" fontId="21" fillId="11" borderId="33" xfId="0" applyFont="1" applyFill="1" applyBorder="1"/>
    <xf numFmtId="0" fontId="21" fillId="11" borderId="182" xfId="0" applyFont="1" applyFill="1" applyBorder="1" applyAlignment="1">
      <alignment horizontal="center"/>
    </xf>
    <xf numFmtId="164" fontId="1" fillId="8" borderId="1" xfId="0" applyNumberFormat="1" applyFont="1" applyFill="1" applyBorder="1" applyAlignment="1">
      <alignment horizontal="center"/>
    </xf>
    <xf numFmtId="171" fontId="1" fillId="8" borderId="101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/>
    </xf>
    <xf numFmtId="171" fontId="1" fillId="4" borderId="10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/>
    <xf numFmtId="174" fontId="1" fillId="4" borderId="178" xfId="0" applyNumberFormat="1" applyFont="1" applyFill="1" applyBorder="1"/>
    <xf numFmtId="164" fontId="1" fillId="4" borderId="32" xfId="0" applyNumberFormat="1" applyFont="1" applyFill="1" applyBorder="1"/>
    <xf numFmtId="164" fontId="1" fillId="4" borderId="32" xfId="0" applyNumberFormat="1" applyFont="1" applyFill="1" applyBorder="1" applyAlignment="1">
      <alignment horizontal="center"/>
    </xf>
    <xf numFmtId="9" fontId="1" fillId="4" borderId="32" xfId="0" applyNumberFormat="1" applyFont="1" applyFill="1" applyBorder="1" applyAlignment="1">
      <alignment horizontal="center"/>
    </xf>
    <xf numFmtId="9" fontId="1" fillId="4" borderId="183" xfId="0" applyNumberFormat="1" applyFont="1" applyFill="1" applyBorder="1" applyAlignment="1">
      <alignment horizontal="center" vertical="center"/>
    </xf>
    <xf numFmtId="166" fontId="16" fillId="3" borderId="1" xfId="0" applyNumberFormat="1" applyFont="1" applyFill="1" applyBorder="1" applyAlignment="1">
      <alignment horizontal="center"/>
    </xf>
    <xf numFmtId="164" fontId="7" fillId="6" borderId="118" xfId="0" applyNumberFormat="1" applyFont="1" applyFill="1" applyBorder="1" applyAlignment="1">
      <alignment vertical="center"/>
    </xf>
    <xf numFmtId="0" fontId="7" fillId="6" borderId="118" xfId="0" applyFont="1" applyFill="1" applyBorder="1" applyAlignment="1">
      <alignment vertical="center"/>
    </xf>
    <xf numFmtId="0" fontId="1" fillId="6" borderId="118" xfId="0" applyFont="1" applyFill="1" applyBorder="1" applyAlignment="1">
      <alignment vertical="center"/>
    </xf>
    <xf numFmtId="164" fontId="7" fillId="6" borderId="119" xfId="0" applyNumberFormat="1" applyFont="1" applyFill="1" applyBorder="1" applyAlignment="1">
      <alignment horizontal="center" vertical="center"/>
    </xf>
    <xf numFmtId="164" fontId="19" fillId="0" borderId="0" xfId="0" applyNumberFormat="1" applyFont="1" applyAlignment="1">
      <alignment horizontal="center"/>
    </xf>
    <xf numFmtId="0" fontId="1" fillId="2" borderId="23" xfId="0" applyFont="1" applyFill="1" applyBorder="1"/>
    <xf numFmtId="0" fontId="1" fillId="2" borderId="162" xfId="0" applyFont="1" applyFill="1" applyBorder="1"/>
    <xf numFmtId="0" fontId="16" fillId="2" borderId="1" xfId="0" applyFont="1" applyFill="1" applyBorder="1" applyAlignment="1">
      <alignment horizontal="left"/>
    </xf>
    <xf numFmtId="0" fontId="19" fillId="2" borderId="184" xfId="0" applyFont="1" applyFill="1" applyBorder="1" applyAlignment="1">
      <alignment horizontal="center"/>
    </xf>
    <xf numFmtId="0" fontId="19" fillId="2" borderId="185" xfId="0" applyFont="1" applyFill="1" applyBorder="1" applyAlignment="1">
      <alignment horizontal="center"/>
    </xf>
    <xf numFmtId="0" fontId="19" fillId="2" borderId="55" xfId="0" applyFont="1" applyFill="1" applyBorder="1" applyAlignment="1">
      <alignment horizontal="center"/>
    </xf>
    <xf numFmtId="176" fontId="1" fillId="2" borderId="1" xfId="0" applyNumberFormat="1" applyFont="1" applyFill="1" applyBorder="1"/>
    <xf numFmtId="9" fontId="1" fillId="2" borderId="51" xfId="0" applyNumberFormat="1" applyFont="1" applyFill="1" applyBorder="1"/>
    <xf numFmtId="0" fontId="16" fillId="2" borderId="1" xfId="0" applyFont="1" applyFill="1" applyBorder="1" applyAlignment="1">
      <alignment horizontal="right"/>
    </xf>
    <xf numFmtId="0" fontId="7" fillId="2" borderId="184" xfId="0" applyFont="1" applyFill="1" applyBorder="1"/>
    <xf numFmtId="164" fontId="7" fillId="2" borderId="185" xfId="0" applyNumberFormat="1" applyFont="1" applyFill="1" applyBorder="1"/>
    <xf numFmtId="9" fontId="7" fillId="2" borderId="185" xfId="0" applyNumberFormat="1" applyFont="1" applyFill="1" applyBorder="1"/>
    <xf numFmtId="10" fontId="7" fillId="2" borderId="185" xfId="0" applyNumberFormat="1" applyFont="1" applyFill="1" applyBorder="1"/>
    <xf numFmtId="168" fontId="7" fillId="2" borderId="55" xfId="0" applyNumberFormat="1" applyFont="1" applyFill="1" applyBorder="1"/>
    <xf numFmtId="0" fontId="7" fillId="2" borderId="1" xfId="0" applyFont="1" applyFill="1" applyBorder="1" applyAlignment="1">
      <alignment vertical="center"/>
    </xf>
    <xf numFmtId="0" fontId="24" fillId="2" borderId="51" xfId="0" applyFont="1" applyFill="1" applyBorder="1" applyAlignment="1">
      <alignment vertical="center" wrapText="1"/>
    </xf>
    <xf numFmtId="0" fontId="11" fillId="2" borderId="1" xfId="0" applyFont="1" applyFill="1" applyBorder="1"/>
    <xf numFmtId="178" fontId="1" fillId="2" borderId="1" xfId="0" applyNumberFormat="1" applyFont="1" applyFill="1" applyBorder="1"/>
    <xf numFmtId="178" fontId="1" fillId="2" borderId="1" xfId="0" applyNumberFormat="1" applyFont="1" applyFill="1" applyBorder="1" applyAlignment="1">
      <alignment horizontal="center"/>
    </xf>
    <xf numFmtId="0" fontId="28" fillId="2" borderId="162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28" fillId="2" borderId="51" xfId="0" applyFont="1" applyFill="1" applyBorder="1" applyAlignment="1">
      <alignment horizontal="center"/>
    </xf>
    <xf numFmtId="0" fontId="27" fillId="2" borderId="168" xfId="0" applyFont="1" applyFill="1" applyBorder="1" applyAlignment="1">
      <alignment horizontal="center"/>
    </xf>
    <xf numFmtId="0" fontId="27" fillId="2" borderId="46" xfId="0" applyFont="1" applyFill="1" applyBorder="1" applyAlignment="1">
      <alignment horizontal="center"/>
    </xf>
    <xf numFmtId="0" fontId="27" fillId="2" borderId="162" xfId="0" applyFont="1" applyFill="1" applyBorder="1" applyAlignment="1">
      <alignment horizontal="center"/>
    </xf>
    <xf numFmtId="0" fontId="27" fillId="2" borderId="51" xfId="0" applyFont="1" applyFill="1" applyBorder="1" applyAlignment="1">
      <alignment horizontal="center"/>
    </xf>
    <xf numFmtId="176" fontId="6" fillId="2" borderId="192" xfId="0" applyNumberFormat="1" applyFont="1" applyFill="1" applyBorder="1" applyAlignment="1">
      <alignment horizontal="center" vertical="center"/>
    </xf>
    <xf numFmtId="0" fontId="27" fillId="2" borderId="133" xfId="0" applyFont="1" applyFill="1" applyBorder="1" applyAlignment="1">
      <alignment horizontal="center"/>
    </xf>
    <xf numFmtId="176" fontId="6" fillId="2" borderId="134" xfId="0" applyNumberFormat="1" applyFont="1" applyFill="1" applyBorder="1" applyAlignment="1">
      <alignment horizontal="center" vertical="center"/>
    </xf>
    <xf numFmtId="176" fontId="6" fillId="2" borderId="192" xfId="0" applyNumberFormat="1" applyFont="1" applyFill="1" applyBorder="1" applyAlignment="1">
      <alignment horizontal="center"/>
    </xf>
    <xf numFmtId="176" fontId="6" fillId="2" borderId="134" xfId="0" applyNumberFormat="1" applyFont="1" applyFill="1" applyBorder="1" applyAlignment="1">
      <alignment horizontal="center"/>
    </xf>
    <xf numFmtId="10" fontId="16" fillId="2" borderId="55" xfId="0" applyNumberFormat="1" applyFont="1" applyFill="1" applyBorder="1" applyAlignment="1">
      <alignment horizontal="center"/>
    </xf>
    <xf numFmtId="0" fontId="16" fillId="2" borderId="184" xfId="0" applyFont="1" applyFill="1" applyBorder="1"/>
    <xf numFmtId="10" fontId="16" fillId="2" borderId="185" xfId="0" applyNumberFormat="1" applyFont="1" applyFill="1" applyBorder="1"/>
    <xf numFmtId="0" fontId="16" fillId="2" borderId="185" xfId="0" applyFont="1" applyFill="1" applyBorder="1" applyAlignment="1">
      <alignment horizontal="left"/>
    </xf>
    <xf numFmtId="0" fontId="1" fillId="2" borderId="185" xfId="0" applyFont="1" applyFill="1" applyBorder="1"/>
    <xf numFmtId="0" fontId="1" fillId="0" borderId="47" xfId="0" applyFont="1" applyBorder="1"/>
    <xf numFmtId="0" fontId="1" fillId="0" borderId="48" xfId="0" applyFont="1" applyBorder="1"/>
    <xf numFmtId="0" fontId="1" fillId="0" borderId="49" xfId="0" applyFont="1" applyBorder="1"/>
    <xf numFmtId="0" fontId="7" fillId="8" borderId="170" xfId="0" applyFont="1" applyFill="1" applyBorder="1"/>
    <xf numFmtId="0" fontId="7" fillId="8" borderId="204" xfId="0" applyFont="1" applyFill="1" applyBorder="1"/>
    <xf numFmtId="0" fontId="7" fillId="8" borderId="171" xfId="0" applyFont="1" applyFill="1" applyBorder="1"/>
    <xf numFmtId="0" fontId="7" fillId="8" borderId="172" xfId="0" applyFont="1" applyFill="1" applyBorder="1"/>
    <xf numFmtId="0" fontId="7" fillId="0" borderId="170" xfId="0" applyFont="1" applyBorder="1"/>
    <xf numFmtId="0" fontId="7" fillId="0" borderId="171" xfId="0" applyFont="1" applyBorder="1"/>
    <xf numFmtId="0" fontId="7" fillId="0" borderId="205" xfId="0" applyFont="1" applyBorder="1"/>
    <xf numFmtId="0" fontId="7" fillId="0" borderId="172" xfId="0" applyFont="1" applyBorder="1"/>
    <xf numFmtId="0" fontId="7" fillId="0" borderId="49" xfId="0" applyFont="1" applyBorder="1"/>
    <xf numFmtId="0" fontId="1" fillId="0" borderId="206" xfId="0" applyFont="1" applyBorder="1"/>
    <xf numFmtId="0" fontId="1" fillId="0" borderId="207" xfId="0" applyFont="1" applyBorder="1"/>
    <xf numFmtId="166" fontId="1" fillId="8" borderId="65" xfId="0" applyNumberFormat="1" applyFont="1" applyFill="1" applyBorder="1"/>
    <xf numFmtId="0" fontId="1" fillId="8" borderId="184" xfId="0" applyFont="1" applyFill="1" applyBorder="1"/>
    <xf numFmtId="164" fontId="1" fillId="8" borderId="65" xfId="0" applyNumberFormat="1" applyFont="1" applyFill="1" applyBorder="1"/>
    <xf numFmtId="164" fontId="1" fillId="8" borderId="56" xfId="0" applyNumberFormat="1" applyFont="1" applyFill="1" applyBorder="1"/>
    <xf numFmtId="166" fontId="1" fillId="8" borderId="56" xfId="0" applyNumberFormat="1" applyFont="1" applyFill="1" applyBorder="1"/>
    <xf numFmtId="174" fontId="1" fillId="8" borderId="56" xfId="0" applyNumberFormat="1" applyFont="1" applyFill="1" applyBorder="1"/>
    <xf numFmtId="174" fontId="1" fillId="8" borderId="208" xfId="0" applyNumberFormat="1" applyFont="1" applyFill="1" applyBorder="1"/>
    <xf numFmtId="166" fontId="1" fillId="0" borderId="65" xfId="0" applyNumberFormat="1" applyFont="1" applyBorder="1"/>
    <xf numFmtId="164" fontId="1" fillId="0" borderId="56" xfId="0" applyNumberFormat="1" applyFont="1" applyBorder="1"/>
    <xf numFmtId="166" fontId="1" fillId="0" borderId="56" xfId="0" applyNumberFormat="1" applyFont="1" applyBorder="1"/>
    <xf numFmtId="166" fontId="1" fillId="0" borderId="135" xfId="0" applyNumberFormat="1" applyFont="1" applyBorder="1"/>
    <xf numFmtId="166" fontId="1" fillId="0" borderId="208" xfId="0" applyNumberFormat="1" applyFont="1" applyBorder="1"/>
    <xf numFmtId="0" fontId="7" fillId="0" borderId="135" xfId="0" applyFont="1" applyBorder="1"/>
    <xf numFmtId="0" fontId="16" fillId="0" borderId="136" xfId="0" applyFont="1" applyBorder="1"/>
    <xf numFmtId="0" fontId="7" fillId="0" borderId="137" xfId="0" applyFont="1" applyBorder="1" applyAlignment="1">
      <alignment horizontal="left"/>
    </xf>
    <xf numFmtId="0" fontId="7" fillId="0" borderId="203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74" fontId="16" fillId="0" borderId="0" xfId="0" applyNumberFormat="1" applyFont="1" applyAlignment="1">
      <alignment horizontal="left"/>
    </xf>
    <xf numFmtId="0" fontId="16" fillId="0" borderId="5" xfId="0" applyFont="1" applyBorder="1" applyAlignment="1">
      <alignment horizontal="left"/>
    </xf>
    <xf numFmtId="0" fontId="7" fillId="0" borderId="5" xfId="0" applyFont="1" applyBorder="1"/>
    <xf numFmtId="0" fontId="16" fillId="0" borderId="5" xfId="0" applyFont="1" applyBorder="1"/>
    <xf numFmtId="0" fontId="7" fillId="0" borderId="5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7" fillId="0" borderId="137" xfId="0" applyFont="1" applyBorder="1"/>
    <xf numFmtId="0" fontId="7" fillId="0" borderId="203" xfId="0" applyFont="1" applyBorder="1"/>
    <xf numFmtId="0" fontId="7" fillId="0" borderId="48" xfId="0" applyFont="1" applyBorder="1"/>
    <xf numFmtId="0" fontId="7" fillId="0" borderId="49" xfId="0" applyFont="1" applyBorder="1" applyAlignment="1">
      <alignment horizontal="center"/>
    </xf>
    <xf numFmtId="174" fontId="1" fillId="0" borderId="213" xfId="0" applyNumberFormat="1" applyFont="1" applyBorder="1"/>
    <xf numFmtId="164" fontId="1" fillId="0" borderId="7" xfId="0" applyNumberFormat="1" applyFont="1" applyBorder="1"/>
    <xf numFmtId="9" fontId="1" fillId="0" borderId="214" xfId="0" applyNumberFormat="1" applyFont="1" applyBorder="1"/>
    <xf numFmtId="176" fontId="1" fillId="3" borderId="1" xfId="0" applyNumberFormat="1" applyFont="1" applyFill="1" applyBorder="1"/>
    <xf numFmtId="9" fontId="1" fillId="0" borderId="215" xfId="0" applyNumberFormat="1" applyFont="1" applyBorder="1"/>
    <xf numFmtId="0" fontId="27" fillId="14" borderId="75" xfId="0" applyFont="1" applyFill="1" applyBorder="1"/>
    <xf numFmtId="10" fontId="7" fillId="14" borderId="77" xfId="0" applyNumberFormat="1" applyFont="1" applyFill="1" applyBorder="1"/>
    <xf numFmtId="0" fontId="27" fillId="0" borderId="23" xfId="0" applyFont="1" applyBorder="1"/>
    <xf numFmtId="10" fontId="7" fillId="0" borderId="25" xfId="0" applyNumberFormat="1" applyFont="1" applyBorder="1"/>
    <xf numFmtId="10" fontId="7" fillId="3" borderId="28" xfId="0" applyNumberFormat="1" applyFont="1" applyFill="1" applyBorder="1"/>
    <xf numFmtId="164" fontId="7" fillId="0" borderId="203" xfId="0" applyNumberFormat="1" applyFont="1" applyBorder="1"/>
    <xf numFmtId="9" fontId="7" fillId="0" borderId="203" xfId="0" applyNumberFormat="1" applyFont="1" applyBorder="1"/>
    <xf numFmtId="10" fontId="7" fillId="3" borderId="27" xfId="0" applyNumberFormat="1" applyFont="1" applyFill="1" applyBorder="1"/>
    <xf numFmtId="168" fontId="7" fillId="3" borderId="28" xfId="0" applyNumberFormat="1" applyFont="1" applyFill="1" applyBorder="1"/>
    <xf numFmtId="166" fontId="1" fillId="8" borderId="216" xfId="0" applyNumberFormat="1" applyFont="1" applyFill="1" applyBorder="1"/>
    <xf numFmtId="0" fontId="1" fillId="8" borderId="217" xfId="0" applyFont="1" applyFill="1" applyBorder="1"/>
    <xf numFmtId="164" fontId="1" fillId="8" borderId="216" xfId="0" applyNumberFormat="1" applyFont="1" applyFill="1" applyBorder="1"/>
    <xf numFmtId="164" fontId="1" fillId="8" borderId="218" xfId="0" applyNumberFormat="1" applyFont="1" applyFill="1" applyBorder="1"/>
    <xf numFmtId="166" fontId="1" fillId="8" borderId="218" xfId="0" applyNumberFormat="1" applyFont="1" applyFill="1" applyBorder="1"/>
    <xf numFmtId="174" fontId="1" fillId="8" borderId="218" xfId="0" applyNumberFormat="1" applyFont="1" applyFill="1" applyBorder="1"/>
    <xf numFmtId="174" fontId="1" fillId="8" borderId="219" xfId="0" applyNumberFormat="1" applyFont="1" applyFill="1" applyBorder="1"/>
    <xf numFmtId="166" fontId="1" fillId="0" borderId="216" xfId="0" applyNumberFormat="1" applyFont="1" applyBorder="1"/>
    <xf numFmtId="164" fontId="1" fillId="0" borderId="218" xfId="0" applyNumberFormat="1" applyFont="1" applyBorder="1"/>
    <xf numFmtId="166" fontId="1" fillId="0" borderId="218" xfId="0" applyNumberFormat="1" applyFont="1" applyBorder="1"/>
    <xf numFmtId="166" fontId="1" fillId="0" borderId="220" xfId="0" applyNumberFormat="1" applyFont="1" applyBorder="1"/>
    <xf numFmtId="166" fontId="1" fillId="0" borderId="219" xfId="0" applyNumberFormat="1" applyFont="1" applyBorder="1"/>
    <xf numFmtId="0" fontId="7" fillId="0" borderId="52" xfId="0" applyFont="1" applyBorder="1"/>
    <xf numFmtId="185" fontId="7" fillId="0" borderId="54" xfId="0" applyNumberFormat="1" applyFont="1" applyBorder="1"/>
    <xf numFmtId="0" fontId="7" fillId="0" borderId="53" xfId="0" applyFont="1" applyBorder="1"/>
    <xf numFmtId="10" fontId="1" fillId="0" borderId="221" xfId="0" applyNumberFormat="1" applyFont="1" applyBorder="1"/>
    <xf numFmtId="0" fontId="1" fillId="0" borderId="148" xfId="0" applyFont="1" applyBorder="1"/>
    <xf numFmtId="0" fontId="1" fillId="0" borderId="194" xfId="0" applyFont="1" applyBorder="1"/>
    <xf numFmtId="0" fontId="1" fillId="0" borderId="136" xfId="0" applyFont="1" applyBorder="1"/>
    <xf numFmtId="0" fontId="7" fillId="0" borderId="56" xfId="0" applyFont="1" applyBorder="1" applyAlignment="1">
      <alignment horizontal="left"/>
    </xf>
    <xf numFmtId="0" fontId="1" fillId="0" borderId="45" xfId="0" applyFont="1" applyBorder="1"/>
    <xf numFmtId="0" fontId="1" fillId="0" borderId="46" xfId="0" applyFont="1" applyBorder="1"/>
    <xf numFmtId="0" fontId="27" fillId="15" borderId="56" xfId="0" applyFont="1" applyFill="1" applyBorder="1" applyAlignment="1">
      <alignment horizontal="center"/>
    </xf>
    <xf numFmtId="0" fontId="7" fillId="0" borderId="184" xfId="0" applyFont="1" applyBorder="1" applyAlignment="1">
      <alignment horizontal="center"/>
    </xf>
    <xf numFmtId="0" fontId="7" fillId="0" borderId="185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9" fillId="0" borderId="7" xfId="0" applyFont="1" applyBorder="1"/>
    <xf numFmtId="176" fontId="11" fillId="4" borderId="51" xfId="0" applyNumberFormat="1" applyFont="1" applyFill="1" applyBorder="1" applyAlignment="1">
      <alignment horizontal="center"/>
    </xf>
    <xf numFmtId="0" fontId="16" fillId="0" borderId="7" xfId="0" applyFont="1" applyBorder="1"/>
    <xf numFmtId="164" fontId="16" fillId="0" borderId="0" xfId="0" applyNumberFormat="1" applyFont="1"/>
    <xf numFmtId="0" fontId="7" fillId="0" borderId="1" xfId="0" applyFont="1" applyBorder="1" applyAlignment="1">
      <alignment horizontal="center"/>
    </xf>
    <xf numFmtId="0" fontId="9" fillId="0" borderId="148" xfId="0" applyFont="1" applyBorder="1"/>
    <xf numFmtId="176" fontId="11" fillId="4" borderId="134" xfId="0" applyNumberFormat="1" applyFont="1" applyFill="1" applyBorder="1" applyAlignment="1">
      <alignment horizontal="center"/>
    </xf>
    <xf numFmtId="0" fontId="16" fillId="0" borderId="148" xfId="0" applyFont="1" applyBorder="1"/>
    <xf numFmtId="164" fontId="16" fillId="16" borderId="133" xfId="0" applyNumberFormat="1" applyFont="1" applyFill="1" applyBorder="1"/>
    <xf numFmtId="0" fontId="16" fillId="0" borderId="132" xfId="0" applyFont="1" applyBorder="1"/>
    <xf numFmtId="166" fontId="16" fillId="16" borderId="134" xfId="0" applyNumberFormat="1" applyFont="1" applyFill="1" applyBorder="1"/>
    <xf numFmtId="166" fontId="16" fillId="3" borderId="17" xfId="0" applyNumberFormat="1" applyFont="1" applyFill="1" applyBorder="1"/>
    <xf numFmtId="166" fontId="16" fillId="3" borderId="17" xfId="0" applyNumberFormat="1" applyFont="1" applyFill="1" applyBorder="1" applyAlignment="1">
      <alignment horizontal="center"/>
    </xf>
    <xf numFmtId="0" fontId="16" fillId="0" borderId="135" xfId="0" applyFont="1" applyBorder="1"/>
    <xf numFmtId="10" fontId="16" fillId="0" borderId="136" xfId="0" applyNumberFormat="1" applyFont="1" applyBorder="1" applyAlignment="1">
      <alignment horizontal="center"/>
    </xf>
    <xf numFmtId="10" fontId="16" fillId="0" borderId="149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/>
    </xf>
    <xf numFmtId="0" fontId="1" fillId="0" borderId="52" xfId="0" applyFont="1" applyBorder="1"/>
    <xf numFmtId="0" fontId="1" fillId="0" borderId="53" xfId="0" applyFont="1" applyBorder="1"/>
    <xf numFmtId="0" fontId="1" fillId="0" borderId="54" xfId="0" applyFont="1" applyBorder="1"/>
    <xf numFmtId="0" fontId="1" fillId="3" borderId="2" xfId="0" applyFont="1" applyFill="1" applyBorder="1" applyAlignment="1">
      <alignment horizontal="center"/>
    </xf>
    <xf numFmtId="0" fontId="2" fillId="0" borderId="3" xfId="0" applyFont="1" applyBorder="1"/>
    <xf numFmtId="9" fontId="1" fillId="4" borderId="2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170" fontId="1" fillId="5" borderId="2" xfId="0" applyNumberFormat="1" applyFont="1" applyFill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2" fillId="0" borderId="19" xfId="0" applyFont="1" applyBorder="1"/>
    <xf numFmtId="172" fontId="11" fillId="0" borderId="19" xfId="0" applyNumberFormat="1" applyFont="1" applyBorder="1" applyAlignment="1">
      <alignment horizontal="center" vertical="center"/>
    </xf>
    <xf numFmtId="9" fontId="1" fillId="3" borderId="38" xfId="0" applyNumberFormat="1" applyFont="1" applyFill="1" applyBorder="1" applyAlignment="1">
      <alignment horizontal="center" vertical="center" wrapText="1"/>
    </xf>
    <xf numFmtId="0" fontId="2" fillId="0" borderId="39" xfId="0" applyFont="1" applyBorder="1"/>
    <xf numFmtId="0" fontId="2" fillId="0" borderId="40" xfId="0" applyFont="1" applyBorder="1"/>
    <xf numFmtId="0" fontId="2" fillId="0" borderId="41" xfId="0" applyFont="1" applyBorder="1"/>
    <xf numFmtId="0" fontId="2" fillId="0" borderId="42" xfId="0" applyFont="1" applyBorder="1"/>
    <xf numFmtId="0" fontId="2" fillId="0" borderId="43" xfId="0" applyFont="1" applyBorder="1"/>
    <xf numFmtId="0" fontId="7" fillId="0" borderId="0" xfId="0" applyFont="1" applyAlignment="1">
      <alignment horizontal="center" vertical="center"/>
    </xf>
    <xf numFmtId="0" fontId="0" fillId="0" borderId="0" xfId="0"/>
    <xf numFmtId="164" fontId="1" fillId="5" borderId="20" xfId="0" applyNumberFormat="1" applyFont="1" applyFill="1" applyBorder="1" applyAlignment="1">
      <alignment horizontal="center"/>
    </xf>
    <xf numFmtId="0" fontId="2" fillId="0" borderId="21" xfId="0" applyFont="1" applyBorder="1"/>
    <xf numFmtId="164" fontId="1" fillId="6" borderId="2" xfId="0" applyNumberFormat="1" applyFont="1" applyFill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2" fillId="0" borderId="35" xfId="0" applyFont="1" applyBorder="1"/>
    <xf numFmtId="164" fontId="1" fillId="5" borderId="2" xfId="0" applyNumberFormat="1" applyFont="1" applyFill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2" fillId="0" borderId="22" xfId="0" applyFont="1" applyBorder="1"/>
    <xf numFmtId="0" fontId="1" fillId="5" borderId="30" xfId="0" applyFont="1" applyFill="1" applyBorder="1" applyAlignment="1">
      <alignment horizontal="center"/>
    </xf>
    <xf numFmtId="0" fontId="2" fillId="0" borderId="31" xfId="0" applyFont="1" applyBorder="1"/>
    <xf numFmtId="0" fontId="7" fillId="0" borderId="0" xfId="0" applyFont="1"/>
    <xf numFmtId="0" fontId="7" fillId="0" borderId="0" xfId="0" applyFont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5" fillId="2" borderId="11" xfId="0" applyFont="1" applyFill="1" applyBorder="1" applyAlignment="1">
      <alignment horizontal="center"/>
    </xf>
    <xf numFmtId="0" fontId="2" fillId="0" borderId="12" xfId="0" applyFont="1" applyBorder="1"/>
    <xf numFmtId="0" fontId="2" fillId="0" borderId="13" xfId="0" applyFont="1" applyBorder="1"/>
    <xf numFmtId="9" fontId="1" fillId="5" borderId="20" xfId="0" applyNumberFormat="1" applyFont="1" applyFill="1" applyBorder="1" applyAlignment="1">
      <alignment horizontal="center"/>
    </xf>
    <xf numFmtId="0" fontId="8" fillId="0" borderId="0" xfId="0" applyFont="1" applyAlignment="1">
      <alignment horizontal="right" vertical="center" textRotation="90"/>
    </xf>
    <xf numFmtId="0" fontId="7" fillId="2" borderId="2" xfId="0" applyFont="1" applyFill="1" applyBorder="1" applyAlignment="1">
      <alignment horizontal="center"/>
    </xf>
    <xf numFmtId="178" fontId="5" fillId="9" borderId="57" xfId="0" applyNumberFormat="1" applyFont="1" applyFill="1" applyBorder="1" applyAlignment="1">
      <alignment horizontal="center"/>
    </xf>
    <xf numFmtId="0" fontId="2" fillId="0" borderId="58" xfId="0" applyFont="1" applyBorder="1"/>
    <xf numFmtId="0" fontId="2" fillId="0" borderId="59" xfId="0" applyFont="1" applyBorder="1"/>
    <xf numFmtId="166" fontId="20" fillId="8" borderId="108" xfId="0" applyNumberFormat="1" applyFont="1" applyFill="1" applyBorder="1" applyAlignment="1">
      <alignment horizontal="center"/>
    </xf>
    <xf numFmtId="0" fontId="2" fillId="0" borderId="109" xfId="0" applyFont="1" applyBorder="1"/>
    <xf numFmtId="0" fontId="2" fillId="0" borderId="110" xfId="0" applyFont="1" applyBorder="1"/>
    <xf numFmtId="0" fontId="7" fillId="2" borderId="106" xfId="0" applyFont="1" applyFill="1" applyBorder="1" applyAlignment="1">
      <alignment horizontal="center" wrapText="1"/>
    </xf>
    <xf numFmtId="0" fontId="2" fillId="0" borderId="48" xfId="0" applyFont="1" applyBorder="1"/>
    <xf numFmtId="0" fontId="2" fillId="0" borderId="107" xfId="0" applyFont="1" applyBorder="1"/>
    <xf numFmtId="0" fontId="2" fillId="0" borderId="113" xfId="0" applyFont="1" applyBorder="1"/>
    <xf numFmtId="0" fontId="2" fillId="0" borderId="53" xfId="0" applyFont="1" applyBorder="1"/>
    <xf numFmtId="0" fontId="2" fillId="0" borderId="114" xfId="0" applyFont="1" applyBorder="1"/>
    <xf numFmtId="6" fontId="1" fillId="2" borderId="94" xfId="0" applyNumberFormat="1" applyFont="1" applyFill="1" applyBorder="1" applyAlignment="1">
      <alignment horizontal="center" vertical="center"/>
    </xf>
    <xf numFmtId="0" fontId="2" fillId="0" borderId="95" xfId="0" applyFont="1" applyBorder="1"/>
    <xf numFmtId="177" fontId="20" fillId="10" borderId="108" xfId="0" applyNumberFormat="1" applyFont="1" applyFill="1" applyBorder="1" applyAlignment="1">
      <alignment horizontal="center" vertical="center"/>
    </xf>
    <xf numFmtId="177" fontId="20" fillId="5" borderId="111" xfId="0" applyNumberFormat="1" applyFont="1" applyFill="1" applyBorder="1" applyAlignment="1">
      <alignment horizontal="center" vertical="center"/>
    </xf>
    <xf numFmtId="0" fontId="2" fillId="0" borderId="112" xfId="0" applyFont="1" applyBorder="1"/>
    <xf numFmtId="0" fontId="7" fillId="4" borderId="57" xfId="0" applyFont="1" applyFill="1" applyBorder="1" applyAlignment="1">
      <alignment horizontal="center" vertical="center"/>
    </xf>
    <xf numFmtId="0" fontId="7" fillId="4" borderId="104" xfId="0" applyFont="1" applyFill="1" applyBorder="1" applyAlignment="1">
      <alignment horizontal="center" vertical="center"/>
    </xf>
    <xf numFmtId="0" fontId="2" fillId="0" borderId="105" xfId="0" applyFont="1" applyBorder="1"/>
    <xf numFmtId="0" fontId="1" fillId="0" borderId="15" xfId="0" applyFont="1" applyBorder="1" applyAlignment="1">
      <alignment horizontal="center"/>
    </xf>
    <xf numFmtId="0" fontId="2" fillId="0" borderId="15" xfId="0" applyFont="1" applyBorder="1"/>
    <xf numFmtId="0" fontId="20" fillId="5" borderId="111" xfId="0" applyFont="1" applyFill="1" applyBorder="1" applyAlignment="1">
      <alignment horizontal="center" vertical="center"/>
    </xf>
    <xf numFmtId="178" fontId="7" fillId="4" borderId="104" xfId="0" applyNumberFormat="1" applyFont="1" applyFill="1" applyBorder="1" applyAlignment="1">
      <alignment horizontal="center" vertical="center"/>
    </xf>
    <xf numFmtId="166" fontId="20" fillId="5" borderId="111" xfId="0" applyNumberFormat="1" applyFont="1" applyFill="1" applyBorder="1" applyAlignment="1">
      <alignment horizontal="center" vertical="center"/>
    </xf>
    <xf numFmtId="0" fontId="25" fillId="2" borderId="115" xfId="0" applyFont="1" applyFill="1" applyBorder="1" applyAlignment="1">
      <alignment horizontal="center" vertical="center" wrapText="1" readingOrder="1"/>
    </xf>
    <xf numFmtId="0" fontId="2" fillId="0" borderId="116" xfId="0" applyFont="1" applyBorder="1"/>
    <xf numFmtId="175" fontId="3" fillId="2" borderId="115" xfId="0" applyNumberFormat="1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/>
    </xf>
    <xf numFmtId="0" fontId="2" fillId="0" borderId="50" xfId="0" applyFont="1" applyBorder="1"/>
    <xf numFmtId="0" fontId="2" fillId="0" borderId="96" xfId="0" applyFont="1" applyBorder="1"/>
    <xf numFmtId="0" fontId="5" fillId="9" borderId="57" xfId="0" applyFont="1" applyFill="1" applyBorder="1" applyAlignment="1">
      <alignment horizontal="center"/>
    </xf>
    <xf numFmtId="177" fontId="20" fillId="8" borderId="108" xfId="0" applyNumberFormat="1" applyFont="1" applyFill="1" applyBorder="1" applyAlignment="1">
      <alignment horizontal="center"/>
    </xf>
    <xf numFmtId="0" fontId="20" fillId="8" borderId="108" xfId="0" applyFont="1" applyFill="1" applyBorder="1" applyAlignment="1">
      <alignment horizontal="center"/>
    </xf>
    <xf numFmtId="0" fontId="16" fillId="0" borderId="78" xfId="0" applyFont="1" applyBorder="1" applyAlignment="1">
      <alignment horizontal="center" vertical="center"/>
    </xf>
    <xf numFmtId="0" fontId="2" fillId="0" borderId="129" xfId="0" applyFont="1" applyBorder="1"/>
    <xf numFmtId="172" fontId="16" fillId="0" borderId="79" xfId="0" applyNumberFormat="1" applyFont="1" applyBorder="1" applyAlignment="1">
      <alignment horizontal="center" vertical="center"/>
    </xf>
    <xf numFmtId="0" fontId="2" fillId="0" borderId="80" xfId="0" applyFont="1" applyBorder="1"/>
    <xf numFmtId="0" fontId="16" fillId="0" borderId="79" xfId="0" applyFont="1" applyBorder="1" applyAlignment="1">
      <alignment horizontal="center" vertical="center"/>
    </xf>
    <xf numFmtId="0" fontId="11" fillId="3" borderId="91" xfId="0" applyFont="1" applyFill="1" applyBorder="1" applyAlignment="1">
      <alignment horizontal="center" vertical="center" wrapText="1"/>
    </xf>
    <xf numFmtId="0" fontId="2" fillId="0" borderId="82" xfId="0" applyFont="1" applyBorder="1"/>
    <xf numFmtId="0" fontId="2" fillId="0" borderId="85" xfId="0" applyFont="1" applyBorder="1"/>
    <xf numFmtId="6" fontId="20" fillId="3" borderId="38" xfId="0" applyNumberFormat="1" applyFont="1" applyFill="1" applyBorder="1" applyAlignment="1">
      <alignment horizontal="center" vertical="center"/>
    </xf>
    <xf numFmtId="0" fontId="2" fillId="0" borderId="92" xfId="0" applyFont="1" applyBorder="1"/>
    <xf numFmtId="0" fontId="2" fillId="0" borderId="93" xfId="0" applyFont="1" applyBorder="1"/>
    <xf numFmtId="0" fontId="2" fillId="0" borderId="84" xfId="0" applyFont="1" applyBorder="1"/>
    <xf numFmtId="179" fontId="26" fillId="9" borderId="57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2" fillId="0" borderId="7" xfId="0" applyFont="1" applyBorder="1"/>
    <xf numFmtId="178" fontId="7" fillId="4" borderId="57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7" fillId="3" borderId="2" xfId="0" applyFont="1" applyFill="1" applyBorder="1" applyAlignment="1">
      <alignment horizontal="left"/>
    </xf>
    <xf numFmtId="0" fontId="5" fillId="2" borderId="135" xfId="0" applyFont="1" applyFill="1" applyBorder="1" applyAlignment="1">
      <alignment horizontal="center"/>
    </xf>
    <xf numFmtId="0" fontId="2" fillId="0" borderId="136" xfId="0" applyFont="1" applyBorder="1"/>
    <xf numFmtId="8" fontId="4" fillId="2" borderId="135" xfId="0" applyNumberFormat="1" applyFont="1" applyFill="1" applyBorder="1" applyAlignment="1">
      <alignment horizontal="center"/>
    </xf>
    <xf numFmtId="0" fontId="20" fillId="10" borderId="108" xfId="0" applyFont="1" applyFill="1" applyBorder="1" applyAlignment="1">
      <alignment horizontal="center" vertical="center"/>
    </xf>
    <xf numFmtId="166" fontId="20" fillId="10" borderId="108" xfId="0" applyNumberFormat="1" applyFont="1" applyFill="1" applyBorder="1" applyAlignment="1">
      <alignment horizontal="center" vertical="center"/>
    </xf>
    <xf numFmtId="0" fontId="26" fillId="11" borderId="57" xfId="0" applyFont="1" applyFill="1" applyBorder="1" applyAlignment="1">
      <alignment horizontal="center"/>
    </xf>
    <xf numFmtId="0" fontId="21" fillId="0" borderId="122" xfId="0" applyFont="1" applyBorder="1" applyAlignment="1">
      <alignment horizontal="center" vertical="center" wrapText="1"/>
    </xf>
    <xf numFmtId="0" fontId="2" fillId="0" borderId="124" xfId="0" applyFont="1" applyBorder="1"/>
    <xf numFmtId="175" fontId="14" fillId="0" borderId="123" xfId="0" applyNumberFormat="1" applyFont="1" applyBorder="1" applyAlignment="1">
      <alignment horizontal="center" vertical="center"/>
    </xf>
    <xf numFmtId="0" fontId="2" fillId="0" borderId="125" xfId="0" applyFont="1" applyBorder="1"/>
    <xf numFmtId="0" fontId="1" fillId="0" borderId="0" xfId="0" applyFont="1" applyAlignment="1">
      <alignment horizontal="center"/>
    </xf>
    <xf numFmtId="0" fontId="7" fillId="5" borderId="126" xfId="0" applyFont="1" applyFill="1" applyBorder="1" applyAlignment="1">
      <alignment horizontal="center" vertical="center"/>
    </xf>
    <xf numFmtId="0" fontId="2" fillId="0" borderId="127" xfId="0" applyFont="1" applyBorder="1"/>
    <xf numFmtId="0" fontId="2" fillId="0" borderId="128" xfId="0" applyFont="1" applyBorder="1"/>
    <xf numFmtId="0" fontId="19" fillId="0" borderId="122" xfId="0" applyFont="1" applyBorder="1" applyAlignment="1">
      <alignment horizontal="center" vertical="center" wrapText="1"/>
    </xf>
    <xf numFmtId="0" fontId="12" fillId="3" borderId="47" xfId="0" applyFont="1" applyFill="1" applyBorder="1" applyAlignment="1">
      <alignment horizontal="center"/>
    </xf>
    <xf numFmtId="0" fontId="2" fillId="0" borderId="49" xfId="0" applyFont="1" applyBorder="1"/>
    <xf numFmtId="0" fontId="2" fillId="0" borderId="52" xfId="0" applyFont="1" applyBorder="1"/>
    <xf numFmtId="0" fontId="2" fillId="0" borderId="54" xfId="0" applyFont="1" applyBorder="1"/>
    <xf numFmtId="0" fontId="1" fillId="2" borderId="2" xfId="0" applyFont="1" applyFill="1" applyBorder="1" applyAlignment="1">
      <alignment horizontal="center"/>
    </xf>
    <xf numFmtId="164" fontId="3" fillId="8" borderId="63" xfId="0" applyNumberFormat="1" applyFont="1" applyFill="1" applyBorder="1" applyAlignment="1">
      <alignment horizontal="center" vertical="center"/>
    </xf>
    <xf numFmtId="0" fontId="2" fillId="0" borderId="64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86" xfId="0" applyFont="1" applyBorder="1"/>
    <xf numFmtId="0" fontId="19" fillId="8" borderId="57" xfId="0" applyFont="1" applyFill="1" applyBorder="1" applyAlignment="1">
      <alignment horizontal="center"/>
    </xf>
    <xf numFmtId="0" fontId="11" fillId="3" borderId="91" xfId="0" applyFont="1" applyFill="1" applyBorder="1" applyAlignment="1">
      <alignment horizontal="center" vertical="center"/>
    </xf>
    <xf numFmtId="0" fontId="14" fillId="7" borderId="61" xfId="0" applyFont="1" applyFill="1" applyBorder="1" applyAlignment="1">
      <alignment horizontal="center" vertical="center" wrapText="1"/>
    </xf>
    <xf numFmtId="0" fontId="2" fillId="0" borderId="62" xfId="0" applyFont="1" applyBorder="1"/>
    <xf numFmtId="0" fontId="2" fillId="0" borderId="72" xfId="0" applyFont="1" applyBorder="1"/>
    <xf numFmtId="9" fontId="1" fillId="8" borderId="2" xfId="0" applyNumberFormat="1" applyFont="1" applyFill="1" applyBorder="1" applyAlignment="1">
      <alignment horizontal="center"/>
    </xf>
    <xf numFmtId="0" fontId="18" fillId="2" borderId="87" xfId="0" applyFont="1" applyFill="1" applyBorder="1" applyAlignment="1">
      <alignment horizontal="center" vertical="center"/>
    </xf>
    <xf numFmtId="0" fontId="2" fillId="0" borderId="89" xfId="0" applyFont="1" applyBorder="1"/>
    <xf numFmtId="166" fontId="19" fillId="2" borderId="88" xfId="0" applyNumberFormat="1" applyFont="1" applyFill="1" applyBorder="1" applyAlignment="1">
      <alignment horizontal="center" vertical="center"/>
    </xf>
    <xf numFmtId="0" fontId="2" fillId="0" borderId="90" xfId="0" applyFont="1" applyBorder="1"/>
    <xf numFmtId="0" fontId="1" fillId="0" borderId="5" xfId="0" applyFont="1" applyBorder="1" applyAlignment="1">
      <alignment horizontal="center"/>
    </xf>
    <xf numFmtId="0" fontId="2" fillId="0" borderId="5" xfId="0" applyFont="1" applyBorder="1"/>
    <xf numFmtId="166" fontId="13" fillId="0" borderId="58" xfId="0" applyNumberFormat="1" applyFont="1" applyBorder="1" applyAlignment="1">
      <alignment horizontal="center"/>
    </xf>
    <xf numFmtId="166" fontId="13" fillId="0" borderId="68" xfId="0" applyNumberFormat="1" applyFont="1" applyBorder="1" applyAlignment="1">
      <alignment horizontal="center"/>
    </xf>
    <xf numFmtId="0" fontId="2" fillId="0" borderId="68" xfId="0" applyFont="1" applyBorder="1"/>
    <xf numFmtId="166" fontId="13" fillId="3" borderId="30" xfId="0" applyNumberFormat="1" applyFont="1" applyFill="1" applyBorder="1" applyAlignment="1">
      <alignment horizontal="center"/>
    </xf>
    <xf numFmtId="0" fontId="2" fillId="0" borderId="71" xfId="0" applyFont="1" applyBorder="1"/>
    <xf numFmtId="166" fontId="13" fillId="0" borderId="83" xfId="0" applyNumberFormat="1" applyFont="1" applyBorder="1" applyAlignment="1">
      <alignment horizontal="center"/>
    </xf>
    <xf numFmtId="0" fontId="7" fillId="0" borderId="70" xfId="0" applyFont="1" applyBorder="1" applyAlignment="1">
      <alignment horizontal="left" vertical="center"/>
    </xf>
    <xf numFmtId="169" fontId="1" fillId="0" borderId="80" xfId="0" applyNumberFormat="1" applyFont="1" applyBorder="1" applyAlignment="1">
      <alignment horizontal="center" vertical="center"/>
    </xf>
    <xf numFmtId="0" fontId="2" fillId="0" borderId="81" xfId="0" applyFont="1" applyBorder="1"/>
    <xf numFmtId="175" fontId="3" fillId="0" borderId="94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7" fillId="0" borderId="156" xfId="0" applyFont="1" applyBorder="1" applyAlignment="1">
      <alignment horizontal="center"/>
    </xf>
    <xf numFmtId="0" fontId="2" fillId="0" borderId="157" xfId="0" applyFont="1" applyBorder="1"/>
    <xf numFmtId="0" fontId="7" fillId="0" borderId="158" xfId="0" applyFont="1" applyBorder="1" applyAlignment="1">
      <alignment horizontal="center"/>
    </xf>
    <xf numFmtId="182" fontId="5" fillId="9" borderId="57" xfId="0" applyNumberFormat="1" applyFont="1" applyFill="1" applyBorder="1" applyAlignment="1">
      <alignment horizontal="center" vertical="center"/>
    </xf>
    <xf numFmtId="0" fontId="31" fillId="0" borderId="145" xfId="0" applyFont="1" applyBorder="1" applyAlignment="1">
      <alignment horizontal="center" vertical="center"/>
    </xf>
    <xf numFmtId="0" fontId="2" fillId="0" borderId="146" xfId="0" applyFont="1" applyBorder="1"/>
    <xf numFmtId="0" fontId="2" fillId="0" borderId="147" xfId="0" applyFont="1" applyBorder="1"/>
    <xf numFmtId="0" fontId="31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5" fillId="2" borderId="137" xfId="0" applyFont="1" applyFill="1" applyBorder="1"/>
    <xf numFmtId="0" fontId="2" fillId="0" borderId="138" xfId="0" applyFont="1" applyBorder="1"/>
    <xf numFmtId="166" fontId="4" fillId="2" borderId="139" xfId="0" applyNumberFormat="1" applyFont="1" applyFill="1" applyBorder="1" applyAlignment="1">
      <alignment horizontal="center"/>
    </xf>
    <xf numFmtId="0" fontId="2" fillId="0" borderId="140" xfId="0" applyFont="1" applyBorder="1"/>
    <xf numFmtId="9" fontId="16" fillId="0" borderId="58" xfId="0" applyNumberFormat="1" applyFont="1" applyBorder="1" applyAlignment="1">
      <alignment horizontal="center"/>
    </xf>
    <xf numFmtId="0" fontId="27" fillId="0" borderId="57" xfId="0" applyFont="1" applyBorder="1" applyAlignment="1">
      <alignment horizontal="left"/>
    </xf>
    <xf numFmtId="164" fontId="3" fillId="8" borderId="61" xfId="0" applyNumberFormat="1" applyFont="1" applyFill="1" applyBorder="1" applyAlignment="1">
      <alignment horizontal="center" vertical="center"/>
    </xf>
    <xf numFmtId="0" fontId="2" fillId="0" borderId="141" xfId="0" applyFont="1" applyBorder="1"/>
    <xf numFmtId="0" fontId="2" fillId="0" borderId="83" xfId="0" applyFont="1" applyBorder="1"/>
    <xf numFmtId="0" fontId="9" fillId="0" borderId="83" xfId="0" applyFont="1" applyBorder="1" applyAlignment="1">
      <alignment horizontal="center"/>
    </xf>
    <xf numFmtId="0" fontId="7" fillId="6" borderId="108" xfId="0" applyFont="1" applyFill="1" applyBorder="1" applyAlignment="1">
      <alignment horizontal="left"/>
    </xf>
    <xf numFmtId="0" fontId="2" fillId="0" borderId="144" xfId="0" applyFont="1" applyBorder="1"/>
    <xf numFmtId="0" fontId="27" fillId="0" borderId="70" xfId="0" applyFont="1" applyBorder="1" applyAlignment="1">
      <alignment horizontal="left"/>
    </xf>
    <xf numFmtId="0" fontId="6" fillId="8" borderId="38" xfId="0" applyFont="1" applyFill="1" applyBorder="1" applyAlignment="1">
      <alignment horizontal="center" vertical="center" wrapText="1"/>
    </xf>
    <xf numFmtId="171" fontId="33" fillId="3" borderId="38" xfId="0" applyNumberFormat="1" applyFont="1" applyFill="1" applyBorder="1" applyAlignment="1">
      <alignment horizontal="center" vertical="center"/>
    </xf>
    <xf numFmtId="0" fontId="31" fillId="0" borderId="150" xfId="0" applyFont="1" applyBorder="1" applyAlignment="1">
      <alignment horizontal="center" vertical="center"/>
    </xf>
    <xf numFmtId="0" fontId="2" fillId="0" borderId="151" xfId="0" applyFont="1" applyBorder="1"/>
    <xf numFmtId="0" fontId="2" fillId="0" borderId="152" xfId="0" applyFont="1" applyBorder="1"/>
    <xf numFmtId="180" fontId="13" fillId="0" borderId="153" xfId="0" applyNumberFormat="1" applyFont="1" applyBorder="1" applyAlignment="1">
      <alignment horizontal="center"/>
    </xf>
    <xf numFmtId="0" fontId="2" fillId="0" borderId="154" xfId="0" applyFont="1" applyBorder="1"/>
    <xf numFmtId="0" fontId="2" fillId="0" borderId="155" xfId="0" applyFont="1" applyBorder="1"/>
    <xf numFmtId="0" fontId="16" fillId="2" borderId="2" xfId="0" applyFont="1" applyFill="1" applyBorder="1" applyAlignment="1">
      <alignment horizontal="left"/>
    </xf>
    <xf numFmtId="166" fontId="20" fillId="10" borderId="78" xfId="0" applyNumberFormat="1" applyFont="1" applyFill="1" applyBorder="1" applyAlignment="1">
      <alignment horizontal="center" vertical="center"/>
    </xf>
    <xf numFmtId="183" fontId="5" fillId="9" borderId="57" xfId="0" applyNumberFormat="1" applyFont="1" applyFill="1" applyBorder="1" applyAlignment="1">
      <alignment horizontal="center" vertical="center"/>
    </xf>
    <xf numFmtId="0" fontId="19" fillId="0" borderId="164" xfId="0" applyFont="1" applyBorder="1" applyAlignment="1">
      <alignment horizontal="center" vertical="center" wrapText="1"/>
    </xf>
    <xf numFmtId="0" fontId="2" fillId="0" borderId="123" xfId="0" applyFont="1" applyBorder="1"/>
    <xf numFmtId="0" fontId="2" fillId="0" borderId="165" xfId="0" applyFont="1" applyBorder="1"/>
    <xf numFmtId="0" fontId="7" fillId="0" borderId="57" xfId="0" applyFont="1" applyBorder="1" applyAlignment="1">
      <alignment horizontal="center"/>
    </xf>
    <xf numFmtId="10" fontId="16" fillId="0" borderId="83" xfId="0" applyNumberFormat="1" applyFont="1" applyBorder="1" applyAlignment="1">
      <alignment horizontal="center"/>
    </xf>
    <xf numFmtId="0" fontId="16" fillId="0" borderId="167" xfId="0" applyFont="1" applyBorder="1" applyAlignment="1">
      <alignment horizontal="center"/>
    </xf>
    <xf numFmtId="0" fontId="16" fillId="0" borderId="79" xfId="0" applyFont="1" applyBorder="1" applyAlignment="1">
      <alignment horizontal="center"/>
    </xf>
    <xf numFmtId="166" fontId="35" fillId="8" borderId="91" xfId="0" applyNumberFormat="1" applyFont="1" applyFill="1" applyBorder="1" applyAlignment="1">
      <alignment horizontal="center" vertical="center"/>
    </xf>
    <xf numFmtId="0" fontId="2" fillId="0" borderId="159" xfId="0" applyFont="1" applyBorder="1"/>
    <xf numFmtId="0" fontId="2" fillId="0" borderId="163" xfId="0" applyFont="1" applyBorder="1"/>
    <xf numFmtId="0" fontId="16" fillId="0" borderId="82" xfId="0" applyFont="1" applyBorder="1" applyAlignment="1">
      <alignment horizontal="left"/>
    </xf>
    <xf numFmtId="0" fontId="16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183" fontId="5" fillId="9" borderId="160" xfId="0" applyNumberFormat="1" applyFont="1" applyFill="1" applyBorder="1" applyAlignment="1">
      <alignment horizontal="center" vertical="center"/>
    </xf>
    <xf numFmtId="0" fontId="2" fillId="0" borderId="161" xfId="0" applyFont="1" applyBorder="1"/>
    <xf numFmtId="0" fontId="7" fillId="2" borderId="137" xfId="0" applyFont="1" applyFill="1" applyBorder="1" applyAlignment="1">
      <alignment horizontal="center"/>
    </xf>
    <xf numFmtId="0" fontId="7" fillId="2" borderId="186" xfId="0" applyFont="1" applyFill="1" applyBorder="1" applyAlignment="1">
      <alignment horizontal="center"/>
    </xf>
    <xf numFmtId="0" fontId="2" fillId="0" borderId="188" xfId="0" applyFont="1" applyBorder="1"/>
    <xf numFmtId="0" fontId="20" fillId="2" borderId="189" xfId="0" applyFont="1" applyFill="1" applyBorder="1" applyAlignment="1">
      <alignment horizontal="center"/>
    </xf>
    <xf numFmtId="0" fontId="2" fillId="0" borderId="191" xfId="0" applyFont="1" applyBorder="1"/>
    <xf numFmtId="177" fontId="20" fillId="2" borderId="189" xfId="0" applyNumberFormat="1" applyFont="1" applyFill="1" applyBorder="1" applyAlignment="1">
      <alignment horizontal="center"/>
    </xf>
    <xf numFmtId="0" fontId="2" fillId="0" borderId="190" xfId="0" applyFont="1" applyBorder="1"/>
    <xf numFmtId="0" fontId="2" fillId="0" borderId="187" xfId="0" applyFont="1" applyBorder="1"/>
    <xf numFmtId="0" fontId="42" fillId="2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166" fontId="16" fillId="3" borderId="2" xfId="0" applyNumberFormat="1" applyFont="1" applyFill="1" applyBorder="1" applyAlignment="1">
      <alignment horizontal="center"/>
    </xf>
    <xf numFmtId="0" fontId="7" fillId="2" borderId="135" xfId="0" applyFont="1" applyFill="1" applyBorder="1" applyAlignment="1">
      <alignment horizontal="center"/>
    </xf>
    <xf numFmtId="8" fontId="1" fillId="2" borderId="135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left"/>
    </xf>
    <xf numFmtId="0" fontId="41" fillId="3" borderId="2" xfId="0" applyFont="1" applyFill="1" applyBorder="1" applyAlignment="1">
      <alignment horizontal="center"/>
    </xf>
    <xf numFmtId="9" fontId="7" fillId="6" borderId="180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24" fillId="3" borderId="38" xfId="0" applyFont="1" applyFill="1" applyBorder="1" applyAlignment="1">
      <alignment horizontal="center" vertical="center"/>
    </xf>
    <xf numFmtId="0" fontId="19" fillId="2" borderId="135" xfId="0" applyFont="1" applyFill="1" applyBorder="1" applyAlignment="1">
      <alignment horizontal="center"/>
    </xf>
    <xf numFmtId="0" fontId="2" fillId="0" borderId="194" xfId="0" applyFont="1" applyBorder="1"/>
    <xf numFmtId="0" fontId="9" fillId="2" borderId="195" xfId="0" applyFont="1" applyFill="1" applyBorder="1" applyAlignment="1">
      <alignment horizontal="center" vertical="center"/>
    </xf>
    <xf numFmtId="0" fontId="2" fillId="0" borderId="148" xfId="0" applyFont="1" applyBorder="1"/>
    <xf numFmtId="0" fontId="2" fillId="0" borderId="198" xfId="0" applyFont="1" applyBorder="1"/>
    <xf numFmtId="174" fontId="20" fillId="2" borderId="44" xfId="0" applyNumberFormat="1" applyFont="1" applyFill="1" applyBorder="1" applyAlignment="1">
      <alignment horizontal="center" vertical="center"/>
    </xf>
    <xf numFmtId="0" fontId="2" fillId="0" borderId="199" xfId="0" applyFont="1" applyBorder="1"/>
    <xf numFmtId="0" fontId="3" fillId="2" borderId="4" xfId="0" applyFont="1" applyFill="1" applyBorder="1" applyAlignment="1">
      <alignment horizontal="center" vertical="center"/>
    </xf>
    <xf numFmtId="0" fontId="2" fillId="0" borderId="196" xfId="0" applyFont="1" applyBorder="1"/>
    <xf numFmtId="164" fontId="43" fillId="2" borderId="197" xfId="0" applyNumberFormat="1" applyFont="1" applyFill="1" applyBorder="1" applyAlignment="1">
      <alignment horizontal="center" vertical="center"/>
    </xf>
    <xf numFmtId="0" fontId="2" fillId="0" borderId="6" xfId="0" applyFont="1" applyBorder="1"/>
    <xf numFmtId="0" fontId="2" fillId="0" borderId="200" xfId="0" applyFont="1" applyBorder="1"/>
    <xf numFmtId="0" fontId="2" fillId="0" borderId="149" xfId="0" applyFont="1" applyBorder="1"/>
    <xf numFmtId="0" fontId="16" fillId="2" borderId="135" xfId="0" applyFont="1" applyFill="1" applyBorder="1" applyAlignment="1">
      <alignment horizontal="left"/>
    </xf>
    <xf numFmtId="0" fontId="2" fillId="0" borderId="202" xfId="0" applyFont="1" applyBorder="1"/>
    <xf numFmtId="0" fontId="9" fillId="2" borderId="4" xfId="0" applyFont="1" applyFill="1" applyBorder="1" applyAlignment="1">
      <alignment horizontal="center" vertical="center" wrapText="1"/>
    </xf>
    <xf numFmtId="164" fontId="20" fillId="2" borderId="201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166" fontId="20" fillId="2" borderId="189" xfId="0" applyNumberFormat="1" applyFont="1" applyFill="1" applyBorder="1" applyAlignment="1">
      <alignment horizontal="center"/>
    </xf>
    <xf numFmtId="0" fontId="41" fillId="2" borderId="186" xfId="0" applyFont="1" applyFill="1" applyBorder="1" applyAlignment="1">
      <alignment horizontal="center"/>
    </xf>
    <xf numFmtId="0" fontId="41" fillId="2" borderId="135" xfId="0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 vertical="center"/>
    </xf>
    <xf numFmtId="0" fontId="24" fillId="2" borderId="38" xfId="0" applyFont="1" applyFill="1" applyBorder="1" applyAlignment="1">
      <alignment horizontal="center" vertical="center" wrapText="1"/>
    </xf>
    <xf numFmtId="0" fontId="2" fillId="0" borderId="193" xfId="0" applyFont="1" applyBorder="1"/>
    <xf numFmtId="178" fontId="7" fillId="2" borderId="186" xfId="0" applyNumberFormat="1" applyFont="1" applyFill="1" applyBorder="1" applyAlignment="1">
      <alignment horizontal="center"/>
    </xf>
    <xf numFmtId="0" fontId="20" fillId="3" borderId="2" xfId="0" applyFont="1" applyFill="1" applyBorder="1" applyAlignment="1">
      <alignment horizontal="center"/>
    </xf>
    <xf numFmtId="178" fontId="7" fillId="3" borderId="2" xfId="0" applyNumberFormat="1" applyFont="1" applyFill="1" applyBorder="1" applyAlignment="1">
      <alignment horizontal="center"/>
    </xf>
    <xf numFmtId="166" fontId="20" fillId="3" borderId="2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177" fontId="20" fillId="3" borderId="2" xfId="0" applyNumberFormat="1" applyFont="1" applyFill="1" applyBorder="1" applyAlignment="1">
      <alignment horizontal="center"/>
    </xf>
    <xf numFmtId="9" fontId="3" fillId="0" borderId="94" xfId="0" applyNumberFormat="1" applyFont="1" applyBorder="1" applyAlignment="1">
      <alignment horizontal="center" vertical="center"/>
    </xf>
    <xf numFmtId="0" fontId="38" fillId="7" borderId="5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39" fillId="12" borderId="67" xfId="0" applyFont="1" applyFill="1" applyBorder="1" applyAlignment="1">
      <alignment horizontal="center" vertical="center"/>
    </xf>
    <xf numFmtId="0" fontId="2" fillId="0" borderId="175" xfId="0" applyFont="1" applyBorder="1"/>
    <xf numFmtId="0" fontId="2" fillId="0" borderId="177" xfId="0" applyFont="1" applyBorder="1"/>
    <xf numFmtId="184" fontId="12" fillId="13" borderId="176" xfId="0" applyNumberFormat="1" applyFont="1" applyFill="1" applyBorder="1" applyAlignment="1">
      <alignment horizontal="center" vertical="center"/>
    </xf>
    <xf numFmtId="0" fontId="2" fillId="0" borderId="69" xfId="0" applyFont="1" applyBorder="1"/>
    <xf numFmtId="0" fontId="39" fillId="3" borderId="67" xfId="0" applyFont="1" applyFill="1" applyBorder="1" applyAlignment="1">
      <alignment horizontal="center" vertical="center"/>
    </xf>
    <xf numFmtId="184" fontId="12" fillId="3" borderId="38" xfId="0" applyNumberFormat="1" applyFont="1" applyFill="1" applyBorder="1" applyAlignment="1">
      <alignment horizontal="center" vertical="center"/>
    </xf>
    <xf numFmtId="0" fontId="12" fillId="2" borderId="47" xfId="0" applyFont="1" applyFill="1" applyBorder="1" applyAlignment="1">
      <alignment horizontal="center"/>
    </xf>
    <xf numFmtId="9" fontId="13" fillId="0" borderId="58" xfId="0" applyNumberFormat="1" applyFont="1" applyBorder="1" applyAlignment="1">
      <alignment horizontal="center" vertical="center"/>
    </xf>
    <xf numFmtId="0" fontId="7" fillId="0" borderId="70" xfId="0" applyFont="1" applyBorder="1" applyAlignment="1">
      <alignment horizontal="left"/>
    </xf>
    <xf numFmtId="0" fontId="37" fillId="0" borderId="83" xfId="0" applyFont="1" applyBorder="1" applyAlignment="1">
      <alignment horizontal="left" vertical="center"/>
    </xf>
    <xf numFmtId="9" fontId="1" fillId="2" borderId="2" xfId="0" applyNumberFormat="1" applyFont="1" applyFill="1" applyBorder="1" applyAlignment="1">
      <alignment horizontal="center"/>
    </xf>
    <xf numFmtId="0" fontId="7" fillId="0" borderId="135" xfId="0" applyFont="1" applyBorder="1" applyAlignment="1">
      <alignment horizontal="center"/>
    </xf>
    <xf numFmtId="0" fontId="44" fillId="0" borderId="47" xfId="0" applyFont="1" applyBorder="1" applyAlignment="1">
      <alignment horizontal="center" vertical="center"/>
    </xf>
    <xf numFmtId="0" fontId="11" fillId="0" borderId="135" xfId="0" applyFont="1" applyBorder="1" applyAlignment="1">
      <alignment horizontal="center"/>
    </xf>
    <xf numFmtId="0" fontId="11" fillId="0" borderId="194" xfId="0" applyFont="1" applyBorder="1" applyAlignment="1">
      <alignment horizontal="center"/>
    </xf>
    <xf numFmtId="0" fontId="7" fillId="0" borderId="222" xfId="0" applyFont="1" applyBorder="1" applyAlignment="1">
      <alignment horizontal="center"/>
    </xf>
    <xf numFmtId="0" fontId="24" fillId="0" borderId="148" xfId="0" applyFont="1" applyBorder="1" applyAlignment="1">
      <alignment horizontal="center"/>
    </xf>
    <xf numFmtId="171" fontId="16" fillId="0" borderId="4" xfId="0" applyNumberFormat="1" applyFont="1" applyBorder="1" applyAlignment="1">
      <alignment horizontal="center"/>
    </xf>
    <xf numFmtId="171" fontId="16" fillId="0" borderId="5" xfId="0" applyNumberFormat="1" applyFont="1" applyBorder="1" applyAlignment="1">
      <alignment horizontal="center"/>
    </xf>
    <xf numFmtId="0" fontId="16" fillId="16" borderId="189" xfId="0" applyFont="1" applyFill="1" applyBorder="1" applyAlignment="1">
      <alignment horizontal="center"/>
    </xf>
    <xf numFmtId="0" fontId="2" fillId="0" borderId="223" xfId="0" applyFont="1" applyBorder="1"/>
    <xf numFmtId="0" fontId="16" fillId="16" borderId="224" xfId="0" applyFont="1" applyFill="1" applyBorder="1" applyAlignment="1">
      <alignment horizontal="center"/>
    </xf>
    <xf numFmtId="0" fontId="24" fillId="0" borderId="137" xfId="0" applyFont="1" applyBorder="1" applyAlignment="1">
      <alignment horizontal="center"/>
    </xf>
    <xf numFmtId="0" fontId="7" fillId="0" borderId="137" xfId="0" applyFont="1" applyBorder="1" applyAlignment="1">
      <alignment horizontal="center"/>
    </xf>
    <xf numFmtId="166" fontId="7" fillId="8" borderId="47" xfId="0" applyNumberFormat="1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/>
    </xf>
    <xf numFmtId="0" fontId="1" fillId="3" borderId="210" xfId="0" applyFont="1" applyFill="1" applyBorder="1" applyAlignment="1">
      <alignment horizontal="left"/>
    </xf>
    <xf numFmtId="0" fontId="2" fillId="0" borderId="211" xfId="0" applyFont="1" applyBorder="1"/>
    <xf numFmtId="0" fontId="2" fillId="0" borderId="212" xfId="0" applyFont="1" applyBorder="1"/>
    <xf numFmtId="174" fontId="1" fillId="3" borderId="8" xfId="0" applyNumberFormat="1" applyFont="1" applyFill="1" applyBorder="1" applyAlignment="1">
      <alignment horizontal="center"/>
    </xf>
    <xf numFmtId="0" fontId="2" fillId="0" borderId="209" xfId="0" applyFont="1" applyBorder="1"/>
    <xf numFmtId="174" fontId="1" fillId="3" borderId="210" xfId="0" applyNumberFormat="1" applyFont="1" applyFill="1" applyBorder="1" applyAlignment="1">
      <alignment horizontal="center"/>
    </xf>
    <xf numFmtId="174" fontId="7" fillId="3" borderId="139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137" xfId="0" applyFont="1" applyBorder="1" applyAlignment="1">
      <alignment horizontal="left"/>
    </xf>
    <xf numFmtId="0" fontId="2" fillId="0" borderId="203" xfId="0" applyFont="1" applyBorder="1"/>
    <xf numFmtId="0" fontId="1" fillId="3" borderId="11" xfId="0" applyFont="1" applyFill="1" applyBorder="1" applyAlignment="1">
      <alignment horizontal="left"/>
    </xf>
    <xf numFmtId="174" fontId="1" fillId="3" borderId="11" xfId="0" applyNumberFormat="1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7" fillId="0" borderId="47" xfId="0" applyFont="1" applyBorder="1" applyAlignment="1">
      <alignment horizontal="center"/>
    </xf>
    <xf numFmtId="0" fontId="3" fillId="4" borderId="137" xfId="0" applyFont="1" applyFill="1" applyBorder="1" applyAlignment="1">
      <alignment horizontal="center"/>
    </xf>
    <xf numFmtId="9" fontId="16" fillId="0" borderId="194" xfId="0" applyNumberFormat="1" applyFont="1" applyBorder="1" applyAlignment="1">
      <alignment horizontal="center"/>
    </xf>
    <xf numFmtId="166" fontId="1" fillId="0" borderId="194" xfId="0" applyNumberFormat="1" applyFont="1" applyBorder="1" applyAlignment="1">
      <alignment horizontal="center"/>
    </xf>
    <xf numFmtId="166" fontId="1" fillId="0" borderId="135" xfId="0" applyNumberFormat="1" applyFont="1" applyBorder="1" applyAlignment="1">
      <alignment horizontal="center"/>
    </xf>
    <xf numFmtId="164" fontId="1" fillId="0" borderId="194" xfId="0" applyNumberFormat="1" applyFont="1" applyBorder="1" applyAlignment="1">
      <alignment horizontal="center"/>
    </xf>
  </cellXfs>
  <cellStyles count="1">
    <cellStyle name="Normal" xfId="0" builtinId="0"/>
  </cellStyles>
  <dxfs count="44"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ill>
        <patternFill patternType="solid">
          <fgColor rgb="FFC00000"/>
          <bgColor rgb="FFC00000"/>
        </patternFill>
      </fill>
    </dxf>
    <dxf>
      <fill>
        <patternFill patternType="none"/>
      </fill>
    </dxf>
    <dxf>
      <fill>
        <patternFill patternType="none"/>
      </fill>
    </dxf>
    <dxf>
      <font>
        <color rgb="FFC00000"/>
      </font>
      <fill>
        <patternFill patternType="solid">
          <fgColor theme="0"/>
          <bgColor theme="0"/>
        </patternFill>
      </fill>
    </dxf>
    <dxf>
      <font>
        <color rgb="FFC00000"/>
      </font>
      <fill>
        <patternFill patternType="solid">
          <fgColor theme="0"/>
          <bgColor theme="0"/>
        </patternFill>
      </fill>
    </dxf>
    <dxf>
      <font>
        <color rgb="FFC0000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none"/>
      </fill>
    </dxf>
    <dxf>
      <fill>
        <patternFill patternType="none"/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ont>
        <color theme="0"/>
      </font>
      <fill>
        <patternFill patternType="solid">
          <fgColor rgb="FF006600"/>
          <bgColor rgb="FF006600"/>
        </patternFill>
      </fill>
    </dxf>
    <dxf>
      <fill>
        <patternFill patternType="none"/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8.8915290986717493E-2"/>
          <c:y val="0.1846511990782807"/>
          <c:w val="0.83794250612281818"/>
          <c:h val="0.6970147360026101"/>
        </c:manualLayout>
      </c:layout>
      <c:lineChart>
        <c:grouping val="standard"/>
        <c:varyColors val="1"/>
        <c:ser>
          <c:idx val="0"/>
          <c:order val="0"/>
          <c:tx>
            <c:v>Projeção atual (linha preta)</c:v>
          </c:tx>
          <c:spPr>
            <a:ln w="1905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'Investimentos - Não Aposentado'!$AV$6:$AV$61</c:f>
              <c:numCache>
                <c:formatCode>General</c:formatCode>
                <c:ptCount val="56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56</c:v>
                </c:pt>
                <c:pt idx="33">
                  <c:v>57</c:v>
                </c:pt>
                <c:pt idx="34">
                  <c:v>58</c:v>
                </c:pt>
                <c:pt idx="35">
                  <c:v>59</c:v>
                </c:pt>
                <c:pt idx="36">
                  <c:v>60</c:v>
                </c:pt>
                <c:pt idx="37">
                  <c:v>61</c:v>
                </c:pt>
                <c:pt idx="38">
                  <c:v>62</c:v>
                </c:pt>
                <c:pt idx="39">
                  <c:v>63</c:v>
                </c:pt>
                <c:pt idx="40">
                  <c:v>64</c:v>
                </c:pt>
                <c:pt idx="41">
                  <c:v>65</c:v>
                </c:pt>
                <c:pt idx="42">
                  <c:v>66</c:v>
                </c:pt>
                <c:pt idx="43">
                  <c:v>67</c:v>
                </c:pt>
                <c:pt idx="44">
                  <c:v>68</c:v>
                </c:pt>
                <c:pt idx="45">
                  <c:v>69</c:v>
                </c:pt>
                <c:pt idx="46">
                  <c:v>70</c:v>
                </c:pt>
                <c:pt idx="47">
                  <c:v>71</c:v>
                </c:pt>
                <c:pt idx="48">
                  <c:v>72</c:v>
                </c:pt>
                <c:pt idx="49">
                  <c:v>73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</c:numCache>
            </c:numRef>
          </c:cat>
          <c:val>
            <c:numRef>
              <c:f>'Investimentos - Não Aposentado'!$AW$6:$AW$61</c:f>
              <c:numCache>
                <c:formatCode>_-* #,##0.00_-;\-* #,##0.00_-;_-* "-"??_-;_-@</c:formatCode>
                <c:ptCount val="56"/>
                <c:pt idx="0" formatCode="_-* #,##0_-;\-* #,##0_-;_-* &quot;-&quot;??_-;_-@">
                  <c:v>1000000</c:v>
                </c:pt>
                <c:pt idx="1">
                  <c:v>1119903.381642512</c:v>
                </c:pt>
                <c:pt idx="2">
                  <c:v>1246989.3813157834</c:v>
                </c:pt>
                <c:pt idx="3">
                  <c:v>1381688.2621289028</c:v>
                </c:pt>
                <c:pt idx="4">
                  <c:v>1524456.0614061898</c:v>
                </c:pt>
                <c:pt idx="5">
                  <c:v>1675776.1346498455</c:v>
                </c:pt>
                <c:pt idx="6">
                  <c:v>1836160.7919911889</c:v>
                </c:pt>
                <c:pt idx="7">
                  <c:v>2006153.0326708544</c:v>
                </c:pt>
                <c:pt idx="8">
                  <c:v>2186328.3834202196</c:v>
                </c:pt>
                <c:pt idx="9">
                  <c:v>2377296.8469680976</c:v>
                </c:pt>
                <c:pt idx="10">
                  <c:v>2579704.9672695682</c:v>
                </c:pt>
                <c:pt idx="11">
                  <c:v>2794238.0184490015</c:v>
                </c:pt>
                <c:pt idx="12">
                  <c:v>3021622.3248681687</c:v>
                </c:pt>
                <c:pt idx="13">
                  <c:v>3262627.7201742814</c:v>
                </c:pt>
                <c:pt idx="14">
                  <c:v>3518070.1536533204</c:v>
                </c:pt>
                <c:pt idx="15">
                  <c:v>3788814.4527127463</c:v>
                </c:pt>
                <c:pt idx="16">
                  <c:v>4075777.2508462635</c:v>
                </c:pt>
                <c:pt idx="17">
                  <c:v>4379930.0909935758</c:v>
                </c:pt>
                <c:pt idx="18">
                  <c:v>4702302.7148018861</c:v>
                </c:pt>
                <c:pt idx="19">
                  <c:v>5043986.5489252843</c:v>
                </c:pt>
                <c:pt idx="20">
                  <c:v>5406138.4001652533</c:v>
                </c:pt>
                <c:pt idx="21">
                  <c:v>5789984.371962592</c:v>
                </c:pt>
                <c:pt idx="22">
                  <c:v>6196824.0155004477</c:v>
                </c:pt>
                <c:pt idx="23">
                  <c:v>6628034.7294724556</c:v>
                </c:pt>
                <c:pt idx="24">
                  <c:v>7085076.4234118685</c:v>
                </c:pt>
                <c:pt idx="25">
                  <c:v>7569496.4603698738</c:v>
                </c:pt>
                <c:pt idx="26">
                  <c:v>8082934.8956770543</c:v>
                </c:pt>
                <c:pt idx="27">
                  <c:v>8087130.0295243748</c:v>
                </c:pt>
                <c:pt idx="28">
                  <c:v>8091576.4660755936</c:v>
                </c:pt>
                <c:pt idx="29">
                  <c:v>8096289.2592124883</c:v>
                </c:pt>
                <c:pt idx="30">
                  <c:v>8101284.3645952661</c:v>
                </c:pt>
                <c:pt idx="31">
                  <c:v>8106578.6936821323</c:v>
                </c:pt>
                <c:pt idx="32">
                  <c:v>8112190.1709848307</c:v>
                </c:pt>
                <c:pt idx="33">
                  <c:v>8118137.7947539706</c:v>
                </c:pt>
                <c:pt idx="34">
                  <c:v>8124441.7012996189</c:v>
                </c:pt>
                <c:pt idx="35">
                  <c:v>8131123.2331649102</c:v>
                </c:pt>
                <c:pt idx="36">
                  <c:v>8138205.011383485</c:v>
                </c:pt>
                <c:pt idx="37">
                  <c:v>8145711.0120653939</c:v>
                </c:pt>
                <c:pt idx="38">
                  <c:v>8153666.6475707609</c:v>
                </c:pt>
                <c:pt idx="39">
                  <c:v>8162098.8525460139</c:v>
                </c:pt>
                <c:pt idx="40">
                  <c:v>8171036.1751139872</c:v>
                </c:pt>
                <c:pt idx="41">
                  <c:v>8180508.8735266123</c:v>
                </c:pt>
                <c:pt idx="42">
                  <c:v>8190549.0186074339</c:v>
                </c:pt>
                <c:pt idx="43">
                  <c:v>8201190.6023307778</c:v>
                </c:pt>
                <c:pt idx="44">
                  <c:v>8212469.6529051811</c:v>
                </c:pt>
                <c:pt idx="45">
                  <c:v>8224424.3567507081</c:v>
                </c:pt>
                <c:pt idx="46">
                  <c:v>8237095.1877831183</c:v>
                </c:pt>
                <c:pt idx="47">
                  <c:v>8250525.0444425903</c:v>
                </c:pt>
                <c:pt idx="48">
                  <c:v>8264759.3949309383</c:v>
                </c:pt>
                <c:pt idx="49">
                  <c:v>8279846.4311490227</c:v>
                </c:pt>
                <c:pt idx="50">
                  <c:v>8295837.231855534</c:v>
                </c:pt>
                <c:pt idx="51">
                  <c:v>8312785.9355995376</c:v>
                </c:pt>
                <c:pt idx="52">
                  <c:v>8330749.9240122642</c:v>
                </c:pt>
                <c:pt idx="53">
                  <c:v>8349790.0160786994</c:v>
                </c:pt>
                <c:pt idx="54">
                  <c:v>8369970.674046699</c:v>
                </c:pt>
                <c:pt idx="55">
                  <c:v>8391360.2216707524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27C-4813-9006-39A6A061A1EC}"/>
            </c:ext>
          </c:extLst>
        </c:ser>
        <c:ser>
          <c:idx val="1"/>
          <c:order val="1"/>
          <c:tx>
            <c:v>Caso 1: Manutenção do patrimônio (linha verde)</c:v>
          </c:tx>
          <c:spPr>
            <a:ln w="19050" cmpd="sng">
              <a:solidFill>
                <a:srgbClr val="279D27">
                  <a:alpha val="100000"/>
                </a:srgbClr>
              </a:solidFill>
              <a:prstDash val="lgDash"/>
            </a:ln>
          </c:spPr>
          <c:marker>
            <c:symbol val="none"/>
          </c:marker>
          <c:cat>
            <c:numRef>
              <c:f>'Investimentos - Não Aposentado'!$AV$6:$AV$61</c:f>
              <c:numCache>
                <c:formatCode>General</c:formatCode>
                <c:ptCount val="56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56</c:v>
                </c:pt>
                <c:pt idx="33">
                  <c:v>57</c:v>
                </c:pt>
                <c:pt idx="34">
                  <c:v>58</c:v>
                </c:pt>
                <c:pt idx="35">
                  <c:v>59</c:v>
                </c:pt>
                <c:pt idx="36">
                  <c:v>60</c:v>
                </c:pt>
                <c:pt idx="37">
                  <c:v>61</c:v>
                </c:pt>
                <c:pt idx="38">
                  <c:v>62</c:v>
                </c:pt>
                <c:pt idx="39">
                  <c:v>63</c:v>
                </c:pt>
                <c:pt idx="40">
                  <c:v>64</c:v>
                </c:pt>
                <c:pt idx="41">
                  <c:v>65</c:v>
                </c:pt>
                <c:pt idx="42">
                  <c:v>66</c:v>
                </c:pt>
                <c:pt idx="43">
                  <c:v>67</c:v>
                </c:pt>
                <c:pt idx="44">
                  <c:v>68</c:v>
                </c:pt>
                <c:pt idx="45">
                  <c:v>69</c:v>
                </c:pt>
                <c:pt idx="46">
                  <c:v>70</c:v>
                </c:pt>
                <c:pt idx="47">
                  <c:v>71</c:v>
                </c:pt>
                <c:pt idx="48">
                  <c:v>72</c:v>
                </c:pt>
                <c:pt idx="49">
                  <c:v>73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</c:numCache>
            </c:numRef>
          </c:cat>
          <c:val>
            <c:numRef>
              <c:f>'Investimentos - Não Aposentado'!$AX$6:$AX$61</c:f>
              <c:numCache>
                <c:formatCode>_-* #,##0.00_-;\-* #,##0.00_-;_-* "-"??_-;_-@</c:formatCode>
                <c:ptCount val="56"/>
                <c:pt idx="0" formatCode="_-* #,##0_-;\-* #,##0_-;_-* &quot;-&quot;??_-;_-@">
                  <c:v>1000000</c:v>
                </c:pt>
                <c:pt idx="1">
                  <c:v>1118717.8513272917</c:v>
                </c:pt>
                <c:pt idx="2">
                  <c:v>1244547.3034104211</c:v>
                </c:pt>
                <c:pt idx="3">
                  <c:v>1377914.3651835546</c:v>
                </c:pt>
                <c:pt idx="4">
                  <c:v>1519270.5649566245</c:v>
                </c:pt>
                <c:pt idx="5">
                  <c:v>1669094.4791122358</c:v>
                </c:pt>
                <c:pt idx="6">
                  <c:v>1827893.3523766857</c:v>
                </c:pt>
                <c:pt idx="7">
                  <c:v>1996204.8151506968</c:v>
                </c:pt>
                <c:pt idx="8">
                  <c:v>2174598.703714069</c:v>
                </c:pt>
                <c:pt idx="9">
                  <c:v>2363678.9894667445</c:v>
                </c:pt>
                <c:pt idx="10">
                  <c:v>2564085.823737938</c:v>
                </c:pt>
                <c:pt idx="11">
                  <c:v>2776497.7050862461</c:v>
                </c:pt>
                <c:pt idx="12">
                  <c:v>3001633.7764283661</c:v>
                </c:pt>
                <c:pt idx="13">
                  <c:v>3240256.2597735887</c:v>
                </c:pt>
                <c:pt idx="14">
                  <c:v>3493173.0368071245</c:v>
                </c:pt>
                <c:pt idx="15">
                  <c:v>3761240.3840590944</c:v>
                </c:pt>
                <c:pt idx="16">
                  <c:v>4045365.8719193945</c:v>
                </c:pt>
                <c:pt idx="17">
                  <c:v>4346511.4373133555</c:v>
                </c:pt>
                <c:pt idx="18">
                  <c:v>4665696.640441061</c:v>
                </c:pt>
                <c:pt idx="19">
                  <c:v>5004002.1166063678</c:v>
                </c:pt>
                <c:pt idx="20">
                  <c:v>5362573.2348221568</c:v>
                </c:pt>
                <c:pt idx="21">
                  <c:v>5742623.9755784087</c:v>
                </c:pt>
                <c:pt idx="22">
                  <c:v>6145441.0409017019</c:v>
                </c:pt>
                <c:pt idx="23">
                  <c:v>6572388.2106211726</c:v>
                </c:pt>
                <c:pt idx="24">
                  <c:v>7024910.9595895391</c:v>
                </c:pt>
                <c:pt idx="25">
                  <c:v>7504541.3514912762</c:v>
                </c:pt>
                <c:pt idx="26">
                  <c:v>8012903.2258064514</c:v>
                </c:pt>
                <c:pt idx="27">
                  <c:v>8012903.2258064505</c:v>
                </c:pt>
                <c:pt idx="28">
                  <c:v>8012903.2258064505</c:v>
                </c:pt>
                <c:pt idx="29">
                  <c:v>8012903.2258064505</c:v>
                </c:pt>
                <c:pt idx="30">
                  <c:v>8012903.2258064505</c:v>
                </c:pt>
                <c:pt idx="31">
                  <c:v>8012903.2258064505</c:v>
                </c:pt>
                <c:pt idx="32">
                  <c:v>8012903.2258064505</c:v>
                </c:pt>
                <c:pt idx="33">
                  <c:v>8012903.2258064505</c:v>
                </c:pt>
                <c:pt idx="34">
                  <c:v>8012903.2258064505</c:v>
                </c:pt>
                <c:pt idx="35">
                  <c:v>8012903.2258064505</c:v>
                </c:pt>
                <c:pt idx="36">
                  <c:v>8012903.2258064505</c:v>
                </c:pt>
                <c:pt idx="37">
                  <c:v>8012903.2258064505</c:v>
                </c:pt>
                <c:pt idx="38">
                  <c:v>8012903.2258064505</c:v>
                </c:pt>
                <c:pt idx="39">
                  <c:v>8012903.2258064505</c:v>
                </c:pt>
                <c:pt idx="40">
                  <c:v>8012903.2258064505</c:v>
                </c:pt>
                <c:pt idx="41">
                  <c:v>8012903.2258064505</c:v>
                </c:pt>
                <c:pt idx="42">
                  <c:v>8012903.2258064505</c:v>
                </c:pt>
                <c:pt idx="43">
                  <c:v>8012903.2258064505</c:v>
                </c:pt>
                <c:pt idx="44">
                  <c:v>8012903.2258064505</c:v>
                </c:pt>
                <c:pt idx="45">
                  <c:v>8012903.2258064505</c:v>
                </c:pt>
                <c:pt idx="46">
                  <c:v>8012903.2258064505</c:v>
                </c:pt>
                <c:pt idx="47">
                  <c:v>8012903.2258064505</c:v>
                </c:pt>
                <c:pt idx="48">
                  <c:v>8012903.2258064505</c:v>
                </c:pt>
                <c:pt idx="49">
                  <c:v>8012903.2258064505</c:v>
                </c:pt>
                <c:pt idx="50">
                  <c:v>8012903.2258064505</c:v>
                </c:pt>
                <c:pt idx="51">
                  <c:v>8012903.2258064505</c:v>
                </c:pt>
                <c:pt idx="52">
                  <c:v>8012903.2258064505</c:v>
                </c:pt>
                <c:pt idx="53">
                  <c:v>8012903.2258064505</c:v>
                </c:pt>
                <c:pt idx="54">
                  <c:v>8012903.2258064505</c:v>
                </c:pt>
                <c:pt idx="55">
                  <c:v>8012903.2258064505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27C-4813-9006-39A6A061A1EC}"/>
            </c:ext>
          </c:extLst>
        </c:ser>
        <c:ser>
          <c:idx val="2"/>
          <c:order val="2"/>
          <c:tx>
            <c:v>Caso 2: Consumo do patrimônio (linha vermelha)</c:v>
          </c:tx>
          <c:spPr>
            <a:ln w="19050" cmpd="sng">
              <a:solidFill>
                <a:srgbClr val="DE0404">
                  <a:alpha val="100000"/>
                </a:srgbClr>
              </a:solidFill>
              <a:prstDash val="lgDash"/>
            </a:ln>
          </c:spPr>
          <c:marker>
            <c:symbol val="none"/>
          </c:marker>
          <c:cat>
            <c:numRef>
              <c:f>'Investimentos - Não Aposentado'!$AV$6:$AV$61</c:f>
              <c:numCache>
                <c:formatCode>General</c:formatCode>
                <c:ptCount val="56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54</c:v>
                </c:pt>
                <c:pt idx="31">
                  <c:v>55</c:v>
                </c:pt>
                <c:pt idx="32">
                  <c:v>56</c:v>
                </c:pt>
                <c:pt idx="33">
                  <c:v>57</c:v>
                </c:pt>
                <c:pt idx="34">
                  <c:v>58</c:v>
                </c:pt>
                <c:pt idx="35">
                  <c:v>59</c:v>
                </c:pt>
                <c:pt idx="36">
                  <c:v>60</c:v>
                </c:pt>
                <c:pt idx="37">
                  <c:v>61</c:v>
                </c:pt>
                <c:pt idx="38">
                  <c:v>62</c:v>
                </c:pt>
                <c:pt idx="39">
                  <c:v>63</c:v>
                </c:pt>
                <c:pt idx="40">
                  <c:v>64</c:v>
                </c:pt>
                <c:pt idx="41">
                  <c:v>65</c:v>
                </c:pt>
                <c:pt idx="42">
                  <c:v>66</c:v>
                </c:pt>
                <c:pt idx="43">
                  <c:v>67</c:v>
                </c:pt>
                <c:pt idx="44">
                  <c:v>68</c:v>
                </c:pt>
                <c:pt idx="45">
                  <c:v>69</c:v>
                </c:pt>
                <c:pt idx="46">
                  <c:v>70</c:v>
                </c:pt>
                <c:pt idx="47">
                  <c:v>71</c:v>
                </c:pt>
                <c:pt idx="48">
                  <c:v>72</c:v>
                </c:pt>
                <c:pt idx="49">
                  <c:v>73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</c:numCache>
            </c:numRef>
          </c:cat>
          <c:val>
            <c:numRef>
              <c:f>'Investimentos - Não Aposentado'!$AY$6:$AY$61</c:f>
              <c:numCache>
                <c:formatCode>_-* #,##0.00_-;\-* #,##0.00_-;_-* "-"??_-;_-@</c:formatCode>
                <c:ptCount val="56"/>
                <c:pt idx="0" formatCode="_-* #,##0_-;\-* #,##0_-;_-* &quot;-&quot;??_-;_-@">
                  <c:v>1000000</c:v>
                </c:pt>
                <c:pt idx="1">
                  <c:v>1109935.5519744358</c:v>
                </c:pt>
                <c:pt idx="2">
                  <c:v>1225360.7964183292</c:v>
                </c:pt>
                <c:pt idx="3">
                  <c:v>1346549.8641553128</c:v>
                </c:pt>
                <c:pt idx="4">
                  <c:v>1473790.5748830098</c:v>
                </c:pt>
                <c:pt idx="5">
                  <c:v>1607385.120734514</c:v>
                </c:pt>
                <c:pt idx="6">
                  <c:v>1747650.7839738871</c:v>
                </c:pt>
                <c:pt idx="7">
                  <c:v>1894920.6905301786</c:v>
                </c:pt>
                <c:pt idx="8">
                  <c:v>2049544.6011595821</c:v>
                </c:pt>
                <c:pt idx="9">
                  <c:v>2211889.7421147106</c:v>
                </c:pt>
                <c:pt idx="10">
                  <c:v>2382341.6772938012</c:v>
                </c:pt>
                <c:pt idx="11">
                  <c:v>2561305.2239411701</c:v>
                </c:pt>
                <c:pt idx="12">
                  <c:v>2749205.4140736782</c:v>
                </c:pt>
                <c:pt idx="13">
                  <c:v>2946488.5039165546</c:v>
                </c:pt>
                <c:pt idx="14">
                  <c:v>3153623.0337459571</c:v>
                </c:pt>
                <c:pt idx="15">
                  <c:v>3371100.9406553563</c:v>
                </c:pt>
                <c:pt idx="16">
                  <c:v>3599438.7268885211</c:v>
                </c:pt>
                <c:pt idx="17">
                  <c:v>3839178.6865138598</c:v>
                </c:pt>
                <c:pt idx="18">
                  <c:v>4090890.1933534187</c:v>
                </c:pt>
                <c:pt idx="19">
                  <c:v>4355171.0532253282</c:v>
                </c:pt>
                <c:pt idx="20">
                  <c:v>4632648.9237112198</c:v>
                </c:pt>
                <c:pt idx="21">
                  <c:v>4923982.8048205152</c:v>
                </c:pt>
                <c:pt idx="22">
                  <c:v>5229864.6040918585</c:v>
                </c:pt>
                <c:pt idx="23">
                  <c:v>5551020.7798487497</c:v>
                </c:pt>
                <c:pt idx="24">
                  <c:v>5888214.0665120604</c:v>
                </c:pt>
                <c:pt idx="25">
                  <c:v>6242245.2860669773</c:v>
                </c:pt>
                <c:pt idx="26">
                  <c:v>6613955.2499865517</c:v>
                </c:pt>
                <c:pt idx="27">
                  <c:v>6530153.535492992</c:v>
                </c:pt>
                <c:pt idx="28">
                  <c:v>6441331.8149138279</c:v>
                </c:pt>
                <c:pt idx="29">
                  <c:v>6347189.3729086658</c:v>
                </c:pt>
                <c:pt idx="30">
                  <c:v>6247407.4802713105</c:v>
                </c:pt>
                <c:pt idx="31">
                  <c:v>6141648.3148382874</c:v>
                </c:pt>
                <c:pt idx="32">
                  <c:v>6029553.8177561369</c:v>
                </c:pt>
                <c:pt idx="33">
                  <c:v>5910744.481235248</c:v>
                </c:pt>
                <c:pt idx="34">
                  <c:v>5784818.0636860551</c:v>
                </c:pt>
                <c:pt idx="35">
                  <c:v>5651348.2278875383</c:v>
                </c:pt>
                <c:pt idx="36">
                  <c:v>5509883.0975774201</c:v>
                </c:pt>
                <c:pt idx="37">
                  <c:v>5359943.7275772272</c:v>
                </c:pt>
                <c:pt idx="38">
                  <c:v>5201022.4822726743</c:v>
                </c:pt>
                <c:pt idx="39">
                  <c:v>5032581.3169595394</c:v>
                </c:pt>
                <c:pt idx="40">
                  <c:v>4854049.9562363429</c:v>
                </c:pt>
                <c:pt idx="41">
                  <c:v>4664823.9632765874</c:v>
                </c:pt>
                <c:pt idx="42">
                  <c:v>4464262.6934438804</c:v>
                </c:pt>
                <c:pt idx="43">
                  <c:v>4251687.1253216779</c:v>
                </c:pt>
                <c:pt idx="44">
                  <c:v>4026377.5618143771</c:v>
                </c:pt>
                <c:pt idx="45">
                  <c:v>3787571.1935365908</c:v>
                </c:pt>
                <c:pt idx="46">
                  <c:v>3534459.5162411979</c:v>
                </c:pt>
                <c:pt idx="47">
                  <c:v>3266185.5935426028</c:v>
                </c:pt>
                <c:pt idx="48">
                  <c:v>2981841.1556678601</c:v>
                </c:pt>
                <c:pt idx="49">
                  <c:v>2680463.524413181</c:v>
                </c:pt>
                <c:pt idx="50">
                  <c:v>2361032.3538949369</c:v>
                </c:pt>
                <c:pt idx="51">
                  <c:v>2022466.176060624</c:v>
                </c:pt>
                <c:pt idx="52">
                  <c:v>1663618.7392642554</c:v>
                </c:pt>
                <c:pt idx="53">
                  <c:v>1283275.1275100368</c:v>
                </c:pt>
                <c:pt idx="54">
                  <c:v>880147.64722561394</c:v>
                </c:pt>
                <c:pt idx="55">
                  <c:v>452871.46763912903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27C-4813-9006-39A6A061A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901778"/>
        <c:axId val="837747706"/>
      </c:lineChart>
      <c:catAx>
        <c:axId val="6829017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2700000"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837747706"/>
        <c:crosses val="autoZero"/>
        <c:auto val="1"/>
        <c:lblAlgn val="ctr"/>
        <c:lblOffset val="100"/>
        <c:noMultiLvlLbl val="1"/>
      </c:catAx>
      <c:valAx>
        <c:axId val="83774770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 i="0">
                    <a:solidFill>
                      <a:srgbClr val="000000"/>
                    </a:solidFill>
                    <a:latin typeface="+mn-lt"/>
                  </a:rPr>
                  <a:t>Capital</a:t>
                </a:r>
              </a:p>
            </c:rich>
          </c:tx>
          <c:overlay val="0"/>
        </c:title>
        <c:numFmt formatCode="_-* #,##0_-;\-* #,##0_-;_-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68290177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0.50251036957215345"/>
          <c:y val="0.25838969035145465"/>
          <c:w val="0.22077397003453683"/>
          <c:h val="0.64131165187271066"/>
        </c:manualLayout>
      </c:layout>
      <c:barChart>
        <c:barDir val="col"/>
        <c:grouping val="clustered"/>
        <c:varyColors val="1"/>
        <c:ser>
          <c:idx val="0"/>
          <c:order val="0"/>
          <c:tx>
            <c:v>Termômetro financeiro</c:v>
          </c:tx>
          <c:spPr>
            <a:solidFill>
              <a:srgbClr val="4F81BD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'Investimentos - Não Aposentado'!$AE$7</c:f>
              <c:numCache>
                <c:formatCode>_-* #,##0.00_-;\-* #,##0.00_-;_-* "-"??_-;_-@</c:formatCode>
                <c:ptCount val="1"/>
                <c:pt idx="0">
                  <c:v>10.087398621819201</c:v>
                </c:pt>
              </c:numCache>
            </c:numRef>
          </c:cat>
          <c:val>
            <c:numRef>
              <c:f>'Investimentos - Não Aposentado'!$AE$7</c:f>
              <c:numCache>
                <c:formatCode>_-* #,##0.00_-;\-* #,##0.00_-;_-* "-"??_-;_-@</c:formatCode>
                <c:ptCount val="1"/>
                <c:pt idx="0">
                  <c:v>10.087398621819201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847-4457-A827-D89B1A61D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0653203"/>
        <c:axId val="1957924780"/>
      </c:barChart>
      <c:catAx>
        <c:axId val="12406532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* #,##0.00_-;\-* #,##0.00_-;_-* &quot;-&quot;??_-;_-@" sourceLinked="1"/>
        <c:majorTickMark val="out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957924780"/>
        <c:crosses val="autoZero"/>
        <c:auto val="1"/>
        <c:lblAlgn val="ctr"/>
        <c:lblOffset val="100"/>
        <c:noMultiLvlLbl val="1"/>
      </c:catAx>
      <c:valAx>
        <c:axId val="1957924780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240653203"/>
        <c:crosses val="autoZero"/>
        <c:crossBetween val="between"/>
        <c:majorUnit val="1"/>
        <c:minorUnit val="0.2"/>
      </c:valAx>
      <c:spPr>
        <a:solidFill>
          <a:srgbClr val="FFFF00"/>
        </a:solidFill>
      </c:spPr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7.7699552421347046E-2"/>
          <c:y val="4.9286046832872028E-2"/>
          <c:w val="0.748413434201467"/>
          <c:h val="0.80424142582578284"/>
        </c:manualLayout>
      </c:layout>
      <c:lineChart>
        <c:grouping val="standard"/>
        <c:varyColors val="1"/>
        <c:ser>
          <c:idx val="0"/>
          <c:order val="0"/>
          <c:tx>
            <c:v>Carteira atual</c:v>
          </c:tx>
          <c:spPr>
            <a:ln w="38100" cmpd="sng"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'Investimentos - Aposentado'!$AW$3:$AW$33</c:f>
              <c:numCache>
                <c:formatCode>General</c:formatCode>
                <c:ptCount val="31"/>
                <c:pt idx="0">
                  <c:v>42</c:v>
                </c:pt>
                <c:pt idx="1">
                  <c:v>43</c:v>
                </c:pt>
                <c:pt idx="2">
                  <c:v>44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49</c:v>
                </c:pt>
                <c:pt idx="8">
                  <c:v>50</c:v>
                </c:pt>
                <c:pt idx="9">
                  <c:v>51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57</c:v>
                </c:pt>
                <c:pt idx="16">
                  <c:v>58</c:v>
                </c:pt>
                <c:pt idx="17">
                  <c:v>59</c:v>
                </c:pt>
                <c:pt idx="18">
                  <c:v>60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</c:numCache>
            </c:numRef>
          </c:cat>
          <c:val>
            <c:numRef>
              <c:f>'Investimentos - Aposentado'!$AX$3:$AX$28</c:f>
              <c:numCache>
                <c:formatCode>_-* #,##0.00_-;\-* #,##0.00_-;_-* "-"??_-;_-@</c:formatCode>
                <c:ptCount val="26"/>
                <c:pt idx="0">
                  <c:v>1000000</c:v>
                </c:pt>
                <c:pt idx="1">
                  <c:v>579903.38164251205</c:v>
                </c:pt>
                <c:pt idx="2">
                  <c:v>134641.55522882682</c:v>
                </c:pt>
                <c:pt idx="3">
                  <c:v>-337292.96030335943</c:v>
                </c:pt>
                <c:pt idx="4">
                  <c:v>-837497.94922974426</c:v>
                </c:pt>
                <c:pt idx="5">
                  <c:v>-1367666.9085072749</c:v>
                </c:pt>
                <c:pt idx="6">
                  <c:v>-1929594.7812874208</c:v>
                </c:pt>
                <c:pt idx="7">
                  <c:v>-2525184.0338862808</c:v>
                </c:pt>
                <c:pt idx="8">
                  <c:v>-3156451.0967857488</c:v>
                </c:pt>
                <c:pt idx="9">
                  <c:v>-3825533.1914724312</c:v>
                </c:pt>
                <c:pt idx="10">
                  <c:v>-4534695.566227302</c:v>
                </c:pt>
                <c:pt idx="11">
                  <c:v>-5286339.1653636238</c:v>
                </c:pt>
                <c:pt idx="12">
                  <c:v>-6083008.7578781601</c:v>
                </c:pt>
                <c:pt idx="13">
                  <c:v>-6927401.5530360788</c:v>
                </c:pt>
                <c:pt idx="14">
                  <c:v>-7822376.3320585303</c:v>
                </c:pt>
                <c:pt idx="15">
                  <c:v>-8770963.1268291865</c:v>
                </c:pt>
                <c:pt idx="16">
                  <c:v>-9776373.4783880357</c:v>
                </c:pt>
                <c:pt idx="17">
                  <c:v>-10842011.309943648</c:v>
                </c:pt>
                <c:pt idx="18">
                  <c:v>-11971484.451215634</c:v>
                </c:pt>
                <c:pt idx="19">
                  <c:v>-13168616.853124203</c:v>
                </c:pt>
                <c:pt idx="20">
                  <c:v>-14437461.534180919</c:v>
                </c:pt>
                <c:pt idx="21">
                  <c:v>-15782314.302412046</c:v>
                </c:pt>
                <c:pt idx="22">
                  <c:v>-17207728.299271509</c:v>
                </c:pt>
                <c:pt idx="23">
                  <c:v>-18718529.414783426</c:v>
                </c:pt>
                <c:pt idx="24">
                  <c:v>-20319832.626103785</c:v>
                </c:pt>
                <c:pt idx="25">
                  <c:v>-22017059.31481725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15F-4513-8E64-6C29347E2BE9}"/>
            </c:ext>
          </c:extLst>
        </c:ser>
        <c:ser>
          <c:idx val="1"/>
          <c:order val="1"/>
          <c:tx>
            <c:v>Carteira renda vitalicia</c:v>
          </c:tx>
          <c:spPr>
            <a:ln w="9525" cmpd="sng">
              <a:solidFill>
                <a:srgbClr val="00B05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'Investimentos - Aposentado'!$AW$3:$AW$33</c:f>
              <c:numCache>
                <c:formatCode>General</c:formatCode>
                <c:ptCount val="31"/>
                <c:pt idx="0">
                  <c:v>42</c:v>
                </c:pt>
                <c:pt idx="1">
                  <c:v>43</c:v>
                </c:pt>
                <c:pt idx="2">
                  <c:v>44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49</c:v>
                </c:pt>
                <c:pt idx="8">
                  <c:v>50</c:v>
                </c:pt>
                <c:pt idx="9">
                  <c:v>51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57</c:v>
                </c:pt>
                <c:pt idx="16">
                  <c:v>58</c:v>
                </c:pt>
                <c:pt idx="17">
                  <c:v>59</c:v>
                </c:pt>
                <c:pt idx="18">
                  <c:v>60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</c:numCache>
            </c:numRef>
          </c:cat>
          <c:val>
            <c:numRef>
              <c:f>'Investimentos - Aposentado'!$AY$3:$AY$33</c:f>
              <c:numCache>
                <c:formatCode>_-* #,##0.00_-;\-* #,##0.00_-;_-* "-"??_-;_-@</c:formatCode>
                <c:ptCount val="31"/>
                <c:pt idx="0">
                  <c:v>1000000</c:v>
                </c:pt>
                <c:pt idx="1">
                  <c:v>1000000</c:v>
                </c:pt>
                <c:pt idx="2">
                  <c:v>1000000</c:v>
                </c:pt>
                <c:pt idx="3">
                  <c:v>1000000</c:v>
                </c:pt>
                <c:pt idx="4">
                  <c:v>1000000</c:v>
                </c:pt>
                <c:pt idx="5">
                  <c:v>1000000</c:v>
                </c:pt>
                <c:pt idx="6">
                  <c:v>1000000</c:v>
                </c:pt>
                <c:pt idx="7">
                  <c:v>1000000</c:v>
                </c:pt>
                <c:pt idx="8">
                  <c:v>1000000</c:v>
                </c:pt>
                <c:pt idx="9">
                  <c:v>1000000</c:v>
                </c:pt>
                <c:pt idx="10">
                  <c:v>1000000</c:v>
                </c:pt>
                <c:pt idx="11">
                  <c:v>1000000</c:v>
                </c:pt>
                <c:pt idx="12">
                  <c:v>1000000</c:v>
                </c:pt>
                <c:pt idx="13">
                  <c:v>1000000</c:v>
                </c:pt>
                <c:pt idx="14">
                  <c:v>1000000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1000000</c:v>
                </c:pt>
                <c:pt idx="19">
                  <c:v>1000000</c:v>
                </c:pt>
                <c:pt idx="20">
                  <c:v>1000000</c:v>
                </c:pt>
                <c:pt idx="21">
                  <c:v>1000000</c:v>
                </c:pt>
                <c:pt idx="22">
                  <c:v>1000000</c:v>
                </c:pt>
                <c:pt idx="23">
                  <c:v>1000000</c:v>
                </c:pt>
                <c:pt idx="24">
                  <c:v>1000000</c:v>
                </c:pt>
                <c:pt idx="25">
                  <c:v>1000000</c:v>
                </c:pt>
                <c:pt idx="26">
                  <c:v>1000000</c:v>
                </c:pt>
                <c:pt idx="27">
                  <c:v>1000000</c:v>
                </c:pt>
                <c:pt idx="28">
                  <c:v>1000000</c:v>
                </c:pt>
                <c:pt idx="29">
                  <c:v>1000000</c:v>
                </c:pt>
                <c:pt idx="30">
                  <c:v>1000000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15F-4513-8E64-6C29347E2BE9}"/>
            </c:ext>
          </c:extLst>
        </c:ser>
        <c:ser>
          <c:idx val="2"/>
          <c:order val="2"/>
          <c:tx>
            <c:v>Carteira Consumo Patrimonio Financeiro</c:v>
          </c:tx>
          <c:spPr>
            <a:ln w="9525" cmpd="sng">
              <a:solidFill>
                <a:srgbClr val="FF000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'Investimentos - Aposentado'!$AW$3:$AW$33</c:f>
              <c:numCache>
                <c:formatCode>General</c:formatCode>
                <c:ptCount val="31"/>
                <c:pt idx="0">
                  <c:v>42</c:v>
                </c:pt>
                <c:pt idx="1">
                  <c:v>43</c:v>
                </c:pt>
                <c:pt idx="2">
                  <c:v>44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49</c:v>
                </c:pt>
                <c:pt idx="8">
                  <c:v>50</c:v>
                </c:pt>
                <c:pt idx="9">
                  <c:v>51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57</c:v>
                </c:pt>
                <c:pt idx="16">
                  <c:v>58</c:v>
                </c:pt>
                <c:pt idx="17">
                  <c:v>59</c:v>
                </c:pt>
                <c:pt idx="18">
                  <c:v>60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</c:numCache>
            </c:numRef>
          </c:cat>
          <c:val>
            <c:numRef>
              <c:f>'Investimentos - Aposentado'!$AZ$3:$AZ$33</c:f>
              <c:numCache>
                <c:formatCode>_-* #,##0.00_-;\-* #,##0.00_-;_-* "-"??_-;_-@</c:formatCode>
                <c:ptCount val="31"/>
                <c:pt idx="0">
                  <c:v>1000000</c:v>
                </c:pt>
                <c:pt idx="1">
                  <c:v>1000000.001541622</c:v>
                </c:pt>
                <c:pt idx="2">
                  <c:v>1000000.0038232224</c:v>
                </c:pt>
                <c:pt idx="3">
                  <c:v>1000000.007199991</c:v>
                </c:pt>
                <c:pt idx="4">
                  <c:v>1000000.0121976086</c:v>
                </c:pt>
                <c:pt idx="5">
                  <c:v>1000000.0195940826</c:v>
                </c:pt>
                <c:pt idx="6">
                  <c:v>1000000.0305408642</c:v>
                </c:pt>
                <c:pt idx="7">
                  <c:v>1000000.046742101</c:v>
                </c:pt>
                <c:pt idx="8">
                  <c:v>1000000.0707199315</c:v>
                </c:pt>
                <c:pt idx="9">
                  <c:v>1000000.1062071207</c:v>
                </c:pt>
                <c:pt idx="10">
                  <c:v>1000000.1587281607</c:v>
                </c:pt>
                <c:pt idx="11">
                  <c:v>1000000.2364592999</c:v>
                </c:pt>
                <c:pt idx="12">
                  <c:v>1000000.3515013861</c:v>
                </c:pt>
                <c:pt idx="13">
                  <c:v>1000000.521763674</c:v>
                </c:pt>
                <c:pt idx="14">
                  <c:v>1000000.7737518603</c:v>
                </c:pt>
                <c:pt idx="15">
                  <c:v>1000001.1466943764</c:v>
                </c:pt>
                <c:pt idx="16">
                  <c:v>1000001.6986493007</c:v>
                </c:pt>
                <c:pt idx="17">
                  <c:v>1000002.5155425896</c:v>
                </c:pt>
                <c:pt idx="18">
                  <c:v>1000003.7245446583</c:v>
                </c:pt>
                <c:pt idx="19">
                  <c:v>1000005.5138677219</c:v>
                </c:pt>
                <c:pt idx="20">
                  <c:v>1000008.1620658587</c:v>
                </c:pt>
                <c:pt idx="21">
                  <c:v>1000012.0813991055</c:v>
                </c:pt>
                <c:pt idx="22">
                  <c:v>1000017.8820123167</c:v>
                </c:pt>
                <c:pt idx="23">
                  <c:v>1000026.4669198783</c:v>
                </c:pt>
                <c:pt idx="24">
                  <c:v>1000039.1725830825</c:v>
                </c:pt>
                <c:pt idx="25">
                  <c:v>1000057.9769646444</c:v>
                </c:pt>
                <c:pt idx="26">
                  <c:v>1000085.8074493851</c:v>
                </c:pt>
                <c:pt idx="27">
                  <c:v>1000126.9965668442</c:v>
                </c:pt>
                <c:pt idx="28">
                  <c:v>1000187.9564607472</c:v>
                </c:pt>
                <c:pt idx="29">
                  <c:v>1000278.1771038175</c:v>
                </c:pt>
                <c:pt idx="30">
                  <c:v>1000411.7036557007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15F-4513-8E64-6C29347E2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7148317"/>
        <c:axId val="1170901863"/>
      </c:lineChart>
      <c:catAx>
        <c:axId val="19471483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170901863"/>
        <c:crosses val="autoZero"/>
        <c:auto val="1"/>
        <c:lblAlgn val="ctr"/>
        <c:lblOffset val="100"/>
        <c:noMultiLvlLbl val="1"/>
      </c:catAx>
      <c:valAx>
        <c:axId val="1170901863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 i="0">
                    <a:solidFill>
                      <a:srgbClr val="000000"/>
                    </a:solidFill>
                    <a:latin typeface="+mn-lt"/>
                  </a:rPr>
                  <a:t>Capital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94714831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093758193820156"/>
          <c:y val="0.34230443242727021"/>
        </c:manualLayout>
      </c:layout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9.2097114115549647E-2"/>
          <c:y val="0.18465124683184739"/>
          <c:w val="0.89362946020249601"/>
          <c:h val="0.6970147360026101"/>
        </c:manualLayout>
      </c:layout>
      <c:barChart>
        <c:barDir val="col"/>
        <c:grouping val="clustered"/>
        <c:varyColors val="1"/>
        <c:ser>
          <c:idx val="0"/>
          <c:order val="0"/>
          <c:tx>
            <c:v>Necessidade de Proteção</c:v>
          </c:tx>
          <c:spPr>
            <a:solidFill>
              <a:srgbClr val="4F81BD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'Proteção Familiar'!$AV$5:$AV$71</c:f>
              <c:strCache>
                <c:ptCount val="67"/>
                <c:pt idx="0">
                  <c:v>Idade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</c:strCache>
            </c:strRef>
          </c:cat>
          <c:val>
            <c:numRef>
              <c:f>'Proteção Familiar'!$BT$9:$BT$79</c:f>
              <c:numCache>
                <c:formatCode>_-* #,##0.00_-;\-* #,##0.00_-;_-* "-"??_-;_-@</c:formatCode>
                <c:ptCount val="71"/>
                <c:pt idx="0">
                  <c:v>4904000</c:v>
                </c:pt>
                <c:pt idx="1">
                  <c:v>4784000</c:v>
                </c:pt>
                <c:pt idx="2">
                  <c:v>4664000</c:v>
                </c:pt>
                <c:pt idx="3">
                  <c:v>4544000</c:v>
                </c:pt>
                <c:pt idx="4">
                  <c:v>4424000</c:v>
                </c:pt>
                <c:pt idx="5">
                  <c:v>4304000</c:v>
                </c:pt>
                <c:pt idx="6">
                  <c:v>4184000</c:v>
                </c:pt>
                <c:pt idx="7">
                  <c:v>4064000</c:v>
                </c:pt>
                <c:pt idx="8">
                  <c:v>3944000</c:v>
                </c:pt>
                <c:pt idx="9">
                  <c:v>3824000</c:v>
                </c:pt>
                <c:pt idx="10">
                  <c:v>3704000</c:v>
                </c:pt>
                <c:pt idx="11">
                  <c:v>3584000</c:v>
                </c:pt>
                <c:pt idx="12">
                  <c:v>3464000</c:v>
                </c:pt>
                <c:pt idx="13">
                  <c:v>3344000</c:v>
                </c:pt>
                <c:pt idx="14">
                  <c:v>3224000</c:v>
                </c:pt>
                <c:pt idx="15">
                  <c:v>3104000</c:v>
                </c:pt>
                <c:pt idx="16">
                  <c:v>2984000</c:v>
                </c:pt>
                <c:pt idx="17">
                  <c:v>2864000</c:v>
                </c:pt>
                <c:pt idx="18">
                  <c:v>2744000</c:v>
                </c:pt>
                <c:pt idx="19">
                  <c:v>2624000</c:v>
                </c:pt>
                <c:pt idx="20">
                  <c:v>2504000</c:v>
                </c:pt>
                <c:pt idx="21">
                  <c:v>2384000</c:v>
                </c:pt>
                <c:pt idx="22">
                  <c:v>2264000</c:v>
                </c:pt>
                <c:pt idx="23">
                  <c:v>2144000</c:v>
                </c:pt>
                <c:pt idx="24">
                  <c:v>2024000</c:v>
                </c:pt>
                <c:pt idx="25">
                  <c:v>1904000</c:v>
                </c:pt>
                <c:pt idx="26">
                  <c:v>1784000</c:v>
                </c:pt>
                <c:pt idx="27">
                  <c:v>1664000</c:v>
                </c:pt>
                <c:pt idx="28">
                  <c:v>1544000</c:v>
                </c:pt>
                <c:pt idx="29">
                  <c:v>1424000</c:v>
                </c:pt>
                <c:pt idx="30">
                  <c:v>1304000</c:v>
                </c:pt>
                <c:pt idx="31">
                  <c:v>1184000</c:v>
                </c:pt>
                <c:pt idx="32">
                  <c:v>1064000</c:v>
                </c:pt>
                <c:pt idx="33">
                  <c:v>944000</c:v>
                </c:pt>
                <c:pt idx="34">
                  <c:v>824000</c:v>
                </c:pt>
                <c:pt idx="35">
                  <c:v>704000</c:v>
                </c:pt>
                <c:pt idx="36">
                  <c:v>584000</c:v>
                </c:pt>
                <c:pt idx="37">
                  <c:v>464000</c:v>
                </c:pt>
                <c:pt idx="38">
                  <c:v>344000</c:v>
                </c:pt>
                <c:pt idx="39">
                  <c:v>224000</c:v>
                </c:pt>
                <c:pt idx="40">
                  <c:v>200000</c:v>
                </c:pt>
                <c:pt idx="41">
                  <c:v>200000</c:v>
                </c:pt>
                <c:pt idx="42">
                  <c:v>200000</c:v>
                </c:pt>
                <c:pt idx="43">
                  <c:v>200000</c:v>
                </c:pt>
                <c:pt idx="44">
                  <c:v>200000</c:v>
                </c:pt>
                <c:pt idx="45">
                  <c:v>200000</c:v>
                </c:pt>
                <c:pt idx="46">
                  <c:v>200000</c:v>
                </c:pt>
                <c:pt idx="47">
                  <c:v>200000</c:v>
                </c:pt>
                <c:pt idx="48">
                  <c:v>200000</c:v>
                </c:pt>
                <c:pt idx="49">
                  <c:v>200000</c:v>
                </c:pt>
                <c:pt idx="50">
                  <c:v>200000</c:v>
                </c:pt>
                <c:pt idx="51">
                  <c:v>200000</c:v>
                </c:pt>
                <c:pt idx="52">
                  <c:v>200000</c:v>
                </c:pt>
                <c:pt idx="53">
                  <c:v>200000</c:v>
                </c:pt>
                <c:pt idx="54">
                  <c:v>200000</c:v>
                </c:pt>
                <c:pt idx="55">
                  <c:v>200000</c:v>
                </c:pt>
                <c:pt idx="56">
                  <c:v>200000</c:v>
                </c:pt>
                <c:pt idx="57">
                  <c:v>200000</c:v>
                </c:pt>
                <c:pt idx="58">
                  <c:v>200000</c:v>
                </c:pt>
                <c:pt idx="59">
                  <c:v>200000</c:v>
                </c:pt>
                <c:pt idx="60">
                  <c:v>200000</c:v>
                </c:pt>
                <c:pt idx="61">
                  <c:v>200000</c:v>
                </c:pt>
                <c:pt idx="62">
                  <c:v>200000</c:v>
                </c:pt>
                <c:pt idx="63">
                  <c:v>200000</c:v>
                </c:pt>
                <c:pt idx="64">
                  <c:v>200000</c:v>
                </c:pt>
                <c:pt idx="65">
                  <c:v>200000</c:v>
                </c:pt>
                <c:pt idx="66">
                  <c:v>200000</c:v>
                </c:pt>
                <c:pt idx="67">
                  <c:v>200000</c:v>
                </c:pt>
                <c:pt idx="68">
                  <c:v>200000</c:v>
                </c:pt>
                <c:pt idx="69">
                  <c:v>200000</c:v>
                </c:pt>
                <c:pt idx="70">
                  <c:v>200000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C47-49B2-A0A9-429EB8C7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523918"/>
        <c:axId val="698153121"/>
      </c:barChart>
      <c:lineChart>
        <c:grouping val="standard"/>
        <c:varyColors val="1"/>
        <c:ser>
          <c:idx val="1"/>
          <c:order val="1"/>
          <c:tx>
            <c:v>Projeção atual (linha preta)</c:v>
          </c:tx>
          <c:spPr>
            <a:ln w="38100" cmpd="sng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'Proteção Familiar'!$AV$5:$AV$71</c:f>
              <c:strCache>
                <c:ptCount val="67"/>
                <c:pt idx="0">
                  <c:v>Idade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</c:strCache>
            </c:strRef>
          </c:cat>
          <c:val>
            <c:numRef>
              <c:f>'Proteção Familiar'!$AW$5:$AW$61</c:f>
              <c:numCache>
                <c:formatCode>_-* #,##0_-;\-* #,##0_-;_-* "-"??_-;_-@</c:formatCode>
                <c:ptCount val="57"/>
                <c:pt idx="0" formatCode="General">
                  <c:v>0</c:v>
                </c:pt>
                <c:pt idx="1">
                  <c:v>1000000</c:v>
                </c:pt>
                <c:pt idx="2">
                  <c:v>1119903.381642512</c:v>
                </c:pt>
                <c:pt idx="3">
                  <c:v>1246989.3813157834</c:v>
                </c:pt>
                <c:pt idx="4">
                  <c:v>1381688.2621289028</c:v>
                </c:pt>
                <c:pt idx="5">
                  <c:v>1524456.0614061898</c:v>
                </c:pt>
                <c:pt idx="6">
                  <c:v>1675776.1346498455</c:v>
                </c:pt>
                <c:pt idx="7">
                  <c:v>1836160.7919911889</c:v>
                </c:pt>
                <c:pt idx="8">
                  <c:v>2006153.0326708544</c:v>
                </c:pt>
                <c:pt idx="9">
                  <c:v>2186328.3834202196</c:v>
                </c:pt>
                <c:pt idx="10">
                  <c:v>2377296.8469680976</c:v>
                </c:pt>
                <c:pt idx="11">
                  <c:v>2579704.9672695682</c:v>
                </c:pt>
                <c:pt idx="12">
                  <c:v>2794238.0184490015</c:v>
                </c:pt>
                <c:pt idx="13">
                  <c:v>3021622.3248681687</c:v>
                </c:pt>
                <c:pt idx="14">
                  <c:v>3262627.7201742814</c:v>
                </c:pt>
                <c:pt idx="15">
                  <c:v>3518070.1536533204</c:v>
                </c:pt>
                <c:pt idx="16">
                  <c:v>3788814.4527127463</c:v>
                </c:pt>
                <c:pt idx="17">
                  <c:v>4075777.2508462635</c:v>
                </c:pt>
                <c:pt idx="18">
                  <c:v>4379930.0909935758</c:v>
                </c:pt>
                <c:pt idx="19">
                  <c:v>4702302.7148018861</c:v>
                </c:pt>
                <c:pt idx="20">
                  <c:v>5043986.5489252843</c:v>
                </c:pt>
                <c:pt idx="21">
                  <c:v>5406138.4001652533</c:v>
                </c:pt>
                <c:pt idx="22">
                  <c:v>5789984.371962592</c:v>
                </c:pt>
                <c:pt idx="23">
                  <c:v>6196824.0155004477</c:v>
                </c:pt>
                <c:pt idx="24">
                  <c:v>6628034.7294724556</c:v>
                </c:pt>
                <c:pt idx="25">
                  <c:v>7085076.4234118685</c:v>
                </c:pt>
                <c:pt idx="26">
                  <c:v>7569496.4603698738</c:v>
                </c:pt>
                <c:pt idx="27">
                  <c:v>8082934.8956770543</c:v>
                </c:pt>
                <c:pt idx="28">
                  <c:v>8087130.0295243748</c:v>
                </c:pt>
                <c:pt idx="29">
                  <c:v>8091576.4660755936</c:v>
                </c:pt>
                <c:pt idx="30">
                  <c:v>8096289.2592124883</c:v>
                </c:pt>
                <c:pt idx="31">
                  <c:v>8101284.3645952661</c:v>
                </c:pt>
                <c:pt idx="32">
                  <c:v>8106578.6936821323</c:v>
                </c:pt>
                <c:pt idx="33">
                  <c:v>8112190.1709848307</c:v>
                </c:pt>
                <c:pt idx="34">
                  <c:v>8118137.7947539706</c:v>
                </c:pt>
                <c:pt idx="35">
                  <c:v>8124441.7012996189</c:v>
                </c:pt>
                <c:pt idx="36">
                  <c:v>8131123.2331649102</c:v>
                </c:pt>
                <c:pt idx="37">
                  <c:v>8138205.011383485</c:v>
                </c:pt>
                <c:pt idx="38">
                  <c:v>8145711.0120653939</c:v>
                </c:pt>
                <c:pt idx="39">
                  <c:v>8153666.6475707609</c:v>
                </c:pt>
                <c:pt idx="40">
                  <c:v>8162098.8525460139</c:v>
                </c:pt>
                <c:pt idx="41">
                  <c:v>8171036.1751139872</c:v>
                </c:pt>
                <c:pt idx="42">
                  <c:v>8180508.8735266123</c:v>
                </c:pt>
                <c:pt idx="43">
                  <c:v>8190549.0186074339</c:v>
                </c:pt>
                <c:pt idx="44">
                  <c:v>8201190.6023307778</c:v>
                </c:pt>
                <c:pt idx="45">
                  <c:v>8212469.6529051811</c:v>
                </c:pt>
                <c:pt idx="46">
                  <c:v>8224424.3567507081</c:v>
                </c:pt>
                <c:pt idx="47">
                  <c:v>8237095.1877831183</c:v>
                </c:pt>
                <c:pt idx="48">
                  <c:v>8250525.0444425903</c:v>
                </c:pt>
                <c:pt idx="49">
                  <c:v>8264759.3949309383</c:v>
                </c:pt>
                <c:pt idx="50">
                  <c:v>8279846.4311490227</c:v>
                </c:pt>
                <c:pt idx="51">
                  <c:v>8295837.231855534</c:v>
                </c:pt>
                <c:pt idx="52">
                  <c:v>8312785.9355995376</c:v>
                </c:pt>
                <c:pt idx="53">
                  <c:v>8330749.9240122642</c:v>
                </c:pt>
                <c:pt idx="54">
                  <c:v>8349790.0160786994</c:v>
                </c:pt>
                <c:pt idx="55">
                  <c:v>8369970.674046699</c:v>
                </c:pt>
                <c:pt idx="56">
                  <c:v>8391360.2216707524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47-49B2-A0A9-429EB8C79AA7}"/>
            </c:ext>
          </c:extLst>
        </c:ser>
        <c:ser>
          <c:idx val="2"/>
          <c:order val="2"/>
          <c:tx>
            <c:v>Caso 1: Manutenção do patrimônio (linha verde)</c:v>
          </c:tx>
          <c:spPr>
            <a:ln w="38100" cmpd="sng">
              <a:solidFill>
                <a:srgbClr val="279D27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'Proteção Familiar'!$AV$5:$AV$71</c:f>
              <c:strCache>
                <c:ptCount val="67"/>
                <c:pt idx="0">
                  <c:v>Idade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</c:strCache>
            </c:strRef>
          </c:cat>
          <c:val>
            <c:numRef>
              <c:f>'Proteção Familiar'!$AX$5:$AX$61</c:f>
              <c:numCache>
                <c:formatCode>_-* #,##0_-;\-* #,##0_-;_-* "-"??_-;_-@</c:formatCode>
                <c:ptCount val="57"/>
                <c:pt idx="0" formatCode="General">
                  <c:v>0</c:v>
                </c:pt>
                <c:pt idx="1">
                  <c:v>1000000</c:v>
                </c:pt>
                <c:pt idx="2">
                  <c:v>1118717.8513272917</c:v>
                </c:pt>
                <c:pt idx="3">
                  <c:v>1244547.3034104211</c:v>
                </c:pt>
                <c:pt idx="4">
                  <c:v>1377914.3651835546</c:v>
                </c:pt>
                <c:pt idx="5">
                  <c:v>1519270.5649566245</c:v>
                </c:pt>
                <c:pt idx="6">
                  <c:v>1669094.4791122358</c:v>
                </c:pt>
                <c:pt idx="7">
                  <c:v>1827893.3523766857</c:v>
                </c:pt>
                <c:pt idx="8">
                  <c:v>1996204.8151506968</c:v>
                </c:pt>
                <c:pt idx="9">
                  <c:v>2174598.703714069</c:v>
                </c:pt>
                <c:pt idx="10">
                  <c:v>2363678.9894667445</c:v>
                </c:pt>
                <c:pt idx="11">
                  <c:v>2564085.823737938</c:v>
                </c:pt>
                <c:pt idx="12">
                  <c:v>2776497.7050862461</c:v>
                </c:pt>
                <c:pt idx="13">
                  <c:v>3001633.7764283661</c:v>
                </c:pt>
                <c:pt idx="14">
                  <c:v>3240256.2597735887</c:v>
                </c:pt>
                <c:pt idx="15">
                  <c:v>3493173.0368071245</c:v>
                </c:pt>
                <c:pt idx="16">
                  <c:v>3761240.3840590944</c:v>
                </c:pt>
                <c:pt idx="17">
                  <c:v>4045365.8719193945</c:v>
                </c:pt>
                <c:pt idx="18">
                  <c:v>4346511.4373133555</c:v>
                </c:pt>
                <c:pt idx="19">
                  <c:v>4665696.640441061</c:v>
                </c:pt>
                <c:pt idx="20">
                  <c:v>5004002.1166063678</c:v>
                </c:pt>
                <c:pt idx="21">
                  <c:v>5362573.2348221568</c:v>
                </c:pt>
                <c:pt idx="22">
                  <c:v>5742623.9755784087</c:v>
                </c:pt>
                <c:pt idx="23">
                  <c:v>6145441.0409017019</c:v>
                </c:pt>
                <c:pt idx="24">
                  <c:v>6572388.2106211726</c:v>
                </c:pt>
                <c:pt idx="25">
                  <c:v>7024910.9595895391</c:v>
                </c:pt>
                <c:pt idx="26">
                  <c:v>7504541.3514912762</c:v>
                </c:pt>
                <c:pt idx="27">
                  <c:v>8012903.2258064514</c:v>
                </c:pt>
                <c:pt idx="28">
                  <c:v>8012903.2258064505</c:v>
                </c:pt>
                <c:pt idx="29">
                  <c:v>8012903.2258064505</c:v>
                </c:pt>
                <c:pt idx="30">
                  <c:v>8012903.2258064505</c:v>
                </c:pt>
                <c:pt idx="31">
                  <c:v>8012903.2258064505</c:v>
                </c:pt>
                <c:pt idx="32">
                  <c:v>8012903.2258064505</c:v>
                </c:pt>
                <c:pt idx="33">
                  <c:v>8012903.2258064505</c:v>
                </c:pt>
                <c:pt idx="34">
                  <c:v>8012903.2258064505</c:v>
                </c:pt>
                <c:pt idx="35">
                  <c:v>8012903.2258064505</c:v>
                </c:pt>
                <c:pt idx="36">
                  <c:v>8012903.2258064505</c:v>
                </c:pt>
                <c:pt idx="37">
                  <c:v>8012903.2258064505</c:v>
                </c:pt>
                <c:pt idx="38">
                  <c:v>8012903.2258064505</c:v>
                </c:pt>
                <c:pt idx="39">
                  <c:v>8012903.2258064505</c:v>
                </c:pt>
                <c:pt idx="40">
                  <c:v>8012903.2258064505</c:v>
                </c:pt>
                <c:pt idx="41">
                  <c:v>8012903.2258064505</c:v>
                </c:pt>
                <c:pt idx="42">
                  <c:v>8012903.2258064505</c:v>
                </c:pt>
                <c:pt idx="43">
                  <c:v>8012903.2258064505</c:v>
                </c:pt>
                <c:pt idx="44">
                  <c:v>8012903.2258064505</c:v>
                </c:pt>
                <c:pt idx="45">
                  <c:v>8012903.2258064505</c:v>
                </c:pt>
                <c:pt idx="46">
                  <c:v>8012903.2258064505</c:v>
                </c:pt>
                <c:pt idx="47">
                  <c:v>8012903.2258064505</c:v>
                </c:pt>
                <c:pt idx="48">
                  <c:v>8012903.2258064505</c:v>
                </c:pt>
                <c:pt idx="49">
                  <c:v>8012903.2258064505</c:v>
                </c:pt>
                <c:pt idx="50">
                  <c:v>8012903.2258064505</c:v>
                </c:pt>
                <c:pt idx="51">
                  <c:v>8012903.2258064505</c:v>
                </c:pt>
                <c:pt idx="52">
                  <c:v>8012903.2258064505</c:v>
                </c:pt>
                <c:pt idx="53">
                  <c:v>8012903.2258064505</c:v>
                </c:pt>
                <c:pt idx="54">
                  <c:v>8012903.2258064505</c:v>
                </c:pt>
                <c:pt idx="55">
                  <c:v>8012903.2258064505</c:v>
                </c:pt>
                <c:pt idx="56">
                  <c:v>8012903.2258064505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C47-49B2-A0A9-429EB8C79AA7}"/>
            </c:ext>
          </c:extLst>
        </c:ser>
        <c:ser>
          <c:idx val="3"/>
          <c:order val="3"/>
          <c:tx>
            <c:v>Caso 2: Consumo do patrimônio (linha vermelha)</c:v>
          </c:tx>
          <c:spPr>
            <a:ln w="38100" cmpd="sng">
              <a:solidFill>
                <a:srgbClr val="DE0404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'Proteção Familiar'!$AV$5:$AV$71</c:f>
              <c:strCache>
                <c:ptCount val="67"/>
                <c:pt idx="0">
                  <c:v>Idade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</c:strCache>
            </c:strRef>
          </c:cat>
          <c:val>
            <c:numRef>
              <c:f>'Proteção Familiar'!$AY$5:$AY$61</c:f>
              <c:numCache>
                <c:formatCode>_-* #,##0_-;\-* #,##0_-;_-* "-"??_-;_-@</c:formatCode>
                <c:ptCount val="57"/>
                <c:pt idx="0" formatCode="General">
                  <c:v>0</c:v>
                </c:pt>
                <c:pt idx="1">
                  <c:v>1000000</c:v>
                </c:pt>
                <c:pt idx="2">
                  <c:v>1109935.5519744358</c:v>
                </c:pt>
                <c:pt idx="3">
                  <c:v>1225360.7964183292</c:v>
                </c:pt>
                <c:pt idx="4">
                  <c:v>1346549.8641553128</c:v>
                </c:pt>
                <c:pt idx="5">
                  <c:v>1473790.5748830098</c:v>
                </c:pt>
                <c:pt idx="6">
                  <c:v>1607385.120734514</c:v>
                </c:pt>
                <c:pt idx="7">
                  <c:v>1747650.7839738871</c:v>
                </c:pt>
                <c:pt idx="8">
                  <c:v>1894920.6905301786</c:v>
                </c:pt>
                <c:pt idx="9">
                  <c:v>2049544.6011595821</c:v>
                </c:pt>
                <c:pt idx="10">
                  <c:v>2211889.7421147106</c:v>
                </c:pt>
                <c:pt idx="11">
                  <c:v>2382341.6772938012</c:v>
                </c:pt>
                <c:pt idx="12">
                  <c:v>2561305.2239411701</c:v>
                </c:pt>
                <c:pt idx="13">
                  <c:v>2749205.4140736782</c:v>
                </c:pt>
                <c:pt idx="14">
                  <c:v>2946488.5039165546</c:v>
                </c:pt>
                <c:pt idx="15">
                  <c:v>3153623.0337459571</c:v>
                </c:pt>
                <c:pt idx="16">
                  <c:v>3371100.9406553563</c:v>
                </c:pt>
                <c:pt idx="17">
                  <c:v>3599438.7268885211</c:v>
                </c:pt>
                <c:pt idx="18">
                  <c:v>3839178.6865138598</c:v>
                </c:pt>
                <c:pt idx="19">
                  <c:v>4090890.1933534187</c:v>
                </c:pt>
                <c:pt idx="20">
                  <c:v>4355171.0532253282</c:v>
                </c:pt>
                <c:pt idx="21">
                  <c:v>4632648.9237112198</c:v>
                </c:pt>
                <c:pt idx="22">
                  <c:v>4923982.8048205152</c:v>
                </c:pt>
                <c:pt idx="23">
                  <c:v>5229864.6040918585</c:v>
                </c:pt>
                <c:pt idx="24">
                  <c:v>5551020.7798487497</c:v>
                </c:pt>
                <c:pt idx="25">
                  <c:v>5888214.0665120604</c:v>
                </c:pt>
                <c:pt idx="26">
                  <c:v>6242245.2860669773</c:v>
                </c:pt>
                <c:pt idx="27">
                  <c:v>6613955.2499865517</c:v>
                </c:pt>
                <c:pt idx="28">
                  <c:v>6530153.535492992</c:v>
                </c:pt>
                <c:pt idx="29">
                  <c:v>6441331.8149138279</c:v>
                </c:pt>
                <c:pt idx="30">
                  <c:v>6347189.3729086658</c:v>
                </c:pt>
                <c:pt idx="31">
                  <c:v>6247407.4802713105</c:v>
                </c:pt>
                <c:pt idx="32">
                  <c:v>6141648.3148382874</c:v>
                </c:pt>
                <c:pt idx="33">
                  <c:v>6029553.8177561369</c:v>
                </c:pt>
                <c:pt idx="34">
                  <c:v>5910744.481235248</c:v>
                </c:pt>
                <c:pt idx="35">
                  <c:v>5784818.0636860551</c:v>
                </c:pt>
                <c:pt idx="36">
                  <c:v>5651348.2278875383</c:v>
                </c:pt>
                <c:pt idx="37">
                  <c:v>5509883.0975774201</c:v>
                </c:pt>
                <c:pt idx="38">
                  <c:v>5359943.7275772272</c:v>
                </c:pt>
                <c:pt idx="39">
                  <c:v>5201022.4822726743</c:v>
                </c:pt>
                <c:pt idx="40">
                  <c:v>5032581.3169595394</c:v>
                </c:pt>
                <c:pt idx="41">
                  <c:v>4854049.9562363429</c:v>
                </c:pt>
                <c:pt idx="42">
                  <c:v>4664823.9632765874</c:v>
                </c:pt>
                <c:pt idx="43">
                  <c:v>4464262.6934438804</c:v>
                </c:pt>
                <c:pt idx="44">
                  <c:v>4251687.1253216779</c:v>
                </c:pt>
                <c:pt idx="45">
                  <c:v>4026377.5618143771</c:v>
                </c:pt>
                <c:pt idx="46">
                  <c:v>3787571.1935365908</c:v>
                </c:pt>
                <c:pt idx="47">
                  <c:v>3534459.5162411979</c:v>
                </c:pt>
                <c:pt idx="48">
                  <c:v>3266185.5935426028</c:v>
                </c:pt>
                <c:pt idx="49">
                  <c:v>2981841.1556678601</c:v>
                </c:pt>
                <c:pt idx="50">
                  <c:v>2680463.524413181</c:v>
                </c:pt>
                <c:pt idx="51">
                  <c:v>2361032.3538949369</c:v>
                </c:pt>
                <c:pt idx="52">
                  <c:v>2022466.176060624</c:v>
                </c:pt>
                <c:pt idx="53">
                  <c:v>1663618.7392642554</c:v>
                </c:pt>
                <c:pt idx="54">
                  <c:v>1283275.1275100368</c:v>
                </c:pt>
                <c:pt idx="55">
                  <c:v>880147.64722561394</c:v>
                </c:pt>
                <c:pt idx="56">
                  <c:v>452871.46763912903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47-49B2-A0A9-429EB8C7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523918"/>
        <c:axId val="698153121"/>
      </c:lineChart>
      <c:catAx>
        <c:axId val="13035239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2700000"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698153121"/>
        <c:crosses val="autoZero"/>
        <c:auto val="1"/>
        <c:lblAlgn val="ctr"/>
        <c:lblOffset val="100"/>
        <c:noMultiLvlLbl val="1"/>
      </c:catAx>
      <c:valAx>
        <c:axId val="69815312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1" i="0">
                    <a:solidFill>
                      <a:srgbClr val="000000"/>
                    </a:solidFill>
                    <a:latin typeface="+mn-lt"/>
                  </a:rPr>
                  <a:t>Capital</a:t>
                </a:r>
              </a:p>
            </c:rich>
          </c:tx>
          <c:overlay val="0"/>
        </c:title>
        <c:numFmt formatCode="_-* #,##0.00_-;\-* #,##0.00_-;_-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30352391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303865497298721"/>
          <c:y val="0.11026063246474964"/>
        </c:manualLayout>
      </c:layout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0.50251036957215345"/>
          <c:y val="0.25838969035145465"/>
          <c:w val="0.22077397003453683"/>
          <c:h val="0.64131165187271066"/>
        </c:manualLayout>
      </c:layout>
      <c:barChart>
        <c:barDir val="col"/>
        <c:grouping val="clustered"/>
        <c:varyColors val="1"/>
        <c:ser>
          <c:idx val="0"/>
          <c:order val="0"/>
          <c:tx>
            <c:v>Termômetro financeiro</c:v>
          </c:tx>
          <c:spPr>
            <a:solidFill>
              <a:srgbClr val="4F81BD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'Proteção Familiar'!$AE$7</c:f>
              <c:numCache>
                <c:formatCode>0%</c:formatCode>
                <c:ptCount val="1"/>
                <c:pt idx="0">
                  <c:v>0.21258503401360543</c:v>
                </c:pt>
              </c:numCache>
            </c:numRef>
          </c:cat>
          <c:val>
            <c:numRef>
              <c:f>'Proteção Familiar'!$AE$7</c:f>
              <c:numCache>
                <c:formatCode>0%</c:formatCode>
                <c:ptCount val="1"/>
                <c:pt idx="0">
                  <c:v>0.21258503401360543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F61-4F3E-A368-4D5BAB16C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971817"/>
        <c:axId val="231152891"/>
      </c:barChart>
      <c:catAx>
        <c:axId val="12989718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31152891"/>
        <c:crosses val="autoZero"/>
        <c:auto val="1"/>
        <c:lblAlgn val="ctr"/>
        <c:lblOffset val="100"/>
        <c:noMultiLvlLbl val="1"/>
      </c:catAx>
      <c:valAx>
        <c:axId val="231152891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298971817"/>
        <c:crosses val="autoZero"/>
        <c:crossBetween val="between"/>
        <c:majorUnit val="0.1"/>
      </c:valAx>
      <c:spPr>
        <a:solidFill>
          <a:srgbClr val="FFFF00"/>
        </a:solidFill>
      </c:spPr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rgbClr val="757575"/>
                </a:solidFill>
                <a:latin typeface="+mn-lt"/>
              </a:defRPr>
            </a:pPr>
            <a:r>
              <a:rPr sz="1400" b="1" i="0">
                <a:solidFill>
                  <a:srgbClr val="757575"/>
                </a:solidFill>
                <a:latin typeface="+mn-lt"/>
              </a:rPr>
              <a:t>Distribuição atual dos investimentos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6.6850332996449768E-2"/>
          <c:y val="0.18757500703488034"/>
          <c:w val="0.93314966700355029"/>
          <c:h val="0.7902718379163571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4F81BD"/>
              </a:solidFill>
            </c:spPr>
            <c:extLst>
              <c:ext xmlns:c16="http://schemas.microsoft.com/office/drawing/2014/chart" uri="{C3380CC4-5D6E-409C-BE32-E72D297353CC}">
                <c16:uniqueId val="{00000001-7EA7-4A15-B504-6001BE2CB21E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</c:spPr>
            <c:extLst>
              <c:ext xmlns:c16="http://schemas.microsoft.com/office/drawing/2014/chart" uri="{C3380CC4-5D6E-409C-BE32-E72D297353CC}">
                <c16:uniqueId val="{00000003-7EA7-4A15-B504-6001BE2CB21E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</c:spPr>
            <c:extLst>
              <c:ext xmlns:c16="http://schemas.microsoft.com/office/drawing/2014/chart" uri="{C3380CC4-5D6E-409C-BE32-E72D297353CC}">
                <c16:uniqueId val="{00000005-7EA7-4A15-B504-6001BE2CB21E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</c:spPr>
            <c:extLst>
              <c:ext xmlns:c16="http://schemas.microsoft.com/office/drawing/2014/chart" uri="{C3380CC4-5D6E-409C-BE32-E72D297353CC}">
                <c16:uniqueId val="{00000007-7EA7-4A15-B504-6001BE2CB21E}"/>
              </c:ext>
            </c:extLst>
          </c:dPt>
          <c:dPt>
            <c:idx val="4"/>
            <c:bubble3D val="0"/>
            <c:spPr>
              <a:solidFill>
                <a:srgbClr val="4BACC6"/>
              </a:solidFill>
            </c:spPr>
            <c:extLst>
              <c:ext xmlns:c16="http://schemas.microsoft.com/office/drawing/2014/chart" uri="{C3380CC4-5D6E-409C-BE32-E72D297353CC}">
                <c16:uniqueId val="{00000009-7EA7-4A15-B504-6001BE2CB21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'Investimentos - Não Aposentado'!$E$29:$E$33</c:f>
              <c:strCache>
                <c:ptCount val="5"/>
                <c:pt idx="0">
                  <c:v> Carteira</c:v>
                </c:pt>
                <c:pt idx="1">
                  <c:v> -   </c:v>
                </c:pt>
                <c:pt idx="2">
                  <c:v> -   </c:v>
                </c:pt>
                <c:pt idx="3">
                  <c:v> -   </c:v>
                </c:pt>
                <c:pt idx="4">
                  <c:v> Previdência</c:v>
                </c:pt>
              </c:strCache>
            </c:strRef>
          </c:cat>
          <c:val>
            <c:numRef>
              <c:f>'Investimentos - Não Aposentado'!$G$29:$G$33</c:f>
              <c:numCache>
                <c:formatCode>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7-4A15-B504-6001BE2C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Capital necessário para projetos x Projeção atual x Projeção necessária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v>Total Projetos</c:v>
          </c:tx>
          <c:spPr>
            <a:solidFill>
              <a:srgbClr val="4F81BD">
                <a:alpha val="30000"/>
              </a:srgbClr>
            </a:solidFill>
            <a:ln cmpd="sng">
              <a:solidFill>
                <a:srgbClr val="4F81BD"/>
              </a:solidFill>
            </a:ln>
          </c:spPr>
          <c:cat>
            <c:numRef>
              <c:f>'Investimentos - Projetos'!$V$3:$V$18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'Investimentos - Projetos'!$Z$3:$Z$18</c:f>
              <c:numCache>
                <c:formatCode>_-* #,##0_-;\-* #,##0_-;_-* "-"??_-;_-@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A-4A36-A537-B7D9B2E05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089087"/>
        <c:axId val="435401241"/>
      </c:areaChart>
      <c:lineChart>
        <c:grouping val="standard"/>
        <c:varyColors val="1"/>
        <c:ser>
          <c:idx val="1"/>
          <c:order val="1"/>
          <c:tx>
            <c:v>Projeção necessária</c:v>
          </c:tx>
          <c:spPr>
            <a:ln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'Investimentos - Projetos'!$V$3:$V$18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'Investimentos - Projetos'!$AD$3:$AD$18</c:f>
              <c:numCache>
                <c:formatCode>_-* #,##0.00_-;\-* #,##0.00_-;_-* "-"??_-;_-@</c:formatCode>
                <c:ptCount val="16"/>
                <c:pt idx="0">
                  <c:v>1000000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A-4A36-A537-B7D9B2E05635}"/>
            </c:ext>
          </c:extLst>
        </c:ser>
        <c:ser>
          <c:idx val="2"/>
          <c:order val="2"/>
          <c:tx>
            <c:v>Projeção atual</c:v>
          </c:tx>
          <c:spPr>
            <a:ln cmpd="sng">
              <a:solidFill>
                <a:srgbClr val="9BBB59"/>
              </a:solidFill>
            </a:ln>
          </c:spPr>
          <c:marker>
            <c:symbol val="none"/>
          </c:marker>
          <c:cat>
            <c:numRef>
              <c:f>'Investimentos - Projetos'!$V$3:$V$18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'Investimentos - Projetos'!$AC$3:$AC$18</c:f>
              <c:numCache>
                <c:formatCode>_-* #,##0.00_-;\-* #,##0.00_-;_-* "-"??_-;_-@</c:formatCode>
                <c:ptCount val="16"/>
                <c:pt idx="0">
                  <c:v>1000000</c:v>
                </c:pt>
                <c:pt idx="1">
                  <c:v>1059903.381642512</c:v>
                </c:pt>
                <c:pt idx="2">
                  <c:v>1123395.1784172326</c:v>
                </c:pt>
                <c:pt idx="3">
                  <c:v>1190690.3485253181</c:v>
                </c:pt>
                <c:pt idx="4">
                  <c:v>1262016.726891086</c:v>
                </c:pt>
                <c:pt idx="5">
                  <c:v>1337615.7965212767</c:v>
                </c:pt>
                <c:pt idx="6">
                  <c:v>1417743.5060713436</c:v>
                </c:pt>
                <c:pt idx="7">
                  <c:v>1502671.1363867284</c:v>
                </c:pt>
                <c:pt idx="8">
                  <c:v>1592686.2189528898</c:v>
                </c:pt>
                <c:pt idx="9">
                  <c:v>1688093.5093635942</c:v>
                </c:pt>
                <c:pt idx="10">
                  <c:v>1789216.0191032491</c:v>
                </c:pt>
                <c:pt idx="11">
                  <c:v>1896396.1091364871</c:v>
                </c:pt>
                <c:pt idx="12">
                  <c:v>2009996.649007465</c:v>
                </c:pt>
                <c:pt idx="13">
                  <c:v>2130402.2453731294</c:v>
                </c:pt>
                <c:pt idx="14">
                  <c:v>2258020.5441297805</c:v>
                </c:pt>
                <c:pt idx="15">
                  <c:v>2393283.6105414196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4A-4A36-A537-B7D9B2E05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089087"/>
        <c:axId val="435401241"/>
      </c:lineChart>
      <c:catAx>
        <c:axId val="1327089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435401241"/>
        <c:crosses val="autoZero"/>
        <c:auto val="1"/>
        <c:lblAlgn val="ctr"/>
        <c:lblOffset val="100"/>
        <c:noMultiLvlLbl val="1"/>
      </c:catAx>
      <c:valAx>
        <c:axId val="43540124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Capital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327089087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Capital necessário para projetos x Projeção atual x Projeção necessária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v>Total Projetos</c:v>
          </c:tx>
          <c:spPr>
            <a:solidFill>
              <a:srgbClr val="4F81BD">
                <a:alpha val="30000"/>
              </a:srgbClr>
            </a:solidFill>
            <a:ln cmpd="sng">
              <a:solidFill>
                <a:srgbClr val="4F81BD"/>
              </a:solidFill>
            </a:ln>
          </c:spPr>
          <c:cat>
            <c:numRef>
              <c:f>'Investimentos - Projetos'!$V$3:$V$18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'Investimentos - Projetos'!$AI$3:$AI$18</c:f>
              <c:numCache>
                <c:formatCode>_-* #,##0_-;\-* #,##0_-;_-* "-"??_-;_-@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0-4266-BB66-6CCB53A2C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442086"/>
        <c:axId val="1429215083"/>
      </c:areaChart>
      <c:lineChart>
        <c:grouping val="standard"/>
        <c:varyColors val="0"/>
        <c:ser>
          <c:idx val="1"/>
          <c:order val="1"/>
          <c:tx>
            <c:v>Projeção necessária</c:v>
          </c:tx>
          <c:spPr>
            <a:ln cmpd="sng"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'Investimentos - Projetos'!$V$3:$V$18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'Investimentos - Projetos'!$AM$4:$AM$18</c:f>
              <c:numCache>
                <c:formatCode>_-* #,##0.00_-;\-* #,##0.00_-;_-* "-"??_-;_-@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0-4266-BB66-6CCB53A2C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442086"/>
        <c:axId val="1429215083"/>
      </c:lineChart>
      <c:catAx>
        <c:axId val="15824420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429215083"/>
        <c:crosses val="autoZero"/>
        <c:auto val="1"/>
        <c:lblAlgn val="ctr"/>
        <c:lblOffset val="100"/>
        <c:noMultiLvlLbl val="1"/>
      </c:catAx>
      <c:valAx>
        <c:axId val="14292150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Capital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58244208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rote&#231;&#227;o%20Familiar'!A1"/><Relationship Id="rId2" Type="http://schemas.openxmlformats.org/officeDocument/2006/relationships/hyperlink" Target="#'Resumo%20das%20informa&#231;&#245;es'!A1"/><Relationship Id="rId1" Type="http://schemas.openxmlformats.org/officeDocument/2006/relationships/hyperlink" Target="#'Investimentos%20-%20N&#227;o%20Aposentado'!A1"/><Relationship Id="rId5" Type="http://schemas.openxmlformats.org/officeDocument/2006/relationships/image" Target="../media/image1.png"/><Relationship Id="rId4" Type="http://schemas.openxmlformats.org/officeDocument/2006/relationships/hyperlink" Target="#'Investimentos%20-%20Aposentado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Resumo%20das%20informa&#231;&#245;es'!A1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Resumo%20das%20informa&#231;&#245;es'!A1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Resumo%20das%20informa&#231;&#245;es'!A1"/><Relationship Id="rId7" Type="http://schemas.openxmlformats.org/officeDocument/2006/relationships/image" Target="../media/image7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104775</xdr:colOff>
      <xdr:row>12</xdr:row>
      <xdr:rowOff>95250</xdr:rowOff>
    </xdr:from>
    <xdr:ext cx="1866900" cy="771525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12550" y="3399000"/>
          <a:ext cx="1866900" cy="762000"/>
        </a:xfrm>
        <a:prstGeom prst="roundRect">
          <a:avLst>
            <a:gd name="adj" fmla="val 16667"/>
          </a:avLst>
        </a:prstGeom>
        <a:gradFill>
          <a:gsLst>
            <a:gs pos="0">
              <a:srgbClr val="2D5C97"/>
            </a:gs>
            <a:gs pos="80000">
              <a:srgbClr val="3C7AC5"/>
            </a:gs>
            <a:gs pos="100000">
              <a:srgbClr val="397BC9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Contexto da Vida Financeira</a:t>
          </a:r>
          <a:endParaRPr sz="1100" b="1"/>
        </a:p>
      </xdr:txBody>
    </xdr:sp>
    <xdr:clientData fLocksWithSheet="0"/>
  </xdr:oneCellAnchor>
  <xdr:oneCellAnchor>
    <xdr:from>
      <xdr:col>7</xdr:col>
      <xdr:colOff>571500</xdr:colOff>
      <xdr:row>4</xdr:row>
      <xdr:rowOff>0</xdr:rowOff>
    </xdr:from>
    <xdr:ext cx="1333500" cy="561975"/>
    <xdr:sp macro="" textlink="">
      <xdr:nvSpPr>
        <xdr:cNvPr id="4" name="Shap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84013" y="3499013"/>
          <a:ext cx="1323975" cy="561975"/>
        </a:xfrm>
        <a:prstGeom prst="roundRect">
          <a:avLst>
            <a:gd name="adj" fmla="val 16667"/>
          </a:avLst>
        </a:prstGeom>
        <a:solidFill>
          <a:srgbClr val="C4BD97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Inserir dados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10</xdr:col>
      <xdr:colOff>523875</xdr:colOff>
      <xdr:row>12</xdr:row>
      <xdr:rowOff>95250</xdr:rowOff>
    </xdr:from>
    <xdr:ext cx="1866900" cy="771525"/>
    <xdr:sp macro="" textlink="">
      <xdr:nvSpPr>
        <xdr:cNvPr id="5" name="Shap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12550" y="3399000"/>
          <a:ext cx="1866900" cy="762000"/>
        </a:xfrm>
        <a:prstGeom prst="roundRect">
          <a:avLst>
            <a:gd name="adj" fmla="val 16667"/>
          </a:avLst>
        </a:prstGeom>
        <a:gradFill>
          <a:gsLst>
            <a:gs pos="0">
              <a:srgbClr val="2D5C97"/>
            </a:gs>
            <a:gs pos="80000">
              <a:srgbClr val="3C7AC5"/>
            </a:gs>
            <a:gs pos="100000">
              <a:srgbClr val="397BC9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Proteção Pessoal e Familiar</a:t>
          </a:r>
          <a:endParaRPr sz="1100" b="1"/>
        </a:p>
      </xdr:txBody>
    </xdr:sp>
    <xdr:clientData fLocksWithSheet="0"/>
  </xdr:oneCellAnchor>
  <xdr:oneCellAnchor>
    <xdr:from>
      <xdr:col>7</xdr:col>
      <xdr:colOff>323850</xdr:colOff>
      <xdr:row>12</xdr:row>
      <xdr:rowOff>95250</xdr:rowOff>
    </xdr:from>
    <xdr:ext cx="1866900" cy="771525"/>
    <xdr:sp macro="" textlink="">
      <xdr:nvSpPr>
        <xdr:cNvPr id="6" name="Shap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412550" y="3399000"/>
          <a:ext cx="1866900" cy="762000"/>
        </a:xfrm>
        <a:prstGeom prst="roundRect">
          <a:avLst>
            <a:gd name="adj" fmla="val 16667"/>
          </a:avLst>
        </a:prstGeom>
        <a:gradFill>
          <a:gsLst>
            <a:gs pos="0">
              <a:srgbClr val="2D5C97"/>
            </a:gs>
            <a:gs pos="80000">
              <a:srgbClr val="3C7AC5"/>
            </a:gs>
            <a:gs pos="100000">
              <a:srgbClr val="397BC9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Manutenção do padrão de vida (aposentados)</a:t>
          </a:r>
          <a:endParaRPr sz="1100" b="1"/>
        </a:p>
      </xdr:txBody>
    </xdr:sp>
    <xdr:clientData fLocksWithSheet="0"/>
  </xdr:oneCellAnchor>
  <xdr:oneCellAnchor>
    <xdr:from>
      <xdr:col>6</xdr:col>
      <xdr:colOff>495300</xdr:colOff>
      <xdr:row>2</xdr:row>
      <xdr:rowOff>57150</xdr:rowOff>
    </xdr:from>
    <xdr:ext cx="1114425" cy="11715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4</xdr:row>
      <xdr:rowOff>219075</xdr:rowOff>
    </xdr:from>
    <xdr:ext cx="8172450" cy="12096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69300" y="3184688"/>
          <a:ext cx="8153400" cy="1190625"/>
        </a:xfrm>
        <a:prstGeom prst="roundRect">
          <a:avLst>
            <a:gd name="adj" fmla="val 4931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95250</xdr:colOff>
      <xdr:row>11</xdr:row>
      <xdr:rowOff>104775</xdr:rowOff>
    </xdr:from>
    <xdr:ext cx="2409825" cy="3048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145850" y="3632363"/>
          <a:ext cx="2400300" cy="295275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Informações Financeiras / Patrimônio</a:t>
          </a:r>
          <a:endParaRPr sz="1400"/>
        </a:p>
      </xdr:txBody>
    </xdr:sp>
    <xdr:clientData fLocksWithSheet="0"/>
  </xdr:oneCellAnchor>
  <xdr:oneCellAnchor>
    <xdr:from>
      <xdr:col>4</xdr:col>
      <xdr:colOff>-9525</xdr:colOff>
      <xdr:row>33</xdr:row>
      <xdr:rowOff>219075</xdr:rowOff>
    </xdr:from>
    <xdr:ext cx="8153400" cy="80962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78825" y="3384713"/>
          <a:ext cx="8134350" cy="790575"/>
        </a:xfrm>
        <a:prstGeom prst="roundRect">
          <a:avLst>
            <a:gd name="adj" fmla="val 6024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85725</xdr:colOff>
      <xdr:row>32</xdr:row>
      <xdr:rowOff>133350</xdr:rowOff>
    </xdr:from>
    <xdr:ext cx="1181100" cy="2762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760213" y="3646650"/>
          <a:ext cx="1171575" cy="266700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Projetos de Vida</a:t>
          </a:r>
          <a:endParaRPr sz="1400"/>
        </a:p>
      </xdr:txBody>
    </xdr:sp>
    <xdr:clientData fLocksWithSheet="0"/>
  </xdr:oneCellAnchor>
  <xdr:oneCellAnchor>
    <xdr:from>
      <xdr:col>3</xdr:col>
      <xdr:colOff>200025</xdr:colOff>
      <xdr:row>12</xdr:row>
      <xdr:rowOff>219075</xdr:rowOff>
    </xdr:from>
    <xdr:ext cx="8172450" cy="382905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69300" y="1875000"/>
          <a:ext cx="8153400" cy="3810000"/>
        </a:xfrm>
        <a:prstGeom prst="roundRect">
          <a:avLst>
            <a:gd name="adj" fmla="val 1602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114300</xdr:colOff>
      <xdr:row>38</xdr:row>
      <xdr:rowOff>133350</xdr:rowOff>
    </xdr:from>
    <xdr:ext cx="1000125" cy="27622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850700" y="3646650"/>
          <a:ext cx="990600" cy="266700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Pressupostos</a:t>
          </a:r>
          <a:endParaRPr sz="1400"/>
        </a:p>
      </xdr:txBody>
    </xdr:sp>
    <xdr:clientData fLocksWithSheet="0"/>
  </xdr:oneCellAnchor>
  <xdr:oneCellAnchor>
    <xdr:from>
      <xdr:col>3</xdr:col>
      <xdr:colOff>219075</xdr:colOff>
      <xdr:row>39</xdr:row>
      <xdr:rowOff>200025</xdr:rowOff>
    </xdr:from>
    <xdr:ext cx="8153400" cy="43815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278825" y="3575213"/>
          <a:ext cx="8134350" cy="409575"/>
        </a:xfrm>
        <a:prstGeom prst="roundRect">
          <a:avLst>
            <a:gd name="adj" fmla="val 9036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257175</xdr:colOff>
      <xdr:row>0</xdr:row>
      <xdr:rowOff>66675</xdr:rowOff>
    </xdr:from>
    <xdr:ext cx="809625" cy="5810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790458" y="66675"/>
          <a:ext cx="809625" cy="581025"/>
          <a:chOff x="4941188" y="3489488"/>
          <a:chExt cx="809625" cy="581025"/>
        </a:xfrm>
      </xdr:grpSpPr>
      <xdr:grpSp>
        <xdr:nvGrpSpPr>
          <xdr:cNvPr id="14" name="Shape 14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4941188" y="3489488"/>
            <a:ext cx="809625" cy="581025"/>
            <a:chOff x="9896475" y="66675"/>
            <a:chExt cx="809625" cy="666004"/>
          </a:xfrm>
        </xdr:grpSpPr>
        <xdr:sp macro="" textlink="">
          <xdr:nvSpPr>
            <xdr:cNvPr id="15" name="Shape 15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9896475" y="66675"/>
              <a:ext cx="809625" cy="666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16" name="Shape 16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10086975" y="304800"/>
              <a:ext cx="427879" cy="427879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17" name="Shape 17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9896475" y="66675"/>
              <a:ext cx="809625" cy="238125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2D5C97"/>
                </a:gs>
                <a:gs pos="80000">
                  <a:srgbClr val="3C7AC5"/>
                </a:gs>
                <a:gs pos="100000">
                  <a:srgbClr val="397BC9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Imprimir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3</xdr:col>
      <xdr:colOff>190500</xdr:colOff>
      <xdr:row>47</xdr:row>
      <xdr:rowOff>-9525</xdr:rowOff>
    </xdr:from>
    <xdr:ext cx="8172450" cy="142875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269300" y="3075150"/>
          <a:ext cx="8153400" cy="1409700"/>
        </a:xfrm>
        <a:prstGeom prst="roundRect">
          <a:avLst>
            <a:gd name="adj" fmla="val 3133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190500</xdr:colOff>
      <xdr:row>56</xdr:row>
      <xdr:rowOff>152400</xdr:rowOff>
    </xdr:from>
    <xdr:ext cx="8181975" cy="165735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264538" y="2960850"/>
          <a:ext cx="8162925" cy="1638300"/>
        </a:xfrm>
        <a:prstGeom prst="roundRect">
          <a:avLst>
            <a:gd name="adj" fmla="val 3543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190500</xdr:colOff>
      <xdr:row>67</xdr:row>
      <xdr:rowOff>38100</xdr:rowOff>
    </xdr:from>
    <xdr:ext cx="8181975" cy="790575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264538" y="3394238"/>
          <a:ext cx="8162925" cy="771525"/>
        </a:xfrm>
        <a:prstGeom prst="roundRect">
          <a:avLst>
            <a:gd name="adj" fmla="val 5788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5</xdr:col>
      <xdr:colOff>1219200</xdr:colOff>
      <xdr:row>3</xdr:row>
      <xdr:rowOff>190500</xdr:rowOff>
    </xdr:from>
    <xdr:ext cx="190500" cy="26670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114300</xdr:colOff>
      <xdr:row>3</xdr:row>
      <xdr:rowOff>228600</xdr:rowOff>
    </xdr:from>
    <xdr:ext cx="1447800" cy="26670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4624841" y="3647720"/>
          <a:ext cx="1442318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Informações Pessoais</a:t>
          </a:r>
          <a:endParaRPr sz="1100" b="1">
            <a:solidFill>
              <a:srgbClr val="009999"/>
            </a:solidFill>
          </a:endParaRPr>
        </a:p>
      </xdr:txBody>
    </xdr:sp>
    <xdr:clientData fLocksWithSheet="0"/>
  </xdr:oneCellAnchor>
  <xdr:oneCellAnchor>
    <xdr:from>
      <xdr:col>4</xdr:col>
      <xdr:colOff>1352550</xdr:colOff>
      <xdr:row>4</xdr:row>
      <xdr:rowOff>47625</xdr:rowOff>
    </xdr:from>
    <xdr:ext cx="6781800" cy="3810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53528" y="1024973"/>
          <a:ext cx="6781800" cy="38100"/>
          <a:chOff x="1955100" y="3780000"/>
          <a:chExt cx="6781800" cy="0"/>
        </a:xfrm>
      </xdr:grpSpPr>
      <xdr:cxnSp macro="">
        <xdr:nvCxnSpPr>
          <xdr:cNvPr id="23" name="Shape 2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1955100" y="3780000"/>
            <a:ext cx="6781800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3</xdr:col>
      <xdr:colOff>190500</xdr:colOff>
      <xdr:row>2</xdr:row>
      <xdr:rowOff>0</xdr:rowOff>
    </xdr:from>
    <xdr:ext cx="8162925" cy="257175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269300" y="3651413"/>
          <a:ext cx="8153400" cy="257175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1543050</xdr:colOff>
      <xdr:row>1</xdr:row>
      <xdr:rowOff>95250</xdr:rowOff>
    </xdr:from>
    <xdr:ext cx="4552950" cy="53340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070954" y="3514671"/>
          <a:ext cx="4550092" cy="530658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RESUMO DAS INFORMAÇÕES</a:t>
          </a:r>
          <a:endParaRPr sz="1400"/>
        </a:p>
      </xdr:txBody>
    </xdr:sp>
    <xdr:clientData fLocksWithSheet="0"/>
  </xdr:oneCellAnchor>
  <xdr:oneCellAnchor>
    <xdr:from>
      <xdr:col>4</xdr:col>
      <xdr:colOff>1057275</xdr:colOff>
      <xdr:row>33</xdr:row>
      <xdr:rowOff>76200</xdr:rowOff>
    </xdr:from>
    <xdr:ext cx="70866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2258253" y="6793396"/>
          <a:ext cx="7086600" cy="38100"/>
          <a:chOff x="1802700" y="3780000"/>
          <a:chExt cx="7086600" cy="0"/>
        </a:xfrm>
      </xdr:grpSpPr>
      <xdr:cxnSp macro="">
        <xdr:nvCxnSpPr>
          <xdr:cNvPr id="26" name="Shape 26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CxnSpPr/>
        </xdr:nvCxnSpPr>
        <xdr:spPr>
          <a:xfrm>
            <a:off x="1802700" y="3780000"/>
            <a:ext cx="7086600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4</xdr:col>
      <xdr:colOff>819150</xdr:colOff>
      <xdr:row>39</xdr:row>
      <xdr:rowOff>76200</xdr:rowOff>
    </xdr:from>
    <xdr:ext cx="7315200" cy="38100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020128" y="7986091"/>
          <a:ext cx="7315200" cy="38100"/>
          <a:chOff x="1688400" y="3780000"/>
          <a:chExt cx="7315200" cy="0"/>
        </a:xfrm>
      </xdr:grpSpPr>
      <xdr:cxnSp macro="">
        <xdr:nvCxnSpPr>
          <xdr:cNvPr id="27" name="Shape 27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CxnSpPr/>
        </xdr:nvCxnSpPr>
        <xdr:spPr>
          <a:xfrm>
            <a:off x="1688400" y="3780000"/>
            <a:ext cx="7315200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3</xdr:col>
      <xdr:colOff>190500</xdr:colOff>
      <xdr:row>42</xdr:row>
      <xdr:rowOff>180975</xdr:rowOff>
    </xdr:from>
    <xdr:ext cx="8191500" cy="295275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255013" y="3637125"/>
          <a:ext cx="8181975" cy="285750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114300</xdr:colOff>
      <xdr:row>42</xdr:row>
      <xdr:rowOff>161925</xdr:rowOff>
    </xdr:from>
    <xdr:ext cx="7981950" cy="333375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1357407" y="3613663"/>
          <a:ext cx="7977187" cy="3326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INFORMAÇÕES PARA ANÁLISE DE PROTEÇÃO FAMILIAR</a:t>
          </a:r>
          <a:endParaRPr sz="18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3</xdr:col>
      <xdr:colOff>114300</xdr:colOff>
      <xdr:row>44</xdr:row>
      <xdr:rowOff>57150</xdr:rowOff>
    </xdr:from>
    <xdr:ext cx="1790700" cy="295275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4455413" y="3637125"/>
          <a:ext cx="1781175" cy="285750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Planejamento de Educação</a:t>
          </a:r>
          <a:endParaRPr sz="1100" b="1">
            <a:solidFill>
              <a:srgbClr val="009999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4</xdr:col>
      <xdr:colOff>1628775</xdr:colOff>
      <xdr:row>46</xdr:row>
      <xdr:rowOff>19050</xdr:rowOff>
    </xdr:from>
    <xdr:ext cx="6524625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829753" y="9105072"/>
          <a:ext cx="6524625" cy="38100"/>
          <a:chOff x="2083688" y="3780000"/>
          <a:chExt cx="6524625" cy="0"/>
        </a:xfrm>
      </xdr:grpSpPr>
      <xdr:cxnSp macro="">
        <xdr:nvCxnSpPr>
          <xdr:cNvPr id="31" name="Shape 3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CxnSpPr/>
        </xdr:nvCxnSpPr>
        <xdr:spPr>
          <a:xfrm>
            <a:off x="2083688" y="3780000"/>
            <a:ext cx="6524625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3</xdr:col>
      <xdr:colOff>114300</xdr:colOff>
      <xdr:row>55</xdr:row>
      <xdr:rowOff>38100</xdr:rowOff>
    </xdr:from>
    <xdr:ext cx="1238250" cy="30480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4731638" y="3632363"/>
          <a:ext cx="1228725" cy="295275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Despesas de Vida</a:t>
          </a:r>
          <a:endParaRPr sz="1100" b="1">
            <a:solidFill>
              <a:srgbClr val="009999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4</xdr:col>
      <xdr:colOff>1104900</xdr:colOff>
      <xdr:row>56</xdr:row>
      <xdr:rowOff>-9525</xdr:rowOff>
    </xdr:from>
    <xdr:ext cx="7029450" cy="38100"/>
    <xdr:grpSp>
      <xdr:nvGrpSpPr>
        <xdr:cNvPr id="33" name="Shape 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/>
      </xdr:nvGrpSpPr>
      <xdr:grpSpPr>
        <a:xfrm>
          <a:off x="2305878" y="11056040"/>
          <a:ext cx="7029450" cy="38100"/>
          <a:chOff x="1831275" y="3780000"/>
          <a:chExt cx="7029450" cy="0"/>
        </a:xfrm>
      </xdr:grpSpPr>
      <xdr:cxnSp macro="">
        <xdr:nvCxnSpPr>
          <xdr:cNvPr id="34" name="Shap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/>
        </xdr:nvCxnSpPr>
        <xdr:spPr>
          <a:xfrm>
            <a:off x="1831275" y="3780000"/>
            <a:ext cx="7029450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3</xdr:col>
      <xdr:colOff>114300</xdr:colOff>
      <xdr:row>65</xdr:row>
      <xdr:rowOff>104775</xdr:rowOff>
    </xdr:from>
    <xdr:ext cx="619125" cy="323850"/>
    <xdr:sp macro="" textlink="">
      <xdr:nvSpPr>
        <xdr:cNvPr id="35" name="Shap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5041200" y="3622838"/>
          <a:ext cx="609600" cy="314325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Outros</a:t>
          </a:r>
          <a:endParaRPr sz="1400"/>
        </a:p>
      </xdr:txBody>
    </xdr:sp>
    <xdr:clientData fLocksWithSheet="0"/>
  </xdr:oneCellAnchor>
  <xdr:oneCellAnchor>
    <xdr:from>
      <xdr:col>4</xdr:col>
      <xdr:colOff>542925</xdr:colOff>
      <xdr:row>66</xdr:row>
      <xdr:rowOff>57150</xdr:rowOff>
    </xdr:from>
    <xdr:ext cx="7562850" cy="38100"/>
    <xdr:grpSp>
      <xdr:nvGrpSpPr>
        <xdr:cNvPr id="36" name="Shape 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743903" y="13110541"/>
          <a:ext cx="7562850" cy="38100"/>
          <a:chOff x="1564575" y="3780000"/>
          <a:chExt cx="7562850" cy="0"/>
        </a:xfrm>
      </xdr:grpSpPr>
      <xdr:cxnSp macro="">
        <xdr:nvCxnSpPr>
          <xdr:cNvPr id="37" name="Shape 35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CxnSpPr/>
        </xdr:nvCxnSpPr>
        <xdr:spPr>
          <a:xfrm>
            <a:off x="1564575" y="3780000"/>
            <a:ext cx="7562850" cy="0"/>
          </a:xfrm>
          <a:prstGeom prst="straightConnector1">
            <a:avLst/>
          </a:prstGeom>
          <a:noFill/>
          <a:ln w="9525" cap="flat" cmpd="sng">
            <a:solidFill>
              <a:srgbClr val="009999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0</xdr:colOff>
      <xdr:row>0</xdr:row>
      <xdr:rowOff>0</xdr:rowOff>
    </xdr:from>
    <xdr:ext cx="533400" cy="542925"/>
    <xdr:pic>
      <xdr:nvPicPr>
        <xdr:cNvPr id="38" name="image2.pn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361950</xdr:colOff>
      <xdr:row>8</xdr:row>
      <xdr:rowOff>180975</xdr:rowOff>
    </xdr:from>
    <xdr:ext cx="12430125" cy="3057525"/>
    <xdr:graphicFrame macro="">
      <xdr:nvGraphicFramePr>
        <xdr:cNvPr id="604025300" name="Chart 1">
          <a:extLst>
            <a:ext uri="{FF2B5EF4-FFF2-40B4-BE49-F238E27FC236}">
              <a16:creationId xmlns:a16="http://schemas.microsoft.com/office/drawing/2014/main" id="{00000000-0008-0000-0200-0000D4B100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</xdr:col>
      <xdr:colOff>104775</xdr:colOff>
      <xdr:row>8</xdr:row>
      <xdr:rowOff>57150</xdr:rowOff>
    </xdr:from>
    <xdr:ext cx="990600" cy="2962275"/>
    <xdr:graphicFrame macro="">
      <xdr:nvGraphicFramePr>
        <xdr:cNvPr id="1128834285" name="Chart 2">
          <a:extLst>
            <a:ext uri="{FF2B5EF4-FFF2-40B4-BE49-F238E27FC236}">
              <a16:creationId xmlns:a16="http://schemas.microsoft.com/office/drawing/2014/main" id="{00000000-0008-0000-0200-0000EDA44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16</xdr:col>
      <xdr:colOff>0</xdr:colOff>
      <xdr:row>28</xdr:row>
      <xdr:rowOff>47625</xdr:rowOff>
    </xdr:from>
    <xdr:ext cx="2933700" cy="137160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3888675" y="3103725"/>
          <a:ext cx="2914650" cy="1352550"/>
        </a:xfrm>
        <a:prstGeom prst="rect">
          <a:avLst/>
        </a:prstGeom>
        <a:solidFill>
          <a:schemeClr val="lt1"/>
        </a:solidFill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Buscar a possibilidade de melhora alterando: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Rentabilidade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Poupança anual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Idade de Aposentadoria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Projeção de capital na ausência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38</xdr:col>
      <xdr:colOff>295275</xdr:colOff>
      <xdr:row>5</xdr:row>
      <xdr:rowOff>76200</xdr:rowOff>
    </xdr:from>
    <xdr:ext cx="51435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6042040" y="1163171"/>
          <a:ext cx="514350" cy="38100"/>
          <a:chOff x="5088825" y="3780000"/>
          <a:chExt cx="514350" cy="0"/>
        </a:xfrm>
      </xdr:grpSpPr>
      <xdr:cxnSp macro="">
        <xdr:nvCxnSpPr>
          <xdr:cNvPr id="37" name="Shape 37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CxnSpPr/>
        </xdr:nvCxnSpPr>
        <xdr:spPr>
          <a:xfrm>
            <a:off x="5088825" y="3780000"/>
            <a:ext cx="514350" cy="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round/>
            <a:headEnd type="none" w="sm" len="sm"/>
            <a:tailEnd type="stealth" w="med" len="med"/>
          </a:ln>
        </xdr:spPr>
      </xdr:cxnSp>
    </xdr:grpSp>
    <xdr:clientData fLocksWithSheet="0"/>
  </xdr:oneCellAnchor>
  <xdr:oneCellAnchor>
    <xdr:from>
      <xdr:col>2</xdr:col>
      <xdr:colOff>104775</xdr:colOff>
      <xdr:row>8</xdr:row>
      <xdr:rowOff>57150</xdr:rowOff>
    </xdr:from>
    <xdr:ext cx="990600" cy="29622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21099" y="1816474"/>
          <a:ext cx="990600" cy="2962275"/>
          <a:chOff x="4850700" y="2298863"/>
          <a:chExt cx="990579" cy="2962275"/>
        </a:xfrm>
      </xdr:grpSpPr>
      <xdr:grpSp>
        <xdr:nvGrpSpPr>
          <xdr:cNvPr id="38" name="Shape 38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4850700" y="2298863"/>
            <a:ext cx="990579" cy="2962275"/>
            <a:chOff x="1244352" y="1964310"/>
            <a:chExt cx="999575" cy="2866263"/>
          </a:xfrm>
        </xdr:grpSpPr>
        <xdr:sp macro="" textlink="">
          <xdr:nvSpPr>
            <xdr:cNvPr id="15" name="Shape 1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1244352" y="1964310"/>
              <a:ext cx="999575" cy="2866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39" name="Shape 39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GrpSpPr/>
          </xdr:nvGrpSpPr>
          <xdr:grpSpPr>
            <a:xfrm>
              <a:off x="1704736" y="4407982"/>
              <a:ext cx="291157" cy="422591"/>
              <a:chOff x="19322297" y="2544679"/>
              <a:chExt cx="390839" cy="431718"/>
            </a:xfrm>
          </xdr:grpSpPr>
          <xdr:sp macro="" textlink="">
            <xdr:nvSpPr>
              <xdr:cNvPr id="40" name="Shape 40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SpPr/>
            </xdr:nvSpPr>
            <xdr:spPr>
              <a:xfrm>
                <a:off x="19381013" y="2544679"/>
                <a:ext cx="283184" cy="395410"/>
              </a:xfrm>
              <a:prstGeom prst="rect">
                <a:avLst/>
              </a:prstGeom>
              <a:solidFill>
                <a:srgbClr val="DE0404"/>
              </a:solidFill>
              <a:ln w="19050" cap="flat" cmpd="sng">
                <a:solidFill>
                  <a:schemeClr val="dk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41" name="Shape 41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SpPr/>
            </xdr:nvSpPr>
            <xdr:spPr>
              <a:xfrm>
                <a:off x="19322297" y="2707640"/>
                <a:ext cx="390839" cy="268757"/>
              </a:xfrm>
              <a:prstGeom prst="ellipse">
                <a:avLst/>
              </a:prstGeom>
              <a:solidFill>
                <a:srgbClr val="DE0404"/>
              </a:solidFill>
              <a:ln w="19050" cap="flat" cmpd="sng">
                <a:solidFill>
                  <a:srgbClr val="000000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</xdr:grpSp>
    </xdr:grpSp>
    <xdr:clientData fLocksWithSheet="0"/>
  </xdr:oneCellAnchor>
  <xdr:oneCellAnchor>
    <xdr:from>
      <xdr:col>14</xdr:col>
      <xdr:colOff>19050</xdr:colOff>
      <xdr:row>10</xdr:row>
      <xdr:rowOff>28575</xdr:rowOff>
    </xdr:from>
    <xdr:ext cx="469582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6312403" y="2168899"/>
          <a:ext cx="4695825" cy="38100"/>
          <a:chOff x="2998088" y="3780000"/>
          <a:chExt cx="4695825" cy="0"/>
        </a:xfrm>
      </xdr:grpSpPr>
      <xdr:cxnSp macro="">
        <xdr:nvCxnSpPr>
          <xdr:cNvPr id="42" name="Shape 42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 rot="10800000">
            <a:off x="2998088" y="3780000"/>
            <a:ext cx="4695825" cy="0"/>
          </a:xfrm>
          <a:prstGeom prst="straightConnector1">
            <a:avLst/>
          </a:prstGeom>
          <a:noFill/>
          <a:ln w="12700" cap="flat" cmpd="sng">
            <a:solidFill>
              <a:srgbClr val="00B050"/>
            </a:solidFill>
            <a:prstDash val="lgDash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14</xdr:col>
      <xdr:colOff>0</xdr:colOff>
      <xdr:row>15</xdr:row>
      <xdr:rowOff>47625</xdr:rowOff>
    </xdr:from>
    <xdr:ext cx="4676775" cy="38100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6293353" y="3151654"/>
          <a:ext cx="4676775" cy="38100"/>
          <a:chOff x="3007613" y="3780000"/>
          <a:chExt cx="4676775" cy="0"/>
        </a:xfrm>
      </xdr:grpSpPr>
      <xdr:cxnSp macro="">
        <xdr:nvCxnSpPr>
          <xdr:cNvPr id="43" name="Shape 43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 rot="10800000">
            <a:off x="3007613" y="3780000"/>
            <a:ext cx="4676775" cy="0"/>
          </a:xfrm>
          <a:prstGeom prst="straightConnector1">
            <a:avLst/>
          </a:prstGeom>
          <a:noFill/>
          <a:ln w="12700" cap="flat" cmpd="sng">
            <a:solidFill>
              <a:srgbClr val="FF0000"/>
            </a:solidFill>
            <a:prstDash val="lgDash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</xdr:col>
      <xdr:colOff>152400</xdr:colOff>
      <xdr:row>8</xdr:row>
      <xdr:rowOff>161925</xdr:rowOff>
    </xdr:from>
    <xdr:ext cx="2552700" cy="3114675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4079175" y="2232188"/>
          <a:ext cx="2533650" cy="3095625"/>
        </a:xfrm>
        <a:prstGeom prst="roundRect">
          <a:avLst>
            <a:gd name="adj" fmla="val 3347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5</xdr:col>
      <xdr:colOff>447675</xdr:colOff>
      <xdr:row>8</xdr:row>
      <xdr:rowOff>161925</xdr:rowOff>
    </xdr:from>
    <xdr:ext cx="12430125" cy="314325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0" y="2217900"/>
          <a:ext cx="10692000" cy="3124200"/>
        </a:xfrm>
        <a:prstGeom prst="roundRect">
          <a:avLst>
            <a:gd name="adj" fmla="val 2692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13</xdr:col>
      <xdr:colOff>1371600</xdr:colOff>
      <xdr:row>8</xdr:row>
      <xdr:rowOff>161925</xdr:rowOff>
    </xdr:from>
    <xdr:ext cx="4857750" cy="3133725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926650" y="2222663"/>
          <a:ext cx="4838700" cy="3114675"/>
        </a:xfrm>
        <a:prstGeom prst="roundRect">
          <a:avLst>
            <a:gd name="adj" fmla="val 1790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0</xdr:colOff>
      <xdr:row>28</xdr:row>
      <xdr:rowOff>28575</xdr:rowOff>
    </xdr:from>
    <xdr:ext cx="3181350" cy="139065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3760088" y="3094200"/>
          <a:ext cx="3171825" cy="1371600"/>
        </a:xfrm>
        <a:prstGeom prst="rect">
          <a:avLst/>
        </a:prstGeom>
        <a:solidFill>
          <a:schemeClr val="lt1"/>
        </a:solidFill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Buscar a possibilidade de melhora alterando: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 i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Rentabilidade</a:t>
          </a:r>
          <a:endParaRPr sz="1200" i="1"/>
        </a:p>
      </xdr:txBody>
    </xdr:sp>
    <xdr:clientData fLocksWithSheet="0"/>
  </xdr:oneCellAnchor>
  <xdr:oneCellAnchor>
    <xdr:from>
      <xdr:col>12</xdr:col>
      <xdr:colOff>914400</xdr:colOff>
      <xdr:row>28</xdr:row>
      <xdr:rowOff>38100</xdr:rowOff>
    </xdr:from>
    <xdr:ext cx="2228850" cy="1381125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4241100" y="3098963"/>
          <a:ext cx="2209800" cy="1362075"/>
        </a:xfrm>
        <a:prstGeom prst="rect">
          <a:avLst/>
        </a:prstGeom>
        <a:solidFill>
          <a:schemeClr val="lt1"/>
        </a:solidFill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Buscar a possibilidade de melhora alterando: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Rentabilidade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Poupança anual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 Idade de Aposentadoria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209550</xdr:colOff>
      <xdr:row>58</xdr:row>
      <xdr:rowOff>161925</xdr:rowOff>
    </xdr:from>
    <xdr:ext cx="390525" cy="371475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55500" y="3599025"/>
          <a:ext cx="381000" cy="361950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&gt;10</a:t>
          </a:r>
          <a:endParaRPr sz="1050" b="1"/>
        </a:p>
      </xdr:txBody>
    </xdr:sp>
    <xdr:clientData fLocksWithSheet="0"/>
  </xdr:oneCellAnchor>
  <xdr:oneCellAnchor>
    <xdr:from>
      <xdr:col>3</xdr:col>
      <xdr:colOff>619125</xdr:colOff>
      <xdr:row>58</xdr:row>
      <xdr:rowOff>171450</xdr:rowOff>
    </xdr:from>
    <xdr:ext cx="1476375" cy="371475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4612575" y="3599025"/>
          <a:ext cx="1466850" cy="3619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Em linha para viver de renda</a:t>
          </a:r>
          <a:endParaRPr sz="800"/>
        </a:p>
      </xdr:txBody>
    </xdr:sp>
    <xdr:clientData fLocksWithSheet="0"/>
  </xdr:oneCellAnchor>
  <xdr:oneCellAnchor>
    <xdr:from>
      <xdr:col>5</xdr:col>
      <xdr:colOff>9525</xdr:colOff>
      <xdr:row>58</xdr:row>
      <xdr:rowOff>180975</xdr:rowOff>
    </xdr:from>
    <xdr:ext cx="352425" cy="371475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74550" y="3599025"/>
          <a:ext cx="342900" cy="361950"/>
        </a:xfrm>
        <a:prstGeom prst="rect">
          <a:avLst/>
        </a:prstGeom>
        <a:solidFill>
          <a:srgbClr val="FFFF00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&gt;7</a:t>
          </a:r>
          <a:endParaRPr sz="105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5</xdr:col>
      <xdr:colOff>400050</xdr:colOff>
      <xdr:row>58</xdr:row>
      <xdr:rowOff>171450</xdr:rowOff>
    </xdr:from>
    <xdr:ext cx="1495425" cy="40005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4603050" y="3584738"/>
          <a:ext cx="1485900" cy="39052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Em linha para manter o padrão de vida desejado</a:t>
          </a:r>
          <a:endParaRPr sz="1400"/>
        </a:p>
      </xdr:txBody>
    </xdr:sp>
    <xdr:clientData fLocksWithSheet="0"/>
  </xdr:oneCellAnchor>
  <xdr:oneCellAnchor>
    <xdr:from>
      <xdr:col>5</xdr:col>
      <xdr:colOff>1952625</xdr:colOff>
      <xdr:row>59</xdr:row>
      <xdr:rowOff>0</xdr:rowOff>
    </xdr:from>
    <xdr:ext cx="685800" cy="352425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007863" y="3608550"/>
          <a:ext cx="676275" cy="342900"/>
        </a:xfrm>
        <a:prstGeom prst="rect">
          <a:avLst/>
        </a:prstGeom>
        <a:gradFill>
          <a:gsLst>
            <a:gs pos="0">
              <a:srgbClr val="992D2B"/>
            </a:gs>
            <a:gs pos="80000">
              <a:srgbClr val="C93D39"/>
            </a:gs>
            <a:gs pos="100000">
              <a:srgbClr val="CD3A36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0</a:t>
          </a:r>
          <a:endParaRPr sz="105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6</xdr:col>
      <xdr:colOff>209550</xdr:colOff>
      <xdr:row>59</xdr:row>
      <xdr:rowOff>0</xdr:rowOff>
    </xdr:from>
    <xdr:ext cx="1495425" cy="38100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4603050" y="3594263"/>
          <a:ext cx="1485900" cy="3714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Atenção, padrão de vida ameaçado</a:t>
          </a:r>
          <a:endParaRPr sz="1400"/>
        </a:p>
      </xdr:txBody>
    </xdr:sp>
    <xdr:clientData fLocksWithSheet="0"/>
  </xdr:oneCellAnchor>
  <xdr:oneCellAnchor>
    <xdr:from>
      <xdr:col>3</xdr:col>
      <xdr:colOff>95250</xdr:colOff>
      <xdr:row>57</xdr:row>
      <xdr:rowOff>104775</xdr:rowOff>
    </xdr:from>
    <xdr:ext cx="5400675" cy="333375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2650425" y="3618075"/>
          <a:ext cx="53911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Calibri"/>
            <a:buNone/>
          </a:pPr>
          <a:r>
            <a:rPr lang="en-US" sz="1000" b="0" i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* Legenda Termômetro financeiro </a:t>
          </a:r>
          <a:endParaRPr sz="1000" b="0"/>
        </a:p>
      </xdr:txBody>
    </xdr:sp>
    <xdr:clientData fLocksWithSheet="0"/>
  </xdr:oneCellAnchor>
  <xdr:oneCellAnchor>
    <xdr:from>
      <xdr:col>23</xdr:col>
      <xdr:colOff>123825</xdr:colOff>
      <xdr:row>2</xdr:row>
      <xdr:rowOff>95250</xdr:rowOff>
    </xdr:from>
    <xdr:ext cx="1314450" cy="438150"/>
    <xdr:sp macro="" textlink="">
      <xdr:nvSpPr>
        <xdr:cNvPr id="56" name="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4693538" y="3565688"/>
          <a:ext cx="1304925" cy="428625"/>
        </a:xfrm>
        <a:prstGeom prst="roundRect">
          <a:avLst>
            <a:gd name="adj" fmla="val 16667"/>
          </a:avLst>
        </a:prstGeom>
        <a:solidFill>
          <a:srgbClr val="C4BD97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Inserir dados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19</xdr:col>
      <xdr:colOff>533400</xdr:colOff>
      <xdr:row>1</xdr:row>
      <xdr:rowOff>9525</xdr:rowOff>
    </xdr:from>
    <xdr:ext cx="895350" cy="74295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1813371" y="200025"/>
          <a:ext cx="895350" cy="742950"/>
          <a:chOff x="4898325" y="3408525"/>
          <a:chExt cx="895350" cy="742950"/>
        </a:xfrm>
      </xdr:grpSpPr>
      <xdr:grpSp>
        <xdr:nvGrpSpPr>
          <xdr:cNvPr id="57" name="Shape 57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4898325" y="3408525"/>
            <a:ext cx="895350" cy="742950"/>
            <a:chOff x="19788183" y="47625"/>
            <a:chExt cx="892969" cy="845344"/>
          </a:xfrm>
        </xdr:grpSpPr>
        <xdr:sp macro="" textlink="">
          <xdr:nvSpPr>
            <xdr:cNvPr id="7" name="Shape 1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19788183" y="47625"/>
              <a:ext cx="892950" cy="8453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58" name="Shape 58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/>
            <a:stretch/>
          </xdr:blipFill>
          <xdr:spPr>
            <a:xfrm>
              <a:off x="19999698" y="370494"/>
              <a:ext cx="513370" cy="522475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59" name="Shape 59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19788183" y="47625"/>
              <a:ext cx="892969" cy="309562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2D5C97"/>
                </a:gs>
                <a:gs pos="80000">
                  <a:srgbClr val="3C7AC5"/>
                </a:gs>
                <a:gs pos="100000">
                  <a:srgbClr val="397BC9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4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Imprimir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4</xdr:col>
      <xdr:colOff>257175</xdr:colOff>
      <xdr:row>10</xdr:row>
      <xdr:rowOff>0</xdr:rowOff>
    </xdr:from>
    <xdr:ext cx="1390650" cy="81915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4655438" y="3375188"/>
          <a:ext cx="1381125" cy="809625"/>
        </a:xfrm>
        <a:prstGeom prst="roundRect">
          <a:avLst>
            <a:gd name="adj" fmla="val 16667"/>
          </a:avLst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Termômetro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Financeiro</a:t>
          </a:r>
          <a:endParaRPr sz="1400"/>
        </a:p>
      </xdr:txBody>
    </xdr:sp>
    <xdr:clientData fLocksWithSheet="0"/>
  </xdr:oneCellAnchor>
  <xdr:oneCellAnchor>
    <xdr:from>
      <xdr:col>2</xdr:col>
      <xdr:colOff>152400</xdr:colOff>
      <xdr:row>1</xdr:row>
      <xdr:rowOff>161925</xdr:rowOff>
    </xdr:from>
    <xdr:ext cx="19926300" cy="333375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0" y="3618075"/>
          <a:ext cx="10692000" cy="323850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657225</xdr:colOff>
      <xdr:row>1</xdr:row>
      <xdr:rowOff>76200</xdr:rowOff>
    </xdr:from>
    <xdr:ext cx="5800725" cy="600075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2446777" y="3483348"/>
          <a:ext cx="5798447" cy="593304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CONTEXTO DA VIDA FINANCEIRA</a:t>
          </a:r>
          <a:endParaRPr sz="32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2</xdr:col>
      <xdr:colOff>161925</xdr:colOff>
      <xdr:row>25</xdr:row>
      <xdr:rowOff>38100</xdr:rowOff>
    </xdr:from>
    <xdr:ext cx="9305925" cy="59817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78249" y="5159188"/>
          <a:ext cx="9305925" cy="5981700"/>
          <a:chOff x="693038" y="789150"/>
          <a:chExt cx="9305925" cy="5981700"/>
        </a:xfrm>
      </xdr:grpSpPr>
      <xdr:grpSp>
        <xdr:nvGrpSpPr>
          <xdr:cNvPr id="63" name="Shape 63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GrpSpPr/>
        </xdr:nvGrpSpPr>
        <xdr:grpSpPr>
          <a:xfrm>
            <a:off x="693038" y="789150"/>
            <a:ext cx="9305925" cy="5981700"/>
            <a:chOff x="791541" y="5322866"/>
            <a:chExt cx="9317466" cy="6341892"/>
          </a:xfrm>
        </xdr:grpSpPr>
        <xdr:sp macro="" textlink="">
          <xdr:nvSpPr>
            <xdr:cNvPr id="9" name="Shape 15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791541" y="5322866"/>
              <a:ext cx="9317450" cy="63418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4" name="Shape 64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791541" y="5503471"/>
              <a:ext cx="9317466" cy="6161287"/>
            </a:xfrm>
            <a:prstGeom prst="roundRect">
              <a:avLst>
                <a:gd name="adj" fmla="val 1216"/>
              </a:avLst>
            </a:prstGeom>
            <a:noFill/>
            <a:ln w="19050" cap="flat" cmpd="sng">
              <a:solidFill>
                <a:srgbClr val="009999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solidFill>
                  <a:schemeClr val="lt1"/>
                </a:solidFill>
                <a:latin typeface="Calibri"/>
                <a:ea typeface="Calibri"/>
                <a:cs typeface="Calibri"/>
                <a:sym typeface="Calibri"/>
              </a:endParaRPr>
            </a:p>
          </xdr:txBody>
        </xdr:sp>
        <xdr:grpSp>
          <xdr:nvGrpSpPr>
            <xdr:cNvPr id="65" name="Shape 65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GrpSpPr/>
          </xdr:nvGrpSpPr>
          <xdr:grpSpPr>
            <a:xfrm>
              <a:off x="4117731" y="5322866"/>
              <a:ext cx="3270472" cy="332675"/>
              <a:chOff x="4117731" y="5322866"/>
              <a:chExt cx="3270472" cy="332675"/>
            </a:xfrm>
          </xdr:grpSpPr>
          <xdr:sp macro="" textlink="">
            <xdr:nvSpPr>
              <xdr:cNvPr id="66" name="Shape 66">
                <a:extLst>
                  <a:ext uri="{FF2B5EF4-FFF2-40B4-BE49-F238E27FC236}">
                    <a16:creationId xmlns:a16="http://schemas.microsoft.com/office/drawing/2014/main" id="{00000000-0008-0000-0200-000042000000}"/>
                  </a:ext>
                </a:extLst>
              </xdr:cNvPr>
              <xdr:cNvSpPr/>
            </xdr:nvSpPr>
            <xdr:spPr>
              <a:xfrm>
                <a:off x="4117731" y="5343599"/>
                <a:ext cx="3270472" cy="295944"/>
              </a:xfrm>
              <a:prstGeom prst="rect">
                <a:avLst/>
              </a:prstGeom>
              <a:solidFill>
                <a:srgbClr val="009999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67" name="Shape 67">
                <a:extLst>
                  <a:ext uri="{FF2B5EF4-FFF2-40B4-BE49-F238E27FC236}">
                    <a16:creationId xmlns:a16="http://schemas.microsoft.com/office/drawing/2014/main" id="{00000000-0008-0000-0200-000043000000}"/>
                  </a:ext>
                </a:extLst>
              </xdr:cNvPr>
              <xdr:cNvSpPr txBox="1"/>
            </xdr:nvSpPr>
            <xdr:spPr>
              <a:xfrm>
                <a:off x="4907228" y="5322866"/>
                <a:ext cx="1891393" cy="3326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45700" rIns="91425" bIns="45700" anchor="ctr" anchorCtr="0">
                <a:noAutofit/>
              </a:bodyPr>
              <a:lstStyle/>
              <a:p>
                <a:pPr marL="0" lvl="0" indent="0" algn="ctr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lang="en-US" sz="1800" b="1">
                    <a:solidFill>
                      <a:schemeClr val="lt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Situação Atual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16</xdr:col>
      <xdr:colOff>38100</xdr:colOff>
      <xdr:row>23</xdr:row>
      <xdr:rowOff>38100</xdr:rowOff>
    </xdr:from>
    <xdr:ext cx="1895475" cy="333375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4400304" y="3613663"/>
          <a:ext cx="1891393" cy="3326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8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14</xdr:col>
      <xdr:colOff>47625</xdr:colOff>
      <xdr:row>20</xdr:row>
      <xdr:rowOff>66675</xdr:rowOff>
    </xdr:from>
    <xdr:ext cx="466725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6340978" y="4168028"/>
          <a:ext cx="4667250" cy="38100"/>
          <a:chOff x="3012375" y="3780000"/>
          <a:chExt cx="4667250" cy="0"/>
        </a:xfrm>
      </xdr:grpSpPr>
      <xdr:cxnSp macro="">
        <xdr:nvCxnSpPr>
          <xdr:cNvPr id="69" name="Shape 69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CxnSpPr/>
        </xdr:nvCxnSpPr>
        <xdr:spPr>
          <a:xfrm>
            <a:off x="3012375" y="3780000"/>
            <a:ext cx="4667250" cy="0"/>
          </a:xfrm>
          <a:prstGeom prst="straightConnector1">
            <a:avLst/>
          </a:prstGeom>
          <a:noFill/>
          <a:ln w="2857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9</xdr:col>
      <xdr:colOff>733425</xdr:colOff>
      <xdr:row>25</xdr:row>
      <xdr:rowOff>0</xdr:rowOff>
    </xdr:from>
    <xdr:ext cx="10515600" cy="60483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10336866" y="5121088"/>
          <a:ext cx="10515600" cy="6048375"/>
          <a:chOff x="88201" y="755813"/>
          <a:chExt cx="10515600" cy="6048375"/>
        </a:xfrm>
      </xdr:grpSpPr>
      <xdr:grpSp>
        <xdr:nvGrpSpPr>
          <xdr:cNvPr id="70" name="Shape 70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GrpSpPr/>
        </xdr:nvGrpSpPr>
        <xdr:grpSpPr>
          <a:xfrm>
            <a:off x="88201" y="755813"/>
            <a:ext cx="10515600" cy="6048375"/>
            <a:chOff x="10349778" y="5284819"/>
            <a:chExt cx="9027536" cy="6407455"/>
          </a:xfrm>
        </xdr:grpSpPr>
        <xdr:sp macro="" textlink="">
          <xdr:nvSpPr>
            <xdr:cNvPr id="12" name="Shape 15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/>
          </xdr:nvSpPr>
          <xdr:spPr>
            <a:xfrm>
              <a:off x="10349778" y="5284819"/>
              <a:ext cx="9027525" cy="64074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1" name="Shape 71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>
              <a:off x="10349778" y="5503471"/>
              <a:ext cx="9027536" cy="6188803"/>
            </a:xfrm>
            <a:prstGeom prst="roundRect">
              <a:avLst>
                <a:gd name="adj" fmla="val 1476"/>
              </a:avLst>
            </a:prstGeom>
            <a:noFill/>
            <a:ln w="19050" cap="flat" cmpd="sng">
              <a:solidFill>
                <a:srgbClr val="009999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solidFill>
                  <a:schemeClr val="lt1"/>
                </a:solidFill>
                <a:latin typeface="Calibri"/>
                <a:ea typeface="Calibri"/>
                <a:cs typeface="Calibri"/>
                <a:sym typeface="Calibri"/>
              </a:endParaRPr>
            </a:p>
          </xdr:txBody>
        </xdr:sp>
        <xdr:grpSp>
          <xdr:nvGrpSpPr>
            <xdr:cNvPr id="72" name="Shape 72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GrpSpPr/>
          </xdr:nvGrpSpPr>
          <xdr:grpSpPr>
            <a:xfrm>
              <a:off x="13556143" y="5284819"/>
              <a:ext cx="3089651" cy="494854"/>
              <a:chOff x="13833231" y="5197210"/>
              <a:chExt cx="3090669" cy="487722"/>
            </a:xfrm>
          </xdr:grpSpPr>
          <xdr:sp macro="" textlink="">
            <xdr:nvSpPr>
              <xdr:cNvPr id="73" name="Shape 73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>
                <a:off x="13833231" y="5261083"/>
                <a:ext cx="3090669" cy="289831"/>
              </a:xfrm>
              <a:prstGeom prst="rect">
                <a:avLst/>
              </a:prstGeom>
              <a:solidFill>
                <a:srgbClr val="009999"/>
              </a:solidFill>
              <a:ln>
                <a:noFill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pic>
            <xdr:nvPicPr>
              <xdr:cNvPr id="74" name="Shape 74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PicPr preferRelativeResize="0"/>
            </xdr:nvPicPr>
            <xdr:blipFill rotWithShape="1">
              <a:blip xmlns:r="http://schemas.openxmlformats.org/officeDocument/2006/relationships" r:embed="rId5">
                <a:alphaModFix/>
              </a:blip>
              <a:srcRect/>
              <a:stretch/>
            </xdr:blipFill>
            <xdr:spPr>
              <a:xfrm>
                <a:off x="14698325" y="5197210"/>
                <a:ext cx="1444877" cy="487722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</xdr:grpSp>
    </xdr:grpSp>
    <xdr:clientData fLocksWithSheet="0"/>
  </xdr:oneCellAnchor>
  <xdr:oneCellAnchor>
    <xdr:from>
      <xdr:col>24</xdr:col>
      <xdr:colOff>581025</xdr:colOff>
      <xdr:row>1</xdr:row>
      <xdr:rowOff>0</xdr:rowOff>
    </xdr:from>
    <xdr:ext cx="1123950" cy="1000125"/>
    <xdr:pic>
      <xdr:nvPicPr>
        <xdr:cNvPr id="13" name="image1.pn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</xdr:colOff>
      <xdr:row>0</xdr:row>
      <xdr:rowOff>19050</xdr:rowOff>
    </xdr:from>
    <xdr:ext cx="533400" cy="533400"/>
    <xdr:pic>
      <xdr:nvPicPr>
        <xdr:cNvPr id="14" name="image2.pn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752475</xdr:colOff>
      <xdr:row>49</xdr:row>
      <xdr:rowOff>171450</xdr:rowOff>
    </xdr:from>
    <xdr:ext cx="295275" cy="790575"/>
    <xdr:pic>
      <xdr:nvPicPr>
        <xdr:cNvPr id="16" name="image3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809625</xdr:colOff>
      <xdr:row>49</xdr:row>
      <xdr:rowOff>180975</xdr:rowOff>
    </xdr:from>
    <xdr:ext cx="295275" cy="790575"/>
    <xdr:pic>
      <xdr:nvPicPr>
        <xdr:cNvPr id="17" name="image3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685800</xdr:colOff>
      <xdr:row>49</xdr:row>
      <xdr:rowOff>180975</xdr:rowOff>
    </xdr:from>
    <xdr:ext cx="295275" cy="790575"/>
    <xdr:pic>
      <xdr:nvPicPr>
        <xdr:cNvPr id="18" name="image3.png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590550</xdr:colOff>
      <xdr:row>10</xdr:row>
      <xdr:rowOff>66675</xdr:rowOff>
    </xdr:from>
    <xdr:ext cx="581025" cy="581025"/>
    <xdr:pic>
      <xdr:nvPicPr>
        <xdr:cNvPr id="19" name="image4.png" descr="https://cdn0.iconfinder.com/data/icons/typicons-2/24/thermometer-512.png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95250</xdr:colOff>
      <xdr:row>9</xdr:row>
      <xdr:rowOff>9525</xdr:rowOff>
    </xdr:from>
    <xdr:ext cx="15049500" cy="2333625"/>
    <xdr:graphicFrame macro="">
      <xdr:nvGraphicFramePr>
        <xdr:cNvPr id="1863621467" name="Chart 3">
          <a:extLst>
            <a:ext uri="{FF2B5EF4-FFF2-40B4-BE49-F238E27FC236}">
              <a16:creationId xmlns:a16="http://schemas.microsoft.com/office/drawing/2014/main" id="{00000000-0008-0000-0300-00005B9B1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66675</xdr:colOff>
      <xdr:row>8</xdr:row>
      <xdr:rowOff>47625</xdr:rowOff>
    </xdr:from>
    <xdr:ext cx="14944725" cy="2752725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0" y="2408400"/>
          <a:ext cx="10692000" cy="2743200"/>
        </a:xfrm>
        <a:prstGeom prst="roundRect">
          <a:avLst>
            <a:gd name="adj" fmla="val 2367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2</xdr:col>
      <xdr:colOff>200025</xdr:colOff>
      <xdr:row>8</xdr:row>
      <xdr:rowOff>66675</xdr:rowOff>
    </xdr:from>
    <xdr:ext cx="2286000" cy="2714625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4212525" y="2432213"/>
          <a:ext cx="2266950" cy="2695575"/>
        </a:xfrm>
        <a:prstGeom prst="roundRect">
          <a:avLst>
            <a:gd name="adj" fmla="val 2688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2</xdr:col>
      <xdr:colOff>171450</xdr:colOff>
      <xdr:row>23</xdr:row>
      <xdr:rowOff>0</xdr:rowOff>
    </xdr:from>
    <xdr:ext cx="7810500" cy="4905375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1445513" y="1332075"/>
          <a:ext cx="7800975" cy="4895850"/>
        </a:xfrm>
        <a:prstGeom prst="roundRect">
          <a:avLst>
            <a:gd name="adj" fmla="val 1361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1219200</xdr:colOff>
      <xdr:row>23</xdr:row>
      <xdr:rowOff>9525</xdr:rowOff>
    </xdr:from>
    <xdr:ext cx="13068300" cy="491490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0" y="1327313"/>
          <a:ext cx="10692000" cy="4905375"/>
        </a:xfrm>
        <a:prstGeom prst="roundRect">
          <a:avLst>
            <a:gd name="adj" fmla="val 1725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0</xdr:colOff>
      <xdr:row>25</xdr:row>
      <xdr:rowOff>9525</xdr:rowOff>
    </xdr:from>
    <xdr:ext cx="2886075" cy="1076325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3902963" y="3246600"/>
          <a:ext cx="2886075" cy="1066800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0" i="0" u="none" strike="noStrike" cap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Qual a rentabilidade necessária para viver </a:t>
          </a:r>
          <a:r>
            <a:rPr lang="en-US" sz="1100" b="1" i="0" u="none" strike="noStrike" cap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se desfazendo de parte ou totalmente do patrimônio financeiro?</a:t>
          </a:r>
          <a:endParaRPr sz="1100" b="1" i="1" u="none" strike="noStrike" cap="non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17</xdr:col>
      <xdr:colOff>685800</xdr:colOff>
      <xdr:row>25</xdr:row>
      <xdr:rowOff>19050</xdr:rowOff>
    </xdr:from>
    <xdr:ext cx="3057525" cy="110490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3822000" y="3237075"/>
          <a:ext cx="3048000" cy="1085850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 b="0" i="0" u="none" strike="noStrike" cap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Qual a rentabilidade necessária para viver </a:t>
          </a:r>
          <a:r>
            <a:rPr lang="en-US" sz="1100" b="1" i="0" u="none" strike="noStrike" cap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com a renda mensal necessária abaixo e também mantendo os bens selecionados? </a:t>
          </a:r>
          <a:r>
            <a:rPr lang="en-US" sz="1100" b="0" i="0" u="none" strike="noStrike" cap="non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(os bens não selecionados serão vendidos e transformados em liquidez.)</a:t>
          </a:r>
          <a:endParaRPr sz="1100" b="0" i="1" u="none" strike="noStrike" cap="non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11</xdr:col>
      <xdr:colOff>0</xdr:colOff>
      <xdr:row>25</xdr:row>
      <xdr:rowOff>9525</xdr:rowOff>
    </xdr:from>
    <xdr:ext cx="2457450" cy="106680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4126800" y="3251363"/>
          <a:ext cx="2438400" cy="1057275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Qual a rentabilidade necessária para viver </a:t>
          </a: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sem se desfazer do patrimônio financeiro e não financeiro?</a:t>
          </a:r>
          <a:endParaRPr sz="1100" b="1" i="1"/>
        </a:p>
      </xdr:txBody>
    </xdr:sp>
    <xdr:clientData fLocksWithSheet="0"/>
  </xdr:oneCellAnchor>
  <xdr:oneCellAnchor>
    <xdr:from>
      <xdr:col>29</xdr:col>
      <xdr:colOff>190500</xdr:colOff>
      <xdr:row>2</xdr:row>
      <xdr:rowOff>247650</xdr:rowOff>
    </xdr:from>
    <xdr:ext cx="1533525" cy="457200"/>
    <xdr:sp macro="" textlink="">
      <xdr:nvSpPr>
        <xdr:cNvPr id="82" name="Shape 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4584000" y="3556163"/>
          <a:ext cx="1524000" cy="447675"/>
        </a:xfrm>
        <a:prstGeom prst="roundRect">
          <a:avLst>
            <a:gd name="adj" fmla="val 16667"/>
          </a:avLst>
        </a:prstGeom>
        <a:solidFill>
          <a:srgbClr val="C4BD97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Inserir dados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23</xdr:col>
      <xdr:colOff>352425</xdr:colOff>
      <xdr:row>1</xdr:row>
      <xdr:rowOff>9525</xdr:rowOff>
    </xdr:from>
    <xdr:ext cx="876300" cy="6858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3279100" y="200025"/>
          <a:ext cx="876300" cy="685800"/>
          <a:chOff x="4907850" y="3437100"/>
          <a:chExt cx="876300" cy="685800"/>
        </a:xfrm>
      </xdr:grpSpPr>
      <xdr:grpSp>
        <xdr:nvGrpSpPr>
          <xdr:cNvPr id="83" name="Shape 83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GrpSpPr/>
        </xdr:nvGrpSpPr>
        <xdr:grpSpPr>
          <a:xfrm>
            <a:off x="4907850" y="3437100"/>
            <a:ext cx="876300" cy="685800"/>
            <a:chOff x="19788188" y="47625"/>
            <a:chExt cx="892969" cy="845344"/>
          </a:xfrm>
        </xdr:grpSpPr>
        <xdr:sp macro="" textlink="">
          <xdr:nvSpPr>
            <xdr:cNvPr id="15" name="Shape 15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/>
          </xdr:nvSpPr>
          <xdr:spPr>
            <a:xfrm>
              <a:off x="19788188" y="47625"/>
              <a:ext cx="892950" cy="8453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84" name="Shape 84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9999698" y="370494"/>
              <a:ext cx="513370" cy="522475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85" name="Shape 85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>
              <a:off x="19788188" y="47625"/>
              <a:ext cx="892969" cy="309562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2D5C97"/>
                </a:gs>
                <a:gs pos="80000">
                  <a:srgbClr val="3C7AC5"/>
                </a:gs>
                <a:gs pos="100000">
                  <a:srgbClr val="397BC9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4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Imprimir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4</xdr:col>
      <xdr:colOff>0</xdr:colOff>
      <xdr:row>1</xdr:row>
      <xdr:rowOff>76200</xdr:rowOff>
    </xdr:from>
    <xdr:ext cx="21297900" cy="41910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0" y="3575213"/>
          <a:ext cx="10692000" cy="409575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628650</xdr:colOff>
      <xdr:row>0</xdr:row>
      <xdr:rowOff>171450</xdr:rowOff>
    </xdr:from>
    <xdr:ext cx="5800725" cy="600075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/>
      </xdr:nvSpPr>
      <xdr:spPr>
        <a:xfrm>
          <a:off x="2446777" y="3483348"/>
          <a:ext cx="5798447" cy="593304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CONTEXTO DA VIDA FINANCEIRA</a:t>
          </a:r>
          <a:endParaRPr sz="32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5</xdr:col>
      <xdr:colOff>266700</xdr:colOff>
      <xdr:row>22</xdr:row>
      <xdr:rowOff>38100</xdr:rowOff>
    </xdr:from>
    <xdr:ext cx="2962275" cy="295275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3869625" y="3637125"/>
          <a:ext cx="2952750" cy="285750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857250</xdr:colOff>
      <xdr:row>22</xdr:row>
      <xdr:rowOff>0</xdr:rowOff>
    </xdr:from>
    <xdr:ext cx="1895475" cy="333375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4400304" y="3613663"/>
          <a:ext cx="1891393" cy="3326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Situação Atual</a:t>
          </a:r>
          <a:endParaRPr sz="1400"/>
        </a:p>
      </xdr:txBody>
    </xdr:sp>
    <xdr:clientData fLocksWithSheet="0"/>
  </xdr:oneCellAnchor>
  <xdr:oneCellAnchor>
    <xdr:from>
      <xdr:col>13</xdr:col>
      <xdr:colOff>504825</xdr:colOff>
      <xdr:row>22</xdr:row>
      <xdr:rowOff>47625</xdr:rowOff>
    </xdr:from>
    <xdr:ext cx="3943350" cy="34290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3496925" y="4419600"/>
          <a:ext cx="3943350" cy="342900"/>
          <a:chOff x="3374326" y="3608550"/>
          <a:chExt cx="3943350" cy="342900"/>
        </a:xfrm>
      </xdr:grpSpPr>
      <xdr:grpSp>
        <xdr:nvGrpSpPr>
          <xdr:cNvPr id="90" name="Shape 90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GrpSpPr/>
        </xdr:nvGrpSpPr>
        <xdr:grpSpPr>
          <a:xfrm>
            <a:off x="3374326" y="3608550"/>
            <a:ext cx="3943350" cy="342900"/>
            <a:chOff x="13193827" y="4472348"/>
            <a:chExt cx="3336683" cy="332675"/>
          </a:xfrm>
        </xdr:grpSpPr>
        <xdr:sp macro="" textlink="">
          <xdr:nvSpPr>
            <xdr:cNvPr id="4" name="Shape 1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/>
          </xdr:nvSpPr>
          <xdr:spPr>
            <a:xfrm>
              <a:off x="13193827" y="4472348"/>
              <a:ext cx="3336675" cy="332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91" name="Shape 91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13193827" y="4490679"/>
              <a:ext cx="3336683" cy="283845"/>
            </a:xfrm>
            <a:prstGeom prst="rect">
              <a:avLst/>
            </a:prstGeom>
            <a:solidFill>
              <a:srgbClr val="009999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92" name="Shape 92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 txBox="1"/>
          </xdr:nvSpPr>
          <xdr:spPr>
            <a:xfrm>
              <a:off x="13959856" y="4472348"/>
              <a:ext cx="1891393" cy="332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8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Alternativas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17</xdr:col>
      <xdr:colOff>619125</xdr:colOff>
      <xdr:row>8</xdr:row>
      <xdr:rowOff>38100</xdr:rowOff>
    </xdr:from>
    <xdr:ext cx="4581525" cy="280035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3064763" y="2389350"/>
          <a:ext cx="4562475" cy="2781300"/>
        </a:xfrm>
        <a:prstGeom prst="roundRect">
          <a:avLst>
            <a:gd name="adj" fmla="val 2367"/>
          </a:avLst>
        </a:prstGeom>
        <a:noFill/>
        <a:ln w="1905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19</xdr:col>
      <xdr:colOff>28575</xdr:colOff>
      <xdr:row>7</xdr:row>
      <xdr:rowOff>47625</xdr:rowOff>
    </xdr:from>
    <xdr:ext cx="2238375" cy="371475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9383375" y="1485900"/>
          <a:ext cx="2238375" cy="371475"/>
          <a:chOff x="4226813" y="3594263"/>
          <a:chExt cx="2238375" cy="371475"/>
        </a:xfrm>
      </xdr:grpSpPr>
      <xdr:grpSp>
        <xdr:nvGrpSpPr>
          <xdr:cNvPr id="94" name="Shape 94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GrpSpPr/>
        </xdr:nvGrpSpPr>
        <xdr:grpSpPr>
          <a:xfrm>
            <a:off x="4226813" y="3594263"/>
            <a:ext cx="2238375" cy="371475"/>
            <a:chOff x="13244325" y="4597973"/>
            <a:chExt cx="3336683" cy="204340"/>
          </a:xfrm>
        </xdr:grpSpPr>
        <xdr:sp macro="" textlink="">
          <xdr:nvSpPr>
            <xdr:cNvPr id="6" name="Shape 1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13244325" y="4597973"/>
              <a:ext cx="3336675" cy="2043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95" name="Shape 95">
              <a:extLst>
                <a:ext uri="{FF2B5EF4-FFF2-40B4-BE49-F238E27FC236}">
                  <a16:creationId xmlns:a16="http://schemas.microsoft.com/office/drawing/2014/main" id="{00000000-0008-0000-0300-00005F000000}"/>
                </a:ext>
              </a:extLst>
            </xdr:cNvPr>
            <xdr:cNvSpPr/>
          </xdr:nvSpPr>
          <xdr:spPr>
            <a:xfrm>
              <a:off x="13244325" y="4605744"/>
              <a:ext cx="3336683" cy="194989"/>
            </a:xfrm>
            <a:prstGeom prst="rect">
              <a:avLst/>
            </a:prstGeom>
            <a:solidFill>
              <a:srgbClr val="009999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96" name="Shape 96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SpPr txBox="1"/>
          </xdr:nvSpPr>
          <xdr:spPr>
            <a:xfrm>
              <a:off x="13470181" y="4597973"/>
              <a:ext cx="2943349" cy="20434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4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Patrimônio 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20</xdr:col>
      <xdr:colOff>180975</xdr:colOff>
      <xdr:row>32</xdr:row>
      <xdr:rowOff>95250</xdr:rowOff>
    </xdr:from>
    <xdr:ext cx="1323975" cy="409575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4688775" y="3579975"/>
          <a:ext cx="1314450" cy="400050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18</xdr:col>
      <xdr:colOff>438150</xdr:colOff>
      <xdr:row>31</xdr:row>
      <xdr:rowOff>133350</xdr:rowOff>
    </xdr:from>
    <xdr:ext cx="1247775" cy="1981200"/>
    <xdr:grpSp>
      <xdr:nvGrpSpPr>
        <xdr:cNvPr id="7" name="Shap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8811875" y="6305550"/>
          <a:ext cx="1247775" cy="1981200"/>
          <a:chOff x="4722112" y="2789400"/>
          <a:chExt cx="1247775" cy="1981200"/>
        </a:xfrm>
      </xdr:grpSpPr>
      <xdr:grpSp>
        <xdr:nvGrpSpPr>
          <xdr:cNvPr id="98" name="Shape 98"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GrpSpPr/>
        </xdr:nvGrpSpPr>
        <xdr:grpSpPr>
          <a:xfrm>
            <a:off x="4722112" y="2789400"/>
            <a:ext cx="1247775" cy="1981200"/>
            <a:chOff x="21505333" y="6405036"/>
            <a:chExt cx="1389301" cy="2075098"/>
          </a:xfrm>
        </xdr:grpSpPr>
        <xdr:sp macro="" textlink="">
          <xdr:nvSpPr>
            <xdr:cNvPr id="8" name="Shape 15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>
              <a:off x="21505333" y="6405036"/>
              <a:ext cx="1389300" cy="20750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99" name="Shape 99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>
              <a:off x="21568678" y="6819897"/>
              <a:ext cx="1248975" cy="1660237"/>
            </a:xfrm>
            <a:prstGeom prst="roundRect">
              <a:avLst>
                <a:gd name="adj" fmla="val 2367"/>
              </a:avLst>
            </a:prstGeom>
            <a:solidFill>
              <a:schemeClr val="lt1"/>
            </a:solidFill>
            <a:ln w="12700" cap="flat" cmpd="sng">
              <a:solidFill>
                <a:srgbClr val="E36C09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solidFill>
                  <a:schemeClr val="lt1"/>
                </a:solidFill>
                <a:latin typeface="Calibri"/>
                <a:ea typeface="Calibri"/>
                <a:cs typeface="Calibri"/>
                <a:sym typeface="Calibri"/>
              </a:endParaRPr>
            </a:p>
          </xdr:txBody>
        </xdr:sp>
        <xdr:sp macro="" textlink="">
          <xdr:nvSpPr>
            <xdr:cNvPr id="100" name="Shape 100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 txBox="1"/>
          </xdr:nvSpPr>
          <xdr:spPr>
            <a:xfrm>
              <a:off x="21505333" y="6405036"/>
              <a:ext cx="1389301" cy="4953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75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Selecione os bens que </a:t>
              </a:r>
              <a:r>
                <a:rPr lang="en-US" sz="750" b="1" u="sng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não</a:t>
              </a:r>
              <a:r>
                <a:rPr lang="en-US" sz="75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 podem ser vendidos</a:t>
              </a:r>
              <a:endParaRPr sz="750" b="1">
                <a:solidFill>
                  <a:schemeClr val="lt1"/>
                </a:solidFill>
              </a:endParaRPr>
            </a:p>
          </xdr:txBody>
        </xdr:sp>
      </xdr:grpSp>
    </xdr:grpSp>
    <xdr:clientData fLocksWithSheet="0"/>
  </xdr:oneCellAnchor>
  <xdr:oneCellAnchor>
    <xdr:from>
      <xdr:col>28</xdr:col>
      <xdr:colOff>38100</xdr:colOff>
      <xdr:row>1</xdr:row>
      <xdr:rowOff>114300</xdr:rowOff>
    </xdr:from>
    <xdr:ext cx="1114425" cy="1000125"/>
    <xdr:pic>
      <xdr:nvPicPr>
        <xdr:cNvPr id="9" name="image1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</xdr:colOff>
      <xdr:row>0</xdr:row>
      <xdr:rowOff>0</xdr:rowOff>
    </xdr:from>
    <xdr:ext cx="533400" cy="533400"/>
    <xdr:pic>
      <xdr:nvPicPr>
        <xdr:cNvPr id="10" name="image2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180975</xdr:colOff>
      <xdr:row>6</xdr:row>
      <xdr:rowOff>161925</xdr:rowOff>
    </xdr:from>
    <xdr:ext cx="6972300" cy="180975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>
          <a:off x="1869375" y="2884650"/>
          <a:ext cx="6953250" cy="1790700"/>
        </a:xfrm>
        <a:prstGeom prst="roundRect">
          <a:avLst>
            <a:gd name="adj" fmla="val 16667"/>
          </a:avLst>
        </a:prstGeom>
        <a:solidFill>
          <a:schemeClr val="l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60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EM CONSTRUÇÃO</a:t>
          </a: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0</xdr:col>
      <xdr:colOff>19050</xdr:colOff>
      <xdr:row>0</xdr:row>
      <xdr:rowOff>19050</xdr:rowOff>
    </xdr:from>
    <xdr:ext cx="533400" cy="5524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619125</xdr:colOff>
      <xdr:row>7</xdr:row>
      <xdr:rowOff>114300</xdr:rowOff>
    </xdr:from>
    <xdr:ext cx="16211550" cy="3486150"/>
    <xdr:graphicFrame macro="">
      <xdr:nvGraphicFramePr>
        <xdr:cNvPr id="126412401" name="Chart 4">
          <a:extLst>
            <a:ext uri="{FF2B5EF4-FFF2-40B4-BE49-F238E27FC236}">
              <a16:creationId xmlns:a16="http://schemas.microsoft.com/office/drawing/2014/main" id="{00000000-0008-0000-0500-000071E688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</xdr:col>
      <xdr:colOff>180975</xdr:colOff>
      <xdr:row>8</xdr:row>
      <xdr:rowOff>0</xdr:rowOff>
    </xdr:from>
    <xdr:ext cx="990600" cy="3009900"/>
    <xdr:graphicFrame macro="">
      <xdr:nvGraphicFramePr>
        <xdr:cNvPr id="2059063496" name="Chart 5">
          <a:extLst>
            <a:ext uri="{FF2B5EF4-FFF2-40B4-BE49-F238E27FC236}">
              <a16:creationId xmlns:a16="http://schemas.microsoft.com/office/drawing/2014/main" id="{00000000-0008-0000-0500-0000C8D0BA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38</xdr:col>
      <xdr:colOff>295275</xdr:colOff>
      <xdr:row>5</xdr:row>
      <xdr:rowOff>76200</xdr:rowOff>
    </xdr:from>
    <xdr:ext cx="51435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5518725" y="1209675"/>
          <a:ext cx="514350" cy="38100"/>
          <a:chOff x="5088825" y="3780000"/>
          <a:chExt cx="514350" cy="0"/>
        </a:xfrm>
      </xdr:grpSpPr>
      <xdr:cxnSp macro="">
        <xdr:nvCxnSpPr>
          <xdr:cNvPr id="37" name="Shape 37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CxnSpPr/>
        </xdr:nvCxnSpPr>
        <xdr:spPr>
          <a:xfrm>
            <a:off x="5088825" y="3780000"/>
            <a:ext cx="514350" cy="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round/>
            <a:headEnd type="none" w="sm" len="sm"/>
            <a:tailEnd type="stealth" w="med" len="med"/>
          </a:ln>
        </xdr:spPr>
      </xdr:cxnSp>
    </xdr:grpSp>
    <xdr:clientData fLocksWithSheet="0"/>
  </xdr:oneCellAnchor>
  <xdr:oneCellAnchor>
    <xdr:from>
      <xdr:col>2</xdr:col>
      <xdr:colOff>180975</xdr:colOff>
      <xdr:row>8</xdr:row>
      <xdr:rowOff>0</xdr:rowOff>
    </xdr:from>
    <xdr:ext cx="990600" cy="300990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800100" y="1800225"/>
          <a:ext cx="990600" cy="3009900"/>
          <a:chOff x="4850700" y="2275050"/>
          <a:chExt cx="990579" cy="3009900"/>
        </a:xfrm>
      </xdr:grpSpPr>
      <xdr:grpSp>
        <xdr:nvGrpSpPr>
          <xdr:cNvPr id="102" name="Shape 102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GrpSpPr/>
        </xdr:nvGrpSpPr>
        <xdr:grpSpPr>
          <a:xfrm>
            <a:off x="4850700" y="2275050"/>
            <a:ext cx="990579" cy="3009900"/>
            <a:chOff x="1244352" y="1964310"/>
            <a:chExt cx="999575" cy="2890951"/>
          </a:xfrm>
        </xdr:grpSpPr>
        <xdr:sp macro="" textlink="">
          <xdr:nvSpPr>
            <xdr:cNvPr id="15" name="Shape 15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/>
          </xdr:nvSpPr>
          <xdr:spPr>
            <a:xfrm>
              <a:off x="1244352" y="1964310"/>
              <a:ext cx="999575" cy="2890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103" name="Shape 103">
              <a:extLst>
                <a:ext uri="{FF2B5EF4-FFF2-40B4-BE49-F238E27FC236}">
                  <a16:creationId xmlns:a16="http://schemas.microsoft.com/office/drawing/2014/main" id="{00000000-0008-0000-0500-000067000000}"/>
                </a:ext>
              </a:extLst>
            </xdr:cNvPr>
            <xdr:cNvGrpSpPr/>
          </xdr:nvGrpSpPr>
          <xdr:grpSpPr>
            <a:xfrm>
              <a:off x="1676420" y="4407978"/>
              <a:ext cx="343010" cy="447283"/>
              <a:chOff x="19284300" y="2544679"/>
              <a:chExt cx="460445" cy="456944"/>
            </a:xfrm>
          </xdr:grpSpPr>
          <xdr:sp macro="" textlink="">
            <xdr:nvSpPr>
              <xdr:cNvPr id="104" name="Shape 104">
                <a:extLst>
                  <a:ext uri="{FF2B5EF4-FFF2-40B4-BE49-F238E27FC236}">
                    <a16:creationId xmlns:a16="http://schemas.microsoft.com/office/drawing/2014/main" id="{00000000-0008-0000-0500-000068000000}"/>
                  </a:ext>
                </a:extLst>
              </xdr:cNvPr>
              <xdr:cNvSpPr/>
            </xdr:nvSpPr>
            <xdr:spPr>
              <a:xfrm>
                <a:off x="19370069" y="2544679"/>
                <a:ext cx="283183" cy="395410"/>
              </a:xfrm>
              <a:prstGeom prst="rect">
                <a:avLst/>
              </a:prstGeom>
              <a:solidFill>
                <a:srgbClr val="DE0404"/>
              </a:solidFill>
              <a:ln w="19050" cap="flat" cmpd="sng">
                <a:solidFill>
                  <a:schemeClr val="dk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105" name="Shape 105">
                <a:extLst>
                  <a:ext uri="{FF2B5EF4-FFF2-40B4-BE49-F238E27FC236}">
                    <a16:creationId xmlns:a16="http://schemas.microsoft.com/office/drawing/2014/main" id="{00000000-0008-0000-0500-000069000000}"/>
                  </a:ext>
                </a:extLst>
              </xdr:cNvPr>
              <xdr:cNvSpPr/>
            </xdr:nvSpPr>
            <xdr:spPr>
              <a:xfrm>
                <a:off x="19284300" y="2686690"/>
                <a:ext cx="460445" cy="314933"/>
              </a:xfrm>
              <a:prstGeom prst="ellipse">
                <a:avLst/>
              </a:prstGeom>
              <a:solidFill>
                <a:srgbClr val="DE0404"/>
              </a:solidFill>
              <a:ln w="19050" cap="flat" cmpd="sng">
                <a:solidFill>
                  <a:srgbClr val="000000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</xdr:grpSp>
    </xdr:grpSp>
    <xdr:clientData fLocksWithSheet="0"/>
  </xdr:oneCellAnchor>
  <xdr:oneCellAnchor>
    <xdr:from>
      <xdr:col>5</xdr:col>
      <xdr:colOff>1076325</xdr:colOff>
      <xdr:row>138</xdr:row>
      <xdr:rowOff>95250</xdr:rowOff>
    </xdr:from>
    <xdr:ext cx="5972175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953000" y="27946350"/>
          <a:ext cx="5972175" cy="38100"/>
          <a:chOff x="2359913" y="3780000"/>
          <a:chExt cx="5972175" cy="0"/>
        </a:xfrm>
      </xdr:grpSpPr>
      <xdr:cxnSp macro="">
        <xdr:nvCxnSpPr>
          <xdr:cNvPr id="106" name="Shape 106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/>
        </xdr:nvCxnSpPr>
        <xdr:spPr>
          <a:xfrm rot="10800000">
            <a:off x="2359913" y="3780000"/>
            <a:ext cx="5972175" cy="0"/>
          </a:xfrm>
          <a:prstGeom prst="straightConnector1">
            <a:avLst/>
          </a:prstGeom>
          <a:noFill/>
          <a:ln w="12700" cap="flat" cmpd="sng">
            <a:solidFill>
              <a:srgbClr val="00B050"/>
            </a:solidFill>
            <a:prstDash val="dash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1028700</xdr:colOff>
      <xdr:row>143</xdr:row>
      <xdr:rowOff>66675</xdr:rowOff>
    </xdr:from>
    <xdr:ext cx="6048375" cy="38100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4905375" y="28917900"/>
          <a:ext cx="6048375" cy="38100"/>
          <a:chOff x="2321813" y="3775238"/>
          <a:chExt cx="6048375" cy="9525"/>
        </a:xfrm>
      </xdr:grpSpPr>
      <xdr:cxnSp macro="">
        <xdr:nvCxnSpPr>
          <xdr:cNvPr id="107" name="Shape 107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/>
        </xdr:nvCxnSpPr>
        <xdr:spPr>
          <a:xfrm flipH="1">
            <a:off x="2321813" y="3775238"/>
            <a:ext cx="6048375" cy="9525"/>
          </a:xfrm>
          <a:prstGeom prst="straightConnector1">
            <a:avLst/>
          </a:prstGeom>
          <a:noFill/>
          <a:ln w="12700" cap="flat" cmpd="sng">
            <a:solidFill>
              <a:srgbClr val="FF0000"/>
            </a:solidFill>
            <a:prstDash val="dash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1085850</xdr:colOff>
      <xdr:row>148</xdr:row>
      <xdr:rowOff>85725</xdr:rowOff>
    </xdr:from>
    <xdr:ext cx="5343525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962525" y="29937075"/>
          <a:ext cx="5343525" cy="38100"/>
          <a:chOff x="2674238" y="3780000"/>
          <a:chExt cx="5343525" cy="0"/>
        </a:xfrm>
      </xdr:grpSpPr>
      <xdr:cxnSp macro="">
        <xdr:nvCxnSpPr>
          <xdr:cNvPr id="108" name="Shape 108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 rot="10800000">
            <a:off x="2674238" y="3780000"/>
            <a:ext cx="5343525" cy="0"/>
          </a:xfrm>
          <a:prstGeom prst="straightConnector1">
            <a:avLst/>
          </a:prstGeom>
          <a:noFill/>
          <a:ln w="25400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</xdr:col>
      <xdr:colOff>152400</xdr:colOff>
      <xdr:row>9</xdr:row>
      <xdr:rowOff>9525</xdr:rowOff>
    </xdr:from>
    <xdr:ext cx="3381375" cy="316230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3660075" y="2203613"/>
          <a:ext cx="3371850" cy="3152775"/>
        </a:xfrm>
        <a:prstGeom prst="roundRect">
          <a:avLst>
            <a:gd name="adj" fmla="val 3755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533400</xdr:colOff>
      <xdr:row>9</xdr:row>
      <xdr:rowOff>19050</xdr:rowOff>
    </xdr:from>
    <xdr:ext cx="16411575" cy="316230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/>
      </xdr:nvSpPr>
      <xdr:spPr>
        <a:xfrm>
          <a:off x="0" y="2203613"/>
          <a:ext cx="10692000" cy="3152775"/>
        </a:xfrm>
        <a:prstGeom prst="roundRect">
          <a:avLst>
            <a:gd name="adj" fmla="val 3963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2</xdr:col>
      <xdr:colOff>142875</xdr:colOff>
      <xdr:row>107</xdr:row>
      <xdr:rowOff>47625</xdr:rowOff>
    </xdr:from>
    <xdr:ext cx="10582275" cy="558165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/>
      </xdr:nvSpPr>
      <xdr:spPr>
        <a:xfrm>
          <a:off x="69150" y="1003463"/>
          <a:ext cx="10553700" cy="5553075"/>
        </a:xfrm>
        <a:prstGeom prst="roundRect">
          <a:avLst>
            <a:gd name="adj" fmla="val 5271"/>
          </a:avLst>
        </a:prstGeom>
        <a:noFill/>
        <a:ln w="25400" cap="flat" cmpd="sng">
          <a:solidFill>
            <a:schemeClr val="dk1"/>
          </a:solidFill>
          <a:prstDash val="dash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723900</xdr:colOff>
      <xdr:row>106</xdr:row>
      <xdr:rowOff>171450</xdr:rowOff>
    </xdr:from>
    <xdr:ext cx="9429750" cy="558165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/>
      </xdr:nvSpPr>
      <xdr:spPr>
        <a:xfrm>
          <a:off x="640650" y="1003463"/>
          <a:ext cx="9410700" cy="5553075"/>
        </a:xfrm>
        <a:prstGeom prst="roundRect">
          <a:avLst>
            <a:gd name="adj" fmla="val 5831"/>
          </a:avLst>
        </a:prstGeom>
        <a:noFill/>
        <a:ln w="25400" cap="flat" cmpd="sng">
          <a:solidFill>
            <a:schemeClr val="dk1"/>
          </a:solidFill>
          <a:prstDash val="dash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647700</xdr:colOff>
      <xdr:row>10</xdr:row>
      <xdr:rowOff>19050</xdr:rowOff>
    </xdr:from>
    <xdr:ext cx="1657350" cy="733425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4522088" y="3418050"/>
          <a:ext cx="1647825" cy="723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9999"/>
            </a:buClr>
            <a:buSzPts val="1800"/>
            <a:buFont typeface="Calibri"/>
            <a:buNone/>
          </a:pPr>
          <a:r>
            <a:rPr lang="en-US" sz="18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Nível de 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9999"/>
            </a:buClr>
            <a:buSzPts val="1800"/>
            <a:buFont typeface="Calibri"/>
            <a:buNone/>
          </a:pPr>
          <a:r>
            <a:rPr lang="en-US" sz="1800" b="1">
              <a:solidFill>
                <a:srgbClr val="009999"/>
              </a:solidFill>
              <a:latin typeface="Calibri"/>
              <a:ea typeface="Calibri"/>
              <a:cs typeface="Calibri"/>
              <a:sym typeface="Calibri"/>
            </a:rPr>
            <a:t>Proteção Atual</a:t>
          </a:r>
          <a:endParaRPr sz="1800" b="1">
            <a:solidFill>
              <a:srgbClr val="009999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 b="1">
            <a:solidFill>
              <a:srgbClr val="009999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23</xdr:col>
      <xdr:colOff>123825</xdr:colOff>
      <xdr:row>2</xdr:row>
      <xdr:rowOff>95250</xdr:rowOff>
    </xdr:from>
    <xdr:ext cx="1304925" cy="438150"/>
    <xdr:sp macro="" textlink="">
      <xdr:nvSpPr>
        <xdr:cNvPr id="114" name="Shape 1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4698300" y="3565688"/>
          <a:ext cx="1295400" cy="428625"/>
        </a:xfrm>
        <a:prstGeom prst="roundRect">
          <a:avLst>
            <a:gd name="adj" fmla="val 16667"/>
          </a:avLst>
        </a:prstGeom>
        <a:solidFill>
          <a:srgbClr val="C4BD97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Inserir dados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20</xdr:col>
      <xdr:colOff>209550</xdr:colOff>
      <xdr:row>0</xdr:row>
      <xdr:rowOff>47625</xdr:rowOff>
    </xdr:from>
    <xdr:ext cx="895350" cy="742950"/>
    <xdr:grpSp>
      <xdr:nvGrpSpPr>
        <xdr:cNvPr id="7" name="Shape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1555075" y="47625"/>
          <a:ext cx="895350" cy="742950"/>
          <a:chOff x="4898323" y="3408525"/>
          <a:chExt cx="895350" cy="742950"/>
        </a:xfrm>
      </xdr:grpSpPr>
      <xdr:grpSp>
        <xdr:nvGrpSpPr>
          <xdr:cNvPr id="115" name="Shape 115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GrpSpPr/>
        </xdr:nvGrpSpPr>
        <xdr:grpSpPr>
          <a:xfrm>
            <a:off x="4898323" y="3408525"/>
            <a:ext cx="895350" cy="742950"/>
            <a:chOff x="19788188" y="47625"/>
            <a:chExt cx="892969" cy="845344"/>
          </a:xfrm>
        </xdr:grpSpPr>
        <xdr:sp macro="" textlink="">
          <xdr:nvSpPr>
            <xdr:cNvPr id="8" name="Shape 15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9788188" y="47625"/>
              <a:ext cx="892950" cy="8453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116" name="Shape 116">
              <a:extLst>
                <a:ext uri="{FF2B5EF4-FFF2-40B4-BE49-F238E27FC236}">
                  <a16:creationId xmlns:a16="http://schemas.microsoft.com/office/drawing/2014/main" id="{00000000-0008-0000-0500-000074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/>
            <a:stretch/>
          </xdr:blipFill>
          <xdr:spPr>
            <a:xfrm>
              <a:off x="19999698" y="370494"/>
              <a:ext cx="513370" cy="522475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117" name="Shape 117">
              <a:extLst>
                <a:ext uri="{FF2B5EF4-FFF2-40B4-BE49-F238E27FC236}">
                  <a16:creationId xmlns:a16="http://schemas.microsoft.com/office/drawing/2014/main" id="{00000000-0008-0000-0500-000075000000}"/>
                </a:ext>
              </a:extLst>
            </xdr:cNvPr>
            <xdr:cNvSpPr/>
          </xdr:nvSpPr>
          <xdr:spPr>
            <a:xfrm>
              <a:off x="19788188" y="47625"/>
              <a:ext cx="892969" cy="309562"/>
            </a:xfrm>
            <a:prstGeom prst="roundRect">
              <a:avLst>
                <a:gd name="adj" fmla="val 16667"/>
              </a:avLst>
            </a:prstGeom>
            <a:gradFill>
              <a:gsLst>
                <a:gs pos="0">
                  <a:srgbClr val="2D5C97"/>
                </a:gs>
                <a:gs pos="80000">
                  <a:srgbClr val="3C7AC5"/>
                </a:gs>
                <a:gs pos="100000">
                  <a:srgbClr val="397BC9"/>
                </a:gs>
              </a:gsLst>
              <a:lin ang="16200000" scaled="0"/>
            </a:gra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400" b="1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Imprimir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</xdr:col>
      <xdr:colOff>114300</xdr:colOff>
      <xdr:row>31</xdr:row>
      <xdr:rowOff>0</xdr:rowOff>
    </xdr:from>
    <xdr:ext cx="10563225" cy="6353175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69150" y="603413"/>
          <a:ext cx="10553700" cy="6353175"/>
        </a:xfrm>
        <a:prstGeom prst="roundRect">
          <a:avLst>
            <a:gd name="adj" fmla="val 1666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9</xdr:col>
      <xdr:colOff>733425</xdr:colOff>
      <xdr:row>30</xdr:row>
      <xdr:rowOff>171450</xdr:rowOff>
    </xdr:from>
    <xdr:ext cx="9420225" cy="640080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640650" y="584363"/>
          <a:ext cx="9410700" cy="6391275"/>
        </a:xfrm>
        <a:prstGeom prst="roundRect">
          <a:avLst>
            <a:gd name="adj" fmla="val 1724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1495425</xdr:colOff>
      <xdr:row>30</xdr:row>
      <xdr:rowOff>28575</xdr:rowOff>
    </xdr:from>
    <xdr:ext cx="6238875" cy="32385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>
          <a:off x="2231325" y="3622838"/>
          <a:ext cx="6229350" cy="314325"/>
        </a:xfrm>
        <a:prstGeom prst="roundRect">
          <a:avLst>
            <a:gd name="adj" fmla="val 16667"/>
          </a:avLst>
        </a:prstGeom>
        <a:gradFill>
          <a:gsLst>
            <a:gs pos="0">
              <a:schemeClr val="dk1"/>
            </a:gs>
            <a:gs pos="80000">
              <a:schemeClr val="dk1"/>
            </a:gs>
            <a:gs pos="100000">
              <a:schemeClr val="dk1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Considerações Importantes</a:t>
          </a:r>
          <a:endParaRPr sz="1050" b="1"/>
        </a:p>
      </xdr:txBody>
    </xdr:sp>
    <xdr:clientData fLocksWithSheet="0"/>
  </xdr:oneCellAnchor>
  <xdr:oneCellAnchor>
    <xdr:from>
      <xdr:col>10</xdr:col>
      <xdr:colOff>95250</xdr:colOff>
      <xdr:row>32</xdr:row>
      <xdr:rowOff>161925</xdr:rowOff>
    </xdr:from>
    <xdr:ext cx="8791575" cy="923925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954975" y="3327563"/>
          <a:ext cx="8782050" cy="904875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600" i="1"/>
        </a:p>
      </xdr:txBody>
    </xdr:sp>
    <xdr:clientData fLocksWithSheet="0"/>
  </xdr:oneCellAnchor>
  <xdr:oneCellAnchor>
    <xdr:from>
      <xdr:col>10</xdr:col>
      <xdr:colOff>95250</xdr:colOff>
      <xdr:row>38</xdr:row>
      <xdr:rowOff>85725</xdr:rowOff>
    </xdr:from>
    <xdr:ext cx="8791575" cy="962025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954975" y="3303750"/>
          <a:ext cx="8782050" cy="952500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600"/>
        </a:p>
      </xdr:txBody>
    </xdr:sp>
    <xdr:clientData fLocksWithSheet="0"/>
  </xdr:oneCellAnchor>
  <xdr:oneCellAnchor>
    <xdr:from>
      <xdr:col>10</xdr:col>
      <xdr:colOff>95250</xdr:colOff>
      <xdr:row>44</xdr:row>
      <xdr:rowOff>85725</xdr:rowOff>
    </xdr:from>
    <xdr:ext cx="8791575" cy="962025"/>
    <xdr:sp macro="" textlink="">
      <xdr:nvSpPr>
        <xdr:cNvPr id="9" name="Shape 12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954975" y="3303750"/>
          <a:ext cx="8782050" cy="952500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600"/>
        </a:p>
      </xdr:txBody>
    </xdr:sp>
    <xdr:clientData fLocksWithSheet="0"/>
  </xdr:oneCellAnchor>
  <xdr:oneCellAnchor>
    <xdr:from>
      <xdr:col>10</xdr:col>
      <xdr:colOff>95250</xdr:colOff>
      <xdr:row>49</xdr:row>
      <xdr:rowOff>219075</xdr:rowOff>
    </xdr:from>
    <xdr:ext cx="8791575" cy="1095375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954975" y="3237075"/>
          <a:ext cx="8782050" cy="1085850"/>
        </a:xfrm>
        <a:prstGeom prst="rect">
          <a:avLst/>
        </a:prstGeom>
        <a:solidFill>
          <a:schemeClr val="lt1"/>
        </a:solidFill>
        <a:ln w="12700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600"/>
        </a:p>
      </xdr:txBody>
    </xdr:sp>
    <xdr:clientData fLocksWithSheet="0"/>
  </xdr:oneCellAnchor>
  <xdr:oneCellAnchor>
    <xdr:from>
      <xdr:col>2</xdr:col>
      <xdr:colOff>161925</xdr:colOff>
      <xdr:row>62</xdr:row>
      <xdr:rowOff>180975</xdr:rowOff>
    </xdr:from>
    <xdr:ext cx="20202525" cy="733425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/>
      </xdr:nvSpPr>
      <xdr:spPr>
        <a:xfrm>
          <a:off x="0" y="3418050"/>
          <a:ext cx="10692000" cy="723900"/>
        </a:xfrm>
        <a:prstGeom prst="roundRect">
          <a:avLst>
            <a:gd name="adj" fmla="val 8439"/>
          </a:avLst>
        </a:prstGeom>
        <a:noFill/>
        <a:ln w="9525" cap="flat" cmpd="sng">
          <a:solidFill>
            <a:srgbClr val="00999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6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4</xdr:col>
      <xdr:colOff>0</xdr:colOff>
      <xdr:row>1</xdr:row>
      <xdr:rowOff>133350</xdr:rowOff>
    </xdr:from>
    <xdr:ext cx="18288000" cy="34290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/>
      </xdr:nvSpPr>
      <xdr:spPr>
        <a:xfrm>
          <a:off x="0" y="3613313"/>
          <a:ext cx="10692000" cy="333375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152400</xdr:colOff>
      <xdr:row>1</xdr:row>
      <xdr:rowOff>57150</xdr:rowOff>
    </xdr:from>
    <xdr:ext cx="7258050" cy="600075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1718405" y="3483348"/>
          <a:ext cx="7255191" cy="593304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GERENCIAMENTO DE RISCOS FAMILIARES</a:t>
          </a:r>
          <a:endParaRPr sz="1400"/>
        </a:p>
      </xdr:txBody>
    </xdr:sp>
    <xdr:clientData fLocksWithSheet="0"/>
  </xdr:oneCellAnchor>
  <xdr:oneCellAnchor>
    <xdr:from>
      <xdr:col>4</xdr:col>
      <xdr:colOff>685800</xdr:colOff>
      <xdr:row>30</xdr:row>
      <xdr:rowOff>9525</xdr:rowOff>
    </xdr:from>
    <xdr:ext cx="7181850" cy="32385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/>
      </xdr:nvSpPr>
      <xdr:spPr>
        <a:xfrm>
          <a:off x="1759838" y="3622838"/>
          <a:ext cx="7172325" cy="314325"/>
        </a:xfrm>
        <a:prstGeom prst="rect">
          <a:avLst/>
        </a:prstGeom>
        <a:solidFill>
          <a:srgbClr val="009999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676275</xdr:colOff>
      <xdr:row>30</xdr:row>
      <xdr:rowOff>0</xdr:rowOff>
    </xdr:from>
    <xdr:ext cx="7153275" cy="333375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774125" y="3613313"/>
          <a:ext cx="7143750" cy="333374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Analítico do Impacto da Ausência Financeira Imediata</a:t>
          </a:r>
          <a:endParaRPr sz="18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10</xdr:col>
      <xdr:colOff>209550</xdr:colOff>
      <xdr:row>45</xdr:row>
      <xdr:rowOff>19050</xdr:rowOff>
    </xdr:from>
    <xdr:ext cx="8496300" cy="66675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1097850" y="3451388"/>
          <a:ext cx="8496300" cy="657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Os beneficiários são livremente escolhidos pelo titular do plano, podendo dispor livremente de sua herança, não precisando seguir a ordem legal de sucessão e suas proporções, impostas por lei. (art. 794 do CPC).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228600</xdr:colOff>
      <xdr:row>50</xdr:row>
      <xdr:rowOff>133350</xdr:rowOff>
    </xdr:from>
    <xdr:ext cx="8496300" cy="81915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 txBox="1"/>
      </xdr:nvSpPr>
      <xdr:spPr>
        <a:xfrm>
          <a:off x="1097850" y="3375188"/>
          <a:ext cx="8496300" cy="8096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Liberar bem de inventário custa, em média, 12% de seu valor.</a:t>
          </a:r>
          <a:br>
            <a:rPr lang="en-US" sz="12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2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Na partilha é cobrado um imposto de transmissão do imóvel de 4%(RJ e SP) do valor venal do bem, além de 6% de honorários advocatícios, previsto pela tabela da OAB-SP. Há ainda gastos com certidões, escritura, registro do imóvel e outros documentos. </a:t>
          </a:r>
          <a:endParaRPr sz="1600"/>
        </a:p>
      </xdr:txBody>
    </xdr:sp>
    <xdr:clientData fLocksWithSheet="0"/>
  </xdr:oneCellAnchor>
  <xdr:oneCellAnchor>
    <xdr:from>
      <xdr:col>10</xdr:col>
      <xdr:colOff>209550</xdr:colOff>
      <xdr:row>39</xdr:row>
      <xdr:rowOff>66675</xdr:rowOff>
    </xdr:from>
    <xdr:ext cx="8496300" cy="66675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1097850" y="3451388"/>
          <a:ext cx="8496300" cy="657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Seguros de Vida são impenhoráveis, sendo um ativo financeiro que não pode sofrer bloqueio judicial automático em ações trabalhistas, cíveis, etc. (art. 649 do CPC).</a:t>
          </a:r>
          <a:endParaRPr sz="2000"/>
        </a:p>
      </xdr:txBody>
    </xdr:sp>
    <xdr:clientData fLocksWithSheet="0"/>
  </xdr:oneCellAnchor>
  <xdr:oneCellAnchor>
    <xdr:from>
      <xdr:col>10</xdr:col>
      <xdr:colOff>228600</xdr:colOff>
      <xdr:row>33</xdr:row>
      <xdr:rowOff>85725</xdr:rowOff>
    </xdr:from>
    <xdr:ext cx="8496300" cy="70485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1097850" y="3432338"/>
          <a:ext cx="8496300" cy="6953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6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Seguro de Vida é o único ativo financeiro que garante de imediato o capital contratado, independente do valor pago, em caso de imprevistos cobertos pelo contrato.</a:t>
          </a:r>
          <a:endParaRPr sz="2400"/>
        </a:p>
      </xdr:txBody>
    </xdr:sp>
    <xdr:clientData fLocksWithSheet="0"/>
  </xdr:oneCellAnchor>
  <xdr:oneCellAnchor>
    <xdr:from>
      <xdr:col>3</xdr:col>
      <xdr:colOff>114300</xdr:colOff>
      <xdr:row>63</xdr:row>
      <xdr:rowOff>66675</xdr:rowOff>
    </xdr:from>
    <xdr:ext cx="19926300" cy="66675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0" y="3451388"/>
          <a:ext cx="10692000" cy="657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As soluções em seguros oferecidas, proveem de seguradoras registradas na SUSEP. O segurado poderá consultar a situação cadastral de sua corretora pelo site www.susep.gov.br, por meio do número de registro na SUSEP, razão social ou CNPJ.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 aceitação das coberturas estará sujeita à subscrição de riscos.pela seguradora. Todas as informações sobre tributos não devem ser consideradas como consultoria tributária. Caso necessite de informações específicas, consulte seu advogado ou contador.I  mposto de transmissão (ITCMD): Lei nº 10.705/2000 do Estado de São Paulo e RITCMD-SP (Regulamento do Imposto sobre Transmissão "Causa Mortis" e Doação de Quaisquer Bens ou Direitos - ITCMD - do Estado de São Paulo). Honorários: Tabela de Honorários da OAB-SP.</a:t>
          </a:r>
          <a:endParaRPr sz="1100"/>
        </a:p>
      </xdr:txBody>
    </xdr:sp>
    <xdr:clientData fLocksWithSheet="0"/>
  </xdr:oneCellAnchor>
  <xdr:oneCellAnchor>
    <xdr:from>
      <xdr:col>21</xdr:col>
      <xdr:colOff>695325</xdr:colOff>
      <xdr:row>0</xdr:row>
      <xdr:rowOff>152400</xdr:rowOff>
    </xdr:from>
    <xdr:ext cx="1133475" cy="962025"/>
    <xdr:pic>
      <xdr:nvPicPr>
        <xdr:cNvPr id="10" name="image1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</xdr:colOff>
      <xdr:row>0</xdr:row>
      <xdr:rowOff>19050</xdr:rowOff>
    </xdr:from>
    <xdr:ext cx="542925" cy="542925"/>
    <xdr:pic>
      <xdr:nvPicPr>
        <xdr:cNvPr id="11" name="image2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9</xdr:row>
      <xdr:rowOff>171450</xdr:rowOff>
    </xdr:from>
    <xdr:ext cx="819150" cy="876300"/>
    <xdr:pic>
      <xdr:nvPicPr>
        <xdr:cNvPr id="12" name="image5.png" descr="http://files.softicons.com/download/application-icons/toolbar-icons-by-gentleface/png/512/lock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114300</xdr:colOff>
      <xdr:row>13</xdr:row>
      <xdr:rowOff>133350</xdr:rowOff>
    </xdr:from>
    <xdr:ext cx="4191000" cy="2486025"/>
    <xdr:graphicFrame macro="">
      <xdr:nvGraphicFramePr>
        <xdr:cNvPr id="906836255" name="Chart 6">
          <a:extLst>
            <a:ext uri="{FF2B5EF4-FFF2-40B4-BE49-F238E27FC236}">
              <a16:creationId xmlns:a16="http://schemas.microsoft.com/office/drawing/2014/main" id="{00000000-0008-0000-0600-00001F390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</xdr:col>
      <xdr:colOff>581025</xdr:colOff>
      <xdr:row>27</xdr:row>
      <xdr:rowOff>28575</xdr:rowOff>
    </xdr:from>
    <xdr:ext cx="12411075" cy="2886075"/>
    <xdr:graphicFrame macro="">
      <xdr:nvGraphicFramePr>
        <xdr:cNvPr id="522204390" name="Chart 7">
          <a:extLst>
            <a:ext uri="{FF2B5EF4-FFF2-40B4-BE49-F238E27FC236}">
              <a16:creationId xmlns:a16="http://schemas.microsoft.com/office/drawing/2014/main" id="{00000000-0008-0000-0600-0000E6342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21</xdr:col>
      <xdr:colOff>0</xdr:colOff>
      <xdr:row>28</xdr:row>
      <xdr:rowOff>0</xdr:rowOff>
    </xdr:from>
    <xdr:ext cx="10715625" cy="2895600"/>
    <xdr:graphicFrame macro="">
      <xdr:nvGraphicFramePr>
        <xdr:cNvPr id="819780173" name="Chart 8">
          <a:extLst>
            <a:ext uri="{FF2B5EF4-FFF2-40B4-BE49-F238E27FC236}">
              <a16:creationId xmlns:a16="http://schemas.microsoft.com/office/drawing/2014/main" id="{00000000-0008-0000-0600-00004DDAD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DE0404"/>
  </sheetPr>
  <dimension ref="A1:Z1000"/>
  <sheetViews>
    <sheetView workbookViewId="0"/>
  </sheetViews>
  <sheetFormatPr defaultColWidth="12.625" defaultRowHeight="15" customHeight="1" x14ac:dyDescent="0.2"/>
  <cols>
    <col min="1" max="26" width="8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568" t="s">
        <v>0</v>
      </c>
      <c r="J8" s="569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570"/>
      <c r="J9" s="569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I8:J8"/>
    <mergeCell ref="I9:J9"/>
  </mergeCells>
  <pageMargins left="0.511811024" right="0.511811024" top="0.78740157499999996" bottom="0.78740157499999996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  <pageSetUpPr fitToPage="1"/>
  </sheetPr>
  <dimension ref="A1:AG1000"/>
  <sheetViews>
    <sheetView showGridLines="0" topLeftCell="A4" zoomScale="115" zoomScaleNormal="115" workbookViewId="0">
      <selection activeCell="I9" sqref="I9"/>
    </sheetView>
  </sheetViews>
  <sheetFormatPr defaultColWidth="12.625" defaultRowHeight="15" customHeight="1" x14ac:dyDescent="0.2"/>
  <cols>
    <col min="1" max="2" width="6.125" customWidth="1"/>
    <col min="3" max="3" width="0.75" customWidth="1"/>
    <col min="4" max="4" width="2.875" customWidth="1"/>
    <col min="5" max="5" width="24.875" customWidth="1"/>
    <col min="6" max="6" width="17.875" customWidth="1"/>
    <col min="7" max="7" width="17.25" customWidth="1"/>
    <col min="8" max="8" width="19.5" customWidth="1"/>
    <col min="9" max="9" width="27.125" customWidth="1"/>
    <col min="10" max="10" width="2.75" customWidth="1"/>
    <col min="11" max="22" width="8" customWidth="1"/>
    <col min="23" max="23" width="23.375" customWidth="1"/>
    <col min="24" max="24" width="8" customWidth="1"/>
    <col min="25" max="25" width="11.125" customWidth="1"/>
    <col min="26" max="26" width="12.125" customWidth="1"/>
    <col min="27" max="27" width="18.75" customWidth="1"/>
    <col min="28" max="33" width="8" customWidth="1"/>
  </cols>
  <sheetData>
    <row r="1" spans="1:33" x14ac:dyDescent="0.25">
      <c r="A1" s="1"/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1"/>
      <c r="B2" s="1"/>
      <c r="C2" s="3"/>
      <c r="D2" s="4"/>
      <c r="E2" s="5"/>
      <c r="F2" s="5"/>
      <c r="G2" s="5"/>
      <c r="H2" s="5"/>
      <c r="I2" s="5"/>
      <c r="J2" s="6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>
        <v>1</v>
      </c>
    </row>
    <row r="3" spans="1:33" ht="23.25" x14ac:dyDescent="0.35">
      <c r="A3" s="1"/>
      <c r="B3" s="1"/>
      <c r="C3" s="7"/>
      <c r="D3" s="8"/>
      <c r="E3" s="597"/>
      <c r="F3" s="598"/>
      <c r="G3" s="598"/>
      <c r="H3" s="598"/>
      <c r="I3" s="598"/>
      <c r="J3" s="599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9"/>
      <c r="W3" s="600" t="s">
        <v>1</v>
      </c>
      <c r="X3" s="601"/>
      <c r="Y3" s="601"/>
      <c r="Z3" s="601"/>
      <c r="AA3" s="602"/>
      <c r="AB3" s="9"/>
      <c r="AC3" s="10">
        <v>1</v>
      </c>
      <c r="AD3" s="1">
        <v>60</v>
      </c>
      <c r="AE3" s="1"/>
      <c r="AF3" s="1"/>
      <c r="AG3" s="1">
        <v>2</v>
      </c>
    </row>
    <row r="4" spans="1:33" ht="23.25" x14ac:dyDescent="0.35">
      <c r="A4" s="1"/>
      <c r="B4" s="1"/>
      <c r="C4" s="7"/>
      <c r="D4" s="8"/>
      <c r="E4" s="11"/>
      <c r="F4" s="11"/>
      <c r="G4" s="11"/>
      <c r="H4" s="11"/>
      <c r="I4" s="11"/>
      <c r="J4" s="1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9"/>
      <c r="W4" s="13" t="s">
        <v>2</v>
      </c>
      <c r="X4" s="9"/>
      <c r="Y4" s="9"/>
      <c r="Z4" s="9" t="s">
        <v>3</v>
      </c>
      <c r="AA4" s="14" t="s">
        <v>4</v>
      </c>
      <c r="AB4" s="9"/>
      <c r="AC4" s="15">
        <v>2</v>
      </c>
      <c r="AD4" s="1">
        <v>61</v>
      </c>
      <c r="AE4" s="1"/>
      <c r="AF4" s="1"/>
      <c r="AG4" s="1">
        <v>3</v>
      </c>
    </row>
    <row r="5" spans="1:33" ht="18.75" x14ac:dyDescent="0.3">
      <c r="A5" s="1"/>
      <c r="B5" s="1"/>
      <c r="C5" s="7"/>
      <c r="D5" s="8"/>
      <c r="E5" s="16"/>
      <c r="F5" s="16"/>
      <c r="G5" s="16"/>
      <c r="H5" s="16"/>
      <c r="I5" s="16"/>
      <c r="J5" s="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9"/>
      <c r="W5" s="13" t="s">
        <v>5</v>
      </c>
      <c r="X5" s="9"/>
      <c r="Y5" s="9"/>
      <c r="Z5" s="9" t="s">
        <v>6</v>
      </c>
      <c r="AA5" s="14" t="s">
        <v>7</v>
      </c>
      <c r="AB5" s="9"/>
      <c r="AC5" s="15">
        <v>3</v>
      </c>
      <c r="AD5" s="1">
        <v>62</v>
      </c>
      <c r="AE5" s="1"/>
      <c r="AF5" s="1"/>
      <c r="AG5" s="1">
        <v>4</v>
      </c>
    </row>
    <row r="6" spans="1:33" x14ac:dyDescent="0.25">
      <c r="A6" s="1"/>
      <c r="B6" s="1"/>
      <c r="C6" s="7"/>
      <c r="D6" s="8"/>
      <c r="E6" s="18" t="s">
        <v>8</v>
      </c>
      <c r="F6" s="603" t="s">
        <v>251</v>
      </c>
      <c r="G6" s="585"/>
      <c r="H6" s="19" t="s">
        <v>9</v>
      </c>
      <c r="I6" s="20">
        <v>24</v>
      </c>
      <c r="J6" s="17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9"/>
      <c r="W6" s="13" t="s">
        <v>10</v>
      </c>
      <c r="X6" s="9"/>
      <c r="Y6" s="9"/>
      <c r="Z6" s="9" t="s">
        <v>11</v>
      </c>
      <c r="AA6" s="14" t="s">
        <v>12</v>
      </c>
      <c r="AB6" s="9"/>
      <c r="AC6" s="15">
        <v>4</v>
      </c>
      <c r="AD6" s="1">
        <v>63</v>
      </c>
      <c r="AE6" s="1"/>
      <c r="AF6" s="1"/>
      <c r="AG6" s="1">
        <v>5</v>
      </c>
    </row>
    <row r="7" spans="1:33" x14ac:dyDescent="0.25">
      <c r="A7" s="1"/>
      <c r="B7" s="1"/>
      <c r="C7" s="7"/>
      <c r="D7" s="604" t="s">
        <v>13</v>
      </c>
      <c r="E7" s="21" t="s">
        <v>8</v>
      </c>
      <c r="F7" s="21" t="s">
        <v>9</v>
      </c>
      <c r="G7" s="21" t="s">
        <v>14</v>
      </c>
      <c r="H7" s="19" t="s">
        <v>15</v>
      </c>
      <c r="I7" s="20">
        <v>50</v>
      </c>
      <c r="J7" s="17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9"/>
      <c r="W7" s="13"/>
      <c r="X7" s="9"/>
      <c r="Y7" s="9"/>
      <c r="Z7" s="9" t="s">
        <v>16</v>
      </c>
      <c r="AA7" s="14" t="s">
        <v>17</v>
      </c>
      <c r="AB7" s="9"/>
      <c r="AC7" s="15">
        <v>5</v>
      </c>
      <c r="AD7" s="1">
        <v>64</v>
      </c>
      <c r="AE7" s="1"/>
      <c r="AF7" s="1"/>
      <c r="AG7" s="1">
        <v>6</v>
      </c>
    </row>
    <row r="8" spans="1:33" ht="15.75" customHeight="1" x14ac:dyDescent="0.25">
      <c r="A8" s="1"/>
      <c r="B8" s="1"/>
      <c r="C8" s="7"/>
      <c r="D8" s="583"/>
      <c r="E8" s="22" t="s">
        <v>251</v>
      </c>
      <c r="F8" s="22">
        <v>24</v>
      </c>
      <c r="G8" s="22"/>
      <c r="H8" s="19" t="s">
        <v>18</v>
      </c>
      <c r="I8" s="20">
        <v>80</v>
      </c>
      <c r="J8" s="17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9"/>
      <c r="W8" s="23"/>
      <c r="X8" s="24"/>
      <c r="Y8" s="24"/>
      <c r="Z8" s="24" t="s">
        <v>19</v>
      </c>
      <c r="AA8" s="25"/>
      <c r="AB8" s="9"/>
      <c r="AC8" s="15">
        <v>6</v>
      </c>
      <c r="AD8" s="1">
        <v>65</v>
      </c>
      <c r="AE8" s="1"/>
      <c r="AF8" s="1"/>
      <c r="AG8" s="1">
        <v>7</v>
      </c>
    </row>
    <row r="9" spans="1:33" x14ac:dyDescent="0.25">
      <c r="A9" s="1"/>
      <c r="B9" s="1"/>
      <c r="C9" s="7"/>
      <c r="D9" s="583"/>
      <c r="E9" s="22"/>
      <c r="F9" s="22"/>
      <c r="G9" s="22"/>
      <c r="H9" s="19" t="s">
        <v>20</v>
      </c>
      <c r="I9" s="20"/>
      <c r="J9" s="17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9"/>
      <c r="W9" s="9"/>
      <c r="X9" s="9"/>
      <c r="Y9" s="9"/>
      <c r="Z9" s="9"/>
      <c r="AA9" s="9"/>
      <c r="AB9" s="9"/>
      <c r="AC9" s="15">
        <v>7</v>
      </c>
      <c r="AD9" s="1">
        <v>66</v>
      </c>
      <c r="AE9" s="1"/>
      <c r="AF9" s="1"/>
      <c r="AG9" s="1">
        <v>8</v>
      </c>
    </row>
    <row r="10" spans="1:33" x14ac:dyDescent="0.25">
      <c r="A10" s="1"/>
      <c r="B10" s="1"/>
      <c r="C10" s="7"/>
      <c r="D10" s="583"/>
      <c r="E10" s="22"/>
      <c r="F10" s="22"/>
      <c r="G10" s="22"/>
      <c r="H10" s="19" t="s">
        <v>21</v>
      </c>
      <c r="I10" s="20"/>
      <c r="J10" s="17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9"/>
      <c r="W10" s="26" t="s">
        <v>22</v>
      </c>
      <c r="X10" s="27" t="s">
        <v>23</v>
      </c>
      <c r="Y10" s="28"/>
      <c r="Z10" s="29"/>
      <c r="AA10" s="9"/>
      <c r="AB10" s="9"/>
      <c r="AC10" s="15">
        <v>8</v>
      </c>
      <c r="AD10" s="1">
        <v>67</v>
      </c>
      <c r="AE10" s="1"/>
      <c r="AF10" s="1"/>
      <c r="AG10" s="1">
        <v>9</v>
      </c>
    </row>
    <row r="11" spans="1:33" x14ac:dyDescent="0.25">
      <c r="A11" s="1"/>
      <c r="B11" s="1"/>
      <c r="C11" s="7"/>
      <c r="D11" s="583"/>
      <c r="E11" s="22"/>
      <c r="F11" s="22"/>
      <c r="G11" s="22"/>
      <c r="H11" s="19" t="s">
        <v>24</v>
      </c>
      <c r="I11" s="30" t="s">
        <v>17</v>
      </c>
      <c r="J11" s="17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9"/>
      <c r="W11" s="31" t="s">
        <v>4</v>
      </c>
      <c r="X11" s="32">
        <v>1.05</v>
      </c>
      <c r="Y11" s="33">
        <v>1.05</v>
      </c>
      <c r="Z11" s="32"/>
      <c r="AA11" s="34">
        <v>0.2</v>
      </c>
      <c r="AB11" s="9"/>
      <c r="AC11" s="15">
        <v>9</v>
      </c>
      <c r="AD11" s="1">
        <v>68</v>
      </c>
      <c r="AE11" s="1"/>
      <c r="AF11" s="1"/>
      <c r="AG11" s="1">
        <v>10</v>
      </c>
    </row>
    <row r="12" spans="1:33" x14ac:dyDescent="0.25">
      <c r="A12" s="1"/>
      <c r="B12" s="1"/>
      <c r="C12" s="7"/>
      <c r="D12" s="8"/>
      <c r="E12" s="35"/>
      <c r="F12" s="35"/>
      <c r="G12" s="35"/>
      <c r="H12" s="35"/>
      <c r="I12" s="35"/>
      <c r="J12" s="17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9"/>
      <c r="W12" s="31" t="s">
        <v>7</v>
      </c>
      <c r="X12" s="32">
        <v>1.1499999999999999</v>
      </c>
      <c r="Y12" s="33">
        <v>1.1499999999999999</v>
      </c>
      <c r="Z12" s="32"/>
      <c r="AA12" s="34">
        <v>0.15</v>
      </c>
      <c r="AB12" s="9"/>
      <c r="AC12" s="15">
        <v>10</v>
      </c>
      <c r="AD12" s="1">
        <v>69</v>
      </c>
      <c r="AE12" s="1"/>
      <c r="AF12" s="1"/>
      <c r="AG12" s="1">
        <v>11</v>
      </c>
    </row>
    <row r="13" spans="1:33" ht="18.75" x14ac:dyDescent="0.3">
      <c r="A13" s="1"/>
      <c r="B13" s="1"/>
      <c r="C13" s="7"/>
      <c r="D13" s="8"/>
      <c r="E13" s="16"/>
      <c r="F13" s="16"/>
      <c r="G13" s="16"/>
      <c r="H13" s="16"/>
      <c r="I13" s="16"/>
      <c r="J13" s="17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9"/>
      <c r="W13" s="31" t="s">
        <v>12</v>
      </c>
      <c r="X13" s="32">
        <v>1.25</v>
      </c>
      <c r="Y13" s="33">
        <v>1.25</v>
      </c>
      <c r="Z13" s="32"/>
      <c r="AA13" s="34">
        <v>0.1</v>
      </c>
      <c r="AB13" s="9"/>
      <c r="AC13" s="15">
        <v>11</v>
      </c>
      <c r="AD13" s="1">
        <v>70</v>
      </c>
      <c r="AE13" s="1"/>
      <c r="AF13" s="1"/>
      <c r="AG13" s="1">
        <v>12</v>
      </c>
    </row>
    <row r="14" spans="1:33" x14ac:dyDescent="0.25">
      <c r="A14" s="1"/>
      <c r="B14" s="1"/>
      <c r="C14" s="7"/>
      <c r="D14" s="8"/>
      <c r="E14" s="19" t="s">
        <v>25</v>
      </c>
      <c r="F14" s="36">
        <v>10000</v>
      </c>
      <c r="G14" s="595" t="s">
        <v>26</v>
      </c>
      <c r="H14" s="583"/>
      <c r="I14" s="36">
        <v>40000</v>
      </c>
      <c r="J14" s="17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9"/>
      <c r="W14" s="37" t="s">
        <v>17</v>
      </c>
      <c r="X14" s="38">
        <v>1.4</v>
      </c>
      <c r="Y14" s="39">
        <v>1.4</v>
      </c>
      <c r="Z14" s="32"/>
      <c r="AA14" s="40" t="s">
        <v>27</v>
      </c>
      <c r="AB14" s="9"/>
      <c r="AC14" s="15">
        <v>12</v>
      </c>
      <c r="AD14" s="1">
        <v>71</v>
      </c>
      <c r="AE14" s="1"/>
      <c r="AF14" s="1"/>
      <c r="AG14" s="1">
        <v>13</v>
      </c>
    </row>
    <row r="15" spans="1:33" x14ac:dyDescent="0.25">
      <c r="A15" s="1"/>
      <c r="B15" s="1"/>
      <c r="C15" s="7"/>
      <c r="D15" s="8"/>
      <c r="E15" s="19" t="s">
        <v>28</v>
      </c>
      <c r="F15" s="36">
        <v>0</v>
      </c>
      <c r="G15" s="595" t="s">
        <v>29</v>
      </c>
      <c r="H15" s="583"/>
      <c r="I15" s="36">
        <v>0</v>
      </c>
      <c r="J15" s="17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9"/>
      <c r="W15" s="9"/>
      <c r="X15" s="9"/>
      <c r="Y15" s="9"/>
      <c r="Z15" s="9"/>
      <c r="AA15" s="9"/>
      <c r="AB15" s="9"/>
      <c r="AC15" s="15">
        <v>13</v>
      </c>
      <c r="AD15" s="1">
        <v>72</v>
      </c>
      <c r="AE15" s="1"/>
      <c r="AF15" s="1"/>
      <c r="AG15" s="1">
        <v>14</v>
      </c>
    </row>
    <row r="16" spans="1:33" x14ac:dyDescent="0.25">
      <c r="A16" s="1"/>
      <c r="B16" s="1"/>
      <c r="C16" s="7"/>
      <c r="D16" s="8"/>
      <c r="E16" s="591" t="s">
        <v>30</v>
      </c>
      <c r="F16" s="592"/>
      <c r="G16" s="592"/>
      <c r="H16" s="593" t="s">
        <v>5</v>
      </c>
      <c r="I16" s="594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9"/>
      <c r="W16" s="9"/>
      <c r="X16" s="9"/>
      <c r="Y16" s="32"/>
      <c r="Z16" s="9"/>
      <c r="AA16" s="9"/>
      <c r="AB16" s="9"/>
      <c r="AC16" s="15">
        <v>14</v>
      </c>
      <c r="AD16" s="1">
        <v>73</v>
      </c>
      <c r="AE16" s="1"/>
      <c r="AF16" s="1"/>
      <c r="AG16" s="1">
        <v>15</v>
      </c>
    </row>
    <row r="17" spans="1:33" x14ac:dyDescent="0.25">
      <c r="A17" s="1"/>
      <c r="B17" s="1"/>
      <c r="C17" s="7"/>
      <c r="D17" s="8"/>
      <c r="E17" s="18" t="s">
        <v>31</v>
      </c>
      <c r="F17" s="41" t="s">
        <v>32</v>
      </c>
      <c r="G17" s="41" t="s">
        <v>33</v>
      </c>
      <c r="H17" s="41" t="s">
        <v>34</v>
      </c>
      <c r="I17" s="41" t="s">
        <v>35</v>
      </c>
      <c r="J17" s="1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9"/>
      <c r="W17" s="9"/>
      <c r="X17" s="9" t="s">
        <v>36</v>
      </c>
      <c r="Y17" s="9"/>
      <c r="Z17" s="9"/>
      <c r="AA17" s="9"/>
      <c r="AB17" s="9"/>
      <c r="AC17" s="42">
        <v>15</v>
      </c>
      <c r="AD17" s="1">
        <v>74</v>
      </c>
      <c r="AE17" s="1"/>
      <c r="AF17" s="1"/>
      <c r="AG17" s="1">
        <v>16</v>
      </c>
    </row>
    <row r="18" spans="1:33" x14ac:dyDescent="0.25">
      <c r="A18" s="1"/>
      <c r="B18" s="1"/>
      <c r="C18" s="7"/>
      <c r="D18" s="8"/>
      <c r="E18" s="43" t="s">
        <v>37</v>
      </c>
      <c r="F18" s="36">
        <v>1000000</v>
      </c>
      <c r="G18" s="44">
        <f t="shared" ref="G18:G23" si="0">IFERROR(F18/$F$23,0)</f>
        <v>1</v>
      </c>
      <c r="H18" s="45">
        <v>1</v>
      </c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9"/>
      <c r="W18" s="9"/>
      <c r="X18" s="32">
        <v>0</v>
      </c>
      <c r="Y18" s="46"/>
      <c r="Z18" s="9"/>
      <c r="AA18" s="9"/>
      <c r="AB18" s="9"/>
      <c r="AC18" s="15">
        <v>16</v>
      </c>
      <c r="AD18" s="1">
        <v>75</v>
      </c>
      <c r="AE18" s="1"/>
      <c r="AF18" s="1"/>
      <c r="AG18" s="1">
        <v>17</v>
      </c>
    </row>
    <row r="19" spans="1:33" x14ac:dyDescent="0.25">
      <c r="A19" s="1"/>
      <c r="B19" s="1"/>
      <c r="C19" s="7"/>
      <c r="D19" s="8"/>
      <c r="E19" s="43"/>
      <c r="F19" s="36"/>
      <c r="G19" s="44">
        <f t="shared" si="0"/>
        <v>0</v>
      </c>
      <c r="H19" s="45"/>
      <c r="I19" s="43"/>
      <c r="J19" s="17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9"/>
      <c r="W19" s="46"/>
      <c r="X19" s="32">
        <v>0.1</v>
      </c>
      <c r="Y19" s="9"/>
      <c r="Z19" s="9"/>
      <c r="AA19" s="9"/>
      <c r="AB19" s="9"/>
      <c r="AC19" s="15">
        <v>17</v>
      </c>
      <c r="AD19" s="1">
        <v>76</v>
      </c>
      <c r="AE19" s="1"/>
      <c r="AF19" s="1"/>
      <c r="AG19" s="1">
        <v>18</v>
      </c>
    </row>
    <row r="20" spans="1:33" x14ac:dyDescent="0.25">
      <c r="A20" s="1"/>
      <c r="B20" s="1"/>
      <c r="C20" s="7"/>
      <c r="D20" s="8"/>
      <c r="E20" s="43"/>
      <c r="F20" s="36"/>
      <c r="G20" s="44">
        <f t="shared" si="0"/>
        <v>0</v>
      </c>
      <c r="H20" s="45"/>
      <c r="I20" s="43"/>
      <c r="J20" s="17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9"/>
      <c r="W20" s="9"/>
      <c r="X20" s="32">
        <v>0.2</v>
      </c>
      <c r="Y20" s="9"/>
      <c r="Z20" s="9"/>
      <c r="AA20" s="9"/>
      <c r="AB20" s="9"/>
      <c r="AC20" s="15">
        <v>18</v>
      </c>
      <c r="AD20" s="1">
        <v>77</v>
      </c>
      <c r="AE20" s="1"/>
      <c r="AF20" s="1"/>
      <c r="AG20" s="1">
        <v>19</v>
      </c>
    </row>
    <row r="21" spans="1:33" ht="15.75" customHeight="1" x14ac:dyDescent="0.25">
      <c r="A21" s="1"/>
      <c r="B21" s="1"/>
      <c r="C21" s="7"/>
      <c r="D21" s="8"/>
      <c r="E21" s="43"/>
      <c r="F21" s="36"/>
      <c r="G21" s="44">
        <f t="shared" si="0"/>
        <v>0</v>
      </c>
      <c r="H21" s="45"/>
      <c r="I21" s="43"/>
      <c r="J21" s="17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9"/>
      <c r="W21" s="9"/>
      <c r="X21" s="32">
        <v>0.3</v>
      </c>
      <c r="Y21" s="9"/>
      <c r="Z21" s="9"/>
      <c r="AA21" s="9"/>
      <c r="AB21" s="9"/>
      <c r="AC21" s="42">
        <v>19</v>
      </c>
      <c r="AD21" s="1">
        <v>78</v>
      </c>
      <c r="AE21" s="1"/>
      <c r="AF21" s="1"/>
      <c r="AG21" s="1">
        <v>20</v>
      </c>
    </row>
    <row r="22" spans="1:33" ht="15.75" customHeight="1" x14ac:dyDescent="0.25">
      <c r="A22" s="1"/>
      <c r="B22" s="1"/>
      <c r="C22" s="7"/>
      <c r="D22" s="8"/>
      <c r="E22" s="47" t="s">
        <v>38</v>
      </c>
      <c r="F22" s="48">
        <v>0</v>
      </c>
      <c r="G22" s="49">
        <f t="shared" si="0"/>
        <v>0</v>
      </c>
      <c r="H22" s="50"/>
      <c r="I22" s="51"/>
      <c r="J22" s="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9"/>
      <c r="W22" s="9"/>
      <c r="X22" s="32">
        <v>0.4</v>
      </c>
      <c r="Y22" s="9"/>
      <c r="Z22" s="9"/>
      <c r="AA22" s="9"/>
      <c r="AB22" s="9"/>
      <c r="AC22" s="15">
        <v>20</v>
      </c>
      <c r="AD22" s="1">
        <v>79</v>
      </c>
      <c r="AE22" s="1"/>
      <c r="AF22" s="1"/>
      <c r="AG22" s="1">
        <v>21</v>
      </c>
    </row>
    <row r="23" spans="1:33" ht="15.75" customHeight="1" x14ac:dyDescent="0.25">
      <c r="A23" s="1"/>
      <c r="B23" s="1"/>
      <c r="C23" s="7"/>
      <c r="D23" s="8"/>
      <c r="E23" s="52" t="s">
        <v>39</v>
      </c>
      <c r="F23" s="53">
        <f>SUM(F18:F22)</f>
        <v>1000000</v>
      </c>
      <c r="G23" s="54">
        <f t="shared" si="0"/>
        <v>1</v>
      </c>
      <c r="H23" s="55">
        <f>(G18*H18+G19*H19+G20*H20+G21*H21+G22*H22)</f>
        <v>1</v>
      </c>
      <c r="I23" s="56"/>
      <c r="J23" s="17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9"/>
      <c r="W23" s="9"/>
      <c r="X23" s="32">
        <v>0.5</v>
      </c>
      <c r="Y23" s="9"/>
      <c r="Z23" s="9"/>
      <c r="AA23" s="9"/>
      <c r="AB23" s="9"/>
      <c r="AC23" s="15">
        <v>21</v>
      </c>
      <c r="AD23" s="1">
        <v>80</v>
      </c>
      <c r="AE23" s="1"/>
      <c r="AF23" s="1"/>
      <c r="AG23" s="1">
        <v>22</v>
      </c>
    </row>
    <row r="24" spans="1:33" ht="15.75" customHeight="1" x14ac:dyDescent="0.25">
      <c r="A24" s="1"/>
      <c r="B24" s="1"/>
      <c r="C24" s="7"/>
      <c r="D24" s="8"/>
      <c r="E24" s="19" t="s">
        <v>40</v>
      </c>
      <c r="F24" s="57" t="s">
        <v>27</v>
      </c>
      <c r="G24" s="596" t="s">
        <v>41</v>
      </c>
      <c r="H24" s="583"/>
      <c r="I24" s="59">
        <v>0.2</v>
      </c>
      <c r="J24" s="17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9"/>
      <c r="W24" s="9"/>
      <c r="X24" s="32">
        <v>0.6</v>
      </c>
      <c r="Y24" s="9"/>
      <c r="Z24" s="9"/>
      <c r="AA24" s="9"/>
      <c r="AB24" s="9"/>
      <c r="AC24" s="15">
        <v>22</v>
      </c>
      <c r="AD24" s="1">
        <v>81</v>
      </c>
      <c r="AE24" s="1"/>
      <c r="AF24" s="1"/>
      <c r="AG24" s="1">
        <v>23</v>
      </c>
    </row>
    <row r="25" spans="1:33" ht="15.75" customHeight="1" x14ac:dyDescent="0.25">
      <c r="A25" s="1"/>
      <c r="B25" s="1"/>
      <c r="C25" s="7"/>
      <c r="D25" s="8"/>
      <c r="E25" s="591" t="s">
        <v>42</v>
      </c>
      <c r="F25" s="592"/>
      <c r="G25" s="592"/>
      <c r="H25" s="592"/>
      <c r="I25" s="592"/>
      <c r="J25" s="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9"/>
      <c r="W25" s="9"/>
      <c r="X25" s="32">
        <v>0.7</v>
      </c>
      <c r="Y25" s="9"/>
      <c r="Z25" s="9"/>
      <c r="AA25" s="9"/>
      <c r="AB25" s="9"/>
      <c r="AC25" s="42">
        <v>23</v>
      </c>
      <c r="AD25" s="1">
        <v>82</v>
      </c>
      <c r="AE25" s="1"/>
      <c r="AF25" s="1"/>
      <c r="AG25" s="1">
        <v>24</v>
      </c>
    </row>
    <row r="26" spans="1:33" ht="15.75" customHeight="1" x14ac:dyDescent="0.25">
      <c r="A26" s="1"/>
      <c r="B26" s="1"/>
      <c r="C26" s="7"/>
      <c r="D26" s="8"/>
      <c r="E26" s="19" t="s">
        <v>42</v>
      </c>
      <c r="F26" s="588" t="s">
        <v>43</v>
      </c>
      <c r="G26" s="589"/>
      <c r="H26" s="60" t="s">
        <v>44</v>
      </c>
      <c r="I26" s="61" t="s">
        <v>45</v>
      </c>
      <c r="J26" s="17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9"/>
      <c r="W26" s="9"/>
      <c r="X26" s="32">
        <v>0.8</v>
      </c>
      <c r="Y26" s="9"/>
      <c r="Z26" s="9"/>
      <c r="AA26" s="9"/>
      <c r="AB26" s="9"/>
      <c r="AC26" s="15">
        <v>24</v>
      </c>
      <c r="AD26" s="1">
        <v>83</v>
      </c>
      <c r="AE26" s="1"/>
      <c r="AF26" s="1"/>
      <c r="AG26" s="1">
        <v>25</v>
      </c>
    </row>
    <row r="27" spans="1:33" ht="15.75" customHeight="1" x14ac:dyDescent="0.25">
      <c r="A27" s="1"/>
      <c r="B27" s="1"/>
      <c r="C27" s="7"/>
      <c r="D27" s="8"/>
      <c r="E27" s="62" t="s">
        <v>46</v>
      </c>
      <c r="F27" s="590">
        <v>0</v>
      </c>
      <c r="G27" s="569"/>
      <c r="H27" s="59" t="s">
        <v>47</v>
      </c>
      <c r="I27" s="63"/>
      <c r="J27" s="17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9"/>
      <c r="W27" s="9"/>
      <c r="X27" s="32">
        <v>0.9</v>
      </c>
      <c r="Y27" s="9"/>
      <c r="Z27" s="9"/>
      <c r="AA27" s="9"/>
      <c r="AB27" s="9"/>
      <c r="AC27" s="15">
        <v>25</v>
      </c>
      <c r="AD27" s="1">
        <v>84</v>
      </c>
      <c r="AE27" s="1"/>
      <c r="AF27" s="1"/>
      <c r="AG27" s="1">
        <v>26</v>
      </c>
    </row>
    <row r="28" spans="1:33" ht="15.75" customHeight="1" x14ac:dyDescent="0.25">
      <c r="A28" s="1"/>
      <c r="B28" s="1"/>
      <c r="C28" s="7"/>
      <c r="D28" s="8"/>
      <c r="E28" s="43" t="s">
        <v>48</v>
      </c>
      <c r="F28" s="590"/>
      <c r="G28" s="569"/>
      <c r="H28" s="59" t="s">
        <v>49</v>
      </c>
      <c r="I28" s="63"/>
      <c r="J28" s="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9"/>
      <c r="W28" s="9"/>
      <c r="X28" s="32">
        <v>1</v>
      </c>
      <c r="Y28" s="9"/>
      <c r="Z28" s="9"/>
      <c r="AA28" s="9"/>
      <c r="AB28" s="9"/>
      <c r="AC28" s="15">
        <v>26</v>
      </c>
      <c r="AD28" s="1">
        <v>85</v>
      </c>
      <c r="AE28" s="1"/>
      <c r="AF28" s="1"/>
      <c r="AG28" s="1">
        <v>27</v>
      </c>
    </row>
    <row r="29" spans="1:33" ht="15.75" customHeight="1" x14ac:dyDescent="0.25">
      <c r="A29" s="1"/>
      <c r="B29" s="1"/>
      <c r="C29" s="7"/>
      <c r="D29" s="8"/>
      <c r="E29" s="43"/>
      <c r="F29" s="590"/>
      <c r="G29" s="569"/>
      <c r="H29" s="59"/>
      <c r="I29" s="63"/>
      <c r="J29" s="17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9"/>
      <c r="W29" s="9"/>
      <c r="X29" s="9"/>
      <c r="Y29" s="9"/>
      <c r="Z29" s="9"/>
      <c r="AA29" s="9"/>
      <c r="AB29" s="9"/>
      <c r="AC29" s="42">
        <v>27</v>
      </c>
      <c r="AD29" s="1">
        <v>86</v>
      </c>
      <c r="AE29" s="1"/>
      <c r="AF29" s="1"/>
      <c r="AG29" s="1">
        <v>28</v>
      </c>
    </row>
    <row r="30" spans="1:33" ht="15.75" customHeight="1" x14ac:dyDescent="0.25">
      <c r="A30" s="1"/>
      <c r="B30" s="1"/>
      <c r="C30" s="7"/>
      <c r="D30" s="8"/>
      <c r="E30" s="43"/>
      <c r="F30" s="590"/>
      <c r="G30" s="569"/>
      <c r="H30" s="59"/>
      <c r="I30" s="63"/>
      <c r="J30" s="17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9"/>
      <c r="W30" s="9"/>
      <c r="X30" s="9"/>
      <c r="Y30" s="9"/>
      <c r="Z30" s="9"/>
      <c r="AA30" s="9"/>
      <c r="AB30" s="9"/>
      <c r="AC30" s="15">
        <v>28</v>
      </c>
      <c r="AD30" s="1">
        <v>87</v>
      </c>
      <c r="AE30" s="1"/>
      <c r="AF30" s="1"/>
      <c r="AG30" s="1">
        <v>29</v>
      </c>
    </row>
    <row r="31" spans="1:33" ht="15.75" customHeight="1" x14ac:dyDescent="0.25">
      <c r="A31" s="1"/>
      <c r="B31" s="1"/>
      <c r="C31" s="7"/>
      <c r="D31" s="8"/>
      <c r="E31" s="51"/>
      <c r="F31" s="584"/>
      <c r="G31" s="585"/>
      <c r="H31" s="64"/>
      <c r="I31" s="65"/>
      <c r="J31" s="17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9"/>
      <c r="W31" s="9"/>
      <c r="X31" s="9"/>
      <c r="Y31" s="9"/>
      <c r="Z31" s="9"/>
      <c r="AA31" s="9"/>
      <c r="AB31" s="9"/>
      <c r="AC31" s="15">
        <v>29</v>
      </c>
      <c r="AD31" s="1">
        <v>88</v>
      </c>
      <c r="AE31" s="1"/>
      <c r="AF31" s="1"/>
      <c r="AG31" s="1">
        <v>30</v>
      </c>
    </row>
    <row r="32" spans="1:33" ht="15.75" customHeight="1" x14ac:dyDescent="0.25">
      <c r="A32" s="1"/>
      <c r="B32" s="1"/>
      <c r="C32" s="7"/>
      <c r="D32" s="8"/>
      <c r="E32" s="66" t="s">
        <v>39</v>
      </c>
      <c r="F32" s="586">
        <f>SUM(F27:G31)</f>
        <v>0</v>
      </c>
      <c r="G32" s="569"/>
      <c r="H32" s="67"/>
      <c r="I32" s="67"/>
      <c r="J32" s="17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9"/>
      <c r="W32" s="9"/>
      <c r="X32" s="9"/>
      <c r="Y32" s="9"/>
      <c r="Z32" s="9"/>
      <c r="AA32" s="9"/>
      <c r="AB32" s="9"/>
      <c r="AC32" s="15">
        <v>30</v>
      </c>
      <c r="AD32" s="1">
        <v>89</v>
      </c>
      <c r="AE32" s="1"/>
      <c r="AF32" s="1"/>
      <c r="AG32" s="1"/>
    </row>
    <row r="33" spans="1:33" ht="15.75" customHeight="1" x14ac:dyDescent="0.25">
      <c r="A33" s="1"/>
      <c r="B33" s="1"/>
      <c r="C33" s="7"/>
      <c r="D33" s="8"/>
      <c r="E33" s="35"/>
      <c r="F33" s="35"/>
      <c r="G33" s="35"/>
      <c r="H33" s="35"/>
      <c r="I33" s="35"/>
      <c r="J33" s="17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>
        <v>90</v>
      </c>
      <c r="AE33" s="1"/>
      <c r="AF33" s="1"/>
      <c r="AG33" s="1"/>
    </row>
    <row r="34" spans="1:33" ht="15.75" customHeight="1" x14ac:dyDescent="0.3">
      <c r="A34" s="1"/>
      <c r="B34" s="1"/>
      <c r="C34" s="7"/>
      <c r="D34" s="8"/>
      <c r="E34" s="16"/>
      <c r="F34" s="16"/>
      <c r="G34" s="16"/>
      <c r="H34" s="16"/>
      <c r="I34" s="16"/>
      <c r="J34" s="17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>
        <v>91</v>
      </c>
      <c r="AE34" s="1"/>
      <c r="AF34" s="1"/>
      <c r="AG34" s="1"/>
    </row>
    <row r="35" spans="1:33" ht="15.75" customHeight="1" x14ac:dyDescent="0.25">
      <c r="A35" s="1"/>
      <c r="B35" s="1"/>
      <c r="C35" s="7"/>
      <c r="D35" s="8"/>
      <c r="E35" s="587" t="s">
        <v>50</v>
      </c>
      <c r="F35" s="574"/>
      <c r="G35" s="68" t="s">
        <v>51</v>
      </c>
      <c r="H35" s="69" t="s">
        <v>52</v>
      </c>
      <c r="I35" s="69" t="s">
        <v>53</v>
      </c>
      <c r="J35" s="17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>
        <v>92</v>
      </c>
      <c r="AE35" s="1"/>
      <c r="AF35" s="1"/>
      <c r="AG35" s="1"/>
    </row>
    <row r="36" spans="1:33" ht="15.75" customHeight="1" x14ac:dyDescent="0.25">
      <c r="A36" s="1"/>
      <c r="B36" s="1"/>
      <c r="C36" s="7"/>
      <c r="D36" s="8"/>
      <c r="E36" s="571"/>
      <c r="F36" s="569"/>
      <c r="G36" s="70"/>
      <c r="H36" s="71"/>
      <c r="I36" s="72"/>
      <c r="J36" s="17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>
        <v>93</v>
      </c>
      <c r="AE36" s="1"/>
      <c r="AF36" s="1"/>
      <c r="AG36" s="1"/>
    </row>
    <row r="37" spans="1:33" ht="15.75" customHeight="1" x14ac:dyDescent="0.25">
      <c r="A37" s="1"/>
      <c r="B37" s="1"/>
      <c r="C37" s="7"/>
      <c r="D37" s="8"/>
      <c r="E37" s="571"/>
      <c r="F37" s="569"/>
      <c r="G37" s="70"/>
      <c r="H37" s="71"/>
      <c r="I37" s="72"/>
      <c r="J37" s="17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>
        <v>94</v>
      </c>
      <c r="AE37" s="1"/>
      <c r="AF37" s="1"/>
      <c r="AG37" s="1"/>
    </row>
    <row r="38" spans="1:33" ht="15.75" customHeight="1" x14ac:dyDescent="0.25">
      <c r="A38" s="1"/>
      <c r="B38" s="1"/>
      <c r="C38" s="7"/>
      <c r="D38" s="8"/>
      <c r="E38" s="571"/>
      <c r="F38" s="569"/>
      <c r="G38" s="70"/>
      <c r="H38" s="71"/>
      <c r="I38" s="72"/>
      <c r="J38" s="17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>
        <v>95</v>
      </c>
      <c r="AE38" s="1"/>
      <c r="AF38" s="1"/>
      <c r="AG38" s="1"/>
    </row>
    <row r="39" spans="1:33" ht="15.75" customHeight="1" x14ac:dyDescent="0.25">
      <c r="A39" s="1"/>
      <c r="B39" s="1"/>
      <c r="C39" s="7"/>
      <c r="D39" s="8"/>
      <c r="E39" s="35"/>
      <c r="F39" s="35"/>
      <c r="G39" s="35"/>
      <c r="H39" s="35"/>
      <c r="I39" s="35"/>
      <c r="J39" s="17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>
        <v>96</v>
      </c>
      <c r="AE39" s="1"/>
      <c r="AF39" s="1"/>
      <c r="AG39" s="1"/>
    </row>
    <row r="40" spans="1:33" ht="15.75" customHeight="1" x14ac:dyDescent="0.3">
      <c r="A40" s="1"/>
      <c r="B40" s="1"/>
      <c r="C40" s="7"/>
      <c r="D40" s="8"/>
      <c r="E40" s="73"/>
      <c r="F40" s="73"/>
      <c r="G40" s="73"/>
      <c r="H40" s="73"/>
      <c r="I40" s="73"/>
      <c r="J40" s="17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>
        <v>97</v>
      </c>
      <c r="AE40" s="1"/>
      <c r="AF40" s="1"/>
      <c r="AG40" s="1"/>
    </row>
    <row r="41" spans="1:33" ht="15.75" customHeight="1" x14ac:dyDescent="0.25">
      <c r="A41" s="1"/>
      <c r="B41" s="1"/>
      <c r="C41" s="7"/>
      <c r="D41" s="8"/>
      <c r="E41" s="74" t="s">
        <v>54</v>
      </c>
      <c r="F41" s="74" t="s">
        <v>55</v>
      </c>
      <c r="G41" s="575" t="str">
        <f>IF(I.R="sem considerar I.R","Rentabilidade aposentadoria sem considerar I.R",I.R)</f>
        <v>Rentabilidade aposentadoria sem considerar I.R</v>
      </c>
      <c r="H41" s="574"/>
      <c r="I41" s="74" t="s">
        <v>56</v>
      </c>
      <c r="J41" s="17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>
        <v>98</v>
      </c>
      <c r="AE41" s="1"/>
      <c r="AF41" s="1"/>
      <c r="AG41" s="1"/>
    </row>
    <row r="42" spans="1:33" ht="15.75" customHeight="1" x14ac:dyDescent="0.25">
      <c r="A42" s="1"/>
      <c r="B42" s="1"/>
      <c r="C42" s="7"/>
      <c r="D42" s="8"/>
      <c r="E42" s="75">
        <v>3.5000000000000003E-2</v>
      </c>
      <c r="F42" s="75">
        <v>9.7000000000000003E-2</v>
      </c>
      <c r="G42" s="76">
        <v>1</v>
      </c>
      <c r="H42" s="77">
        <f>(F42*G42)*IFERROR(1-I.R,1)</f>
        <v>9.7000000000000003E-2</v>
      </c>
      <c r="I42" s="78">
        <f>(1+dados_rentabilidade_aposentadoria)/(1+dados_inflação)-1</f>
        <v>5.9903381642512077E-2</v>
      </c>
      <c r="J42" s="17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>
        <v>99</v>
      </c>
      <c r="AE42" s="1"/>
      <c r="AF42" s="1"/>
      <c r="AG42" s="1"/>
    </row>
    <row r="43" spans="1:33" ht="15.75" customHeight="1" x14ac:dyDescent="0.25">
      <c r="A43" s="1"/>
      <c r="B43" s="1"/>
      <c r="C43" s="7"/>
      <c r="D43" s="8"/>
      <c r="E43" s="35"/>
      <c r="F43" s="35"/>
      <c r="G43" s="35"/>
      <c r="H43" s="35"/>
      <c r="I43" s="35"/>
      <c r="J43" s="17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>
        <v>100</v>
      </c>
      <c r="AE43" s="1"/>
      <c r="AF43" s="1"/>
      <c r="AG43" s="1"/>
    </row>
    <row r="44" spans="1:33" ht="15.75" customHeight="1" x14ac:dyDescent="0.25">
      <c r="A44" s="1"/>
      <c r="B44" s="1"/>
      <c r="C44" s="79"/>
      <c r="D44" s="80"/>
      <c r="E44" s="79"/>
      <c r="F44" s="79"/>
      <c r="G44" s="79"/>
      <c r="H44" s="79"/>
      <c r="I44" s="79"/>
      <c r="J44" s="79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>
        <v>101</v>
      </c>
      <c r="AE44" s="1"/>
      <c r="AF44" s="1"/>
      <c r="AG44" s="1"/>
    </row>
    <row r="45" spans="1:33" ht="9.75" customHeight="1" x14ac:dyDescent="0.25">
      <c r="A45" s="1"/>
      <c r="B45" s="1"/>
      <c r="C45" s="79"/>
      <c r="D45" s="80"/>
      <c r="E45" s="79"/>
      <c r="F45" s="79"/>
      <c r="G45" s="79"/>
      <c r="H45" s="79"/>
      <c r="I45" s="79"/>
      <c r="J45" s="79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>
        <v>102</v>
      </c>
      <c r="AE45" s="1"/>
      <c r="AF45" s="1"/>
      <c r="AG45" s="1"/>
    </row>
    <row r="46" spans="1:33" ht="4.5" customHeight="1" x14ac:dyDescent="0.25">
      <c r="A46" s="1"/>
      <c r="B46" s="1"/>
      <c r="C46" s="79"/>
      <c r="D46" s="80"/>
      <c r="E46" s="79"/>
      <c r="F46" s="79"/>
      <c r="G46" s="79"/>
      <c r="H46" s="79"/>
      <c r="I46" s="79"/>
      <c r="J46" s="79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>
        <v>103</v>
      </c>
      <c r="AE46" s="1"/>
      <c r="AF46" s="1"/>
      <c r="AG46" s="1"/>
    </row>
    <row r="47" spans="1:33" ht="15" customHeight="1" x14ac:dyDescent="0.3">
      <c r="A47" s="1"/>
      <c r="B47" s="1"/>
      <c r="C47" s="7"/>
      <c r="D47" s="8"/>
      <c r="E47" s="16"/>
      <c r="F47" s="16"/>
      <c r="G47" s="16"/>
      <c r="H47" s="16"/>
      <c r="I47" s="16"/>
      <c r="J47" s="17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>
        <v>104</v>
      </c>
      <c r="AE47" s="1"/>
      <c r="AF47" s="1"/>
      <c r="AG47" s="1"/>
    </row>
    <row r="48" spans="1:33" ht="15.75" customHeight="1" x14ac:dyDescent="0.25">
      <c r="A48" s="1"/>
      <c r="B48" s="1"/>
      <c r="C48" s="7"/>
      <c r="D48" s="8"/>
      <c r="E48" s="69" t="s">
        <v>57</v>
      </c>
      <c r="F48" s="81" t="s">
        <v>58</v>
      </c>
      <c r="G48" s="69"/>
      <c r="H48" s="573" t="s">
        <v>14</v>
      </c>
      <c r="I48" s="574"/>
      <c r="J48" s="1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>
        <v>105</v>
      </c>
      <c r="AE48" s="1"/>
      <c r="AF48" s="1"/>
      <c r="AG48" s="1"/>
    </row>
    <row r="49" spans="1:33" ht="15.75" customHeight="1" x14ac:dyDescent="0.25">
      <c r="A49" s="1"/>
      <c r="B49" s="1"/>
      <c r="C49" s="7"/>
      <c r="D49" s="8"/>
      <c r="E49" s="82" t="s">
        <v>59</v>
      </c>
      <c r="F49" s="36"/>
      <c r="G49" s="82"/>
      <c r="H49" s="576" t="s">
        <v>60</v>
      </c>
      <c r="I49" s="577"/>
      <c r="J49" s="17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>
        <v>106</v>
      </c>
      <c r="AE49" s="1"/>
      <c r="AF49" s="1"/>
      <c r="AG49" s="1"/>
    </row>
    <row r="50" spans="1:33" ht="15.75" customHeight="1" x14ac:dyDescent="0.25">
      <c r="A50" s="1"/>
      <c r="B50" s="1"/>
      <c r="C50" s="7"/>
      <c r="D50" s="8"/>
      <c r="E50" s="82" t="s">
        <v>61</v>
      </c>
      <c r="F50" s="36"/>
      <c r="G50" s="83"/>
      <c r="H50" s="578"/>
      <c r="I50" s="579"/>
      <c r="J50" s="17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>
        <v>107</v>
      </c>
      <c r="AE50" s="1"/>
      <c r="AF50" s="1"/>
      <c r="AG50" s="1"/>
    </row>
    <row r="51" spans="1:33" ht="15.75" customHeight="1" x14ac:dyDescent="0.25">
      <c r="A51" s="1"/>
      <c r="B51" s="1"/>
      <c r="C51" s="7"/>
      <c r="D51" s="8"/>
      <c r="E51" s="82" t="s">
        <v>62</v>
      </c>
      <c r="F51" s="36"/>
      <c r="G51" s="83"/>
      <c r="H51" s="578"/>
      <c r="I51" s="579"/>
      <c r="J51" s="17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>
        <v>108</v>
      </c>
      <c r="AE51" s="1"/>
      <c r="AF51" s="1"/>
      <c r="AG51" s="1"/>
    </row>
    <row r="52" spans="1:33" ht="15.75" customHeight="1" x14ac:dyDescent="0.25">
      <c r="A52" s="1"/>
      <c r="B52" s="1"/>
      <c r="C52" s="7"/>
      <c r="D52" s="8"/>
      <c r="E52" s="82" t="s">
        <v>63</v>
      </c>
      <c r="F52" s="36"/>
      <c r="G52" s="83"/>
      <c r="H52" s="578"/>
      <c r="I52" s="579"/>
      <c r="J52" s="17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>
        <v>109</v>
      </c>
      <c r="AE52" s="1"/>
      <c r="AF52" s="1"/>
      <c r="AG52" s="1"/>
    </row>
    <row r="53" spans="1:33" ht="15.75" customHeight="1" x14ac:dyDescent="0.25">
      <c r="A53" s="1"/>
      <c r="B53" s="1"/>
      <c r="C53" s="7"/>
      <c r="D53" s="8"/>
      <c r="E53" s="82" t="s">
        <v>64</v>
      </c>
      <c r="F53" s="36">
        <v>0</v>
      </c>
      <c r="G53" s="83"/>
      <c r="H53" s="580"/>
      <c r="I53" s="581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>
        <v>110</v>
      </c>
      <c r="AE53" s="1"/>
      <c r="AF53" s="1"/>
      <c r="AG53" s="1"/>
    </row>
    <row r="54" spans="1:33" ht="15.75" customHeight="1" x14ac:dyDescent="0.25">
      <c r="A54" s="1"/>
      <c r="B54" s="1"/>
      <c r="C54" s="7"/>
      <c r="D54" s="8"/>
      <c r="E54" s="84" t="s">
        <v>39</v>
      </c>
      <c r="F54" s="85">
        <f>'Proteção Familiar'!DJ7</f>
        <v>0</v>
      </c>
      <c r="G54" s="86"/>
      <c r="H54" s="87"/>
      <c r="I54" s="88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>
        <v>111</v>
      </c>
      <c r="AE54" s="1"/>
      <c r="AF54" s="1"/>
      <c r="AG54" s="1"/>
    </row>
    <row r="55" spans="1:33" ht="15.75" customHeight="1" x14ac:dyDescent="0.25">
      <c r="A55" s="1"/>
      <c r="B55" s="1"/>
      <c r="C55" s="7"/>
      <c r="D55" s="8"/>
      <c r="E55" s="79"/>
      <c r="F55" s="79"/>
      <c r="G55" s="79"/>
      <c r="H55" s="79"/>
      <c r="I55" s="79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>
        <v>112</v>
      </c>
      <c r="AE55" s="1"/>
      <c r="AF55" s="1"/>
      <c r="AG55" s="1"/>
    </row>
    <row r="56" spans="1:33" ht="15.75" customHeight="1" x14ac:dyDescent="0.25">
      <c r="A56" s="1"/>
      <c r="B56" s="1"/>
      <c r="C56" s="79"/>
      <c r="D56" s="80"/>
      <c r="E56" s="79"/>
      <c r="F56" s="79"/>
      <c r="G56" s="79"/>
      <c r="H56" s="79"/>
      <c r="I56" s="79"/>
      <c r="J56" s="79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>
        <v>113</v>
      </c>
      <c r="AE56" s="1"/>
      <c r="AF56" s="1"/>
      <c r="AG56" s="1"/>
    </row>
    <row r="57" spans="1:33" ht="15.75" customHeight="1" x14ac:dyDescent="0.25">
      <c r="A57" s="1"/>
      <c r="B57" s="1"/>
      <c r="C57" s="7"/>
      <c r="D57" s="8"/>
      <c r="E57" s="79"/>
      <c r="F57" s="79"/>
      <c r="G57" s="79"/>
      <c r="H57" s="79"/>
      <c r="I57" s="79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v>114</v>
      </c>
      <c r="AE57" s="1"/>
      <c r="AF57" s="1"/>
      <c r="AG57" s="1"/>
    </row>
    <row r="58" spans="1:33" ht="15.75" customHeight="1" x14ac:dyDescent="0.25">
      <c r="A58" s="1"/>
      <c r="B58" s="1"/>
      <c r="C58" s="7"/>
      <c r="D58" s="8"/>
      <c r="E58" s="18" t="s">
        <v>25</v>
      </c>
      <c r="F58" s="89">
        <f>Dados_despesaatual-('Proteção Familiar'!DI9/12)</f>
        <v>10000</v>
      </c>
      <c r="G58" s="90" t="s">
        <v>65</v>
      </c>
      <c r="H58" s="90"/>
      <c r="I58" s="91">
        <v>1</v>
      </c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>
        <v>115</v>
      </c>
      <c r="AE58" s="1"/>
      <c r="AF58" s="1"/>
      <c r="AG58" s="1"/>
    </row>
    <row r="59" spans="1:33" ht="15.75" customHeight="1" x14ac:dyDescent="0.25">
      <c r="A59" s="1"/>
      <c r="B59" s="1"/>
      <c r="C59" s="7"/>
      <c r="D59" s="8"/>
      <c r="E59" s="79"/>
      <c r="F59" s="79"/>
      <c r="G59" s="79"/>
      <c r="H59" s="79"/>
      <c r="I59" s="79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v>116</v>
      </c>
      <c r="AE59" s="1"/>
      <c r="AF59" s="1"/>
      <c r="AG59" s="1"/>
    </row>
    <row r="60" spans="1:33" ht="15.75" customHeight="1" x14ac:dyDescent="0.25">
      <c r="A60" s="1"/>
      <c r="B60" s="1"/>
      <c r="C60" s="7"/>
      <c r="D60" s="8"/>
      <c r="E60" s="92" t="s">
        <v>66</v>
      </c>
      <c r="F60" s="92" t="s">
        <v>67</v>
      </c>
      <c r="G60" s="92" t="s">
        <v>68</v>
      </c>
      <c r="H60" s="582" t="s">
        <v>69</v>
      </c>
      <c r="I60" s="583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>
        <v>117</v>
      </c>
      <c r="AE60" s="1"/>
      <c r="AF60" s="1"/>
      <c r="AG60" s="1"/>
    </row>
    <row r="61" spans="1:33" ht="15.75" customHeight="1" x14ac:dyDescent="0.25">
      <c r="A61" s="1"/>
      <c r="B61" s="1"/>
      <c r="C61" s="7"/>
      <c r="D61" s="8"/>
      <c r="E61" s="70"/>
      <c r="F61" s="93">
        <v>0</v>
      </c>
      <c r="G61" s="72"/>
      <c r="H61" s="572"/>
      <c r="I61" s="569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>
        <v>118</v>
      </c>
      <c r="AE61" s="1"/>
      <c r="AF61" s="1"/>
      <c r="AG61" s="1"/>
    </row>
    <row r="62" spans="1:33" ht="15.75" customHeight="1" x14ac:dyDescent="0.25">
      <c r="A62" s="1"/>
      <c r="B62" s="1"/>
      <c r="C62" s="7"/>
      <c r="D62" s="8"/>
      <c r="E62" s="70"/>
      <c r="F62" s="93"/>
      <c r="G62" s="72"/>
      <c r="H62" s="572"/>
      <c r="I62" s="569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v>119</v>
      </c>
      <c r="AE62" s="1"/>
      <c r="AF62" s="1"/>
      <c r="AG62" s="1"/>
    </row>
    <row r="63" spans="1:33" ht="15.75" customHeight="1" x14ac:dyDescent="0.25">
      <c r="A63" s="1"/>
      <c r="B63" s="1"/>
      <c r="C63" s="7"/>
      <c r="D63" s="8"/>
      <c r="E63" s="70"/>
      <c r="F63" s="93"/>
      <c r="G63" s="72"/>
      <c r="H63" s="572"/>
      <c r="I63" s="569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v>120</v>
      </c>
      <c r="AE63" s="1"/>
      <c r="AF63" s="1"/>
      <c r="AG63" s="1"/>
    </row>
    <row r="64" spans="1:33" ht="15.75" customHeight="1" x14ac:dyDescent="0.25">
      <c r="A64" s="1"/>
      <c r="B64" s="1"/>
      <c r="C64" s="7"/>
      <c r="D64" s="8"/>
      <c r="E64" s="70"/>
      <c r="F64" s="93"/>
      <c r="G64" s="72"/>
      <c r="H64" s="572"/>
      <c r="I64" s="569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>
        <v>76</v>
      </c>
      <c r="AE64" s="1"/>
      <c r="AF64" s="1"/>
      <c r="AG64" s="1"/>
    </row>
    <row r="65" spans="1:33" ht="15.75" customHeight="1" x14ac:dyDescent="0.25">
      <c r="A65" s="1"/>
      <c r="B65" s="1"/>
      <c r="C65" s="7"/>
      <c r="D65" s="8"/>
      <c r="E65" s="70"/>
      <c r="F65" s="93"/>
      <c r="G65" s="72"/>
      <c r="H65" s="572"/>
      <c r="I65" s="569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>
        <v>77</v>
      </c>
      <c r="AE65" s="1"/>
      <c r="AF65" s="1"/>
      <c r="AG65" s="1"/>
    </row>
    <row r="66" spans="1:33" ht="15.75" customHeight="1" x14ac:dyDescent="0.25">
      <c r="A66" s="1"/>
      <c r="B66" s="1"/>
      <c r="C66" s="7"/>
      <c r="D66" s="8"/>
      <c r="E66" s="79"/>
      <c r="F66" s="79"/>
      <c r="G66" s="79"/>
      <c r="H66" s="79"/>
      <c r="I66" s="79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>
        <v>78</v>
      </c>
      <c r="AE66" s="1"/>
      <c r="AF66" s="1"/>
      <c r="AG66" s="1"/>
    </row>
    <row r="67" spans="1:33" ht="15.75" customHeight="1" x14ac:dyDescent="0.25">
      <c r="A67" s="1"/>
      <c r="B67" s="1"/>
      <c r="C67" s="7"/>
      <c r="D67" s="8"/>
      <c r="E67" s="79"/>
      <c r="F67" s="79"/>
      <c r="G67" s="79"/>
      <c r="H67" s="79"/>
      <c r="I67" s="79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>
        <v>79</v>
      </c>
      <c r="AE67" s="1"/>
      <c r="AF67" s="1"/>
      <c r="AG67" s="1"/>
    </row>
    <row r="68" spans="1:33" ht="15.75" customHeight="1" x14ac:dyDescent="0.25">
      <c r="A68" s="1"/>
      <c r="B68" s="1"/>
      <c r="C68" s="79"/>
      <c r="D68" s="80"/>
      <c r="E68" s="79"/>
      <c r="F68" s="79"/>
      <c r="G68" s="79"/>
      <c r="H68" s="79"/>
      <c r="I68" s="79"/>
      <c r="J68" s="79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>
        <v>80</v>
      </c>
      <c r="AE68" s="1"/>
      <c r="AF68" s="1"/>
      <c r="AG68" s="1"/>
    </row>
    <row r="69" spans="1:33" ht="15.75" customHeight="1" x14ac:dyDescent="0.25">
      <c r="A69" s="1"/>
      <c r="B69" s="1"/>
      <c r="C69" s="79"/>
      <c r="D69" s="80"/>
      <c r="E69" s="69" t="s">
        <v>70</v>
      </c>
      <c r="F69" s="69" t="s">
        <v>43</v>
      </c>
      <c r="G69" s="573" t="s">
        <v>14</v>
      </c>
      <c r="H69" s="574"/>
      <c r="I69" s="574"/>
      <c r="J69" s="79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ht="15.75" customHeight="1" x14ac:dyDescent="0.25">
      <c r="A70" s="1"/>
      <c r="B70" s="1"/>
      <c r="C70" s="79"/>
      <c r="D70" s="80"/>
      <c r="E70" s="94" t="s">
        <v>71</v>
      </c>
      <c r="F70" s="95">
        <v>0</v>
      </c>
      <c r="G70" s="94"/>
      <c r="H70" s="95"/>
      <c r="I70" s="95"/>
      <c r="J70" s="79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 ht="15.75" customHeight="1" x14ac:dyDescent="0.25">
      <c r="A71" s="1"/>
      <c r="B71" s="1"/>
      <c r="C71" s="79"/>
      <c r="D71" s="80"/>
      <c r="E71" s="94" t="s">
        <v>72</v>
      </c>
      <c r="F71" s="95">
        <v>0</v>
      </c>
      <c r="G71" s="94"/>
      <c r="H71" s="95"/>
      <c r="I71" s="95"/>
      <c r="J71" s="79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ht="15.75" customHeight="1" x14ac:dyDescent="0.25">
      <c r="A72" s="1"/>
      <c r="B72" s="1"/>
      <c r="C72" s="79"/>
      <c r="D72" s="80"/>
      <c r="E72" s="79"/>
      <c r="F72" s="79"/>
      <c r="G72" s="79"/>
      <c r="H72" s="79"/>
      <c r="I72" s="79"/>
      <c r="J72" s="79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 ht="15.75" customHeight="1" x14ac:dyDescent="0.25">
      <c r="A73" s="1"/>
      <c r="B73" s="1"/>
      <c r="C73" s="1"/>
      <c r="D73" s="2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 ht="15.75" customHeight="1" x14ac:dyDescent="0.25">
      <c r="A74" s="1"/>
      <c r="B74" s="1"/>
      <c r="C74" s="1"/>
      <c r="D74" s="2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 ht="15.75" customHeight="1" x14ac:dyDescent="0.25">
      <c r="A75" s="1"/>
      <c r="B75" s="1"/>
      <c r="C75" s="1"/>
      <c r="D75" s="2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 ht="15.75" customHeight="1" x14ac:dyDescent="0.25">
      <c r="A76" s="1"/>
      <c r="B76" s="1"/>
      <c r="C76" s="1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 ht="15.75" customHeight="1" x14ac:dyDescent="0.25">
      <c r="A77" s="1"/>
      <c r="B77" s="1"/>
      <c r="C77" s="1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 ht="15.75" customHeight="1" x14ac:dyDescent="0.25">
      <c r="A78" s="1"/>
      <c r="B78" s="1"/>
      <c r="C78" s="1"/>
      <c r="D78" s="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 ht="15.75" customHeight="1" x14ac:dyDescent="0.25">
      <c r="A79" s="1"/>
      <c r="B79" s="1"/>
      <c r="C79" s="1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ht="15.75" customHeight="1" x14ac:dyDescent="0.25">
      <c r="A80" s="1"/>
      <c r="B80" s="1"/>
      <c r="C80" s="1"/>
      <c r="D80" s="2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ht="15.75" customHeight="1" x14ac:dyDescent="0.25">
      <c r="A81" s="1"/>
      <c r="B81" s="1"/>
      <c r="C81" s="1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 ht="15.75" customHeight="1" x14ac:dyDescent="0.25">
      <c r="A82" s="1"/>
      <c r="B82" s="1"/>
      <c r="C82" s="1"/>
      <c r="D82" s="2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ht="15.75" customHeight="1" x14ac:dyDescent="0.25">
      <c r="A83" s="1"/>
      <c r="B83" s="1"/>
      <c r="C83" s="1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ht="15.75" customHeight="1" x14ac:dyDescent="0.25">
      <c r="A84" s="1"/>
      <c r="B84" s="1"/>
      <c r="C84" s="1"/>
      <c r="D84" s="2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ht="15.75" customHeight="1" x14ac:dyDescent="0.25">
      <c r="A85" s="1"/>
      <c r="B85" s="1"/>
      <c r="C85" s="1"/>
      <c r="D85" s="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ht="15.75" customHeight="1" x14ac:dyDescent="0.25">
      <c r="A86" s="1"/>
      <c r="B86" s="1"/>
      <c r="C86" s="1"/>
      <c r="D86" s="2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ht="15.75" customHeight="1" x14ac:dyDescent="0.25">
      <c r="A87" s="1"/>
      <c r="B87" s="1"/>
      <c r="C87" s="1"/>
      <c r="D87" s="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 ht="15.75" customHeight="1" x14ac:dyDescent="0.25">
      <c r="A88" s="1"/>
      <c r="B88" s="1"/>
      <c r="C88" s="1"/>
      <c r="D88" s="2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 ht="15.75" customHeight="1" x14ac:dyDescent="0.25">
      <c r="A89" s="1"/>
      <c r="B89" s="1"/>
      <c r="C89" s="1"/>
      <c r="D89" s="2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:33" ht="15.75" customHeight="1" x14ac:dyDescent="0.25">
      <c r="A90" s="1"/>
      <c r="B90" s="1"/>
      <c r="C90" s="1"/>
      <c r="D90" s="2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:33" ht="15.75" customHeight="1" x14ac:dyDescent="0.25">
      <c r="A91" s="1"/>
      <c r="B91" s="1"/>
      <c r="C91" s="1"/>
      <c r="D91" s="2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:33" ht="15.75" customHeight="1" x14ac:dyDescent="0.25">
      <c r="A92" s="1"/>
      <c r="B92" s="1"/>
      <c r="C92" s="1"/>
      <c r="D92" s="2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:33" ht="15.75" customHeight="1" x14ac:dyDescent="0.25">
      <c r="A93" s="1"/>
      <c r="B93" s="1"/>
      <c r="C93" s="1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:33" ht="15.75" customHeight="1" x14ac:dyDescent="0.25">
      <c r="A94" s="1"/>
      <c r="B94" s="1"/>
      <c r="C94" s="1"/>
      <c r="D94" s="2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 ht="15.75" customHeight="1" x14ac:dyDescent="0.25">
      <c r="A95" s="1"/>
      <c r="B95" s="1"/>
      <c r="C95" s="1"/>
      <c r="D95" s="2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1:33" ht="15.75" customHeight="1" x14ac:dyDescent="0.25">
      <c r="A96" s="1"/>
      <c r="B96" s="1"/>
      <c r="C96" s="1"/>
      <c r="D96" s="2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1:33" ht="15.75" customHeight="1" x14ac:dyDescent="0.25">
      <c r="A97" s="1"/>
      <c r="B97" s="1"/>
      <c r="C97" s="1"/>
      <c r="D97" s="2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1:33" ht="15.75" customHeight="1" x14ac:dyDescent="0.25">
      <c r="A98" s="1"/>
      <c r="B98" s="1"/>
      <c r="C98" s="1"/>
      <c r="D98" s="2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1:33" ht="15.75" customHeight="1" x14ac:dyDescent="0.25">
      <c r="A99" s="1"/>
      <c r="B99" s="1"/>
      <c r="C99" s="1"/>
      <c r="D99" s="2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1:33" ht="15.75" customHeight="1" x14ac:dyDescent="0.25">
      <c r="A100" s="1"/>
      <c r="B100" s="1"/>
      <c r="C100" s="1"/>
      <c r="D100" s="2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1:33" ht="15.75" customHeight="1" x14ac:dyDescent="0.25">
      <c r="A101" s="1"/>
      <c r="B101" s="1"/>
      <c r="C101" s="1"/>
      <c r="D101" s="2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1:33" ht="15.75" customHeight="1" x14ac:dyDescent="0.25">
      <c r="A102" s="1"/>
      <c r="B102" s="1"/>
      <c r="C102" s="1"/>
      <c r="D102" s="2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1:33" ht="15.75" customHeight="1" x14ac:dyDescent="0.25">
      <c r="A103" s="1"/>
      <c r="B103" s="1"/>
      <c r="C103" s="1"/>
      <c r="D103" s="2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1:33" ht="15.75" customHeight="1" x14ac:dyDescent="0.25">
      <c r="A104" s="1"/>
      <c r="B104" s="1"/>
      <c r="C104" s="1"/>
      <c r="D104" s="2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1:33" ht="15.75" customHeight="1" x14ac:dyDescent="0.25">
      <c r="A105" s="1"/>
      <c r="B105" s="1"/>
      <c r="C105" s="1"/>
      <c r="D105" s="2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 spans="1:33" ht="15.75" customHeight="1" x14ac:dyDescent="0.25">
      <c r="A106" s="1"/>
      <c r="B106" s="1"/>
      <c r="C106" s="1"/>
      <c r="D106" s="2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 spans="1:33" ht="15.75" customHeight="1" x14ac:dyDescent="0.25">
      <c r="A107" s="1"/>
      <c r="B107" s="1"/>
      <c r="C107" s="1"/>
      <c r="D107" s="2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 spans="1:33" ht="15.75" customHeight="1" x14ac:dyDescent="0.25">
      <c r="A108" s="1"/>
      <c r="B108" s="1"/>
      <c r="C108" s="1"/>
      <c r="D108" s="2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 spans="1:33" ht="15.75" customHeight="1" x14ac:dyDescent="0.25">
      <c r="A109" s="1"/>
      <c r="B109" s="1"/>
      <c r="C109" s="1"/>
      <c r="D109" s="2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 spans="1:33" ht="15.75" customHeight="1" x14ac:dyDescent="0.25">
      <c r="A110" s="1"/>
      <c r="B110" s="1"/>
      <c r="C110" s="1"/>
      <c r="D110" s="2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 spans="1:33" ht="15.75" customHeight="1" x14ac:dyDescent="0.25">
      <c r="A111" s="1"/>
      <c r="B111" s="1"/>
      <c r="C111" s="1"/>
      <c r="D111" s="2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 spans="1:33" ht="15.75" customHeight="1" x14ac:dyDescent="0.25">
      <c r="A112" s="1"/>
      <c r="B112" s="1"/>
      <c r="C112" s="1"/>
      <c r="D112" s="2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 spans="1:33" ht="15.75" customHeight="1" x14ac:dyDescent="0.25">
      <c r="A113" s="1"/>
      <c r="B113" s="1"/>
      <c r="C113" s="1"/>
      <c r="D113" s="2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 ht="15.75" customHeight="1" x14ac:dyDescent="0.25">
      <c r="A114" s="1"/>
      <c r="B114" s="1"/>
      <c r="C114" s="1"/>
      <c r="D114" s="2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 ht="15.75" customHeight="1" x14ac:dyDescent="0.25">
      <c r="A115" s="1"/>
      <c r="B115" s="1"/>
      <c r="C115" s="1"/>
      <c r="D115" s="2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 spans="1:33" ht="15.75" customHeight="1" x14ac:dyDescent="0.25">
      <c r="A116" s="1"/>
      <c r="B116" s="1"/>
      <c r="C116" s="1"/>
      <c r="D116" s="2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 spans="1:33" ht="15.75" customHeight="1" x14ac:dyDescent="0.25">
      <c r="A117" s="1"/>
      <c r="B117" s="1"/>
      <c r="C117" s="1"/>
      <c r="D117" s="2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3" ht="15.75" customHeight="1" x14ac:dyDescent="0.25">
      <c r="A118" s="1"/>
      <c r="B118" s="1"/>
      <c r="C118" s="1"/>
      <c r="D118" s="2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 spans="1:33" ht="15.75" customHeight="1" x14ac:dyDescent="0.25">
      <c r="A119" s="1"/>
      <c r="B119" s="1"/>
      <c r="C119" s="1"/>
      <c r="D119" s="2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 spans="1:33" ht="15.75" customHeight="1" x14ac:dyDescent="0.25">
      <c r="A120" s="1"/>
      <c r="B120" s="1"/>
      <c r="C120" s="1"/>
      <c r="D120" s="2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 spans="1:33" ht="15.75" customHeight="1" x14ac:dyDescent="0.25">
      <c r="A121" s="1"/>
      <c r="B121" s="1"/>
      <c r="C121" s="1"/>
      <c r="D121" s="2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 spans="1:33" ht="15.75" customHeight="1" x14ac:dyDescent="0.25">
      <c r="A122" s="1"/>
      <c r="B122" s="1"/>
      <c r="C122" s="1"/>
      <c r="D122" s="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 spans="1:33" ht="15.75" customHeight="1" x14ac:dyDescent="0.25">
      <c r="A123" s="1"/>
      <c r="B123" s="1"/>
      <c r="C123" s="1"/>
      <c r="D123" s="2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 spans="1:33" ht="15.75" customHeight="1" x14ac:dyDescent="0.25">
      <c r="A124" s="1"/>
      <c r="B124" s="1"/>
      <c r="C124" s="1"/>
      <c r="D124" s="2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 spans="1:33" ht="15.75" customHeight="1" x14ac:dyDescent="0.25">
      <c r="A125" s="1"/>
      <c r="B125" s="1"/>
      <c r="C125" s="1"/>
      <c r="D125" s="2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 spans="1:33" ht="15.75" customHeight="1" x14ac:dyDescent="0.25">
      <c r="A126" s="1"/>
      <c r="B126" s="1"/>
      <c r="C126" s="1"/>
      <c r="D126" s="2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 spans="1:33" ht="15.75" customHeight="1" x14ac:dyDescent="0.25">
      <c r="A127" s="1"/>
      <c r="B127" s="1"/>
      <c r="C127" s="1"/>
      <c r="D127" s="2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 spans="1:33" ht="15.75" customHeight="1" x14ac:dyDescent="0.25">
      <c r="A128" s="1"/>
      <c r="B128" s="1"/>
      <c r="C128" s="1"/>
      <c r="D128" s="2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 spans="1:33" ht="15.75" customHeight="1" x14ac:dyDescent="0.25">
      <c r="A129" s="1"/>
      <c r="B129" s="1"/>
      <c r="C129" s="1"/>
      <c r="D129" s="2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 spans="1:33" ht="15.75" customHeight="1" x14ac:dyDescent="0.25">
      <c r="A130" s="1"/>
      <c r="B130" s="1"/>
      <c r="C130" s="1"/>
      <c r="D130" s="2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 spans="1:33" ht="15.75" customHeight="1" x14ac:dyDescent="0.25">
      <c r="A131" s="1"/>
      <c r="B131" s="1"/>
      <c r="C131" s="1"/>
      <c r="D131" s="2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 spans="1:33" ht="15.75" customHeight="1" x14ac:dyDescent="0.25">
      <c r="A132" s="1"/>
      <c r="B132" s="1"/>
      <c r="C132" s="1"/>
      <c r="D132" s="2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 spans="1:33" ht="15.75" customHeight="1" x14ac:dyDescent="0.25">
      <c r="A133" s="1"/>
      <c r="B133" s="1"/>
      <c r="C133" s="1"/>
      <c r="D133" s="2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 spans="1:33" ht="15.75" customHeight="1" x14ac:dyDescent="0.25">
      <c r="A134" s="1"/>
      <c r="B134" s="1"/>
      <c r="C134" s="1"/>
      <c r="D134" s="2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 spans="1:33" ht="15.75" customHeight="1" x14ac:dyDescent="0.25">
      <c r="A135" s="1"/>
      <c r="B135" s="1"/>
      <c r="C135" s="1"/>
      <c r="D135" s="2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 spans="1:33" ht="15.75" customHeight="1" x14ac:dyDescent="0.25">
      <c r="A136" s="1"/>
      <c r="B136" s="1"/>
      <c r="C136" s="1"/>
      <c r="D136" s="2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</row>
    <row r="137" spans="1:33" ht="15.75" customHeight="1" x14ac:dyDescent="0.25">
      <c r="A137" s="1"/>
      <c r="B137" s="1"/>
      <c r="C137" s="1"/>
      <c r="D137" s="2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 spans="1:33" ht="15.75" customHeight="1" x14ac:dyDescent="0.25">
      <c r="A138" s="1"/>
      <c r="B138" s="1"/>
      <c r="C138" s="1"/>
      <c r="D138" s="2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 spans="1:33" ht="15.75" customHeight="1" x14ac:dyDescent="0.25">
      <c r="A139" s="1"/>
      <c r="B139" s="1"/>
      <c r="C139" s="1"/>
      <c r="D139" s="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 ht="15.75" customHeight="1" x14ac:dyDescent="0.25">
      <c r="A140" s="1"/>
      <c r="B140" s="1"/>
      <c r="C140" s="1"/>
      <c r="D140" s="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 ht="15.75" customHeight="1" x14ac:dyDescent="0.25">
      <c r="A141" s="1"/>
      <c r="B141" s="1"/>
      <c r="C141" s="1"/>
      <c r="D141" s="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 spans="1:33" ht="15.75" customHeight="1" x14ac:dyDescent="0.25">
      <c r="A142" s="1"/>
      <c r="B142" s="1"/>
      <c r="C142" s="1"/>
      <c r="D142" s="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 spans="1:33" ht="15.75" customHeight="1" x14ac:dyDescent="0.25">
      <c r="A143" s="1"/>
      <c r="B143" s="1"/>
      <c r="C143" s="1"/>
      <c r="D143" s="2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 spans="1:33" ht="15.75" customHeight="1" x14ac:dyDescent="0.25">
      <c r="A144" s="1"/>
      <c r="B144" s="1"/>
      <c r="C144" s="1"/>
      <c r="D144" s="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 spans="1:33" ht="15.75" customHeight="1" x14ac:dyDescent="0.25">
      <c r="A145" s="1"/>
      <c r="B145" s="1"/>
      <c r="C145" s="1"/>
      <c r="D145" s="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 spans="1:33" ht="15.75" customHeight="1" x14ac:dyDescent="0.25">
      <c r="A146" s="1"/>
      <c r="B146" s="1"/>
      <c r="C146" s="1"/>
      <c r="D146" s="2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 spans="1:33" ht="15.75" customHeight="1" x14ac:dyDescent="0.25">
      <c r="A147" s="1"/>
      <c r="B147" s="1"/>
      <c r="C147" s="1"/>
      <c r="D147" s="2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 spans="1:33" ht="15.75" customHeight="1" x14ac:dyDescent="0.25">
      <c r="A148" s="1"/>
      <c r="B148" s="1"/>
      <c r="C148" s="1"/>
      <c r="D148" s="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 ht="15.75" customHeight="1" x14ac:dyDescent="0.25">
      <c r="A149" s="1"/>
      <c r="B149" s="1"/>
      <c r="C149" s="1"/>
      <c r="D149" s="2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 spans="1:33" ht="15.75" customHeight="1" x14ac:dyDescent="0.25">
      <c r="A150" s="1"/>
      <c r="B150" s="1"/>
      <c r="C150" s="1"/>
      <c r="D150" s="2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 spans="1:33" ht="15.75" customHeight="1" x14ac:dyDescent="0.25">
      <c r="A151" s="1"/>
      <c r="B151" s="1"/>
      <c r="C151" s="1"/>
      <c r="D151" s="2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 spans="1:33" ht="15.75" customHeight="1" x14ac:dyDescent="0.25">
      <c r="A152" s="1"/>
      <c r="B152" s="1"/>
      <c r="C152" s="1"/>
      <c r="D152" s="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 spans="1:33" ht="15.75" customHeight="1" x14ac:dyDescent="0.25">
      <c r="A153" s="1"/>
      <c r="B153" s="1"/>
      <c r="C153" s="1"/>
      <c r="D153" s="2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 spans="1:33" ht="15.75" customHeight="1" x14ac:dyDescent="0.25">
      <c r="A154" s="1"/>
      <c r="B154" s="1"/>
      <c r="C154" s="1"/>
      <c r="D154" s="2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 spans="1:33" ht="15.75" customHeight="1" x14ac:dyDescent="0.25">
      <c r="A155" s="1"/>
      <c r="B155" s="1"/>
      <c r="C155" s="1"/>
      <c r="D155" s="2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 spans="1:33" ht="15.75" customHeight="1" x14ac:dyDescent="0.25">
      <c r="A156" s="1"/>
      <c r="B156" s="1"/>
      <c r="C156" s="1"/>
      <c r="D156" s="2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 spans="1:33" ht="15.75" customHeight="1" x14ac:dyDescent="0.25">
      <c r="A157" s="1"/>
      <c r="B157" s="1"/>
      <c r="C157" s="1"/>
      <c r="D157" s="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 spans="1:33" ht="15.75" customHeight="1" x14ac:dyDescent="0.25">
      <c r="A158" s="1"/>
      <c r="B158" s="1"/>
      <c r="C158" s="1"/>
      <c r="D158" s="2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 spans="1:33" ht="15.75" customHeight="1" x14ac:dyDescent="0.25">
      <c r="A159" s="1"/>
      <c r="B159" s="1"/>
      <c r="C159" s="1"/>
      <c r="D159" s="2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 spans="1:33" ht="15.75" customHeight="1" x14ac:dyDescent="0.25">
      <c r="A160" s="1"/>
      <c r="B160" s="1"/>
      <c r="C160" s="1"/>
      <c r="D160" s="2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 spans="1:33" ht="15.75" customHeight="1" x14ac:dyDescent="0.25">
      <c r="A161" s="1"/>
      <c r="B161" s="1"/>
      <c r="C161" s="1"/>
      <c r="D161" s="2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 spans="1:33" ht="15.75" customHeight="1" x14ac:dyDescent="0.25">
      <c r="A162" s="1"/>
      <c r="B162" s="1"/>
      <c r="C162" s="1"/>
      <c r="D162" s="2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 spans="1:33" ht="15.75" customHeight="1" x14ac:dyDescent="0.25">
      <c r="A163" s="1"/>
      <c r="B163" s="1"/>
      <c r="C163" s="1"/>
      <c r="D163" s="2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 spans="1:33" ht="15.75" customHeight="1" x14ac:dyDescent="0.25">
      <c r="A164" s="1"/>
      <c r="B164" s="1"/>
      <c r="C164" s="1"/>
      <c r="D164" s="2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 spans="1:33" ht="15.75" customHeight="1" x14ac:dyDescent="0.25">
      <c r="A165" s="1"/>
      <c r="B165" s="1"/>
      <c r="C165" s="1"/>
      <c r="D165" s="2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 spans="1:33" ht="15.75" customHeight="1" x14ac:dyDescent="0.25">
      <c r="A166" s="1"/>
      <c r="B166" s="1"/>
      <c r="C166" s="1"/>
      <c r="D166" s="2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 spans="1:33" ht="15.75" customHeight="1" x14ac:dyDescent="0.25">
      <c r="A167" s="1"/>
      <c r="B167" s="1"/>
      <c r="C167" s="1"/>
      <c r="D167" s="2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 spans="1:33" ht="15.75" customHeight="1" x14ac:dyDescent="0.25">
      <c r="A168" s="1"/>
      <c r="B168" s="1"/>
      <c r="C168" s="1"/>
      <c r="D168" s="2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 spans="1:33" ht="15.75" customHeight="1" x14ac:dyDescent="0.25">
      <c r="A169" s="1"/>
      <c r="B169" s="1"/>
      <c r="C169" s="1"/>
      <c r="D169" s="2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 spans="1:33" ht="15.75" customHeight="1" x14ac:dyDescent="0.25">
      <c r="A170" s="1"/>
      <c r="B170" s="1"/>
      <c r="C170" s="1"/>
      <c r="D170" s="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 spans="1:33" ht="15.75" customHeight="1" x14ac:dyDescent="0.25">
      <c r="A171" s="1"/>
      <c r="B171" s="1"/>
      <c r="C171" s="1"/>
      <c r="D171" s="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 spans="1:33" ht="15.75" customHeight="1" x14ac:dyDescent="0.25">
      <c r="A172" s="1"/>
      <c r="B172" s="1"/>
      <c r="C172" s="1"/>
      <c r="D172" s="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 spans="1:33" ht="15.75" customHeight="1" x14ac:dyDescent="0.25">
      <c r="A173" s="1"/>
      <c r="B173" s="1"/>
      <c r="C173" s="1"/>
      <c r="D173" s="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 spans="1:33" ht="15.75" customHeight="1" x14ac:dyDescent="0.25">
      <c r="A174" s="1"/>
      <c r="B174" s="1"/>
      <c r="C174" s="1"/>
      <c r="D174" s="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 spans="1:33" ht="15.75" customHeight="1" x14ac:dyDescent="0.25">
      <c r="A175" s="1"/>
      <c r="B175" s="1"/>
      <c r="C175" s="1"/>
      <c r="D175" s="2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 spans="1:33" ht="15.75" customHeight="1" x14ac:dyDescent="0.25">
      <c r="A176" s="1"/>
      <c r="B176" s="1"/>
      <c r="C176" s="1"/>
      <c r="D176" s="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 spans="1:33" ht="15.75" customHeight="1" x14ac:dyDescent="0.25">
      <c r="A177" s="1"/>
      <c r="B177" s="1"/>
      <c r="C177" s="1"/>
      <c r="D177" s="2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 spans="1:33" ht="15.75" customHeight="1" x14ac:dyDescent="0.25">
      <c r="A178" s="1"/>
      <c r="B178" s="1"/>
      <c r="C178" s="1"/>
      <c r="D178" s="2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 spans="1:33" ht="15.75" customHeight="1" x14ac:dyDescent="0.25">
      <c r="A179" s="1"/>
      <c r="B179" s="1"/>
      <c r="C179" s="1"/>
      <c r="D179" s="2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 spans="1:33" ht="15.75" customHeight="1" x14ac:dyDescent="0.25">
      <c r="A180" s="1"/>
      <c r="B180" s="1"/>
      <c r="C180" s="1"/>
      <c r="D180" s="2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 spans="1:33" ht="15.75" customHeight="1" x14ac:dyDescent="0.25">
      <c r="A181" s="1"/>
      <c r="B181" s="1"/>
      <c r="C181" s="1"/>
      <c r="D181" s="2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 spans="1:33" ht="15.75" customHeight="1" x14ac:dyDescent="0.25">
      <c r="A182" s="1"/>
      <c r="B182" s="1"/>
      <c r="C182" s="1"/>
      <c r="D182" s="2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 spans="1:33" ht="15.75" customHeight="1" x14ac:dyDescent="0.25">
      <c r="A183" s="1"/>
      <c r="B183" s="1"/>
      <c r="C183" s="1"/>
      <c r="D183" s="2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 spans="1:33" ht="15.75" customHeight="1" x14ac:dyDescent="0.25">
      <c r="A184" s="1"/>
      <c r="B184" s="1"/>
      <c r="C184" s="1"/>
      <c r="D184" s="2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 spans="1:33" ht="15.75" customHeight="1" x14ac:dyDescent="0.25">
      <c r="A185" s="1"/>
      <c r="B185" s="1"/>
      <c r="C185" s="1"/>
      <c r="D185" s="2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 spans="1:33" ht="15.75" customHeight="1" x14ac:dyDescent="0.25">
      <c r="A186" s="1"/>
      <c r="B186" s="1"/>
      <c r="C186" s="1"/>
      <c r="D186" s="2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 spans="1:33" ht="15.75" customHeight="1" x14ac:dyDescent="0.25">
      <c r="A187" s="1"/>
      <c r="B187" s="1"/>
      <c r="C187" s="1"/>
      <c r="D187" s="2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</row>
    <row r="188" spans="1:33" ht="15.75" customHeight="1" x14ac:dyDescent="0.25">
      <c r="A188" s="1"/>
      <c r="B188" s="1"/>
      <c r="C188" s="1"/>
      <c r="D188" s="2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 spans="1:33" ht="15.75" customHeight="1" x14ac:dyDescent="0.25">
      <c r="A189" s="1"/>
      <c r="B189" s="1"/>
      <c r="C189" s="1"/>
      <c r="D189" s="2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 spans="1:33" ht="15.75" customHeight="1" x14ac:dyDescent="0.25">
      <c r="A190" s="1"/>
      <c r="B190" s="1"/>
      <c r="C190" s="1"/>
      <c r="D190" s="2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 spans="1:33" ht="15.75" customHeight="1" x14ac:dyDescent="0.25">
      <c r="A191" s="1"/>
      <c r="B191" s="1"/>
      <c r="C191" s="1"/>
      <c r="D191" s="2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 spans="1:33" ht="15.75" customHeight="1" x14ac:dyDescent="0.25">
      <c r="A192" s="1"/>
      <c r="B192" s="1"/>
      <c r="C192" s="1"/>
      <c r="D192" s="2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 spans="1:33" ht="15.75" customHeight="1" x14ac:dyDescent="0.25">
      <c r="A193" s="1"/>
      <c r="B193" s="1"/>
      <c r="C193" s="1"/>
      <c r="D193" s="2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 spans="1:33" ht="15.75" customHeight="1" x14ac:dyDescent="0.25">
      <c r="A194" s="1"/>
      <c r="B194" s="1"/>
      <c r="C194" s="1"/>
      <c r="D194" s="2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 spans="1:33" ht="15.75" customHeight="1" x14ac:dyDescent="0.25">
      <c r="A195" s="1"/>
      <c r="B195" s="1"/>
      <c r="C195" s="1"/>
      <c r="D195" s="2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 spans="1:33" ht="15.75" customHeight="1" x14ac:dyDescent="0.25">
      <c r="A196" s="1"/>
      <c r="B196" s="1"/>
      <c r="C196" s="1"/>
      <c r="D196" s="2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 spans="1:33" ht="15.75" customHeight="1" x14ac:dyDescent="0.25">
      <c r="A197" s="1"/>
      <c r="B197" s="1"/>
      <c r="C197" s="1"/>
      <c r="D197" s="2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 spans="1:33" ht="15.75" customHeight="1" x14ac:dyDescent="0.25">
      <c r="A198" s="1"/>
      <c r="B198" s="1"/>
      <c r="C198" s="1"/>
      <c r="D198" s="2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 spans="1:33" ht="15.75" customHeight="1" x14ac:dyDescent="0.25">
      <c r="A199" s="1"/>
      <c r="B199" s="1"/>
      <c r="C199" s="1"/>
      <c r="D199" s="2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 spans="1:33" ht="15.75" customHeight="1" x14ac:dyDescent="0.25">
      <c r="A200" s="1"/>
      <c r="B200" s="1"/>
      <c r="C200" s="1"/>
      <c r="D200" s="2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 spans="1:33" ht="15.75" customHeight="1" x14ac:dyDescent="0.25">
      <c r="A201" s="1"/>
      <c r="B201" s="1"/>
      <c r="C201" s="1"/>
      <c r="D201" s="2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 spans="1:33" ht="15.75" customHeight="1" x14ac:dyDescent="0.25">
      <c r="A202" s="1"/>
      <c r="B202" s="1"/>
      <c r="C202" s="1"/>
      <c r="D202" s="2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 spans="1:33" ht="15.75" customHeight="1" x14ac:dyDescent="0.25">
      <c r="A203" s="1"/>
      <c r="B203" s="1"/>
      <c r="C203" s="1"/>
      <c r="D203" s="2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 spans="1:33" ht="15.75" customHeight="1" x14ac:dyDescent="0.25">
      <c r="A204" s="1"/>
      <c r="B204" s="1"/>
      <c r="C204" s="1"/>
      <c r="D204" s="2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 spans="1:33" ht="15.75" customHeight="1" x14ac:dyDescent="0.25">
      <c r="A205" s="1"/>
      <c r="B205" s="1"/>
      <c r="C205" s="1"/>
      <c r="D205" s="2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 spans="1:33" ht="15.75" customHeight="1" x14ac:dyDescent="0.25">
      <c r="A206" s="1"/>
      <c r="B206" s="1"/>
      <c r="C206" s="1"/>
      <c r="D206" s="2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 spans="1:33" ht="15.75" customHeight="1" x14ac:dyDescent="0.25">
      <c r="A207" s="1"/>
      <c r="B207" s="1"/>
      <c r="C207" s="1"/>
      <c r="D207" s="2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 spans="1:33" ht="15.75" customHeight="1" x14ac:dyDescent="0.25">
      <c r="A208" s="1"/>
      <c r="B208" s="1"/>
      <c r="C208" s="1"/>
      <c r="D208" s="2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 spans="1:33" ht="15.75" customHeight="1" x14ac:dyDescent="0.25">
      <c r="A209" s="1"/>
      <c r="B209" s="1"/>
      <c r="C209" s="1"/>
      <c r="D209" s="2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 spans="1:33" ht="15.75" customHeight="1" x14ac:dyDescent="0.25">
      <c r="A210" s="1"/>
      <c r="B210" s="1"/>
      <c r="C210" s="1"/>
      <c r="D210" s="2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 spans="1:33" ht="15.75" customHeight="1" x14ac:dyDescent="0.25">
      <c r="A211" s="1"/>
      <c r="B211" s="1"/>
      <c r="C211" s="1"/>
      <c r="D211" s="2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 spans="1:33" ht="15.75" customHeight="1" x14ac:dyDescent="0.25">
      <c r="A212" s="1"/>
      <c r="B212" s="1"/>
      <c r="C212" s="1"/>
      <c r="D212" s="2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 spans="1:33" ht="15.75" customHeight="1" x14ac:dyDescent="0.25">
      <c r="A213" s="1"/>
      <c r="B213" s="1"/>
      <c r="C213" s="1"/>
      <c r="D213" s="2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 spans="1:33" ht="15.75" customHeight="1" x14ac:dyDescent="0.25">
      <c r="A214" s="1"/>
      <c r="B214" s="1"/>
      <c r="C214" s="1"/>
      <c r="D214" s="2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 spans="1:33" ht="15.75" customHeight="1" x14ac:dyDescent="0.25">
      <c r="A215" s="1"/>
      <c r="B215" s="1"/>
      <c r="C215" s="1"/>
      <c r="D215" s="2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 spans="1:33" ht="15.75" customHeight="1" x14ac:dyDescent="0.25">
      <c r="A216" s="1"/>
      <c r="B216" s="1"/>
      <c r="C216" s="1"/>
      <c r="D216" s="2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 spans="1:33" ht="15.75" customHeight="1" x14ac:dyDescent="0.25">
      <c r="A217" s="1"/>
      <c r="B217" s="1"/>
      <c r="C217" s="1"/>
      <c r="D217" s="2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 spans="1:33" ht="15.75" customHeight="1" x14ac:dyDescent="0.25">
      <c r="A218" s="1"/>
      <c r="B218" s="1"/>
      <c r="C218" s="1"/>
      <c r="D218" s="2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 spans="1:33" ht="15.75" customHeight="1" x14ac:dyDescent="0.25">
      <c r="A219" s="1"/>
      <c r="B219" s="1"/>
      <c r="C219" s="1"/>
      <c r="D219" s="2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 spans="1:33" ht="15.75" customHeight="1" x14ac:dyDescent="0.25">
      <c r="A220" s="1"/>
      <c r="B220" s="1"/>
      <c r="C220" s="1"/>
      <c r="D220" s="2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 spans="1:33" ht="15.75" customHeight="1" x14ac:dyDescent="0.25">
      <c r="A221" s="1"/>
      <c r="B221" s="1"/>
      <c r="C221" s="1"/>
      <c r="D221" s="2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 spans="1:33" ht="15.75" customHeight="1" x14ac:dyDescent="0.25">
      <c r="A222" s="1"/>
      <c r="B222" s="1"/>
      <c r="C222" s="1"/>
      <c r="D222" s="2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 spans="1:33" ht="15.75" customHeight="1" x14ac:dyDescent="0.25">
      <c r="A223" s="1"/>
      <c r="B223" s="1"/>
      <c r="C223" s="1"/>
      <c r="D223" s="2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 spans="1:33" ht="15.75" customHeight="1" x14ac:dyDescent="0.25">
      <c r="A224" s="1"/>
      <c r="B224" s="1"/>
      <c r="C224" s="1"/>
      <c r="D224" s="2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 spans="1:33" ht="15.75" customHeight="1" x14ac:dyDescent="0.25">
      <c r="A225" s="1"/>
      <c r="B225" s="1"/>
      <c r="C225" s="1"/>
      <c r="D225" s="2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 spans="1:33" ht="15.75" customHeight="1" x14ac:dyDescent="0.25">
      <c r="A226" s="1"/>
      <c r="B226" s="1"/>
      <c r="C226" s="1"/>
      <c r="D226" s="2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 spans="1:33" ht="15.75" customHeight="1" x14ac:dyDescent="0.25">
      <c r="A227" s="1"/>
      <c r="B227" s="1"/>
      <c r="C227" s="1"/>
      <c r="D227" s="2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 spans="1:33" ht="15.75" customHeight="1" x14ac:dyDescent="0.25">
      <c r="A228" s="1"/>
      <c r="B228" s="1"/>
      <c r="C228" s="1"/>
      <c r="D228" s="2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 spans="1:33" ht="15.75" customHeight="1" x14ac:dyDescent="0.25">
      <c r="A229" s="1"/>
      <c r="B229" s="1"/>
      <c r="C229" s="1"/>
      <c r="D229" s="2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 spans="1:33" ht="15.75" customHeight="1" x14ac:dyDescent="0.25">
      <c r="A230" s="1"/>
      <c r="B230" s="1"/>
      <c r="C230" s="1"/>
      <c r="D230" s="2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 spans="1:33" ht="15.75" customHeight="1" x14ac:dyDescent="0.25">
      <c r="A231" s="1"/>
      <c r="B231" s="1"/>
      <c r="C231" s="1"/>
      <c r="D231" s="2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 spans="1:33" ht="15.75" customHeight="1" x14ac:dyDescent="0.25">
      <c r="A232" s="1"/>
      <c r="B232" s="1"/>
      <c r="C232" s="1"/>
      <c r="D232" s="2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 spans="1:33" ht="15.75" customHeight="1" x14ac:dyDescent="0.25">
      <c r="A233" s="1"/>
      <c r="B233" s="1"/>
      <c r="C233" s="1"/>
      <c r="D233" s="2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 spans="1:33" ht="15.75" customHeight="1" x14ac:dyDescent="0.25">
      <c r="A234" s="1"/>
      <c r="B234" s="1"/>
      <c r="C234" s="1"/>
      <c r="D234" s="2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 spans="1:33" ht="15.75" customHeight="1" x14ac:dyDescent="0.25">
      <c r="A235" s="1"/>
      <c r="B235" s="1"/>
      <c r="C235" s="1"/>
      <c r="D235" s="2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 spans="1:33" ht="15.75" customHeight="1" x14ac:dyDescent="0.25">
      <c r="A236" s="1"/>
      <c r="B236" s="1"/>
      <c r="C236" s="1"/>
      <c r="D236" s="2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 spans="1:33" ht="15.75" customHeight="1" x14ac:dyDescent="0.25">
      <c r="A237" s="1"/>
      <c r="B237" s="1"/>
      <c r="C237" s="1"/>
      <c r="D237" s="2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 spans="1:33" ht="15.75" customHeight="1" x14ac:dyDescent="0.25">
      <c r="A238" s="1"/>
      <c r="B238" s="1"/>
      <c r="C238" s="1"/>
      <c r="D238" s="2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</row>
    <row r="239" spans="1:33" ht="15.75" customHeight="1" x14ac:dyDescent="0.25">
      <c r="A239" s="1"/>
      <c r="B239" s="1"/>
      <c r="C239" s="1"/>
      <c r="D239" s="2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 spans="1:33" ht="15.75" customHeight="1" x14ac:dyDescent="0.25">
      <c r="A240" s="1"/>
      <c r="B240" s="1"/>
      <c r="C240" s="1"/>
      <c r="D240" s="2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 spans="1:33" ht="15.75" customHeight="1" x14ac:dyDescent="0.25">
      <c r="A241" s="1"/>
      <c r="B241" s="1"/>
      <c r="C241" s="1"/>
      <c r="D241" s="2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 spans="1:33" ht="15.75" customHeight="1" x14ac:dyDescent="0.25">
      <c r="A242" s="1"/>
      <c r="B242" s="1"/>
      <c r="C242" s="1"/>
      <c r="D242" s="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 spans="1:33" ht="15.75" customHeight="1" x14ac:dyDescent="0.25">
      <c r="A243" s="1"/>
      <c r="B243" s="1"/>
      <c r="C243" s="1"/>
      <c r="D243" s="2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 spans="1:33" ht="15.75" customHeight="1" x14ac:dyDescent="0.25">
      <c r="A244" s="1"/>
      <c r="B244" s="1"/>
      <c r="C244" s="1"/>
      <c r="D244" s="2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 spans="1:33" ht="15.75" customHeight="1" x14ac:dyDescent="0.25">
      <c r="A245" s="1"/>
      <c r="B245" s="1"/>
      <c r="C245" s="1"/>
      <c r="D245" s="2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 spans="1:33" ht="15.75" customHeight="1" x14ac:dyDescent="0.25">
      <c r="A246" s="1"/>
      <c r="B246" s="1"/>
      <c r="C246" s="1"/>
      <c r="D246" s="2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 spans="1:33" ht="15.75" customHeight="1" x14ac:dyDescent="0.25">
      <c r="A247" s="1"/>
      <c r="B247" s="1"/>
      <c r="C247" s="1"/>
      <c r="D247" s="2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 spans="1:33" ht="15.75" customHeight="1" x14ac:dyDescent="0.25">
      <c r="A248" s="1"/>
      <c r="B248" s="1"/>
      <c r="C248" s="1"/>
      <c r="D248" s="2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 spans="1:33" ht="15.75" customHeight="1" x14ac:dyDescent="0.25">
      <c r="A249" s="1"/>
      <c r="B249" s="1"/>
      <c r="C249" s="1"/>
      <c r="D249" s="2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 spans="1:33" ht="15.75" customHeight="1" x14ac:dyDescent="0.25">
      <c r="A250" s="1"/>
      <c r="B250" s="1"/>
      <c r="C250" s="1"/>
      <c r="D250" s="2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 spans="1:33" ht="15.75" customHeight="1" x14ac:dyDescent="0.25">
      <c r="A251" s="1"/>
      <c r="B251" s="1"/>
      <c r="C251" s="1"/>
      <c r="D251" s="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 spans="1:33" ht="15.75" customHeight="1" x14ac:dyDescent="0.25">
      <c r="A252" s="1"/>
      <c r="B252" s="1"/>
      <c r="C252" s="1"/>
      <c r="D252" s="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 spans="1:33" ht="15.75" customHeight="1" x14ac:dyDescent="0.25">
      <c r="A253" s="1"/>
      <c r="B253" s="1"/>
      <c r="C253" s="1"/>
      <c r="D253" s="2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 spans="1:33" ht="15.75" customHeight="1" x14ac:dyDescent="0.25">
      <c r="A254" s="1"/>
      <c r="B254" s="1"/>
      <c r="C254" s="1"/>
      <c r="D254" s="2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 spans="1:33" ht="15.75" customHeight="1" x14ac:dyDescent="0.25">
      <c r="A255" s="1"/>
      <c r="B255" s="1"/>
      <c r="C255" s="1"/>
      <c r="D255" s="2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 spans="1:33" ht="15.75" customHeight="1" x14ac:dyDescent="0.25">
      <c r="A256" s="1"/>
      <c r="B256" s="1"/>
      <c r="C256" s="1"/>
      <c r="D256" s="2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 spans="1:33" ht="15.75" customHeight="1" x14ac:dyDescent="0.25">
      <c r="A257" s="1"/>
      <c r="B257" s="1"/>
      <c r="C257" s="1"/>
      <c r="D257" s="2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 spans="1:33" ht="15.75" customHeight="1" x14ac:dyDescent="0.25">
      <c r="A258" s="1"/>
      <c r="B258" s="1"/>
      <c r="C258" s="1"/>
      <c r="D258" s="2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 spans="1:33" ht="15.75" customHeight="1" x14ac:dyDescent="0.25">
      <c r="A259" s="1"/>
      <c r="B259" s="1"/>
      <c r="C259" s="1"/>
      <c r="D259" s="2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 spans="1:33" ht="15.75" customHeight="1" x14ac:dyDescent="0.25">
      <c r="A260" s="1"/>
      <c r="B260" s="1"/>
      <c r="C260" s="1"/>
      <c r="D260" s="2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 spans="1:33" ht="15.75" customHeight="1" x14ac:dyDescent="0.25">
      <c r="A261" s="1"/>
      <c r="B261" s="1"/>
      <c r="C261" s="1"/>
      <c r="D261" s="2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 spans="1:33" ht="15.75" customHeight="1" x14ac:dyDescent="0.25">
      <c r="A262" s="1"/>
      <c r="B262" s="1"/>
      <c r="C262" s="1"/>
      <c r="D262" s="2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 spans="1:33" ht="15.75" customHeight="1" x14ac:dyDescent="0.25">
      <c r="A263" s="1"/>
      <c r="B263" s="1"/>
      <c r="C263" s="1"/>
      <c r="D263" s="2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 spans="1:33" ht="15.75" customHeight="1" x14ac:dyDescent="0.25">
      <c r="A264" s="1"/>
      <c r="B264" s="1"/>
      <c r="C264" s="1"/>
      <c r="D264" s="2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 spans="1:33" ht="15.75" customHeight="1" x14ac:dyDescent="0.25">
      <c r="A265" s="1"/>
      <c r="B265" s="1"/>
      <c r="C265" s="1"/>
      <c r="D265" s="2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 spans="1:33" ht="15.75" customHeight="1" x14ac:dyDescent="0.25">
      <c r="A266" s="1"/>
      <c r="B266" s="1"/>
      <c r="C266" s="1"/>
      <c r="D266" s="2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 spans="1:33" ht="15.75" customHeight="1" x14ac:dyDescent="0.25">
      <c r="A267" s="1"/>
      <c r="B267" s="1"/>
      <c r="C267" s="1"/>
      <c r="D267" s="2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 spans="1:33" ht="15.75" customHeight="1" x14ac:dyDescent="0.25">
      <c r="A268" s="1"/>
      <c r="B268" s="1"/>
      <c r="C268" s="1"/>
      <c r="D268" s="2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 spans="1:33" ht="15.75" customHeight="1" x14ac:dyDescent="0.25">
      <c r="A269" s="1"/>
      <c r="B269" s="1"/>
      <c r="C269" s="1"/>
      <c r="D269" s="2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 spans="1:33" ht="15.75" customHeight="1" x14ac:dyDescent="0.25">
      <c r="A270" s="1"/>
      <c r="B270" s="1"/>
      <c r="C270" s="1"/>
      <c r="D270" s="2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 spans="1:33" ht="15.75" customHeight="1" x14ac:dyDescent="0.25">
      <c r="A271" s="1"/>
      <c r="B271" s="1"/>
      <c r="C271" s="1"/>
      <c r="D271" s="2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 spans="1:33" ht="15.75" customHeight="1" x14ac:dyDescent="0.25">
      <c r="A272" s="1"/>
      <c r="B272" s="1"/>
      <c r="C272" s="1"/>
      <c r="D272" s="2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 spans="1:33" ht="15.75" customHeight="1" x14ac:dyDescent="0.25">
      <c r="A273" s="1"/>
      <c r="B273" s="1"/>
      <c r="C273" s="1"/>
      <c r="D273" s="2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 spans="1:33" ht="15.75" customHeight="1" x14ac:dyDescent="0.25">
      <c r="A274" s="1"/>
      <c r="B274" s="1"/>
      <c r="C274" s="1"/>
      <c r="D274" s="2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 spans="1:33" ht="15.75" customHeight="1" x14ac:dyDescent="0.25">
      <c r="A275" s="1"/>
      <c r="B275" s="1"/>
      <c r="C275" s="1"/>
      <c r="D275" s="2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 spans="1:33" ht="15.75" customHeight="1" x14ac:dyDescent="0.25">
      <c r="A276" s="1"/>
      <c r="B276" s="1"/>
      <c r="C276" s="1"/>
      <c r="D276" s="2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 spans="1:33" ht="15.75" customHeight="1" x14ac:dyDescent="0.25">
      <c r="A277" s="1"/>
      <c r="B277" s="1"/>
      <c r="C277" s="1"/>
      <c r="D277" s="2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 spans="1:33" ht="15.75" customHeight="1" x14ac:dyDescent="0.25">
      <c r="A278" s="1"/>
      <c r="B278" s="1"/>
      <c r="C278" s="1"/>
      <c r="D278" s="2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</row>
    <row r="279" spans="1:33" ht="15.75" customHeight="1" x14ac:dyDescent="0.25">
      <c r="A279" s="1"/>
      <c r="B279" s="1"/>
      <c r="C279" s="1"/>
      <c r="D279" s="2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</row>
    <row r="280" spans="1:33" ht="15.75" customHeight="1" x14ac:dyDescent="0.25">
      <c r="A280" s="1"/>
      <c r="B280" s="1"/>
      <c r="C280" s="1"/>
      <c r="D280" s="2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 spans="1:33" ht="15.75" customHeight="1" x14ac:dyDescent="0.25">
      <c r="A281" s="1"/>
      <c r="B281" s="1"/>
      <c r="C281" s="1"/>
      <c r="D281" s="2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 spans="1:33" ht="15.75" customHeight="1" x14ac:dyDescent="0.25">
      <c r="A282" s="1"/>
      <c r="B282" s="1"/>
      <c r="C282" s="1"/>
      <c r="D282" s="2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 spans="1:33" ht="15.75" customHeight="1" x14ac:dyDescent="0.25">
      <c r="A283" s="1"/>
      <c r="B283" s="1"/>
      <c r="C283" s="1"/>
      <c r="D283" s="2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  <row r="284" spans="1:33" ht="15.75" customHeight="1" x14ac:dyDescent="0.25">
      <c r="A284" s="1"/>
      <c r="B284" s="1"/>
      <c r="C284" s="1"/>
      <c r="D284" s="2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</row>
    <row r="285" spans="1:33" ht="15.75" customHeight="1" x14ac:dyDescent="0.25">
      <c r="A285" s="1"/>
      <c r="B285" s="1"/>
      <c r="C285" s="1"/>
      <c r="D285" s="2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</row>
    <row r="286" spans="1:33" ht="15.75" customHeight="1" x14ac:dyDescent="0.25">
      <c r="A286" s="1"/>
      <c r="B286" s="1"/>
      <c r="C286" s="1"/>
      <c r="D286" s="2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</row>
    <row r="287" spans="1:33" ht="15.75" customHeight="1" x14ac:dyDescent="0.25">
      <c r="A287" s="1"/>
      <c r="B287" s="1"/>
      <c r="C287" s="1"/>
      <c r="D287" s="2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</row>
    <row r="288" spans="1:33" ht="15.75" customHeight="1" x14ac:dyDescent="0.25">
      <c r="A288" s="1"/>
      <c r="B288" s="1"/>
      <c r="C288" s="1"/>
      <c r="D288" s="2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</row>
    <row r="289" spans="1:33" ht="15.75" customHeight="1" x14ac:dyDescent="0.25">
      <c r="A289" s="1"/>
      <c r="B289" s="1"/>
      <c r="C289" s="1"/>
      <c r="D289" s="2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</row>
    <row r="290" spans="1:33" ht="15.75" customHeight="1" x14ac:dyDescent="0.25">
      <c r="A290" s="1"/>
      <c r="B290" s="1"/>
      <c r="C290" s="1"/>
      <c r="D290" s="2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</row>
    <row r="291" spans="1:33" ht="15.75" customHeight="1" x14ac:dyDescent="0.25">
      <c r="A291" s="1"/>
      <c r="B291" s="1"/>
      <c r="C291" s="1"/>
      <c r="D291" s="2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</row>
    <row r="292" spans="1:33" ht="15.75" customHeight="1" x14ac:dyDescent="0.25">
      <c r="A292" s="1"/>
      <c r="B292" s="1"/>
      <c r="C292" s="1"/>
      <c r="D292" s="2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</row>
    <row r="293" spans="1:33" ht="15.75" customHeight="1" x14ac:dyDescent="0.25">
      <c r="A293" s="1"/>
      <c r="B293" s="1"/>
      <c r="C293" s="1"/>
      <c r="D293" s="2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</row>
    <row r="294" spans="1:33" ht="15.75" customHeight="1" x14ac:dyDescent="0.25">
      <c r="A294" s="1"/>
      <c r="B294" s="1"/>
      <c r="C294" s="1"/>
      <c r="D294" s="2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</row>
    <row r="295" spans="1:33" ht="15.75" customHeight="1" x14ac:dyDescent="0.25">
      <c r="A295" s="1"/>
      <c r="B295" s="1"/>
      <c r="C295" s="1"/>
      <c r="D295" s="2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</row>
    <row r="296" spans="1:33" ht="15.75" customHeight="1" x14ac:dyDescent="0.25">
      <c r="A296" s="1"/>
      <c r="B296" s="1"/>
      <c r="C296" s="1"/>
      <c r="D296" s="2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</row>
    <row r="297" spans="1:33" ht="15.75" customHeight="1" x14ac:dyDescent="0.25">
      <c r="A297" s="1"/>
      <c r="B297" s="1"/>
      <c r="C297" s="1"/>
      <c r="D297" s="2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</row>
    <row r="298" spans="1:33" ht="15.75" customHeight="1" x14ac:dyDescent="0.25">
      <c r="A298" s="1"/>
      <c r="B298" s="1"/>
      <c r="C298" s="1"/>
      <c r="D298" s="2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</row>
    <row r="299" spans="1:33" ht="15.75" customHeight="1" x14ac:dyDescent="0.25">
      <c r="A299" s="1"/>
      <c r="B299" s="1"/>
      <c r="C299" s="1"/>
      <c r="D299" s="2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</row>
    <row r="300" spans="1:33" ht="15.75" customHeight="1" x14ac:dyDescent="0.25">
      <c r="A300" s="1"/>
      <c r="B300" s="1"/>
      <c r="C300" s="1"/>
      <c r="D300" s="2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</row>
    <row r="301" spans="1:33" ht="15.75" customHeight="1" x14ac:dyDescent="0.25">
      <c r="A301" s="1"/>
      <c r="B301" s="1"/>
      <c r="C301" s="1"/>
      <c r="D301" s="2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</row>
    <row r="302" spans="1:33" ht="15.75" customHeight="1" x14ac:dyDescent="0.25">
      <c r="A302" s="1"/>
      <c r="B302" s="1"/>
      <c r="C302" s="1"/>
      <c r="D302" s="2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</row>
    <row r="303" spans="1:33" ht="15.75" customHeight="1" x14ac:dyDescent="0.25">
      <c r="A303" s="1"/>
      <c r="B303" s="1"/>
      <c r="C303" s="1"/>
      <c r="D303" s="2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</row>
    <row r="304" spans="1:33" ht="15.75" customHeight="1" x14ac:dyDescent="0.25">
      <c r="A304" s="1"/>
      <c r="B304" s="1"/>
      <c r="C304" s="1"/>
      <c r="D304" s="2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</row>
    <row r="305" spans="1:33" ht="15.75" customHeight="1" x14ac:dyDescent="0.25">
      <c r="A305" s="1"/>
      <c r="B305" s="1"/>
      <c r="C305" s="1"/>
      <c r="D305" s="2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</row>
    <row r="306" spans="1:33" ht="15.75" customHeight="1" x14ac:dyDescent="0.25">
      <c r="A306" s="1"/>
      <c r="B306" s="1"/>
      <c r="C306" s="1"/>
      <c r="D306" s="2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</row>
    <row r="307" spans="1:33" ht="15.75" customHeight="1" x14ac:dyDescent="0.25">
      <c r="A307" s="1"/>
      <c r="B307" s="1"/>
      <c r="C307" s="1"/>
      <c r="D307" s="2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</row>
    <row r="308" spans="1:33" ht="15.75" customHeight="1" x14ac:dyDescent="0.25">
      <c r="A308" s="1"/>
      <c r="B308" s="1"/>
      <c r="C308" s="1"/>
      <c r="D308" s="2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</row>
    <row r="309" spans="1:33" ht="15.75" customHeight="1" x14ac:dyDescent="0.25">
      <c r="A309" s="1"/>
      <c r="B309" s="1"/>
      <c r="C309" s="1"/>
      <c r="D309" s="2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</row>
    <row r="310" spans="1:33" ht="15.75" customHeight="1" x14ac:dyDescent="0.25">
      <c r="A310" s="1"/>
      <c r="B310" s="1"/>
      <c r="C310" s="1"/>
      <c r="D310" s="2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</row>
    <row r="311" spans="1:33" ht="15.75" customHeight="1" x14ac:dyDescent="0.25">
      <c r="A311" s="1"/>
      <c r="B311" s="1"/>
      <c r="C311" s="1"/>
      <c r="D311" s="2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</row>
    <row r="312" spans="1:33" ht="15.75" customHeight="1" x14ac:dyDescent="0.25">
      <c r="A312" s="1"/>
      <c r="B312" s="1"/>
      <c r="C312" s="1"/>
      <c r="D312" s="2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</row>
    <row r="313" spans="1:33" ht="15.75" customHeight="1" x14ac:dyDescent="0.25">
      <c r="A313" s="1"/>
      <c r="B313" s="1"/>
      <c r="C313" s="1"/>
      <c r="D313" s="2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</row>
    <row r="314" spans="1:33" ht="15.75" customHeight="1" x14ac:dyDescent="0.25">
      <c r="A314" s="1"/>
      <c r="B314" s="1"/>
      <c r="C314" s="1"/>
      <c r="D314" s="2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</row>
    <row r="315" spans="1:33" ht="15.75" customHeight="1" x14ac:dyDescent="0.25">
      <c r="A315" s="1"/>
      <c r="B315" s="1"/>
      <c r="C315" s="1"/>
      <c r="D315" s="2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</row>
    <row r="316" spans="1:33" ht="15.75" customHeight="1" x14ac:dyDescent="0.25">
      <c r="A316" s="1"/>
      <c r="B316" s="1"/>
      <c r="C316" s="1"/>
      <c r="D316" s="2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</row>
    <row r="317" spans="1:33" ht="15.75" customHeight="1" x14ac:dyDescent="0.25">
      <c r="A317" s="1"/>
      <c r="B317" s="1"/>
      <c r="C317" s="1"/>
      <c r="D317" s="2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</row>
    <row r="318" spans="1:33" ht="15.75" customHeight="1" x14ac:dyDescent="0.25">
      <c r="A318" s="1"/>
      <c r="B318" s="1"/>
      <c r="C318" s="1"/>
      <c r="D318" s="2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</row>
    <row r="319" spans="1:33" ht="15.75" customHeight="1" x14ac:dyDescent="0.25">
      <c r="A319" s="1"/>
      <c r="B319" s="1"/>
      <c r="C319" s="1"/>
      <c r="D319" s="2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3" ht="15.75" customHeight="1" x14ac:dyDescent="0.25">
      <c r="A320" s="1"/>
      <c r="B320" s="1"/>
      <c r="C320" s="1"/>
      <c r="D320" s="2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</row>
    <row r="321" spans="1:33" ht="15.75" customHeight="1" x14ac:dyDescent="0.25">
      <c r="A321" s="1"/>
      <c r="B321" s="1"/>
      <c r="C321" s="1"/>
      <c r="D321" s="2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</row>
    <row r="322" spans="1:33" ht="15.75" customHeight="1" x14ac:dyDescent="0.25">
      <c r="A322" s="1"/>
      <c r="B322" s="1"/>
      <c r="C322" s="1"/>
      <c r="D322" s="2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</row>
    <row r="323" spans="1:33" ht="15.75" customHeight="1" x14ac:dyDescent="0.25">
      <c r="A323" s="1"/>
      <c r="B323" s="1"/>
      <c r="C323" s="1"/>
      <c r="D323" s="2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</row>
    <row r="324" spans="1:33" ht="15.75" customHeight="1" x14ac:dyDescent="0.25">
      <c r="A324" s="1"/>
      <c r="B324" s="1"/>
      <c r="C324" s="1"/>
      <c r="D324" s="2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</row>
    <row r="325" spans="1:33" ht="15.75" customHeight="1" x14ac:dyDescent="0.25">
      <c r="A325" s="1"/>
      <c r="B325" s="1"/>
      <c r="C325" s="1"/>
      <c r="D325" s="2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</row>
    <row r="326" spans="1:33" ht="15.75" customHeight="1" x14ac:dyDescent="0.25">
      <c r="A326" s="1"/>
      <c r="B326" s="1"/>
      <c r="C326" s="1"/>
      <c r="D326" s="2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</row>
    <row r="327" spans="1:33" ht="15.75" customHeight="1" x14ac:dyDescent="0.25">
      <c r="A327" s="1"/>
      <c r="B327" s="1"/>
      <c r="C327" s="1"/>
      <c r="D327" s="2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</row>
    <row r="328" spans="1:33" ht="15.75" customHeight="1" x14ac:dyDescent="0.25">
      <c r="A328" s="1"/>
      <c r="B328" s="1"/>
      <c r="C328" s="1"/>
      <c r="D328" s="2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</row>
    <row r="329" spans="1:33" ht="15.75" customHeight="1" x14ac:dyDescent="0.25">
      <c r="A329" s="1"/>
      <c r="B329" s="1"/>
      <c r="C329" s="1"/>
      <c r="D329" s="2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</row>
    <row r="330" spans="1:33" ht="15.75" customHeight="1" x14ac:dyDescent="0.25">
      <c r="A330" s="1"/>
      <c r="B330" s="1"/>
      <c r="C330" s="1"/>
      <c r="D330" s="2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</row>
    <row r="331" spans="1:33" ht="15.75" customHeight="1" x14ac:dyDescent="0.25">
      <c r="A331" s="1"/>
      <c r="B331" s="1"/>
      <c r="C331" s="1"/>
      <c r="D331" s="2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</row>
    <row r="332" spans="1:33" ht="15.75" customHeight="1" x14ac:dyDescent="0.25">
      <c r="A332" s="1"/>
      <c r="B332" s="1"/>
      <c r="C332" s="1"/>
      <c r="D332" s="2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</row>
    <row r="333" spans="1:33" ht="15.75" customHeight="1" x14ac:dyDescent="0.25">
      <c r="A333" s="1"/>
      <c r="B333" s="1"/>
      <c r="C333" s="1"/>
      <c r="D333" s="2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</row>
    <row r="334" spans="1:33" ht="15.75" customHeight="1" x14ac:dyDescent="0.25">
      <c r="A334" s="1"/>
      <c r="B334" s="1"/>
      <c r="C334" s="1"/>
      <c r="D334" s="2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</row>
    <row r="335" spans="1:33" ht="15.75" customHeight="1" x14ac:dyDescent="0.25">
      <c r="A335" s="1"/>
      <c r="B335" s="1"/>
      <c r="C335" s="1"/>
      <c r="D335" s="2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</row>
    <row r="336" spans="1:33" ht="15.75" customHeight="1" x14ac:dyDescent="0.25">
      <c r="A336" s="1"/>
      <c r="B336" s="1"/>
      <c r="C336" s="1"/>
      <c r="D336" s="2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</row>
    <row r="337" spans="1:33" ht="15.75" customHeight="1" x14ac:dyDescent="0.25">
      <c r="A337" s="1"/>
      <c r="B337" s="1"/>
      <c r="C337" s="1"/>
      <c r="D337" s="2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</row>
    <row r="338" spans="1:33" ht="15.75" customHeight="1" x14ac:dyDescent="0.25">
      <c r="A338" s="1"/>
      <c r="B338" s="1"/>
      <c r="C338" s="1"/>
      <c r="D338" s="2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</row>
    <row r="339" spans="1:33" ht="15.75" customHeight="1" x14ac:dyDescent="0.25">
      <c r="A339" s="1"/>
      <c r="B339" s="1"/>
      <c r="C339" s="1"/>
      <c r="D339" s="2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</row>
    <row r="340" spans="1:33" ht="15.75" customHeight="1" x14ac:dyDescent="0.25">
      <c r="A340" s="1"/>
      <c r="B340" s="1"/>
      <c r="C340" s="1"/>
      <c r="D340" s="2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</row>
    <row r="341" spans="1:33" ht="15.75" customHeight="1" x14ac:dyDescent="0.25">
      <c r="A341" s="1"/>
      <c r="B341" s="1"/>
      <c r="C341" s="1"/>
      <c r="D341" s="2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</row>
    <row r="342" spans="1:33" ht="15.75" customHeight="1" x14ac:dyDescent="0.25">
      <c r="A342" s="1"/>
      <c r="B342" s="1"/>
      <c r="C342" s="1"/>
      <c r="D342" s="2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</row>
    <row r="343" spans="1:33" ht="15.75" customHeight="1" x14ac:dyDescent="0.25">
      <c r="A343" s="1"/>
      <c r="B343" s="1"/>
      <c r="C343" s="1"/>
      <c r="D343" s="2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</row>
    <row r="344" spans="1:33" ht="15.75" customHeight="1" x14ac:dyDescent="0.25">
      <c r="A344" s="1"/>
      <c r="B344" s="1"/>
      <c r="C344" s="1"/>
      <c r="D344" s="2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</row>
    <row r="345" spans="1:33" ht="15.75" customHeight="1" x14ac:dyDescent="0.25">
      <c r="A345" s="1"/>
      <c r="B345" s="1"/>
      <c r="C345" s="1"/>
      <c r="D345" s="2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</row>
    <row r="346" spans="1:33" ht="15.75" customHeight="1" x14ac:dyDescent="0.25">
      <c r="A346" s="1"/>
      <c r="B346" s="1"/>
      <c r="C346" s="1"/>
      <c r="D346" s="2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</row>
    <row r="347" spans="1:33" ht="15.75" customHeight="1" x14ac:dyDescent="0.25">
      <c r="A347" s="1"/>
      <c r="B347" s="1"/>
      <c r="C347" s="1"/>
      <c r="D347" s="2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</row>
    <row r="348" spans="1:33" ht="15.75" customHeight="1" x14ac:dyDescent="0.25">
      <c r="A348" s="1"/>
      <c r="B348" s="1"/>
      <c r="C348" s="1"/>
      <c r="D348" s="2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</row>
    <row r="349" spans="1:33" ht="15.75" customHeight="1" x14ac:dyDescent="0.25">
      <c r="A349" s="1"/>
      <c r="B349" s="1"/>
      <c r="C349" s="1"/>
      <c r="D349" s="2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</row>
    <row r="350" spans="1:33" ht="15.75" customHeight="1" x14ac:dyDescent="0.25">
      <c r="A350" s="1"/>
      <c r="B350" s="1"/>
      <c r="C350" s="1"/>
      <c r="D350" s="2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</row>
    <row r="351" spans="1:33" ht="15.75" customHeight="1" x14ac:dyDescent="0.25">
      <c r="A351" s="1"/>
      <c r="B351" s="1"/>
      <c r="C351" s="1"/>
      <c r="D351" s="2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</row>
    <row r="352" spans="1:33" ht="15.75" customHeight="1" x14ac:dyDescent="0.25">
      <c r="A352" s="1"/>
      <c r="B352" s="1"/>
      <c r="C352" s="1"/>
      <c r="D352" s="2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</row>
    <row r="353" spans="1:33" ht="15.75" customHeight="1" x14ac:dyDescent="0.25">
      <c r="A353" s="1"/>
      <c r="B353" s="1"/>
      <c r="C353" s="1"/>
      <c r="D353" s="2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</row>
    <row r="354" spans="1:33" ht="15.75" customHeight="1" x14ac:dyDescent="0.25">
      <c r="A354" s="1"/>
      <c r="B354" s="1"/>
      <c r="C354" s="1"/>
      <c r="D354" s="2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</row>
    <row r="355" spans="1:33" ht="15.75" customHeight="1" x14ac:dyDescent="0.25">
      <c r="A355" s="1"/>
      <c r="B355" s="1"/>
      <c r="C355" s="1"/>
      <c r="D355" s="2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</row>
    <row r="356" spans="1:33" ht="15.75" customHeight="1" x14ac:dyDescent="0.25">
      <c r="A356" s="1"/>
      <c r="B356" s="1"/>
      <c r="C356" s="1"/>
      <c r="D356" s="2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</row>
    <row r="357" spans="1:33" ht="15.75" customHeight="1" x14ac:dyDescent="0.25">
      <c r="A357" s="1"/>
      <c r="B357" s="1"/>
      <c r="C357" s="1"/>
      <c r="D357" s="2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</row>
    <row r="358" spans="1:33" ht="15.75" customHeight="1" x14ac:dyDescent="0.25">
      <c r="A358" s="1"/>
      <c r="B358" s="1"/>
      <c r="C358" s="1"/>
      <c r="D358" s="2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</row>
    <row r="359" spans="1:33" ht="15.75" customHeight="1" x14ac:dyDescent="0.25">
      <c r="A359" s="1"/>
      <c r="B359" s="1"/>
      <c r="C359" s="1"/>
      <c r="D359" s="2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</row>
    <row r="360" spans="1:33" ht="15.75" customHeight="1" x14ac:dyDescent="0.25">
      <c r="A360" s="1"/>
      <c r="B360" s="1"/>
      <c r="C360" s="1"/>
      <c r="D360" s="2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</row>
    <row r="361" spans="1:33" ht="15.75" customHeight="1" x14ac:dyDescent="0.25">
      <c r="A361" s="1"/>
      <c r="B361" s="1"/>
      <c r="C361" s="1"/>
      <c r="D361" s="2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</row>
    <row r="362" spans="1:33" ht="15.75" customHeight="1" x14ac:dyDescent="0.25">
      <c r="A362" s="1"/>
      <c r="B362" s="1"/>
      <c r="C362" s="1"/>
      <c r="D362" s="2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</row>
    <row r="363" spans="1:33" ht="15.75" customHeight="1" x14ac:dyDescent="0.25">
      <c r="A363" s="1"/>
      <c r="B363" s="1"/>
      <c r="C363" s="1"/>
      <c r="D363" s="2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</row>
    <row r="364" spans="1:33" ht="15.75" customHeight="1" x14ac:dyDescent="0.25">
      <c r="A364" s="1"/>
      <c r="B364" s="1"/>
      <c r="C364" s="1"/>
      <c r="D364" s="2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</row>
    <row r="365" spans="1:33" ht="15.75" customHeight="1" x14ac:dyDescent="0.25">
      <c r="A365" s="1"/>
      <c r="B365" s="1"/>
      <c r="C365" s="1"/>
      <c r="D365" s="2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</row>
    <row r="366" spans="1:33" ht="15.75" customHeight="1" x14ac:dyDescent="0.25">
      <c r="A366" s="1"/>
      <c r="B366" s="1"/>
      <c r="C366" s="1"/>
      <c r="D366" s="2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</row>
    <row r="367" spans="1:33" ht="15.75" customHeight="1" x14ac:dyDescent="0.25">
      <c r="A367" s="1"/>
      <c r="B367" s="1"/>
      <c r="C367" s="1"/>
      <c r="D367" s="2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</row>
    <row r="368" spans="1:33" ht="15.75" customHeight="1" x14ac:dyDescent="0.25">
      <c r="A368" s="1"/>
      <c r="B368" s="1"/>
      <c r="C368" s="1"/>
      <c r="D368" s="2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</row>
    <row r="369" spans="1:33" ht="15.75" customHeight="1" x14ac:dyDescent="0.25">
      <c r="A369" s="1"/>
      <c r="B369" s="1"/>
      <c r="C369" s="1"/>
      <c r="D369" s="2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</row>
    <row r="370" spans="1:33" ht="15.75" customHeight="1" x14ac:dyDescent="0.25">
      <c r="A370" s="1"/>
      <c r="B370" s="1"/>
      <c r="C370" s="1"/>
      <c r="D370" s="2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</row>
    <row r="371" spans="1:33" ht="15.75" customHeight="1" x14ac:dyDescent="0.25">
      <c r="A371" s="1"/>
      <c r="B371" s="1"/>
      <c r="C371" s="1"/>
      <c r="D371" s="2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</row>
    <row r="372" spans="1:33" ht="15.75" customHeight="1" x14ac:dyDescent="0.25">
      <c r="A372" s="1"/>
      <c r="B372" s="1"/>
      <c r="C372" s="1"/>
      <c r="D372" s="2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</row>
    <row r="373" spans="1:33" ht="15.75" customHeight="1" x14ac:dyDescent="0.25">
      <c r="A373" s="1"/>
      <c r="B373" s="1"/>
      <c r="C373" s="1"/>
      <c r="D373" s="2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</row>
    <row r="374" spans="1:33" ht="15.75" customHeight="1" x14ac:dyDescent="0.25">
      <c r="A374" s="1"/>
      <c r="B374" s="1"/>
      <c r="C374" s="1"/>
      <c r="D374" s="2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</row>
    <row r="375" spans="1:33" ht="15.75" customHeight="1" x14ac:dyDescent="0.25">
      <c r="A375" s="1"/>
      <c r="B375" s="1"/>
      <c r="C375" s="1"/>
      <c r="D375" s="2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</row>
    <row r="376" spans="1:33" ht="15.75" customHeight="1" x14ac:dyDescent="0.25">
      <c r="A376" s="1"/>
      <c r="B376" s="1"/>
      <c r="C376" s="1"/>
      <c r="D376" s="2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</row>
    <row r="377" spans="1:33" ht="15.75" customHeight="1" x14ac:dyDescent="0.25">
      <c r="A377" s="1"/>
      <c r="B377" s="1"/>
      <c r="C377" s="1"/>
      <c r="D377" s="2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</row>
    <row r="378" spans="1:33" ht="15.75" customHeight="1" x14ac:dyDescent="0.25">
      <c r="A378" s="1"/>
      <c r="B378" s="1"/>
      <c r="C378" s="1"/>
      <c r="D378" s="2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</row>
    <row r="379" spans="1:33" ht="15.75" customHeight="1" x14ac:dyDescent="0.25">
      <c r="A379" s="1"/>
      <c r="B379" s="1"/>
      <c r="C379" s="1"/>
      <c r="D379" s="2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</row>
    <row r="380" spans="1:33" ht="15.75" customHeight="1" x14ac:dyDescent="0.25">
      <c r="A380" s="1"/>
      <c r="B380" s="1"/>
      <c r="C380" s="1"/>
      <c r="D380" s="2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</row>
    <row r="381" spans="1:33" ht="15.75" customHeight="1" x14ac:dyDescent="0.25">
      <c r="A381" s="1"/>
      <c r="B381" s="1"/>
      <c r="C381" s="1"/>
      <c r="D381" s="2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</row>
    <row r="382" spans="1:33" ht="15.75" customHeight="1" x14ac:dyDescent="0.25">
      <c r="A382" s="1"/>
      <c r="B382" s="1"/>
      <c r="C382" s="1"/>
      <c r="D382" s="2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</row>
    <row r="383" spans="1:33" ht="15.75" customHeight="1" x14ac:dyDescent="0.25">
      <c r="A383" s="1"/>
      <c r="B383" s="1"/>
      <c r="C383" s="1"/>
      <c r="D383" s="2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</row>
    <row r="384" spans="1:33" ht="15.75" customHeight="1" x14ac:dyDescent="0.25">
      <c r="A384" s="1"/>
      <c r="B384" s="1"/>
      <c r="C384" s="1"/>
      <c r="D384" s="2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</row>
    <row r="385" spans="1:33" ht="15.75" customHeight="1" x14ac:dyDescent="0.25">
      <c r="A385" s="1"/>
      <c r="B385" s="1"/>
      <c r="C385" s="1"/>
      <c r="D385" s="2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</row>
    <row r="386" spans="1:33" ht="15.75" customHeight="1" x14ac:dyDescent="0.25">
      <c r="A386" s="1"/>
      <c r="B386" s="1"/>
      <c r="C386" s="1"/>
      <c r="D386" s="2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</row>
    <row r="387" spans="1:33" ht="15.75" customHeight="1" x14ac:dyDescent="0.25">
      <c r="A387" s="1"/>
      <c r="B387" s="1"/>
      <c r="C387" s="1"/>
      <c r="D387" s="2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</row>
    <row r="388" spans="1:33" ht="15.75" customHeight="1" x14ac:dyDescent="0.25">
      <c r="A388" s="1"/>
      <c r="B388" s="1"/>
      <c r="C388" s="1"/>
      <c r="D388" s="2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</row>
    <row r="389" spans="1:33" ht="15.75" customHeight="1" x14ac:dyDescent="0.25">
      <c r="A389" s="1"/>
      <c r="B389" s="1"/>
      <c r="C389" s="1"/>
      <c r="D389" s="2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</row>
    <row r="390" spans="1:33" ht="15.75" customHeight="1" x14ac:dyDescent="0.25">
      <c r="A390" s="1"/>
      <c r="B390" s="1"/>
      <c r="C390" s="1"/>
      <c r="D390" s="2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</row>
    <row r="391" spans="1:33" ht="15.75" customHeight="1" x14ac:dyDescent="0.25">
      <c r="A391" s="1"/>
      <c r="B391" s="1"/>
      <c r="C391" s="1"/>
      <c r="D391" s="2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</row>
    <row r="392" spans="1:33" ht="15.75" customHeight="1" x14ac:dyDescent="0.25">
      <c r="A392" s="1"/>
      <c r="B392" s="1"/>
      <c r="C392" s="1"/>
      <c r="D392" s="2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</row>
    <row r="393" spans="1:33" ht="15.75" customHeight="1" x14ac:dyDescent="0.25">
      <c r="A393" s="1"/>
      <c r="B393" s="1"/>
      <c r="C393" s="1"/>
      <c r="D393" s="2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</row>
    <row r="394" spans="1:33" ht="15.75" customHeight="1" x14ac:dyDescent="0.25">
      <c r="A394" s="1"/>
      <c r="B394" s="1"/>
      <c r="C394" s="1"/>
      <c r="D394" s="2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</row>
    <row r="395" spans="1:33" ht="15.75" customHeight="1" x14ac:dyDescent="0.25">
      <c r="A395" s="1"/>
      <c r="B395" s="1"/>
      <c r="C395" s="1"/>
      <c r="D395" s="2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</row>
    <row r="396" spans="1:33" ht="15.75" customHeight="1" x14ac:dyDescent="0.25">
      <c r="A396" s="1"/>
      <c r="B396" s="1"/>
      <c r="C396" s="1"/>
      <c r="D396" s="2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</row>
    <row r="397" spans="1:33" ht="15.75" customHeight="1" x14ac:dyDescent="0.25">
      <c r="A397" s="1"/>
      <c r="B397" s="1"/>
      <c r="C397" s="1"/>
      <c r="D397" s="2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</row>
    <row r="398" spans="1:33" ht="15.75" customHeight="1" x14ac:dyDescent="0.25">
      <c r="A398" s="1"/>
      <c r="B398" s="1"/>
      <c r="C398" s="1"/>
      <c r="D398" s="2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</row>
    <row r="399" spans="1:33" ht="15.75" customHeight="1" x14ac:dyDescent="0.25">
      <c r="A399" s="1"/>
      <c r="B399" s="1"/>
      <c r="C399" s="1"/>
      <c r="D399" s="2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</row>
    <row r="400" spans="1:33" ht="15.75" customHeight="1" x14ac:dyDescent="0.25">
      <c r="A400" s="1"/>
      <c r="B400" s="1"/>
      <c r="C400" s="1"/>
      <c r="D400" s="2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</row>
    <row r="401" spans="1:33" ht="15.75" customHeight="1" x14ac:dyDescent="0.25">
      <c r="A401" s="1"/>
      <c r="B401" s="1"/>
      <c r="C401" s="1"/>
      <c r="D401" s="2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</row>
    <row r="402" spans="1:33" ht="15.75" customHeight="1" x14ac:dyDescent="0.25">
      <c r="A402" s="1"/>
      <c r="B402" s="1"/>
      <c r="C402" s="1"/>
      <c r="D402" s="2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</row>
    <row r="403" spans="1:33" ht="15.75" customHeight="1" x14ac:dyDescent="0.25">
      <c r="A403" s="1"/>
      <c r="B403" s="1"/>
      <c r="C403" s="1"/>
      <c r="D403" s="2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</row>
    <row r="404" spans="1:33" ht="15.75" customHeight="1" x14ac:dyDescent="0.25">
      <c r="A404" s="1"/>
      <c r="B404" s="1"/>
      <c r="C404" s="1"/>
      <c r="D404" s="2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</row>
    <row r="405" spans="1:33" ht="15.75" customHeight="1" x14ac:dyDescent="0.25">
      <c r="A405" s="1"/>
      <c r="B405" s="1"/>
      <c r="C405" s="1"/>
      <c r="D405" s="2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</row>
    <row r="406" spans="1:33" ht="15.75" customHeight="1" x14ac:dyDescent="0.25">
      <c r="A406" s="1"/>
      <c r="B406" s="1"/>
      <c r="C406" s="1"/>
      <c r="D406" s="2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</row>
    <row r="407" spans="1:33" ht="15.75" customHeight="1" x14ac:dyDescent="0.25">
      <c r="A407" s="1"/>
      <c r="B407" s="1"/>
      <c r="C407" s="1"/>
      <c r="D407" s="2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</row>
    <row r="408" spans="1:33" ht="15.75" customHeight="1" x14ac:dyDescent="0.25">
      <c r="A408" s="1"/>
      <c r="B408" s="1"/>
      <c r="C408" s="1"/>
      <c r="D408" s="2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</row>
    <row r="409" spans="1:33" ht="15.75" customHeight="1" x14ac:dyDescent="0.25">
      <c r="A409" s="1"/>
      <c r="B409" s="1"/>
      <c r="C409" s="1"/>
      <c r="D409" s="2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</row>
    <row r="410" spans="1:33" ht="15.75" customHeight="1" x14ac:dyDescent="0.25">
      <c r="A410" s="1"/>
      <c r="B410" s="1"/>
      <c r="C410" s="1"/>
      <c r="D410" s="2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</row>
    <row r="411" spans="1:33" ht="15.75" customHeight="1" x14ac:dyDescent="0.25">
      <c r="A411" s="1"/>
      <c r="B411" s="1"/>
      <c r="C411" s="1"/>
      <c r="D411" s="2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</row>
    <row r="412" spans="1:33" ht="15.75" customHeight="1" x14ac:dyDescent="0.25">
      <c r="A412" s="1"/>
      <c r="B412" s="1"/>
      <c r="C412" s="1"/>
      <c r="D412" s="2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</row>
    <row r="413" spans="1:33" ht="15.75" customHeight="1" x14ac:dyDescent="0.25">
      <c r="A413" s="1"/>
      <c r="B413" s="1"/>
      <c r="C413" s="1"/>
      <c r="D413" s="2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</row>
    <row r="414" spans="1:33" ht="15.75" customHeight="1" x14ac:dyDescent="0.25">
      <c r="A414" s="1"/>
      <c r="B414" s="1"/>
      <c r="C414" s="1"/>
      <c r="D414" s="2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</row>
    <row r="415" spans="1:33" ht="15.75" customHeight="1" x14ac:dyDescent="0.25">
      <c r="A415" s="1"/>
      <c r="B415" s="1"/>
      <c r="C415" s="1"/>
      <c r="D415" s="2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</row>
    <row r="416" spans="1:33" ht="15.75" customHeight="1" x14ac:dyDescent="0.25">
      <c r="A416" s="1"/>
      <c r="B416" s="1"/>
      <c r="C416" s="1"/>
      <c r="D416" s="2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</row>
    <row r="417" spans="1:33" ht="15.75" customHeight="1" x14ac:dyDescent="0.25">
      <c r="A417" s="1"/>
      <c r="B417" s="1"/>
      <c r="C417" s="1"/>
      <c r="D417" s="2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</row>
    <row r="418" spans="1:33" ht="15.75" customHeight="1" x14ac:dyDescent="0.25">
      <c r="A418" s="1"/>
      <c r="B418" s="1"/>
      <c r="C418" s="1"/>
      <c r="D418" s="2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</row>
    <row r="419" spans="1:33" ht="15.75" customHeight="1" x14ac:dyDescent="0.25">
      <c r="A419" s="1"/>
      <c r="B419" s="1"/>
      <c r="C419" s="1"/>
      <c r="D419" s="2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</row>
    <row r="420" spans="1:33" ht="15.75" customHeight="1" x14ac:dyDescent="0.25">
      <c r="A420" s="1"/>
      <c r="B420" s="1"/>
      <c r="C420" s="1"/>
      <c r="D420" s="2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</row>
    <row r="421" spans="1:33" ht="15.75" customHeight="1" x14ac:dyDescent="0.25">
      <c r="A421" s="1"/>
      <c r="B421" s="1"/>
      <c r="C421" s="1"/>
      <c r="D421" s="2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</row>
    <row r="422" spans="1:33" ht="15.75" customHeight="1" x14ac:dyDescent="0.25">
      <c r="A422" s="1"/>
      <c r="B422" s="1"/>
      <c r="C422" s="1"/>
      <c r="D422" s="2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</row>
    <row r="423" spans="1:33" ht="15.75" customHeight="1" x14ac:dyDescent="0.25">
      <c r="A423" s="1"/>
      <c r="B423" s="1"/>
      <c r="C423" s="1"/>
      <c r="D423" s="2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</row>
    <row r="424" spans="1:33" ht="15.75" customHeight="1" x14ac:dyDescent="0.25">
      <c r="A424" s="1"/>
      <c r="B424" s="1"/>
      <c r="C424" s="1"/>
      <c r="D424" s="2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</row>
    <row r="425" spans="1:33" ht="15.75" customHeight="1" x14ac:dyDescent="0.25">
      <c r="A425" s="1"/>
      <c r="B425" s="1"/>
      <c r="C425" s="1"/>
      <c r="D425" s="2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</row>
    <row r="426" spans="1:33" ht="15.75" customHeight="1" x14ac:dyDescent="0.25">
      <c r="A426" s="1"/>
      <c r="B426" s="1"/>
      <c r="C426" s="1"/>
      <c r="D426" s="2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</row>
    <row r="427" spans="1:33" ht="15.75" customHeight="1" x14ac:dyDescent="0.25">
      <c r="A427" s="1"/>
      <c r="B427" s="1"/>
      <c r="C427" s="1"/>
      <c r="D427" s="2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</row>
    <row r="428" spans="1:33" ht="15.75" customHeight="1" x14ac:dyDescent="0.25">
      <c r="A428" s="1"/>
      <c r="B428" s="1"/>
      <c r="C428" s="1"/>
      <c r="D428" s="2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</row>
    <row r="429" spans="1:33" ht="15.75" customHeight="1" x14ac:dyDescent="0.25">
      <c r="A429" s="1"/>
      <c r="B429" s="1"/>
      <c r="C429" s="1"/>
      <c r="D429" s="2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</row>
    <row r="430" spans="1:33" ht="15.75" customHeight="1" x14ac:dyDescent="0.25">
      <c r="A430" s="1"/>
      <c r="B430" s="1"/>
      <c r="C430" s="1"/>
      <c r="D430" s="2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</row>
    <row r="431" spans="1:33" ht="15.75" customHeight="1" x14ac:dyDescent="0.25">
      <c r="A431" s="1"/>
      <c r="B431" s="1"/>
      <c r="C431" s="1"/>
      <c r="D431" s="2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</row>
    <row r="432" spans="1:33" ht="15.75" customHeight="1" x14ac:dyDescent="0.25">
      <c r="A432" s="1"/>
      <c r="B432" s="1"/>
      <c r="C432" s="1"/>
      <c r="D432" s="2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</row>
    <row r="433" spans="1:33" ht="15.75" customHeight="1" x14ac:dyDescent="0.25">
      <c r="A433" s="1"/>
      <c r="B433" s="1"/>
      <c r="C433" s="1"/>
      <c r="D433" s="2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</row>
    <row r="434" spans="1:33" ht="15.75" customHeight="1" x14ac:dyDescent="0.25">
      <c r="A434" s="1"/>
      <c r="B434" s="1"/>
      <c r="C434" s="1"/>
      <c r="D434" s="2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</row>
    <row r="435" spans="1:33" ht="15.75" customHeight="1" x14ac:dyDescent="0.25">
      <c r="A435" s="1"/>
      <c r="B435" s="1"/>
      <c r="C435" s="1"/>
      <c r="D435" s="2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</row>
    <row r="436" spans="1:33" ht="15.75" customHeight="1" x14ac:dyDescent="0.25">
      <c r="A436" s="1"/>
      <c r="B436" s="1"/>
      <c r="C436" s="1"/>
      <c r="D436" s="2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</row>
    <row r="437" spans="1:33" ht="15.75" customHeight="1" x14ac:dyDescent="0.25">
      <c r="A437" s="1"/>
      <c r="B437" s="1"/>
      <c r="C437" s="1"/>
      <c r="D437" s="2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</row>
    <row r="438" spans="1:33" ht="15.75" customHeight="1" x14ac:dyDescent="0.25">
      <c r="A438" s="1"/>
      <c r="B438" s="1"/>
      <c r="C438" s="1"/>
      <c r="D438" s="2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</row>
    <row r="439" spans="1:33" ht="15.75" customHeight="1" x14ac:dyDescent="0.25">
      <c r="A439" s="1"/>
      <c r="B439" s="1"/>
      <c r="C439" s="1"/>
      <c r="D439" s="2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</row>
    <row r="440" spans="1:33" ht="15.75" customHeight="1" x14ac:dyDescent="0.25">
      <c r="A440" s="1"/>
      <c r="B440" s="1"/>
      <c r="C440" s="1"/>
      <c r="D440" s="2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</row>
    <row r="441" spans="1:33" ht="15.75" customHeight="1" x14ac:dyDescent="0.25">
      <c r="A441" s="1"/>
      <c r="B441" s="1"/>
      <c r="C441" s="1"/>
      <c r="D441" s="2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</row>
    <row r="442" spans="1:33" ht="15.75" customHeight="1" x14ac:dyDescent="0.25">
      <c r="A442" s="1"/>
      <c r="B442" s="1"/>
      <c r="C442" s="1"/>
      <c r="D442" s="2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</row>
    <row r="443" spans="1:33" ht="15.75" customHeight="1" x14ac:dyDescent="0.25">
      <c r="A443" s="1"/>
      <c r="B443" s="1"/>
      <c r="C443" s="1"/>
      <c r="D443" s="2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</row>
    <row r="444" spans="1:33" ht="15.75" customHeight="1" x14ac:dyDescent="0.25">
      <c r="A444" s="1"/>
      <c r="B444" s="1"/>
      <c r="C444" s="1"/>
      <c r="D444" s="2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</row>
    <row r="445" spans="1:33" ht="15.75" customHeight="1" x14ac:dyDescent="0.25">
      <c r="A445" s="1"/>
      <c r="B445" s="1"/>
      <c r="C445" s="1"/>
      <c r="D445" s="2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</row>
    <row r="446" spans="1:33" ht="15.75" customHeight="1" x14ac:dyDescent="0.25">
      <c r="A446" s="1"/>
      <c r="B446" s="1"/>
      <c r="C446" s="1"/>
      <c r="D446" s="2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</row>
    <row r="447" spans="1:33" ht="15.75" customHeight="1" x14ac:dyDescent="0.25">
      <c r="A447" s="1"/>
      <c r="B447" s="1"/>
      <c r="C447" s="1"/>
      <c r="D447" s="2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</row>
    <row r="448" spans="1:33" ht="15.75" customHeight="1" x14ac:dyDescent="0.25">
      <c r="A448" s="1"/>
      <c r="B448" s="1"/>
      <c r="C448" s="1"/>
      <c r="D448" s="2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</row>
    <row r="449" spans="1:33" ht="15.75" customHeight="1" x14ac:dyDescent="0.25">
      <c r="A449" s="1"/>
      <c r="B449" s="1"/>
      <c r="C449" s="1"/>
      <c r="D449" s="2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</row>
    <row r="450" spans="1:33" ht="15.75" customHeight="1" x14ac:dyDescent="0.25">
      <c r="A450" s="1"/>
      <c r="B450" s="1"/>
      <c r="C450" s="1"/>
      <c r="D450" s="2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</row>
    <row r="451" spans="1:33" ht="15.75" customHeight="1" x14ac:dyDescent="0.25">
      <c r="A451" s="1"/>
      <c r="B451" s="1"/>
      <c r="C451" s="1"/>
      <c r="D451" s="2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</row>
    <row r="452" spans="1:33" ht="15.75" customHeight="1" x14ac:dyDescent="0.25">
      <c r="A452" s="1"/>
      <c r="B452" s="1"/>
      <c r="C452" s="1"/>
      <c r="D452" s="2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</row>
    <row r="453" spans="1:33" ht="15.75" customHeight="1" x14ac:dyDescent="0.25">
      <c r="A453" s="1"/>
      <c r="B453" s="1"/>
      <c r="C453" s="1"/>
      <c r="D453" s="2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</row>
    <row r="454" spans="1:33" ht="15.75" customHeight="1" x14ac:dyDescent="0.25">
      <c r="A454" s="1"/>
      <c r="B454" s="1"/>
      <c r="C454" s="1"/>
      <c r="D454" s="2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</row>
    <row r="455" spans="1:33" ht="15.75" customHeight="1" x14ac:dyDescent="0.25">
      <c r="A455" s="1"/>
      <c r="B455" s="1"/>
      <c r="C455" s="1"/>
      <c r="D455" s="2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</row>
    <row r="456" spans="1:33" ht="15.75" customHeight="1" x14ac:dyDescent="0.25">
      <c r="A456" s="1"/>
      <c r="B456" s="1"/>
      <c r="C456" s="1"/>
      <c r="D456" s="2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</row>
    <row r="457" spans="1:33" ht="15.75" customHeight="1" x14ac:dyDescent="0.25">
      <c r="A457" s="1"/>
      <c r="B457" s="1"/>
      <c r="C457" s="1"/>
      <c r="D457" s="2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</row>
    <row r="458" spans="1:33" ht="15.75" customHeight="1" x14ac:dyDescent="0.25">
      <c r="A458" s="1"/>
      <c r="B458" s="1"/>
      <c r="C458" s="1"/>
      <c r="D458" s="2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</row>
    <row r="459" spans="1:33" ht="15.75" customHeight="1" x14ac:dyDescent="0.25">
      <c r="A459" s="1"/>
      <c r="B459" s="1"/>
      <c r="C459" s="1"/>
      <c r="D459" s="2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</row>
    <row r="460" spans="1:33" ht="15.75" customHeight="1" x14ac:dyDescent="0.25">
      <c r="A460" s="1"/>
      <c r="B460" s="1"/>
      <c r="C460" s="1"/>
      <c r="D460" s="2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</row>
    <row r="461" spans="1:33" ht="15.75" customHeight="1" x14ac:dyDescent="0.25">
      <c r="A461" s="1"/>
      <c r="B461" s="1"/>
      <c r="C461" s="1"/>
      <c r="D461" s="2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</row>
    <row r="462" spans="1:33" ht="15.75" customHeight="1" x14ac:dyDescent="0.25">
      <c r="A462" s="1"/>
      <c r="B462" s="1"/>
      <c r="C462" s="1"/>
      <c r="D462" s="2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</row>
    <row r="463" spans="1:33" ht="15.75" customHeight="1" x14ac:dyDescent="0.25">
      <c r="A463" s="1"/>
      <c r="B463" s="1"/>
      <c r="C463" s="1"/>
      <c r="D463" s="2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</row>
    <row r="464" spans="1:33" ht="15.75" customHeight="1" x14ac:dyDescent="0.25">
      <c r="A464" s="1"/>
      <c r="B464" s="1"/>
      <c r="C464" s="1"/>
      <c r="D464" s="2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</row>
    <row r="465" spans="1:33" ht="15.75" customHeight="1" x14ac:dyDescent="0.25">
      <c r="A465" s="1"/>
      <c r="B465" s="1"/>
      <c r="C465" s="1"/>
      <c r="D465" s="2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</row>
    <row r="466" spans="1:33" ht="15.75" customHeight="1" x14ac:dyDescent="0.25">
      <c r="A466" s="1"/>
      <c r="B466" s="1"/>
      <c r="C466" s="1"/>
      <c r="D466" s="2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</row>
    <row r="467" spans="1:33" ht="15.75" customHeight="1" x14ac:dyDescent="0.25">
      <c r="A467" s="1"/>
      <c r="B467" s="1"/>
      <c r="C467" s="1"/>
      <c r="D467" s="2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</row>
    <row r="468" spans="1:33" ht="15.75" customHeight="1" x14ac:dyDescent="0.25">
      <c r="A468" s="1"/>
      <c r="B468" s="1"/>
      <c r="C468" s="1"/>
      <c r="D468" s="2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</row>
    <row r="469" spans="1:33" ht="15.75" customHeight="1" x14ac:dyDescent="0.25">
      <c r="A469" s="1"/>
      <c r="B469" s="1"/>
      <c r="C469" s="1"/>
      <c r="D469" s="2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</row>
    <row r="470" spans="1:33" ht="15.75" customHeight="1" x14ac:dyDescent="0.25">
      <c r="A470" s="1"/>
      <c r="B470" s="1"/>
      <c r="C470" s="1"/>
      <c r="D470" s="2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</row>
    <row r="471" spans="1:33" ht="15.75" customHeight="1" x14ac:dyDescent="0.25">
      <c r="A471" s="1"/>
      <c r="B471" s="1"/>
      <c r="C471" s="1"/>
      <c r="D471" s="2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</row>
    <row r="472" spans="1:33" ht="15.75" customHeight="1" x14ac:dyDescent="0.25">
      <c r="A472" s="1"/>
      <c r="B472" s="1"/>
      <c r="C472" s="1"/>
      <c r="D472" s="2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</row>
    <row r="473" spans="1:33" ht="15.75" customHeight="1" x14ac:dyDescent="0.25">
      <c r="A473" s="1"/>
      <c r="B473" s="1"/>
      <c r="C473" s="1"/>
      <c r="D473" s="2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</row>
    <row r="474" spans="1:33" ht="15.75" customHeight="1" x14ac:dyDescent="0.25">
      <c r="A474" s="1"/>
      <c r="B474" s="1"/>
      <c r="C474" s="1"/>
      <c r="D474" s="2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</row>
    <row r="475" spans="1:33" ht="15.75" customHeight="1" x14ac:dyDescent="0.25">
      <c r="A475" s="1"/>
      <c r="B475" s="1"/>
      <c r="C475" s="1"/>
      <c r="D475" s="2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</row>
    <row r="476" spans="1:33" ht="15.75" customHeight="1" x14ac:dyDescent="0.25">
      <c r="A476" s="1"/>
      <c r="B476" s="1"/>
      <c r="C476" s="1"/>
      <c r="D476" s="2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</row>
    <row r="477" spans="1:33" ht="15.75" customHeight="1" x14ac:dyDescent="0.25">
      <c r="A477" s="1"/>
      <c r="B477" s="1"/>
      <c r="C477" s="1"/>
      <c r="D477" s="2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</row>
    <row r="478" spans="1:33" ht="15.75" customHeight="1" x14ac:dyDescent="0.25">
      <c r="A478" s="1"/>
      <c r="B478" s="1"/>
      <c r="C478" s="1"/>
      <c r="D478" s="2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</row>
    <row r="479" spans="1:33" ht="15.75" customHeight="1" x14ac:dyDescent="0.25">
      <c r="A479" s="1"/>
      <c r="B479" s="1"/>
      <c r="C479" s="1"/>
      <c r="D479" s="2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</row>
    <row r="480" spans="1:33" ht="15.75" customHeight="1" x14ac:dyDescent="0.25">
      <c r="A480" s="1"/>
      <c r="B480" s="1"/>
      <c r="C480" s="1"/>
      <c r="D480" s="2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</row>
    <row r="481" spans="1:33" ht="15.75" customHeight="1" x14ac:dyDescent="0.25">
      <c r="A481" s="1"/>
      <c r="B481" s="1"/>
      <c r="C481" s="1"/>
      <c r="D481" s="2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</row>
    <row r="482" spans="1:33" ht="15.75" customHeight="1" x14ac:dyDescent="0.25">
      <c r="A482" s="1"/>
      <c r="B482" s="1"/>
      <c r="C482" s="1"/>
      <c r="D482" s="2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</row>
    <row r="483" spans="1:33" ht="15.75" customHeight="1" x14ac:dyDescent="0.25">
      <c r="A483" s="1"/>
      <c r="B483" s="1"/>
      <c r="C483" s="1"/>
      <c r="D483" s="2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</row>
    <row r="484" spans="1:33" ht="15.75" customHeight="1" x14ac:dyDescent="0.25">
      <c r="A484" s="1"/>
      <c r="B484" s="1"/>
      <c r="C484" s="1"/>
      <c r="D484" s="2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</row>
    <row r="485" spans="1:33" ht="15.75" customHeight="1" x14ac:dyDescent="0.25">
      <c r="A485" s="1"/>
      <c r="B485" s="1"/>
      <c r="C485" s="1"/>
      <c r="D485" s="2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</row>
    <row r="486" spans="1:33" ht="15.75" customHeight="1" x14ac:dyDescent="0.25">
      <c r="A486" s="1"/>
      <c r="B486" s="1"/>
      <c r="C486" s="1"/>
      <c r="D486" s="2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</row>
    <row r="487" spans="1:33" ht="15.75" customHeight="1" x14ac:dyDescent="0.25">
      <c r="A487" s="1"/>
      <c r="B487" s="1"/>
      <c r="C487" s="1"/>
      <c r="D487" s="2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</row>
    <row r="488" spans="1:33" ht="15.75" customHeight="1" x14ac:dyDescent="0.25">
      <c r="A488" s="1"/>
      <c r="B488" s="1"/>
      <c r="C488" s="1"/>
      <c r="D488" s="2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</row>
    <row r="489" spans="1:33" ht="15.75" customHeight="1" x14ac:dyDescent="0.25">
      <c r="A489" s="1"/>
      <c r="B489" s="1"/>
      <c r="C489" s="1"/>
      <c r="D489" s="2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</row>
    <row r="490" spans="1:33" ht="15.75" customHeight="1" x14ac:dyDescent="0.25">
      <c r="A490" s="1"/>
      <c r="B490" s="1"/>
      <c r="C490" s="1"/>
      <c r="D490" s="2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</row>
    <row r="491" spans="1:33" ht="15.75" customHeight="1" x14ac:dyDescent="0.25">
      <c r="A491" s="1"/>
      <c r="B491" s="1"/>
      <c r="C491" s="1"/>
      <c r="D491" s="2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</row>
    <row r="492" spans="1:33" ht="15.75" customHeight="1" x14ac:dyDescent="0.25">
      <c r="A492" s="1"/>
      <c r="B492" s="1"/>
      <c r="C492" s="1"/>
      <c r="D492" s="2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</row>
    <row r="493" spans="1:33" ht="15.75" customHeight="1" x14ac:dyDescent="0.25">
      <c r="A493" s="1"/>
      <c r="B493" s="1"/>
      <c r="C493" s="1"/>
      <c r="D493" s="2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</row>
    <row r="494" spans="1:33" ht="15.75" customHeight="1" x14ac:dyDescent="0.25">
      <c r="A494" s="1"/>
      <c r="B494" s="1"/>
      <c r="C494" s="1"/>
      <c r="D494" s="2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</row>
    <row r="495" spans="1:33" ht="15.75" customHeight="1" x14ac:dyDescent="0.25">
      <c r="A495" s="1"/>
      <c r="B495" s="1"/>
      <c r="C495" s="1"/>
      <c r="D495" s="2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</row>
    <row r="496" spans="1:33" ht="15.75" customHeight="1" x14ac:dyDescent="0.25">
      <c r="A496" s="1"/>
      <c r="B496" s="1"/>
      <c r="C496" s="1"/>
      <c r="D496" s="2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</row>
    <row r="497" spans="1:33" ht="15.75" customHeight="1" x14ac:dyDescent="0.25">
      <c r="A497" s="1"/>
      <c r="B497" s="1"/>
      <c r="C497" s="1"/>
      <c r="D497" s="2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</row>
    <row r="498" spans="1:33" ht="15.75" customHeight="1" x14ac:dyDescent="0.25">
      <c r="A498" s="1"/>
      <c r="B498" s="1"/>
      <c r="C498" s="1"/>
      <c r="D498" s="2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</row>
    <row r="499" spans="1:33" ht="15.75" customHeight="1" x14ac:dyDescent="0.25">
      <c r="A499" s="1"/>
      <c r="B499" s="1"/>
      <c r="C499" s="1"/>
      <c r="D499" s="2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</row>
    <row r="500" spans="1:33" ht="15.75" customHeight="1" x14ac:dyDescent="0.25">
      <c r="A500" s="1"/>
      <c r="B500" s="1"/>
      <c r="C500" s="1"/>
      <c r="D500" s="2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</row>
    <row r="501" spans="1:33" ht="15.75" customHeight="1" x14ac:dyDescent="0.25">
      <c r="A501" s="1"/>
      <c r="B501" s="1"/>
      <c r="C501" s="1"/>
      <c r="D501" s="2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</row>
    <row r="502" spans="1:33" ht="15.75" customHeight="1" x14ac:dyDescent="0.25">
      <c r="A502" s="1"/>
      <c r="B502" s="1"/>
      <c r="C502" s="1"/>
      <c r="D502" s="2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</row>
    <row r="503" spans="1:33" ht="15.75" customHeight="1" x14ac:dyDescent="0.25">
      <c r="A503" s="1"/>
      <c r="B503" s="1"/>
      <c r="C503" s="1"/>
      <c r="D503" s="2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</row>
    <row r="504" spans="1:33" ht="15.75" customHeight="1" x14ac:dyDescent="0.25">
      <c r="A504" s="1"/>
      <c r="B504" s="1"/>
      <c r="C504" s="1"/>
      <c r="D504" s="2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</row>
    <row r="505" spans="1:33" ht="15.75" customHeight="1" x14ac:dyDescent="0.25">
      <c r="A505" s="1"/>
      <c r="B505" s="1"/>
      <c r="C505" s="1"/>
      <c r="D505" s="2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</row>
    <row r="506" spans="1:33" ht="15.75" customHeight="1" x14ac:dyDescent="0.25">
      <c r="A506" s="1"/>
      <c r="B506" s="1"/>
      <c r="C506" s="1"/>
      <c r="D506" s="2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</row>
    <row r="507" spans="1:33" ht="15.75" customHeight="1" x14ac:dyDescent="0.25">
      <c r="A507" s="1"/>
      <c r="B507" s="1"/>
      <c r="C507" s="1"/>
      <c r="D507" s="2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</row>
    <row r="508" spans="1:33" ht="15.75" customHeight="1" x14ac:dyDescent="0.25">
      <c r="A508" s="1"/>
      <c r="B508" s="1"/>
      <c r="C508" s="1"/>
      <c r="D508" s="2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</row>
    <row r="509" spans="1:33" ht="15.75" customHeight="1" x14ac:dyDescent="0.25">
      <c r="A509" s="1"/>
      <c r="B509" s="1"/>
      <c r="C509" s="1"/>
      <c r="D509" s="2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</row>
    <row r="510" spans="1:33" ht="15.75" customHeight="1" x14ac:dyDescent="0.25">
      <c r="A510" s="1"/>
      <c r="B510" s="1"/>
      <c r="C510" s="1"/>
      <c r="D510" s="2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</row>
    <row r="511" spans="1:33" ht="15.75" customHeight="1" x14ac:dyDescent="0.25">
      <c r="A511" s="1"/>
      <c r="B511" s="1"/>
      <c r="C511" s="1"/>
      <c r="D511" s="2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</row>
    <row r="512" spans="1:33" ht="15.75" customHeight="1" x14ac:dyDescent="0.25">
      <c r="A512" s="1"/>
      <c r="B512" s="1"/>
      <c r="C512" s="1"/>
      <c r="D512" s="2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</row>
    <row r="513" spans="1:33" ht="15.75" customHeight="1" x14ac:dyDescent="0.25">
      <c r="A513" s="1"/>
      <c r="B513" s="1"/>
      <c r="C513" s="1"/>
      <c r="D513" s="2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</row>
    <row r="514" spans="1:33" ht="15.75" customHeight="1" x14ac:dyDescent="0.25">
      <c r="A514" s="1"/>
      <c r="B514" s="1"/>
      <c r="C514" s="1"/>
      <c r="D514" s="2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</row>
    <row r="515" spans="1:33" ht="15.75" customHeight="1" x14ac:dyDescent="0.25">
      <c r="A515" s="1"/>
      <c r="B515" s="1"/>
      <c r="C515" s="1"/>
      <c r="D515" s="2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</row>
    <row r="516" spans="1:33" ht="15.75" customHeight="1" x14ac:dyDescent="0.25">
      <c r="A516" s="1"/>
      <c r="B516" s="1"/>
      <c r="C516" s="1"/>
      <c r="D516" s="2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</row>
    <row r="517" spans="1:33" ht="15.75" customHeight="1" x14ac:dyDescent="0.25">
      <c r="A517" s="1"/>
      <c r="B517" s="1"/>
      <c r="C517" s="1"/>
      <c r="D517" s="2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</row>
    <row r="518" spans="1:33" ht="15.75" customHeight="1" x14ac:dyDescent="0.25">
      <c r="A518" s="1"/>
      <c r="B518" s="1"/>
      <c r="C518" s="1"/>
      <c r="D518" s="2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</row>
    <row r="519" spans="1:33" ht="15.75" customHeight="1" x14ac:dyDescent="0.25">
      <c r="A519" s="1"/>
      <c r="B519" s="1"/>
      <c r="C519" s="1"/>
      <c r="D519" s="2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</row>
    <row r="520" spans="1:33" ht="15.75" customHeight="1" x14ac:dyDescent="0.25">
      <c r="A520" s="1"/>
      <c r="B520" s="1"/>
      <c r="C520" s="1"/>
      <c r="D520" s="2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</row>
    <row r="521" spans="1:33" ht="15.75" customHeight="1" x14ac:dyDescent="0.25">
      <c r="A521" s="1"/>
      <c r="B521" s="1"/>
      <c r="C521" s="1"/>
      <c r="D521" s="2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</row>
    <row r="522" spans="1:33" ht="15.75" customHeight="1" x14ac:dyDescent="0.25">
      <c r="A522" s="1"/>
      <c r="B522" s="1"/>
      <c r="C522" s="1"/>
      <c r="D522" s="2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</row>
    <row r="523" spans="1:33" ht="15.75" customHeight="1" x14ac:dyDescent="0.25">
      <c r="A523" s="1"/>
      <c r="B523" s="1"/>
      <c r="C523" s="1"/>
      <c r="D523" s="2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</row>
    <row r="524" spans="1:33" ht="15.75" customHeight="1" x14ac:dyDescent="0.25">
      <c r="A524" s="1"/>
      <c r="B524" s="1"/>
      <c r="C524" s="1"/>
      <c r="D524" s="2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</row>
    <row r="525" spans="1:33" ht="15.75" customHeight="1" x14ac:dyDescent="0.25">
      <c r="A525" s="1"/>
      <c r="B525" s="1"/>
      <c r="C525" s="1"/>
      <c r="D525" s="2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</row>
    <row r="526" spans="1:33" ht="15.75" customHeight="1" x14ac:dyDescent="0.25">
      <c r="A526" s="1"/>
      <c r="B526" s="1"/>
      <c r="C526" s="1"/>
      <c r="D526" s="2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</row>
    <row r="527" spans="1:33" ht="15.75" customHeight="1" x14ac:dyDescent="0.25">
      <c r="A527" s="1"/>
      <c r="B527" s="1"/>
      <c r="C527" s="1"/>
      <c r="D527" s="2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</row>
    <row r="528" spans="1:33" ht="15.75" customHeight="1" x14ac:dyDescent="0.25">
      <c r="A528" s="1"/>
      <c r="B528" s="1"/>
      <c r="C528" s="1"/>
      <c r="D528" s="2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</row>
    <row r="529" spans="1:33" ht="15.75" customHeight="1" x14ac:dyDescent="0.25">
      <c r="A529" s="1"/>
      <c r="B529" s="1"/>
      <c r="C529" s="1"/>
      <c r="D529" s="2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</row>
    <row r="530" spans="1:33" ht="15.75" customHeight="1" x14ac:dyDescent="0.25">
      <c r="A530" s="1"/>
      <c r="B530" s="1"/>
      <c r="C530" s="1"/>
      <c r="D530" s="2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</row>
    <row r="531" spans="1:33" ht="15.75" customHeight="1" x14ac:dyDescent="0.25">
      <c r="A531" s="1"/>
      <c r="B531" s="1"/>
      <c r="C531" s="1"/>
      <c r="D531" s="2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</row>
    <row r="532" spans="1:33" ht="15.75" customHeight="1" x14ac:dyDescent="0.25">
      <c r="A532" s="1"/>
      <c r="B532" s="1"/>
      <c r="C532" s="1"/>
      <c r="D532" s="2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</row>
    <row r="533" spans="1:33" ht="15.75" customHeight="1" x14ac:dyDescent="0.25">
      <c r="A533" s="1"/>
      <c r="B533" s="1"/>
      <c r="C533" s="1"/>
      <c r="D533" s="2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</row>
    <row r="534" spans="1:33" ht="15.75" customHeight="1" x14ac:dyDescent="0.25">
      <c r="A534" s="1"/>
      <c r="B534" s="1"/>
      <c r="C534" s="1"/>
      <c r="D534" s="2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</row>
    <row r="535" spans="1:33" ht="15.75" customHeight="1" x14ac:dyDescent="0.25">
      <c r="A535" s="1"/>
      <c r="B535" s="1"/>
      <c r="C535" s="1"/>
      <c r="D535" s="2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</row>
    <row r="536" spans="1:33" ht="15.75" customHeight="1" x14ac:dyDescent="0.25">
      <c r="A536" s="1"/>
      <c r="B536" s="1"/>
      <c r="C536" s="1"/>
      <c r="D536" s="2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</row>
    <row r="537" spans="1:33" ht="15.75" customHeight="1" x14ac:dyDescent="0.25">
      <c r="A537" s="1"/>
      <c r="B537" s="1"/>
      <c r="C537" s="1"/>
      <c r="D537" s="2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</row>
    <row r="538" spans="1:33" ht="15.75" customHeight="1" x14ac:dyDescent="0.25">
      <c r="A538" s="1"/>
      <c r="B538" s="1"/>
      <c r="C538" s="1"/>
      <c r="D538" s="2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</row>
    <row r="539" spans="1:33" ht="15.75" customHeight="1" x14ac:dyDescent="0.25">
      <c r="A539" s="1"/>
      <c r="B539" s="1"/>
      <c r="C539" s="1"/>
      <c r="D539" s="2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</row>
    <row r="540" spans="1:33" ht="15.75" customHeight="1" x14ac:dyDescent="0.25">
      <c r="A540" s="1"/>
      <c r="B540" s="1"/>
      <c r="C540" s="1"/>
      <c r="D540" s="2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</row>
    <row r="541" spans="1:33" ht="15.75" customHeight="1" x14ac:dyDescent="0.25">
      <c r="A541" s="1"/>
      <c r="B541" s="1"/>
      <c r="C541" s="1"/>
      <c r="D541" s="2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</row>
    <row r="542" spans="1:33" ht="15.75" customHeight="1" x14ac:dyDescent="0.25">
      <c r="A542" s="1"/>
      <c r="B542" s="1"/>
      <c r="C542" s="1"/>
      <c r="D542" s="2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</row>
    <row r="543" spans="1:33" ht="15.75" customHeight="1" x14ac:dyDescent="0.25">
      <c r="A543" s="1"/>
      <c r="B543" s="1"/>
      <c r="C543" s="1"/>
      <c r="D543" s="2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</row>
    <row r="544" spans="1:33" ht="15.75" customHeight="1" x14ac:dyDescent="0.25">
      <c r="A544" s="1"/>
      <c r="B544" s="1"/>
      <c r="C544" s="1"/>
      <c r="D544" s="2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</row>
    <row r="545" spans="1:33" ht="15.75" customHeight="1" x14ac:dyDescent="0.25">
      <c r="A545" s="1"/>
      <c r="B545" s="1"/>
      <c r="C545" s="1"/>
      <c r="D545" s="2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</row>
    <row r="546" spans="1:33" ht="15.75" customHeight="1" x14ac:dyDescent="0.25">
      <c r="A546" s="1"/>
      <c r="B546" s="1"/>
      <c r="C546" s="1"/>
      <c r="D546" s="2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</row>
    <row r="547" spans="1:33" ht="15.75" customHeight="1" x14ac:dyDescent="0.25">
      <c r="A547" s="1"/>
      <c r="B547" s="1"/>
      <c r="C547" s="1"/>
      <c r="D547" s="2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</row>
    <row r="548" spans="1:33" ht="15.75" customHeight="1" x14ac:dyDescent="0.25">
      <c r="A548" s="1"/>
      <c r="B548" s="1"/>
      <c r="C548" s="1"/>
      <c r="D548" s="2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</row>
    <row r="549" spans="1:33" ht="15.75" customHeight="1" x14ac:dyDescent="0.25">
      <c r="A549" s="1"/>
      <c r="B549" s="1"/>
      <c r="C549" s="1"/>
      <c r="D549" s="2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</row>
    <row r="550" spans="1:33" ht="15.75" customHeight="1" x14ac:dyDescent="0.25">
      <c r="A550" s="1"/>
      <c r="B550" s="1"/>
      <c r="C550" s="1"/>
      <c r="D550" s="2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</row>
    <row r="551" spans="1:33" ht="15.75" customHeight="1" x14ac:dyDescent="0.25">
      <c r="A551" s="1"/>
      <c r="B551" s="1"/>
      <c r="C551" s="1"/>
      <c r="D551" s="2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</row>
    <row r="552" spans="1:33" ht="15.75" customHeight="1" x14ac:dyDescent="0.25">
      <c r="A552" s="1"/>
      <c r="B552" s="1"/>
      <c r="C552" s="1"/>
      <c r="D552" s="2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</row>
    <row r="553" spans="1:33" ht="15.75" customHeight="1" x14ac:dyDescent="0.25">
      <c r="A553" s="1"/>
      <c r="B553" s="1"/>
      <c r="C553" s="1"/>
      <c r="D553" s="2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</row>
    <row r="554" spans="1:33" ht="15.75" customHeight="1" x14ac:dyDescent="0.25">
      <c r="A554" s="1"/>
      <c r="B554" s="1"/>
      <c r="C554" s="1"/>
      <c r="D554" s="2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</row>
    <row r="555" spans="1:33" ht="15.75" customHeight="1" x14ac:dyDescent="0.25">
      <c r="A555" s="1"/>
      <c r="B555" s="1"/>
      <c r="C555" s="1"/>
      <c r="D555" s="2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</row>
    <row r="556" spans="1:33" ht="15.75" customHeight="1" x14ac:dyDescent="0.25">
      <c r="A556" s="1"/>
      <c r="B556" s="1"/>
      <c r="C556" s="1"/>
      <c r="D556" s="2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</row>
    <row r="557" spans="1:33" ht="15.75" customHeight="1" x14ac:dyDescent="0.25">
      <c r="A557" s="1"/>
      <c r="B557" s="1"/>
      <c r="C557" s="1"/>
      <c r="D557" s="2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</row>
    <row r="558" spans="1:33" ht="15.75" customHeight="1" x14ac:dyDescent="0.25">
      <c r="A558" s="1"/>
      <c r="B558" s="1"/>
      <c r="C558" s="1"/>
      <c r="D558" s="2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</row>
    <row r="559" spans="1:33" ht="15.75" customHeight="1" x14ac:dyDescent="0.25">
      <c r="A559" s="1"/>
      <c r="B559" s="1"/>
      <c r="C559" s="1"/>
      <c r="D559" s="2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</row>
    <row r="560" spans="1:33" ht="15.75" customHeight="1" x14ac:dyDescent="0.25">
      <c r="A560" s="1"/>
      <c r="B560" s="1"/>
      <c r="C560" s="1"/>
      <c r="D560" s="2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</row>
    <row r="561" spans="1:33" ht="15.75" customHeight="1" x14ac:dyDescent="0.25">
      <c r="A561" s="1"/>
      <c r="B561" s="1"/>
      <c r="C561" s="1"/>
      <c r="D561" s="2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</row>
    <row r="562" spans="1:33" ht="15.75" customHeight="1" x14ac:dyDescent="0.25">
      <c r="A562" s="1"/>
      <c r="B562" s="1"/>
      <c r="C562" s="1"/>
      <c r="D562" s="2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</row>
    <row r="563" spans="1:33" ht="15.75" customHeight="1" x14ac:dyDescent="0.25">
      <c r="A563" s="1"/>
      <c r="B563" s="1"/>
      <c r="C563" s="1"/>
      <c r="D563" s="2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</row>
    <row r="564" spans="1:33" ht="15.75" customHeight="1" x14ac:dyDescent="0.25">
      <c r="A564" s="1"/>
      <c r="B564" s="1"/>
      <c r="C564" s="1"/>
      <c r="D564" s="2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</row>
    <row r="565" spans="1:33" ht="15.75" customHeight="1" x14ac:dyDescent="0.25">
      <c r="A565" s="1"/>
      <c r="B565" s="1"/>
      <c r="C565" s="1"/>
      <c r="D565" s="2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</row>
    <row r="566" spans="1:33" ht="15.75" customHeight="1" x14ac:dyDescent="0.25">
      <c r="A566" s="1"/>
      <c r="B566" s="1"/>
      <c r="C566" s="1"/>
      <c r="D566" s="2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</row>
    <row r="567" spans="1:33" ht="15.75" customHeight="1" x14ac:dyDescent="0.25">
      <c r="A567" s="1"/>
      <c r="B567" s="1"/>
      <c r="C567" s="1"/>
      <c r="D567" s="2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</row>
    <row r="568" spans="1:33" ht="15.75" customHeight="1" x14ac:dyDescent="0.25">
      <c r="A568" s="1"/>
      <c r="B568" s="1"/>
      <c r="C568" s="1"/>
      <c r="D568" s="2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</row>
    <row r="569" spans="1:33" ht="15.75" customHeight="1" x14ac:dyDescent="0.25">
      <c r="A569" s="1"/>
      <c r="B569" s="1"/>
      <c r="C569" s="1"/>
      <c r="D569" s="2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</row>
    <row r="570" spans="1:33" ht="15.75" customHeight="1" x14ac:dyDescent="0.25">
      <c r="A570" s="1"/>
      <c r="B570" s="1"/>
      <c r="C570" s="1"/>
      <c r="D570" s="2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</row>
    <row r="571" spans="1:33" ht="15.75" customHeight="1" x14ac:dyDescent="0.25">
      <c r="A571" s="1"/>
      <c r="B571" s="1"/>
      <c r="C571" s="1"/>
      <c r="D571" s="2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</row>
    <row r="572" spans="1:33" ht="15.75" customHeight="1" x14ac:dyDescent="0.25">
      <c r="A572" s="1"/>
      <c r="B572" s="1"/>
      <c r="C572" s="1"/>
      <c r="D572" s="2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</row>
    <row r="573" spans="1:33" ht="15.75" customHeight="1" x14ac:dyDescent="0.25">
      <c r="A573" s="1"/>
      <c r="B573" s="1"/>
      <c r="C573" s="1"/>
      <c r="D573" s="2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</row>
    <row r="574" spans="1:33" ht="15.75" customHeight="1" x14ac:dyDescent="0.25">
      <c r="A574" s="1"/>
      <c r="B574" s="1"/>
      <c r="C574" s="1"/>
      <c r="D574" s="2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</row>
    <row r="575" spans="1:33" ht="15.75" customHeight="1" x14ac:dyDescent="0.25">
      <c r="A575" s="1"/>
      <c r="B575" s="1"/>
      <c r="C575" s="1"/>
      <c r="D575" s="2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</row>
    <row r="576" spans="1:33" ht="15.75" customHeight="1" x14ac:dyDescent="0.25">
      <c r="A576" s="1"/>
      <c r="B576" s="1"/>
      <c r="C576" s="1"/>
      <c r="D576" s="2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</row>
    <row r="577" spans="1:33" ht="15.75" customHeight="1" x14ac:dyDescent="0.25">
      <c r="A577" s="1"/>
      <c r="B577" s="1"/>
      <c r="C577" s="1"/>
      <c r="D577" s="2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</row>
    <row r="578" spans="1:33" ht="15.75" customHeight="1" x14ac:dyDescent="0.25">
      <c r="A578" s="1"/>
      <c r="B578" s="1"/>
      <c r="C578" s="1"/>
      <c r="D578" s="2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</row>
    <row r="579" spans="1:33" ht="15.75" customHeight="1" x14ac:dyDescent="0.25">
      <c r="A579" s="1"/>
      <c r="B579" s="1"/>
      <c r="C579" s="1"/>
      <c r="D579" s="2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</row>
    <row r="580" spans="1:33" ht="15.75" customHeight="1" x14ac:dyDescent="0.25">
      <c r="A580" s="1"/>
      <c r="B580" s="1"/>
      <c r="C580" s="1"/>
      <c r="D580" s="2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</row>
    <row r="581" spans="1:33" ht="15.75" customHeight="1" x14ac:dyDescent="0.25">
      <c r="A581" s="1"/>
      <c r="B581" s="1"/>
      <c r="C581" s="1"/>
      <c r="D581" s="2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</row>
    <row r="582" spans="1:33" ht="15.75" customHeight="1" x14ac:dyDescent="0.25">
      <c r="A582" s="1"/>
      <c r="B582" s="1"/>
      <c r="C582" s="1"/>
      <c r="D582" s="2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</row>
    <row r="583" spans="1:33" ht="15.75" customHeight="1" x14ac:dyDescent="0.25">
      <c r="A583" s="1"/>
      <c r="B583" s="1"/>
      <c r="C583" s="1"/>
      <c r="D583" s="2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</row>
    <row r="584" spans="1:33" ht="15.75" customHeight="1" x14ac:dyDescent="0.25">
      <c r="A584" s="1"/>
      <c r="B584" s="1"/>
      <c r="C584" s="1"/>
      <c r="D584" s="2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</row>
    <row r="585" spans="1:33" ht="15.75" customHeight="1" x14ac:dyDescent="0.25">
      <c r="A585" s="1"/>
      <c r="B585" s="1"/>
      <c r="C585" s="1"/>
      <c r="D585" s="2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</row>
    <row r="586" spans="1:33" ht="15.75" customHeight="1" x14ac:dyDescent="0.25">
      <c r="A586" s="1"/>
      <c r="B586" s="1"/>
      <c r="C586" s="1"/>
      <c r="D586" s="2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</row>
    <row r="587" spans="1:33" ht="15.75" customHeight="1" x14ac:dyDescent="0.25">
      <c r="A587" s="1"/>
      <c r="B587" s="1"/>
      <c r="C587" s="1"/>
      <c r="D587" s="2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</row>
    <row r="588" spans="1:33" ht="15.75" customHeight="1" x14ac:dyDescent="0.25">
      <c r="A588" s="1"/>
      <c r="B588" s="1"/>
      <c r="C588" s="1"/>
      <c r="D588" s="2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</row>
    <row r="589" spans="1:33" ht="15.75" customHeight="1" x14ac:dyDescent="0.25">
      <c r="A589" s="1"/>
      <c r="B589" s="1"/>
      <c r="C589" s="1"/>
      <c r="D589" s="2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</row>
    <row r="590" spans="1:33" ht="15.75" customHeight="1" x14ac:dyDescent="0.25">
      <c r="A590" s="1"/>
      <c r="B590" s="1"/>
      <c r="C590" s="1"/>
      <c r="D590" s="2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</row>
    <row r="591" spans="1:33" ht="15.75" customHeight="1" x14ac:dyDescent="0.25">
      <c r="A591" s="1"/>
      <c r="B591" s="1"/>
      <c r="C591" s="1"/>
      <c r="D591" s="2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</row>
    <row r="592" spans="1:33" ht="15.75" customHeight="1" x14ac:dyDescent="0.25">
      <c r="A592" s="1"/>
      <c r="B592" s="1"/>
      <c r="C592" s="1"/>
      <c r="D592" s="2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</row>
    <row r="593" spans="1:33" ht="15.75" customHeight="1" x14ac:dyDescent="0.25">
      <c r="A593" s="1"/>
      <c r="B593" s="1"/>
      <c r="C593" s="1"/>
      <c r="D593" s="2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</row>
    <row r="594" spans="1:33" ht="15.75" customHeight="1" x14ac:dyDescent="0.25">
      <c r="A594" s="1"/>
      <c r="B594" s="1"/>
      <c r="C594" s="1"/>
      <c r="D594" s="2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</row>
    <row r="595" spans="1:33" ht="15.75" customHeight="1" x14ac:dyDescent="0.25">
      <c r="A595" s="1"/>
      <c r="B595" s="1"/>
      <c r="C595" s="1"/>
      <c r="D595" s="2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</row>
    <row r="596" spans="1:33" ht="15.75" customHeight="1" x14ac:dyDescent="0.25">
      <c r="A596" s="1"/>
      <c r="B596" s="1"/>
      <c r="C596" s="1"/>
      <c r="D596" s="2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</row>
    <row r="597" spans="1:33" ht="15.75" customHeight="1" x14ac:dyDescent="0.25">
      <c r="A597" s="1"/>
      <c r="B597" s="1"/>
      <c r="C597" s="1"/>
      <c r="D597" s="2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</row>
    <row r="598" spans="1:33" ht="15.75" customHeight="1" x14ac:dyDescent="0.25">
      <c r="A598" s="1"/>
      <c r="B598" s="1"/>
      <c r="C598" s="1"/>
      <c r="D598" s="2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</row>
    <row r="599" spans="1:33" ht="15.75" customHeight="1" x14ac:dyDescent="0.25">
      <c r="A599" s="1"/>
      <c r="B599" s="1"/>
      <c r="C599" s="1"/>
      <c r="D599" s="2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</row>
    <row r="600" spans="1:33" ht="15.75" customHeight="1" x14ac:dyDescent="0.25">
      <c r="A600" s="1"/>
      <c r="B600" s="1"/>
      <c r="C600" s="1"/>
      <c r="D600" s="2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</row>
    <row r="601" spans="1:33" ht="15.75" customHeight="1" x14ac:dyDescent="0.25">
      <c r="A601" s="1"/>
      <c r="B601" s="1"/>
      <c r="C601" s="1"/>
      <c r="D601" s="2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</row>
    <row r="602" spans="1:33" ht="15.75" customHeight="1" x14ac:dyDescent="0.25">
      <c r="A602" s="1"/>
      <c r="B602" s="1"/>
      <c r="C602" s="1"/>
      <c r="D602" s="2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</row>
    <row r="603" spans="1:33" ht="15.75" customHeight="1" x14ac:dyDescent="0.25">
      <c r="A603" s="1"/>
      <c r="B603" s="1"/>
      <c r="C603" s="1"/>
      <c r="D603" s="2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</row>
    <row r="604" spans="1:33" ht="15.75" customHeight="1" x14ac:dyDescent="0.25">
      <c r="A604" s="1"/>
      <c r="B604" s="1"/>
      <c r="C604" s="1"/>
      <c r="D604" s="2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</row>
    <row r="605" spans="1:33" ht="15.75" customHeight="1" x14ac:dyDescent="0.25">
      <c r="A605" s="1"/>
      <c r="B605" s="1"/>
      <c r="C605" s="1"/>
      <c r="D605" s="2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</row>
    <row r="606" spans="1:33" ht="15.75" customHeight="1" x14ac:dyDescent="0.25">
      <c r="A606" s="1"/>
      <c r="B606" s="1"/>
      <c r="C606" s="1"/>
      <c r="D606" s="2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</row>
    <row r="607" spans="1:33" ht="15.75" customHeight="1" x14ac:dyDescent="0.25">
      <c r="A607" s="1"/>
      <c r="B607" s="1"/>
      <c r="C607" s="1"/>
      <c r="D607" s="2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</row>
    <row r="608" spans="1:33" ht="15.75" customHeight="1" x14ac:dyDescent="0.25">
      <c r="A608" s="1"/>
      <c r="B608" s="1"/>
      <c r="C608" s="1"/>
      <c r="D608" s="2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</row>
    <row r="609" spans="1:33" ht="15.75" customHeight="1" x14ac:dyDescent="0.25">
      <c r="A609" s="1"/>
      <c r="B609" s="1"/>
      <c r="C609" s="1"/>
      <c r="D609" s="2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</row>
    <row r="610" spans="1:33" ht="15.75" customHeight="1" x14ac:dyDescent="0.25">
      <c r="A610" s="1"/>
      <c r="B610" s="1"/>
      <c r="C610" s="1"/>
      <c r="D610" s="2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</row>
    <row r="611" spans="1:33" ht="15.75" customHeight="1" x14ac:dyDescent="0.25">
      <c r="A611" s="1"/>
      <c r="B611" s="1"/>
      <c r="C611" s="1"/>
      <c r="D611" s="2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</row>
    <row r="612" spans="1:33" ht="15.75" customHeight="1" x14ac:dyDescent="0.25">
      <c r="A612" s="1"/>
      <c r="B612" s="1"/>
      <c r="C612" s="1"/>
      <c r="D612" s="2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</row>
    <row r="613" spans="1:33" ht="15.75" customHeight="1" x14ac:dyDescent="0.25">
      <c r="A613" s="1"/>
      <c r="B613" s="1"/>
      <c r="C613" s="1"/>
      <c r="D613" s="2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</row>
    <row r="614" spans="1:33" ht="15.75" customHeight="1" x14ac:dyDescent="0.25">
      <c r="A614" s="1"/>
      <c r="B614" s="1"/>
      <c r="C614" s="1"/>
      <c r="D614" s="2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</row>
    <row r="615" spans="1:33" ht="15.75" customHeight="1" x14ac:dyDescent="0.25">
      <c r="A615" s="1"/>
      <c r="B615" s="1"/>
      <c r="C615" s="1"/>
      <c r="D615" s="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</row>
    <row r="616" spans="1:33" ht="15.75" customHeight="1" x14ac:dyDescent="0.25">
      <c r="A616" s="1"/>
      <c r="B616" s="1"/>
      <c r="C616" s="1"/>
      <c r="D616" s="2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</row>
    <row r="617" spans="1:33" ht="15.75" customHeight="1" x14ac:dyDescent="0.25">
      <c r="A617" s="1"/>
      <c r="B617" s="1"/>
      <c r="C617" s="1"/>
      <c r="D617" s="2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</row>
    <row r="618" spans="1:33" ht="15.75" customHeight="1" x14ac:dyDescent="0.25">
      <c r="A618" s="1"/>
      <c r="B618" s="1"/>
      <c r="C618" s="1"/>
      <c r="D618" s="2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</row>
    <row r="619" spans="1:33" ht="15.75" customHeight="1" x14ac:dyDescent="0.25">
      <c r="A619" s="1"/>
      <c r="B619" s="1"/>
      <c r="C619" s="1"/>
      <c r="D619" s="2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</row>
    <row r="620" spans="1:33" ht="15.75" customHeight="1" x14ac:dyDescent="0.25">
      <c r="A620" s="1"/>
      <c r="B620" s="1"/>
      <c r="C620" s="1"/>
      <c r="D620" s="2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</row>
    <row r="621" spans="1:33" ht="15.75" customHeight="1" x14ac:dyDescent="0.25">
      <c r="A621" s="1"/>
      <c r="B621" s="1"/>
      <c r="C621" s="1"/>
      <c r="D621" s="2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</row>
    <row r="622" spans="1:33" ht="15.75" customHeight="1" x14ac:dyDescent="0.25">
      <c r="A622" s="1"/>
      <c r="B622" s="1"/>
      <c r="C622" s="1"/>
      <c r="D622" s="2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</row>
    <row r="623" spans="1:33" ht="15.75" customHeight="1" x14ac:dyDescent="0.25">
      <c r="A623" s="1"/>
      <c r="B623" s="1"/>
      <c r="C623" s="1"/>
      <c r="D623" s="2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</row>
    <row r="624" spans="1:33" ht="15.75" customHeight="1" x14ac:dyDescent="0.25">
      <c r="A624" s="1"/>
      <c r="B624" s="1"/>
      <c r="C624" s="1"/>
      <c r="D624" s="2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</row>
    <row r="625" spans="1:33" ht="15.75" customHeight="1" x14ac:dyDescent="0.25">
      <c r="A625" s="1"/>
      <c r="B625" s="1"/>
      <c r="C625" s="1"/>
      <c r="D625" s="2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</row>
    <row r="626" spans="1:33" ht="15.75" customHeight="1" x14ac:dyDescent="0.25">
      <c r="A626" s="1"/>
      <c r="B626" s="1"/>
      <c r="C626" s="1"/>
      <c r="D626" s="2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</row>
    <row r="627" spans="1:33" ht="15.75" customHeight="1" x14ac:dyDescent="0.25">
      <c r="A627" s="1"/>
      <c r="B627" s="1"/>
      <c r="C627" s="1"/>
      <c r="D627" s="2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</row>
    <row r="628" spans="1:33" ht="15.75" customHeight="1" x14ac:dyDescent="0.25">
      <c r="A628" s="1"/>
      <c r="B628" s="1"/>
      <c r="C628" s="1"/>
      <c r="D628" s="2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</row>
    <row r="629" spans="1:33" ht="15.75" customHeight="1" x14ac:dyDescent="0.25">
      <c r="A629" s="1"/>
      <c r="B629" s="1"/>
      <c r="C629" s="1"/>
      <c r="D629" s="2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</row>
    <row r="630" spans="1:33" ht="15.75" customHeight="1" x14ac:dyDescent="0.25">
      <c r="A630" s="1"/>
      <c r="B630" s="1"/>
      <c r="C630" s="1"/>
      <c r="D630" s="2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</row>
    <row r="631" spans="1:33" ht="15.75" customHeight="1" x14ac:dyDescent="0.25">
      <c r="A631" s="1"/>
      <c r="B631" s="1"/>
      <c r="C631" s="1"/>
      <c r="D631" s="2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</row>
    <row r="632" spans="1:33" ht="15.75" customHeight="1" x14ac:dyDescent="0.25">
      <c r="A632" s="1"/>
      <c r="B632" s="1"/>
      <c r="C632" s="1"/>
      <c r="D632" s="2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</row>
    <row r="633" spans="1:33" ht="15.75" customHeight="1" x14ac:dyDescent="0.25">
      <c r="A633" s="1"/>
      <c r="B633" s="1"/>
      <c r="C633" s="1"/>
      <c r="D633" s="2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</row>
    <row r="634" spans="1:33" ht="15.75" customHeight="1" x14ac:dyDescent="0.25">
      <c r="A634" s="1"/>
      <c r="B634" s="1"/>
      <c r="C634" s="1"/>
      <c r="D634" s="2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</row>
    <row r="635" spans="1:33" ht="15.75" customHeight="1" x14ac:dyDescent="0.25">
      <c r="A635" s="1"/>
      <c r="B635" s="1"/>
      <c r="C635" s="1"/>
      <c r="D635" s="2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</row>
    <row r="636" spans="1:33" ht="15.75" customHeight="1" x14ac:dyDescent="0.25">
      <c r="A636" s="1"/>
      <c r="B636" s="1"/>
      <c r="C636" s="1"/>
      <c r="D636" s="2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</row>
    <row r="637" spans="1:33" ht="15.75" customHeight="1" x14ac:dyDescent="0.25">
      <c r="A637" s="1"/>
      <c r="B637" s="1"/>
      <c r="C637" s="1"/>
      <c r="D637" s="2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</row>
    <row r="638" spans="1:33" ht="15.75" customHeight="1" x14ac:dyDescent="0.25">
      <c r="A638" s="1"/>
      <c r="B638" s="1"/>
      <c r="C638" s="1"/>
      <c r="D638" s="2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</row>
    <row r="639" spans="1:33" ht="15.75" customHeight="1" x14ac:dyDescent="0.25">
      <c r="A639" s="1"/>
      <c r="B639" s="1"/>
      <c r="C639" s="1"/>
      <c r="D639" s="2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</row>
    <row r="640" spans="1:33" ht="15.75" customHeight="1" x14ac:dyDescent="0.25">
      <c r="A640" s="1"/>
      <c r="B640" s="1"/>
      <c r="C640" s="1"/>
      <c r="D640" s="2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</row>
    <row r="641" spans="1:33" ht="15.75" customHeight="1" x14ac:dyDescent="0.25">
      <c r="A641" s="1"/>
      <c r="B641" s="1"/>
      <c r="C641" s="1"/>
      <c r="D641" s="2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</row>
    <row r="642" spans="1:33" ht="15.75" customHeight="1" x14ac:dyDescent="0.25">
      <c r="A642" s="1"/>
      <c r="B642" s="1"/>
      <c r="C642" s="1"/>
      <c r="D642" s="2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</row>
    <row r="643" spans="1:33" ht="15.75" customHeight="1" x14ac:dyDescent="0.25">
      <c r="A643" s="1"/>
      <c r="B643" s="1"/>
      <c r="C643" s="1"/>
      <c r="D643" s="2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</row>
    <row r="644" spans="1:33" ht="15.75" customHeight="1" x14ac:dyDescent="0.25">
      <c r="A644" s="1"/>
      <c r="B644" s="1"/>
      <c r="C644" s="1"/>
      <c r="D644" s="2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</row>
    <row r="645" spans="1:33" ht="15.75" customHeight="1" x14ac:dyDescent="0.25">
      <c r="A645" s="1"/>
      <c r="B645" s="1"/>
      <c r="C645" s="1"/>
      <c r="D645" s="2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</row>
    <row r="646" spans="1:33" ht="15.75" customHeight="1" x14ac:dyDescent="0.25">
      <c r="A646" s="1"/>
      <c r="B646" s="1"/>
      <c r="C646" s="1"/>
      <c r="D646" s="2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</row>
    <row r="647" spans="1:33" ht="15.75" customHeight="1" x14ac:dyDescent="0.25">
      <c r="A647" s="1"/>
      <c r="B647" s="1"/>
      <c r="C647" s="1"/>
      <c r="D647" s="2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</row>
    <row r="648" spans="1:33" ht="15.75" customHeight="1" x14ac:dyDescent="0.25">
      <c r="A648" s="1"/>
      <c r="B648" s="1"/>
      <c r="C648" s="1"/>
      <c r="D648" s="2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</row>
    <row r="649" spans="1:33" ht="15.75" customHeight="1" x14ac:dyDescent="0.25">
      <c r="A649" s="1"/>
      <c r="B649" s="1"/>
      <c r="C649" s="1"/>
      <c r="D649" s="2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</row>
    <row r="650" spans="1:33" ht="15.75" customHeight="1" x14ac:dyDescent="0.25">
      <c r="A650" s="1"/>
      <c r="B650" s="1"/>
      <c r="C650" s="1"/>
      <c r="D650" s="2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</row>
    <row r="651" spans="1:33" ht="15.75" customHeight="1" x14ac:dyDescent="0.25">
      <c r="A651" s="1"/>
      <c r="B651" s="1"/>
      <c r="C651" s="1"/>
      <c r="D651" s="2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</row>
    <row r="652" spans="1:33" ht="15.75" customHeight="1" x14ac:dyDescent="0.25">
      <c r="A652" s="1"/>
      <c r="B652" s="1"/>
      <c r="C652" s="1"/>
      <c r="D652" s="2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</row>
    <row r="653" spans="1:33" ht="15.75" customHeight="1" x14ac:dyDescent="0.25">
      <c r="A653" s="1"/>
      <c r="B653" s="1"/>
      <c r="C653" s="1"/>
      <c r="D653" s="2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</row>
    <row r="654" spans="1:33" ht="15.75" customHeight="1" x14ac:dyDescent="0.25">
      <c r="A654" s="1"/>
      <c r="B654" s="1"/>
      <c r="C654" s="1"/>
      <c r="D654" s="2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</row>
    <row r="655" spans="1:33" ht="15.75" customHeight="1" x14ac:dyDescent="0.25">
      <c r="A655" s="1"/>
      <c r="B655" s="1"/>
      <c r="C655" s="1"/>
      <c r="D655" s="2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</row>
    <row r="656" spans="1:33" ht="15.75" customHeight="1" x14ac:dyDescent="0.25">
      <c r="A656" s="1"/>
      <c r="B656" s="1"/>
      <c r="C656" s="1"/>
      <c r="D656" s="2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</row>
    <row r="657" spans="1:33" ht="15.75" customHeight="1" x14ac:dyDescent="0.25">
      <c r="A657" s="1"/>
      <c r="B657" s="1"/>
      <c r="C657" s="1"/>
      <c r="D657" s="2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</row>
    <row r="658" spans="1:33" ht="15.75" customHeight="1" x14ac:dyDescent="0.25">
      <c r="A658" s="1"/>
      <c r="B658" s="1"/>
      <c r="C658" s="1"/>
      <c r="D658" s="2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</row>
    <row r="659" spans="1:33" ht="15.75" customHeight="1" x14ac:dyDescent="0.25">
      <c r="A659" s="1"/>
      <c r="B659" s="1"/>
      <c r="C659" s="1"/>
      <c r="D659" s="2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</row>
    <row r="660" spans="1:33" ht="15.75" customHeight="1" x14ac:dyDescent="0.25">
      <c r="A660" s="1"/>
      <c r="B660" s="1"/>
      <c r="C660" s="1"/>
      <c r="D660" s="2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</row>
    <row r="661" spans="1:33" ht="15.75" customHeight="1" x14ac:dyDescent="0.25">
      <c r="A661" s="1"/>
      <c r="B661" s="1"/>
      <c r="C661" s="1"/>
      <c r="D661" s="2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</row>
    <row r="662" spans="1:33" ht="15.75" customHeight="1" x14ac:dyDescent="0.25">
      <c r="A662" s="1"/>
      <c r="B662" s="1"/>
      <c r="C662" s="1"/>
      <c r="D662" s="2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</row>
    <row r="663" spans="1:33" ht="15.75" customHeight="1" x14ac:dyDescent="0.25">
      <c r="A663" s="1"/>
      <c r="B663" s="1"/>
      <c r="C663" s="1"/>
      <c r="D663" s="2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</row>
    <row r="664" spans="1:33" ht="15.75" customHeight="1" x14ac:dyDescent="0.25">
      <c r="A664" s="1"/>
      <c r="B664" s="1"/>
      <c r="C664" s="1"/>
      <c r="D664" s="2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</row>
    <row r="665" spans="1:33" ht="15.75" customHeight="1" x14ac:dyDescent="0.25">
      <c r="A665" s="1"/>
      <c r="B665" s="1"/>
      <c r="C665" s="1"/>
      <c r="D665" s="2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</row>
    <row r="666" spans="1:33" ht="15.75" customHeight="1" x14ac:dyDescent="0.25">
      <c r="A666" s="1"/>
      <c r="B666" s="1"/>
      <c r="C666" s="1"/>
      <c r="D666" s="2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</row>
    <row r="667" spans="1:33" ht="15.75" customHeight="1" x14ac:dyDescent="0.25">
      <c r="A667" s="1"/>
      <c r="B667" s="1"/>
      <c r="C667" s="1"/>
      <c r="D667" s="2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</row>
    <row r="668" spans="1:33" ht="15.75" customHeight="1" x14ac:dyDescent="0.25">
      <c r="A668" s="1"/>
      <c r="B668" s="1"/>
      <c r="C668" s="1"/>
      <c r="D668" s="2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</row>
    <row r="669" spans="1:33" ht="15.75" customHeight="1" x14ac:dyDescent="0.25">
      <c r="A669" s="1"/>
      <c r="B669" s="1"/>
      <c r="C669" s="1"/>
      <c r="D669" s="2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</row>
    <row r="670" spans="1:33" ht="15.75" customHeight="1" x14ac:dyDescent="0.25">
      <c r="A670" s="1"/>
      <c r="B670" s="1"/>
      <c r="C670" s="1"/>
      <c r="D670" s="2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</row>
    <row r="671" spans="1:33" ht="15.75" customHeight="1" x14ac:dyDescent="0.25">
      <c r="A671" s="1"/>
      <c r="B671" s="1"/>
      <c r="C671" s="1"/>
      <c r="D671" s="2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</row>
    <row r="672" spans="1:33" ht="15.75" customHeight="1" x14ac:dyDescent="0.25">
      <c r="A672" s="1"/>
      <c r="B672" s="1"/>
      <c r="C672" s="1"/>
      <c r="D672" s="2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</row>
    <row r="673" spans="1:33" ht="15.75" customHeight="1" x14ac:dyDescent="0.25">
      <c r="A673" s="1"/>
      <c r="B673" s="1"/>
      <c r="C673" s="1"/>
      <c r="D673" s="2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</row>
    <row r="674" spans="1:33" ht="15.75" customHeight="1" x14ac:dyDescent="0.25">
      <c r="A674" s="1"/>
      <c r="B674" s="1"/>
      <c r="C674" s="1"/>
      <c r="D674" s="2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</row>
    <row r="675" spans="1:33" ht="15.75" customHeight="1" x14ac:dyDescent="0.25">
      <c r="A675" s="1"/>
      <c r="B675" s="1"/>
      <c r="C675" s="1"/>
      <c r="D675" s="2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</row>
    <row r="676" spans="1:33" ht="15.75" customHeight="1" x14ac:dyDescent="0.25">
      <c r="A676" s="1"/>
      <c r="B676" s="1"/>
      <c r="C676" s="1"/>
      <c r="D676" s="2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</row>
    <row r="677" spans="1:33" ht="15.75" customHeight="1" x14ac:dyDescent="0.25">
      <c r="A677" s="1"/>
      <c r="B677" s="1"/>
      <c r="C677" s="1"/>
      <c r="D677" s="2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</row>
    <row r="678" spans="1:33" ht="15.75" customHeight="1" x14ac:dyDescent="0.25">
      <c r="A678" s="1"/>
      <c r="B678" s="1"/>
      <c r="C678" s="1"/>
      <c r="D678" s="2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</row>
    <row r="679" spans="1:33" ht="15.75" customHeight="1" x14ac:dyDescent="0.25">
      <c r="A679" s="1"/>
      <c r="B679" s="1"/>
      <c r="C679" s="1"/>
      <c r="D679" s="2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</row>
    <row r="680" spans="1:33" ht="15.75" customHeight="1" x14ac:dyDescent="0.25">
      <c r="A680" s="1"/>
      <c r="B680" s="1"/>
      <c r="C680" s="1"/>
      <c r="D680" s="2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</row>
    <row r="681" spans="1:33" ht="15.75" customHeight="1" x14ac:dyDescent="0.25">
      <c r="A681" s="1"/>
      <c r="B681" s="1"/>
      <c r="C681" s="1"/>
      <c r="D681" s="2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</row>
    <row r="682" spans="1:33" ht="15.75" customHeight="1" x14ac:dyDescent="0.25">
      <c r="A682" s="1"/>
      <c r="B682" s="1"/>
      <c r="C682" s="1"/>
      <c r="D682" s="2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</row>
    <row r="683" spans="1:33" ht="15.75" customHeight="1" x14ac:dyDescent="0.25">
      <c r="A683" s="1"/>
      <c r="B683" s="1"/>
      <c r="C683" s="1"/>
      <c r="D683" s="2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</row>
    <row r="684" spans="1:33" ht="15.75" customHeight="1" x14ac:dyDescent="0.25">
      <c r="A684" s="1"/>
      <c r="B684" s="1"/>
      <c r="C684" s="1"/>
      <c r="D684" s="2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</row>
    <row r="685" spans="1:33" ht="15.75" customHeight="1" x14ac:dyDescent="0.25">
      <c r="A685" s="1"/>
      <c r="B685" s="1"/>
      <c r="C685" s="1"/>
      <c r="D685" s="2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</row>
    <row r="686" spans="1:33" ht="15.75" customHeight="1" x14ac:dyDescent="0.25">
      <c r="A686" s="1"/>
      <c r="B686" s="1"/>
      <c r="C686" s="1"/>
      <c r="D686" s="2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</row>
    <row r="687" spans="1:33" ht="15.75" customHeight="1" x14ac:dyDescent="0.25">
      <c r="A687" s="1"/>
      <c r="B687" s="1"/>
      <c r="C687" s="1"/>
      <c r="D687" s="2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</row>
    <row r="688" spans="1:33" ht="15.75" customHeight="1" x14ac:dyDescent="0.25">
      <c r="A688" s="1"/>
      <c r="B688" s="1"/>
      <c r="C688" s="1"/>
      <c r="D688" s="2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</row>
    <row r="689" spans="1:33" ht="15.75" customHeight="1" x14ac:dyDescent="0.25">
      <c r="A689" s="1"/>
      <c r="B689" s="1"/>
      <c r="C689" s="1"/>
      <c r="D689" s="2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</row>
    <row r="690" spans="1:33" ht="15.75" customHeight="1" x14ac:dyDescent="0.25">
      <c r="A690" s="1"/>
      <c r="B690" s="1"/>
      <c r="C690" s="1"/>
      <c r="D690" s="2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</row>
    <row r="691" spans="1:33" ht="15.75" customHeight="1" x14ac:dyDescent="0.25">
      <c r="A691" s="1"/>
      <c r="B691" s="1"/>
      <c r="C691" s="1"/>
      <c r="D691" s="2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</row>
    <row r="692" spans="1:33" ht="15.75" customHeight="1" x14ac:dyDescent="0.25">
      <c r="A692" s="1"/>
      <c r="B692" s="1"/>
      <c r="C692" s="1"/>
      <c r="D692" s="2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</row>
    <row r="693" spans="1:33" ht="15.75" customHeight="1" x14ac:dyDescent="0.25">
      <c r="A693" s="1"/>
      <c r="B693" s="1"/>
      <c r="C693" s="1"/>
      <c r="D693" s="2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</row>
    <row r="694" spans="1:33" ht="15.75" customHeight="1" x14ac:dyDescent="0.25">
      <c r="A694" s="1"/>
      <c r="B694" s="1"/>
      <c r="C694" s="1"/>
      <c r="D694" s="2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</row>
    <row r="695" spans="1:33" ht="15.75" customHeight="1" x14ac:dyDescent="0.25">
      <c r="A695" s="1"/>
      <c r="B695" s="1"/>
      <c r="C695" s="1"/>
      <c r="D695" s="2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</row>
    <row r="696" spans="1:33" ht="15.75" customHeight="1" x14ac:dyDescent="0.25">
      <c r="A696" s="1"/>
      <c r="B696" s="1"/>
      <c r="C696" s="1"/>
      <c r="D696" s="2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</row>
    <row r="697" spans="1:33" ht="15.75" customHeight="1" x14ac:dyDescent="0.25">
      <c r="A697" s="1"/>
      <c r="B697" s="1"/>
      <c r="C697" s="1"/>
      <c r="D697" s="2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</row>
    <row r="698" spans="1:33" ht="15.75" customHeight="1" x14ac:dyDescent="0.25">
      <c r="A698" s="1"/>
      <c r="B698" s="1"/>
      <c r="C698" s="1"/>
      <c r="D698" s="2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</row>
    <row r="699" spans="1:33" ht="15.75" customHeight="1" x14ac:dyDescent="0.25">
      <c r="A699" s="1"/>
      <c r="B699" s="1"/>
      <c r="C699" s="1"/>
      <c r="D699" s="2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</row>
    <row r="700" spans="1:33" ht="15.75" customHeight="1" x14ac:dyDescent="0.25">
      <c r="A700" s="1"/>
      <c r="B700" s="1"/>
      <c r="C700" s="1"/>
      <c r="D700" s="2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</row>
    <row r="701" spans="1:33" ht="15.75" customHeight="1" x14ac:dyDescent="0.25">
      <c r="A701" s="1"/>
      <c r="B701" s="1"/>
      <c r="C701" s="1"/>
      <c r="D701" s="2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</row>
    <row r="702" spans="1:33" ht="15.75" customHeight="1" x14ac:dyDescent="0.25">
      <c r="A702" s="1"/>
      <c r="B702" s="1"/>
      <c r="C702" s="1"/>
      <c r="D702" s="2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</row>
    <row r="703" spans="1:33" ht="15.75" customHeight="1" x14ac:dyDescent="0.25">
      <c r="A703" s="1"/>
      <c r="B703" s="1"/>
      <c r="C703" s="1"/>
      <c r="D703" s="2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</row>
    <row r="704" spans="1:33" ht="15.75" customHeight="1" x14ac:dyDescent="0.25">
      <c r="A704" s="1"/>
      <c r="B704" s="1"/>
      <c r="C704" s="1"/>
      <c r="D704" s="2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</row>
    <row r="705" spans="1:33" ht="15.75" customHeight="1" x14ac:dyDescent="0.25">
      <c r="A705" s="1"/>
      <c r="B705" s="1"/>
      <c r="C705" s="1"/>
      <c r="D705" s="2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</row>
    <row r="706" spans="1:33" ht="15.75" customHeight="1" x14ac:dyDescent="0.25">
      <c r="A706" s="1"/>
      <c r="B706" s="1"/>
      <c r="C706" s="1"/>
      <c r="D706" s="2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</row>
    <row r="707" spans="1:33" ht="15.75" customHeight="1" x14ac:dyDescent="0.25">
      <c r="A707" s="1"/>
      <c r="B707" s="1"/>
      <c r="C707" s="1"/>
      <c r="D707" s="2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</row>
    <row r="708" spans="1:33" ht="15.75" customHeight="1" x14ac:dyDescent="0.25">
      <c r="A708" s="1"/>
      <c r="B708" s="1"/>
      <c r="C708" s="1"/>
      <c r="D708" s="2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</row>
    <row r="709" spans="1:33" ht="15.75" customHeight="1" x14ac:dyDescent="0.25">
      <c r="A709" s="1"/>
      <c r="B709" s="1"/>
      <c r="C709" s="1"/>
      <c r="D709" s="2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</row>
    <row r="710" spans="1:33" ht="15.75" customHeight="1" x14ac:dyDescent="0.25">
      <c r="A710" s="1"/>
      <c r="B710" s="1"/>
      <c r="C710" s="1"/>
      <c r="D710" s="2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</row>
    <row r="711" spans="1:33" ht="15.75" customHeight="1" x14ac:dyDescent="0.25">
      <c r="A711" s="1"/>
      <c r="B711" s="1"/>
      <c r="C711" s="1"/>
      <c r="D711" s="2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</row>
    <row r="712" spans="1:33" ht="15.75" customHeight="1" x14ac:dyDescent="0.25">
      <c r="A712" s="1"/>
      <c r="B712" s="1"/>
      <c r="C712" s="1"/>
      <c r="D712" s="2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</row>
    <row r="713" spans="1:33" ht="15.75" customHeight="1" x14ac:dyDescent="0.25">
      <c r="A713" s="1"/>
      <c r="B713" s="1"/>
      <c r="C713" s="1"/>
      <c r="D713" s="2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</row>
    <row r="714" spans="1:33" ht="15.75" customHeight="1" x14ac:dyDescent="0.25">
      <c r="A714" s="1"/>
      <c r="B714" s="1"/>
      <c r="C714" s="1"/>
      <c r="D714" s="2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</row>
    <row r="715" spans="1:33" ht="15.75" customHeight="1" x14ac:dyDescent="0.25">
      <c r="A715" s="1"/>
      <c r="B715" s="1"/>
      <c r="C715" s="1"/>
      <c r="D715" s="2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</row>
    <row r="716" spans="1:33" ht="15.75" customHeight="1" x14ac:dyDescent="0.25">
      <c r="A716" s="1"/>
      <c r="B716" s="1"/>
      <c r="C716" s="1"/>
      <c r="D716" s="2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</row>
    <row r="717" spans="1:33" ht="15.75" customHeight="1" x14ac:dyDescent="0.25">
      <c r="A717" s="1"/>
      <c r="B717" s="1"/>
      <c r="C717" s="1"/>
      <c r="D717" s="2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</row>
    <row r="718" spans="1:33" ht="15.75" customHeight="1" x14ac:dyDescent="0.25">
      <c r="A718" s="1"/>
      <c r="B718" s="1"/>
      <c r="C718" s="1"/>
      <c r="D718" s="2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</row>
    <row r="719" spans="1:33" ht="15.75" customHeight="1" x14ac:dyDescent="0.25">
      <c r="A719" s="1"/>
      <c r="B719" s="1"/>
      <c r="C719" s="1"/>
      <c r="D719" s="2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</row>
    <row r="720" spans="1:33" ht="15.75" customHeight="1" x14ac:dyDescent="0.25">
      <c r="A720" s="1"/>
      <c r="B720" s="1"/>
      <c r="C720" s="1"/>
      <c r="D720" s="2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</row>
    <row r="721" spans="1:33" ht="15.75" customHeight="1" x14ac:dyDescent="0.25">
      <c r="A721" s="1"/>
      <c r="B721" s="1"/>
      <c r="C721" s="1"/>
      <c r="D721" s="2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</row>
    <row r="722" spans="1:33" ht="15.75" customHeight="1" x14ac:dyDescent="0.25">
      <c r="A722" s="1"/>
      <c r="B722" s="1"/>
      <c r="C722" s="1"/>
      <c r="D722" s="2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</row>
    <row r="723" spans="1:33" ht="15.75" customHeight="1" x14ac:dyDescent="0.25">
      <c r="A723" s="1"/>
      <c r="B723" s="1"/>
      <c r="C723" s="1"/>
      <c r="D723" s="2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</row>
    <row r="724" spans="1:33" ht="15.75" customHeight="1" x14ac:dyDescent="0.25">
      <c r="A724" s="1"/>
      <c r="B724" s="1"/>
      <c r="C724" s="1"/>
      <c r="D724" s="2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</row>
    <row r="725" spans="1:33" ht="15.75" customHeight="1" x14ac:dyDescent="0.25">
      <c r="A725" s="1"/>
      <c r="B725" s="1"/>
      <c r="C725" s="1"/>
      <c r="D725" s="2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</row>
    <row r="726" spans="1:33" ht="15.75" customHeight="1" x14ac:dyDescent="0.25">
      <c r="A726" s="1"/>
      <c r="B726" s="1"/>
      <c r="C726" s="1"/>
      <c r="D726" s="2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</row>
    <row r="727" spans="1:33" ht="15.75" customHeight="1" x14ac:dyDescent="0.25">
      <c r="A727" s="1"/>
      <c r="B727" s="1"/>
      <c r="C727" s="1"/>
      <c r="D727" s="2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</row>
    <row r="728" spans="1:33" ht="15.75" customHeight="1" x14ac:dyDescent="0.25">
      <c r="A728" s="1"/>
      <c r="B728" s="1"/>
      <c r="C728" s="1"/>
      <c r="D728" s="2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</row>
    <row r="729" spans="1:33" ht="15.75" customHeight="1" x14ac:dyDescent="0.25">
      <c r="A729" s="1"/>
      <c r="B729" s="1"/>
      <c r="C729" s="1"/>
      <c r="D729" s="2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</row>
    <row r="730" spans="1:33" ht="15.75" customHeight="1" x14ac:dyDescent="0.25">
      <c r="A730" s="1"/>
      <c r="B730" s="1"/>
      <c r="C730" s="1"/>
      <c r="D730" s="2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</row>
    <row r="731" spans="1:33" ht="15.75" customHeight="1" x14ac:dyDescent="0.25">
      <c r="A731" s="1"/>
      <c r="B731" s="1"/>
      <c r="C731" s="1"/>
      <c r="D731" s="2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</row>
    <row r="732" spans="1:33" ht="15.75" customHeight="1" x14ac:dyDescent="0.25">
      <c r="A732" s="1"/>
      <c r="B732" s="1"/>
      <c r="C732" s="1"/>
      <c r="D732" s="2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</row>
    <row r="733" spans="1:33" ht="15.75" customHeight="1" x14ac:dyDescent="0.25">
      <c r="A733" s="1"/>
      <c r="B733" s="1"/>
      <c r="C733" s="1"/>
      <c r="D733" s="2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</row>
    <row r="734" spans="1:33" ht="15.75" customHeight="1" x14ac:dyDescent="0.25">
      <c r="A734" s="1"/>
      <c r="B734" s="1"/>
      <c r="C734" s="1"/>
      <c r="D734" s="2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</row>
    <row r="735" spans="1:33" ht="15.75" customHeight="1" x14ac:dyDescent="0.25">
      <c r="A735" s="1"/>
      <c r="B735" s="1"/>
      <c r="C735" s="1"/>
      <c r="D735" s="2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</row>
    <row r="736" spans="1:33" ht="15.75" customHeight="1" x14ac:dyDescent="0.25">
      <c r="A736" s="1"/>
      <c r="B736" s="1"/>
      <c r="C736" s="1"/>
      <c r="D736" s="2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</row>
    <row r="737" spans="1:33" ht="15.75" customHeight="1" x14ac:dyDescent="0.25">
      <c r="A737" s="1"/>
      <c r="B737" s="1"/>
      <c r="C737" s="1"/>
      <c r="D737" s="2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</row>
    <row r="738" spans="1:33" ht="15.75" customHeight="1" x14ac:dyDescent="0.25">
      <c r="A738" s="1"/>
      <c r="B738" s="1"/>
      <c r="C738" s="1"/>
      <c r="D738" s="2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</row>
    <row r="739" spans="1:33" ht="15.75" customHeight="1" x14ac:dyDescent="0.25">
      <c r="A739" s="1"/>
      <c r="B739" s="1"/>
      <c r="C739" s="1"/>
      <c r="D739" s="2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</row>
    <row r="740" spans="1:33" ht="15.75" customHeight="1" x14ac:dyDescent="0.25">
      <c r="A740" s="1"/>
      <c r="B740" s="1"/>
      <c r="C740" s="1"/>
      <c r="D740" s="2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</row>
    <row r="741" spans="1:33" ht="15.75" customHeight="1" x14ac:dyDescent="0.25">
      <c r="A741" s="1"/>
      <c r="B741" s="1"/>
      <c r="C741" s="1"/>
      <c r="D741" s="2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</row>
    <row r="742" spans="1:33" ht="15.75" customHeight="1" x14ac:dyDescent="0.25">
      <c r="A742" s="1"/>
      <c r="B742" s="1"/>
      <c r="C742" s="1"/>
      <c r="D742" s="2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</row>
    <row r="743" spans="1:33" ht="15.75" customHeight="1" x14ac:dyDescent="0.25">
      <c r="A743" s="1"/>
      <c r="B743" s="1"/>
      <c r="C743" s="1"/>
      <c r="D743" s="2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</row>
    <row r="744" spans="1:33" ht="15.75" customHeight="1" x14ac:dyDescent="0.25">
      <c r="A744" s="1"/>
      <c r="B744" s="1"/>
      <c r="C744" s="1"/>
      <c r="D744" s="2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</row>
    <row r="745" spans="1:33" ht="15.75" customHeight="1" x14ac:dyDescent="0.25">
      <c r="A745" s="1"/>
      <c r="B745" s="1"/>
      <c r="C745" s="1"/>
      <c r="D745" s="2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</row>
    <row r="746" spans="1:33" ht="15.75" customHeight="1" x14ac:dyDescent="0.25">
      <c r="A746" s="1"/>
      <c r="B746" s="1"/>
      <c r="C746" s="1"/>
      <c r="D746" s="2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</row>
    <row r="747" spans="1:33" ht="15.75" customHeight="1" x14ac:dyDescent="0.25">
      <c r="A747" s="1"/>
      <c r="B747" s="1"/>
      <c r="C747" s="1"/>
      <c r="D747" s="2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</row>
    <row r="748" spans="1:33" ht="15.75" customHeight="1" x14ac:dyDescent="0.25">
      <c r="A748" s="1"/>
      <c r="B748" s="1"/>
      <c r="C748" s="1"/>
      <c r="D748" s="2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</row>
    <row r="749" spans="1:33" ht="15.75" customHeight="1" x14ac:dyDescent="0.25">
      <c r="A749" s="1"/>
      <c r="B749" s="1"/>
      <c r="C749" s="1"/>
      <c r="D749" s="2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</row>
    <row r="750" spans="1:33" ht="15.75" customHeight="1" x14ac:dyDescent="0.25">
      <c r="A750" s="1"/>
      <c r="B750" s="1"/>
      <c r="C750" s="1"/>
      <c r="D750" s="2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</row>
    <row r="751" spans="1:33" ht="15.75" customHeight="1" x14ac:dyDescent="0.25">
      <c r="A751" s="1"/>
      <c r="B751" s="1"/>
      <c r="C751" s="1"/>
      <c r="D751" s="2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</row>
    <row r="752" spans="1:33" ht="15.75" customHeight="1" x14ac:dyDescent="0.25">
      <c r="A752" s="1"/>
      <c r="B752" s="1"/>
      <c r="C752" s="1"/>
      <c r="D752" s="2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</row>
    <row r="753" spans="1:33" ht="15.75" customHeight="1" x14ac:dyDescent="0.25">
      <c r="A753" s="1"/>
      <c r="B753" s="1"/>
      <c r="C753" s="1"/>
      <c r="D753" s="2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</row>
    <row r="754" spans="1:33" ht="15.75" customHeight="1" x14ac:dyDescent="0.25">
      <c r="A754" s="1"/>
      <c r="B754" s="1"/>
      <c r="C754" s="1"/>
      <c r="D754" s="2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</row>
    <row r="755" spans="1:33" ht="15.75" customHeight="1" x14ac:dyDescent="0.25">
      <c r="A755" s="1"/>
      <c r="B755" s="1"/>
      <c r="C755" s="1"/>
      <c r="D755" s="2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</row>
    <row r="756" spans="1:33" ht="15.75" customHeight="1" x14ac:dyDescent="0.25">
      <c r="A756" s="1"/>
      <c r="B756" s="1"/>
      <c r="C756" s="1"/>
      <c r="D756" s="2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</row>
    <row r="757" spans="1:33" ht="15.75" customHeight="1" x14ac:dyDescent="0.25">
      <c r="A757" s="1"/>
      <c r="B757" s="1"/>
      <c r="C757" s="1"/>
      <c r="D757" s="2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</row>
    <row r="758" spans="1:33" ht="15.75" customHeight="1" x14ac:dyDescent="0.25">
      <c r="A758" s="1"/>
      <c r="B758" s="1"/>
      <c r="C758" s="1"/>
      <c r="D758" s="2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</row>
    <row r="759" spans="1:33" ht="15.75" customHeight="1" x14ac:dyDescent="0.25">
      <c r="A759" s="1"/>
      <c r="B759" s="1"/>
      <c r="C759" s="1"/>
      <c r="D759" s="2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</row>
    <row r="760" spans="1:33" ht="15.75" customHeight="1" x14ac:dyDescent="0.25">
      <c r="A760" s="1"/>
      <c r="B760" s="1"/>
      <c r="C760" s="1"/>
      <c r="D760" s="2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</row>
    <row r="761" spans="1:33" ht="15.75" customHeight="1" x14ac:dyDescent="0.25">
      <c r="A761" s="1"/>
      <c r="B761" s="1"/>
      <c r="C761" s="1"/>
      <c r="D761" s="2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</row>
    <row r="762" spans="1:33" ht="15.75" customHeight="1" x14ac:dyDescent="0.25">
      <c r="A762" s="1"/>
      <c r="B762" s="1"/>
      <c r="C762" s="1"/>
      <c r="D762" s="2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</row>
    <row r="763" spans="1:33" ht="15.75" customHeight="1" x14ac:dyDescent="0.25">
      <c r="A763" s="1"/>
      <c r="B763" s="1"/>
      <c r="C763" s="1"/>
      <c r="D763" s="2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</row>
    <row r="764" spans="1:33" ht="15.75" customHeight="1" x14ac:dyDescent="0.25">
      <c r="A764" s="1"/>
      <c r="B764" s="1"/>
      <c r="C764" s="1"/>
      <c r="D764" s="2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</row>
    <row r="765" spans="1:33" ht="15.75" customHeight="1" x14ac:dyDescent="0.25">
      <c r="A765" s="1"/>
      <c r="B765" s="1"/>
      <c r="C765" s="1"/>
      <c r="D765" s="2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</row>
    <row r="766" spans="1:33" ht="15.75" customHeight="1" x14ac:dyDescent="0.25">
      <c r="A766" s="1"/>
      <c r="B766" s="1"/>
      <c r="C766" s="1"/>
      <c r="D766" s="2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</row>
    <row r="767" spans="1:33" ht="15.75" customHeight="1" x14ac:dyDescent="0.25">
      <c r="A767" s="1"/>
      <c r="B767" s="1"/>
      <c r="C767" s="1"/>
      <c r="D767" s="2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</row>
    <row r="768" spans="1:33" ht="15.75" customHeight="1" x14ac:dyDescent="0.25">
      <c r="A768" s="1"/>
      <c r="B768" s="1"/>
      <c r="C768" s="1"/>
      <c r="D768" s="2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</row>
    <row r="769" spans="1:33" ht="15.75" customHeight="1" x14ac:dyDescent="0.25">
      <c r="A769" s="1"/>
      <c r="B769" s="1"/>
      <c r="C769" s="1"/>
      <c r="D769" s="2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</row>
    <row r="770" spans="1:33" ht="15.75" customHeight="1" x14ac:dyDescent="0.25">
      <c r="A770" s="1"/>
      <c r="B770" s="1"/>
      <c r="C770" s="1"/>
      <c r="D770" s="2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</row>
    <row r="771" spans="1:33" ht="15.75" customHeight="1" x14ac:dyDescent="0.25">
      <c r="A771" s="1"/>
      <c r="B771" s="1"/>
      <c r="C771" s="1"/>
      <c r="D771" s="2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</row>
    <row r="772" spans="1:33" ht="15.75" customHeight="1" x14ac:dyDescent="0.25">
      <c r="A772" s="1"/>
      <c r="B772" s="1"/>
      <c r="C772" s="1"/>
      <c r="D772" s="2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</row>
    <row r="773" spans="1:33" ht="15.75" customHeight="1" x14ac:dyDescent="0.25">
      <c r="A773" s="1"/>
      <c r="B773" s="1"/>
      <c r="C773" s="1"/>
      <c r="D773" s="2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</row>
    <row r="774" spans="1:33" ht="15.75" customHeight="1" x14ac:dyDescent="0.25">
      <c r="A774" s="1"/>
      <c r="B774" s="1"/>
      <c r="C774" s="1"/>
      <c r="D774" s="2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</row>
    <row r="775" spans="1:33" ht="15.75" customHeight="1" x14ac:dyDescent="0.25">
      <c r="A775" s="1"/>
      <c r="B775" s="1"/>
      <c r="C775" s="1"/>
      <c r="D775" s="2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</row>
    <row r="776" spans="1:33" ht="15.75" customHeight="1" x14ac:dyDescent="0.25">
      <c r="A776" s="1"/>
      <c r="B776" s="1"/>
      <c r="C776" s="1"/>
      <c r="D776" s="2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</row>
    <row r="777" spans="1:33" ht="15.75" customHeight="1" x14ac:dyDescent="0.25">
      <c r="A777" s="1"/>
      <c r="B777" s="1"/>
      <c r="C777" s="1"/>
      <c r="D777" s="2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</row>
    <row r="778" spans="1:33" ht="15.75" customHeight="1" x14ac:dyDescent="0.25">
      <c r="A778" s="1"/>
      <c r="B778" s="1"/>
      <c r="C778" s="1"/>
      <c r="D778" s="2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</row>
    <row r="779" spans="1:33" ht="15.75" customHeight="1" x14ac:dyDescent="0.25">
      <c r="A779" s="1"/>
      <c r="B779" s="1"/>
      <c r="C779" s="1"/>
      <c r="D779" s="2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</row>
    <row r="780" spans="1:33" ht="15.75" customHeight="1" x14ac:dyDescent="0.25">
      <c r="A780" s="1"/>
      <c r="B780" s="1"/>
      <c r="C780" s="1"/>
      <c r="D780" s="2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</row>
    <row r="781" spans="1:33" ht="15.75" customHeight="1" x14ac:dyDescent="0.25">
      <c r="A781" s="1"/>
      <c r="B781" s="1"/>
      <c r="C781" s="1"/>
      <c r="D781" s="2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</row>
    <row r="782" spans="1:33" ht="15.75" customHeight="1" x14ac:dyDescent="0.25">
      <c r="A782" s="1"/>
      <c r="B782" s="1"/>
      <c r="C782" s="1"/>
      <c r="D782" s="2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</row>
    <row r="783" spans="1:33" ht="15.75" customHeight="1" x14ac:dyDescent="0.25">
      <c r="A783" s="1"/>
      <c r="B783" s="1"/>
      <c r="C783" s="1"/>
      <c r="D783" s="2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</row>
    <row r="784" spans="1:33" ht="15.75" customHeight="1" x14ac:dyDescent="0.25">
      <c r="A784" s="1"/>
      <c r="B784" s="1"/>
      <c r="C784" s="1"/>
      <c r="D784" s="2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</row>
    <row r="785" spans="1:33" ht="15.75" customHeight="1" x14ac:dyDescent="0.25">
      <c r="A785" s="1"/>
      <c r="B785" s="1"/>
      <c r="C785" s="1"/>
      <c r="D785" s="2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</row>
    <row r="786" spans="1:33" ht="15.75" customHeight="1" x14ac:dyDescent="0.25">
      <c r="A786" s="1"/>
      <c r="B786" s="1"/>
      <c r="C786" s="1"/>
      <c r="D786" s="2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</row>
    <row r="787" spans="1:33" ht="15.75" customHeight="1" x14ac:dyDescent="0.25">
      <c r="A787" s="1"/>
      <c r="B787" s="1"/>
      <c r="C787" s="1"/>
      <c r="D787" s="2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</row>
    <row r="788" spans="1:33" ht="15.75" customHeight="1" x14ac:dyDescent="0.25">
      <c r="A788" s="1"/>
      <c r="B788" s="1"/>
      <c r="C788" s="1"/>
      <c r="D788" s="2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</row>
    <row r="789" spans="1:33" ht="15.75" customHeight="1" x14ac:dyDescent="0.25">
      <c r="A789" s="1"/>
      <c r="B789" s="1"/>
      <c r="C789" s="1"/>
      <c r="D789" s="2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</row>
    <row r="790" spans="1:33" ht="15.75" customHeight="1" x14ac:dyDescent="0.25">
      <c r="A790" s="1"/>
      <c r="B790" s="1"/>
      <c r="C790" s="1"/>
      <c r="D790" s="2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</row>
    <row r="791" spans="1:33" ht="15.75" customHeight="1" x14ac:dyDescent="0.25">
      <c r="A791" s="1"/>
      <c r="B791" s="1"/>
      <c r="C791" s="1"/>
      <c r="D791" s="2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</row>
    <row r="792" spans="1:33" ht="15.75" customHeight="1" x14ac:dyDescent="0.25">
      <c r="A792" s="1"/>
      <c r="B792" s="1"/>
      <c r="C792" s="1"/>
      <c r="D792" s="2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</row>
    <row r="793" spans="1:33" ht="15.75" customHeight="1" x14ac:dyDescent="0.25">
      <c r="A793" s="1"/>
      <c r="B793" s="1"/>
      <c r="C793" s="1"/>
      <c r="D793" s="2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</row>
    <row r="794" spans="1:33" ht="15.75" customHeight="1" x14ac:dyDescent="0.25">
      <c r="A794" s="1"/>
      <c r="B794" s="1"/>
      <c r="C794" s="1"/>
      <c r="D794" s="2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</row>
    <row r="795" spans="1:33" ht="15.75" customHeight="1" x14ac:dyDescent="0.25">
      <c r="A795" s="1"/>
      <c r="B795" s="1"/>
      <c r="C795" s="1"/>
      <c r="D795" s="2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</row>
    <row r="796" spans="1:33" ht="15.75" customHeight="1" x14ac:dyDescent="0.25">
      <c r="A796" s="1"/>
      <c r="B796" s="1"/>
      <c r="C796" s="1"/>
      <c r="D796" s="2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</row>
    <row r="797" spans="1:33" ht="15.75" customHeight="1" x14ac:dyDescent="0.25">
      <c r="A797" s="1"/>
      <c r="B797" s="1"/>
      <c r="C797" s="1"/>
      <c r="D797" s="2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</row>
    <row r="798" spans="1:33" ht="15.75" customHeight="1" x14ac:dyDescent="0.25">
      <c r="A798" s="1"/>
      <c r="B798" s="1"/>
      <c r="C798" s="1"/>
      <c r="D798" s="2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</row>
    <row r="799" spans="1:33" ht="15.75" customHeight="1" x14ac:dyDescent="0.25">
      <c r="A799" s="1"/>
      <c r="B799" s="1"/>
      <c r="C799" s="1"/>
      <c r="D799" s="2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</row>
    <row r="800" spans="1:33" ht="15.75" customHeight="1" x14ac:dyDescent="0.25">
      <c r="A800" s="1"/>
      <c r="B800" s="1"/>
      <c r="C800" s="1"/>
      <c r="D800" s="2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</row>
    <row r="801" spans="1:33" ht="15.75" customHeight="1" x14ac:dyDescent="0.25">
      <c r="A801" s="1"/>
      <c r="B801" s="1"/>
      <c r="C801" s="1"/>
      <c r="D801" s="2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</row>
    <row r="802" spans="1:33" ht="15.75" customHeight="1" x14ac:dyDescent="0.25">
      <c r="A802" s="1"/>
      <c r="B802" s="1"/>
      <c r="C802" s="1"/>
      <c r="D802" s="2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</row>
    <row r="803" spans="1:33" ht="15.75" customHeight="1" x14ac:dyDescent="0.25">
      <c r="A803" s="1"/>
      <c r="B803" s="1"/>
      <c r="C803" s="1"/>
      <c r="D803" s="2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</row>
    <row r="804" spans="1:33" ht="15.75" customHeight="1" x14ac:dyDescent="0.25">
      <c r="A804" s="1"/>
      <c r="B804" s="1"/>
      <c r="C804" s="1"/>
      <c r="D804" s="2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</row>
    <row r="805" spans="1:33" ht="15.75" customHeight="1" x14ac:dyDescent="0.25">
      <c r="A805" s="1"/>
      <c r="B805" s="1"/>
      <c r="C805" s="1"/>
      <c r="D805" s="2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</row>
    <row r="806" spans="1:33" ht="15.75" customHeight="1" x14ac:dyDescent="0.25">
      <c r="A806" s="1"/>
      <c r="B806" s="1"/>
      <c r="C806" s="1"/>
      <c r="D806" s="2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</row>
    <row r="807" spans="1:33" ht="15.75" customHeight="1" x14ac:dyDescent="0.25">
      <c r="A807" s="1"/>
      <c r="B807" s="1"/>
      <c r="C807" s="1"/>
      <c r="D807" s="2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</row>
    <row r="808" spans="1:33" ht="15.75" customHeight="1" x14ac:dyDescent="0.25">
      <c r="A808" s="1"/>
      <c r="B808" s="1"/>
      <c r="C808" s="1"/>
      <c r="D808" s="2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</row>
    <row r="809" spans="1:33" ht="15.75" customHeight="1" x14ac:dyDescent="0.25">
      <c r="A809" s="1"/>
      <c r="B809" s="1"/>
      <c r="C809" s="1"/>
      <c r="D809" s="2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</row>
    <row r="810" spans="1:33" ht="15.75" customHeight="1" x14ac:dyDescent="0.25">
      <c r="A810" s="1"/>
      <c r="B810" s="1"/>
      <c r="C810" s="1"/>
      <c r="D810" s="2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</row>
    <row r="811" spans="1:33" ht="15.75" customHeight="1" x14ac:dyDescent="0.25">
      <c r="A811" s="1"/>
      <c r="B811" s="1"/>
      <c r="C811" s="1"/>
      <c r="D811" s="2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</row>
    <row r="812" spans="1:33" ht="15.75" customHeight="1" x14ac:dyDescent="0.25">
      <c r="A812" s="1"/>
      <c r="B812" s="1"/>
      <c r="C812" s="1"/>
      <c r="D812" s="2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</row>
    <row r="813" spans="1:33" ht="15.75" customHeight="1" x14ac:dyDescent="0.25">
      <c r="A813" s="1"/>
      <c r="B813" s="1"/>
      <c r="C813" s="1"/>
      <c r="D813" s="2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</row>
    <row r="814" spans="1:33" ht="15.75" customHeight="1" x14ac:dyDescent="0.25">
      <c r="A814" s="1"/>
      <c r="B814" s="1"/>
      <c r="C814" s="1"/>
      <c r="D814" s="2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</row>
    <row r="815" spans="1:33" ht="15.75" customHeight="1" x14ac:dyDescent="0.25">
      <c r="A815" s="1"/>
      <c r="B815" s="1"/>
      <c r="C815" s="1"/>
      <c r="D815" s="2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</row>
    <row r="816" spans="1:33" ht="15.75" customHeight="1" x14ac:dyDescent="0.25">
      <c r="A816" s="1"/>
      <c r="B816" s="1"/>
      <c r="C816" s="1"/>
      <c r="D816" s="2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</row>
    <row r="817" spans="1:33" ht="15.75" customHeight="1" x14ac:dyDescent="0.25">
      <c r="A817" s="1"/>
      <c r="B817" s="1"/>
      <c r="C817" s="1"/>
      <c r="D817" s="2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</row>
    <row r="818" spans="1:33" ht="15.75" customHeight="1" x14ac:dyDescent="0.25">
      <c r="A818" s="1"/>
      <c r="B818" s="1"/>
      <c r="C818" s="1"/>
      <c r="D818" s="2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</row>
    <row r="819" spans="1:33" ht="15.75" customHeight="1" x14ac:dyDescent="0.25">
      <c r="A819" s="1"/>
      <c r="B819" s="1"/>
      <c r="C819" s="1"/>
      <c r="D819" s="2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</row>
    <row r="820" spans="1:33" ht="15.75" customHeight="1" x14ac:dyDescent="0.25">
      <c r="A820" s="1"/>
      <c r="B820" s="1"/>
      <c r="C820" s="1"/>
      <c r="D820" s="2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</row>
    <row r="821" spans="1:33" ht="15.75" customHeight="1" x14ac:dyDescent="0.25">
      <c r="A821" s="1"/>
      <c r="B821" s="1"/>
      <c r="C821" s="1"/>
      <c r="D821" s="2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</row>
    <row r="822" spans="1:33" ht="15.75" customHeight="1" x14ac:dyDescent="0.25">
      <c r="A822" s="1"/>
      <c r="B822" s="1"/>
      <c r="C822" s="1"/>
      <c r="D822" s="2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</row>
    <row r="823" spans="1:33" ht="15.75" customHeight="1" x14ac:dyDescent="0.25">
      <c r="A823" s="1"/>
      <c r="B823" s="1"/>
      <c r="C823" s="1"/>
      <c r="D823" s="2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</row>
    <row r="824" spans="1:33" ht="15.75" customHeight="1" x14ac:dyDescent="0.25">
      <c r="A824" s="1"/>
      <c r="B824" s="1"/>
      <c r="C824" s="1"/>
      <c r="D824" s="2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</row>
    <row r="825" spans="1:33" ht="15.75" customHeight="1" x14ac:dyDescent="0.25">
      <c r="A825" s="1"/>
      <c r="B825" s="1"/>
      <c r="C825" s="1"/>
      <c r="D825" s="2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</row>
    <row r="826" spans="1:33" ht="15.75" customHeight="1" x14ac:dyDescent="0.25">
      <c r="A826" s="1"/>
      <c r="B826" s="1"/>
      <c r="C826" s="1"/>
      <c r="D826" s="2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</row>
    <row r="827" spans="1:33" ht="15.75" customHeight="1" x14ac:dyDescent="0.25">
      <c r="A827" s="1"/>
      <c r="B827" s="1"/>
      <c r="C827" s="1"/>
      <c r="D827" s="2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</row>
    <row r="828" spans="1:33" ht="15.75" customHeight="1" x14ac:dyDescent="0.25">
      <c r="A828" s="1"/>
      <c r="B828" s="1"/>
      <c r="C828" s="1"/>
      <c r="D828" s="2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</row>
    <row r="829" spans="1:33" ht="15.75" customHeight="1" x14ac:dyDescent="0.25">
      <c r="A829" s="1"/>
      <c r="B829" s="1"/>
      <c r="C829" s="1"/>
      <c r="D829" s="2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</row>
    <row r="830" spans="1:33" ht="15.75" customHeight="1" x14ac:dyDescent="0.25">
      <c r="A830" s="1"/>
      <c r="B830" s="1"/>
      <c r="C830" s="1"/>
      <c r="D830" s="2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</row>
    <row r="831" spans="1:33" ht="15.75" customHeight="1" x14ac:dyDescent="0.25">
      <c r="A831" s="1"/>
      <c r="B831" s="1"/>
      <c r="C831" s="1"/>
      <c r="D831" s="2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</row>
    <row r="832" spans="1:33" ht="15.75" customHeight="1" x14ac:dyDescent="0.25">
      <c r="A832" s="1"/>
      <c r="B832" s="1"/>
      <c r="C832" s="1"/>
      <c r="D832" s="2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</row>
    <row r="833" spans="1:33" ht="15.75" customHeight="1" x14ac:dyDescent="0.25">
      <c r="A833" s="1"/>
      <c r="B833" s="1"/>
      <c r="C833" s="1"/>
      <c r="D833" s="2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</row>
    <row r="834" spans="1:33" ht="15.75" customHeight="1" x14ac:dyDescent="0.25">
      <c r="A834" s="1"/>
      <c r="B834" s="1"/>
      <c r="C834" s="1"/>
      <c r="D834" s="2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</row>
    <row r="835" spans="1:33" ht="15.75" customHeight="1" x14ac:dyDescent="0.25">
      <c r="A835" s="1"/>
      <c r="B835" s="1"/>
      <c r="C835" s="1"/>
      <c r="D835" s="2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</row>
    <row r="836" spans="1:33" ht="15.75" customHeight="1" x14ac:dyDescent="0.25">
      <c r="A836" s="1"/>
      <c r="B836" s="1"/>
      <c r="C836" s="1"/>
      <c r="D836" s="2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</row>
    <row r="837" spans="1:33" ht="15.75" customHeight="1" x14ac:dyDescent="0.25">
      <c r="A837" s="1"/>
      <c r="B837" s="1"/>
      <c r="C837" s="1"/>
      <c r="D837" s="2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</row>
    <row r="838" spans="1:33" ht="15.75" customHeight="1" x14ac:dyDescent="0.25">
      <c r="A838" s="1"/>
      <c r="B838" s="1"/>
      <c r="C838" s="1"/>
      <c r="D838" s="2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</row>
    <row r="839" spans="1:33" ht="15.75" customHeight="1" x14ac:dyDescent="0.25">
      <c r="A839" s="1"/>
      <c r="B839" s="1"/>
      <c r="C839" s="1"/>
      <c r="D839" s="2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</row>
    <row r="840" spans="1:33" ht="15.75" customHeight="1" x14ac:dyDescent="0.25">
      <c r="A840" s="1"/>
      <c r="B840" s="1"/>
      <c r="C840" s="1"/>
      <c r="D840" s="2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</row>
    <row r="841" spans="1:33" ht="15.75" customHeight="1" x14ac:dyDescent="0.25">
      <c r="A841" s="1"/>
      <c r="B841" s="1"/>
      <c r="C841" s="1"/>
      <c r="D841" s="2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</row>
    <row r="842" spans="1:33" ht="15.75" customHeight="1" x14ac:dyDescent="0.25">
      <c r="A842" s="1"/>
      <c r="B842" s="1"/>
      <c r="C842" s="1"/>
      <c r="D842" s="2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</row>
    <row r="843" spans="1:33" ht="15.75" customHeight="1" x14ac:dyDescent="0.25">
      <c r="A843" s="1"/>
      <c r="B843" s="1"/>
      <c r="C843" s="1"/>
      <c r="D843" s="2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</row>
    <row r="844" spans="1:33" ht="15.75" customHeight="1" x14ac:dyDescent="0.25">
      <c r="A844" s="1"/>
      <c r="B844" s="1"/>
      <c r="C844" s="1"/>
      <c r="D844" s="2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</row>
    <row r="845" spans="1:33" ht="15.75" customHeight="1" x14ac:dyDescent="0.25">
      <c r="A845" s="1"/>
      <c r="B845" s="1"/>
      <c r="C845" s="1"/>
      <c r="D845" s="2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</row>
    <row r="846" spans="1:33" ht="15.75" customHeight="1" x14ac:dyDescent="0.25">
      <c r="A846" s="1"/>
      <c r="B846" s="1"/>
      <c r="C846" s="1"/>
      <c r="D846" s="2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</row>
    <row r="847" spans="1:33" ht="15.75" customHeight="1" x14ac:dyDescent="0.25">
      <c r="A847" s="1"/>
      <c r="B847" s="1"/>
      <c r="C847" s="1"/>
      <c r="D847" s="2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</row>
    <row r="848" spans="1:33" ht="15.75" customHeight="1" x14ac:dyDescent="0.25">
      <c r="A848" s="1"/>
      <c r="B848" s="1"/>
      <c r="C848" s="1"/>
      <c r="D848" s="2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</row>
    <row r="849" spans="1:33" ht="15.75" customHeight="1" x14ac:dyDescent="0.25">
      <c r="A849" s="1"/>
      <c r="B849" s="1"/>
      <c r="C849" s="1"/>
      <c r="D849" s="2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</row>
    <row r="850" spans="1:33" ht="15.75" customHeight="1" x14ac:dyDescent="0.25">
      <c r="A850" s="1"/>
      <c r="B850" s="1"/>
      <c r="C850" s="1"/>
      <c r="D850" s="2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</row>
    <row r="851" spans="1:33" ht="15.75" customHeight="1" x14ac:dyDescent="0.25">
      <c r="A851" s="1"/>
      <c r="B851" s="1"/>
      <c r="C851" s="1"/>
      <c r="D851" s="2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</row>
    <row r="852" spans="1:33" ht="15.75" customHeight="1" x14ac:dyDescent="0.25">
      <c r="A852" s="1"/>
      <c r="B852" s="1"/>
      <c r="C852" s="1"/>
      <c r="D852" s="2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</row>
    <row r="853" spans="1:33" ht="15.75" customHeight="1" x14ac:dyDescent="0.25">
      <c r="A853" s="1"/>
      <c r="B853" s="1"/>
      <c r="C853" s="1"/>
      <c r="D853" s="2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</row>
    <row r="854" spans="1:33" ht="15.75" customHeight="1" x14ac:dyDescent="0.25">
      <c r="A854" s="1"/>
      <c r="B854" s="1"/>
      <c r="C854" s="1"/>
      <c r="D854" s="2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</row>
    <row r="855" spans="1:33" ht="15.75" customHeight="1" x14ac:dyDescent="0.25">
      <c r="A855" s="1"/>
      <c r="B855" s="1"/>
      <c r="C855" s="1"/>
      <c r="D855" s="2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</row>
    <row r="856" spans="1:33" ht="15.75" customHeight="1" x14ac:dyDescent="0.25">
      <c r="A856" s="1"/>
      <c r="B856" s="1"/>
      <c r="C856" s="1"/>
      <c r="D856" s="2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</row>
    <row r="857" spans="1:33" ht="15.75" customHeight="1" x14ac:dyDescent="0.25">
      <c r="A857" s="1"/>
      <c r="B857" s="1"/>
      <c r="C857" s="1"/>
      <c r="D857" s="2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</row>
    <row r="858" spans="1:33" ht="15.75" customHeight="1" x14ac:dyDescent="0.25">
      <c r="A858" s="1"/>
      <c r="B858" s="1"/>
      <c r="C858" s="1"/>
      <c r="D858" s="2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</row>
    <row r="859" spans="1:33" ht="15.75" customHeight="1" x14ac:dyDescent="0.25">
      <c r="A859" s="1"/>
      <c r="B859" s="1"/>
      <c r="C859" s="1"/>
      <c r="D859" s="2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</row>
    <row r="860" spans="1:33" ht="15.75" customHeight="1" x14ac:dyDescent="0.25">
      <c r="A860" s="1"/>
      <c r="B860" s="1"/>
      <c r="C860" s="1"/>
      <c r="D860" s="2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</row>
    <row r="861" spans="1:33" ht="15.75" customHeight="1" x14ac:dyDescent="0.25">
      <c r="A861" s="1"/>
      <c r="B861" s="1"/>
      <c r="C861" s="1"/>
      <c r="D861" s="2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</row>
    <row r="862" spans="1:33" ht="15.75" customHeight="1" x14ac:dyDescent="0.25">
      <c r="A862" s="1"/>
      <c r="B862" s="1"/>
      <c r="C862" s="1"/>
      <c r="D862" s="2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</row>
    <row r="863" spans="1:33" ht="15.75" customHeight="1" x14ac:dyDescent="0.25">
      <c r="A863" s="1"/>
      <c r="B863" s="1"/>
      <c r="C863" s="1"/>
      <c r="D863" s="2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</row>
    <row r="864" spans="1:33" ht="15.75" customHeight="1" x14ac:dyDescent="0.25">
      <c r="A864" s="1"/>
      <c r="B864" s="1"/>
      <c r="C864" s="1"/>
      <c r="D864" s="2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</row>
    <row r="865" spans="1:33" ht="15.75" customHeight="1" x14ac:dyDescent="0.25">
      <c r="A865" s="1"/>
      <c r="B865" s="1"/>
      <c r="C865" s="1"/>
      <c r="D865" s="2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</row>
    <row r="866" spans="1:33" ht="15.75" customHeight="1" x14ac:dyDescent="0.25">
      <c r="A866" s="1"/>
      <c r="B866" s="1"/>
      <c r="C866" s="1"/>
      <c r="D866" s="2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</row>
    <row r="867" spans="1:33" ht="15.75" customHeight="1" x14ac:dyDescent="0.25">
      <c r="A867" s="1"/>
      <c r="B867" s="1"/>
      <c r="C867" s="1"/>
      <c r="D867" s="2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</row>
    <row r="868" spans="1:33" ht="15.75" customHeight="1" x14ac:dyDescent="0.25">
      <c r="A868" s="1"/>
      <c r="B868" s="1"/>
      <c r="C868" s="1"/>
      <c r="D868" s="2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</row>
    <row r="869" spans="1:33" ht="15.75" customHeight="1" x14ac:dyDescent="0.25">
      <c r="A869" s="1"/>
      <c r="B869" s="1"/>
      <c r="C869" s="1"/>
      <c r="D869" s="2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</row>
    <row r="870" spans="1:33" ht="15.75" customHeight="1" x14ac:dyDescent="0.25">
      <c r="A870" s="1"/>
      <c r="B870" s="1"/>
      <c r="C870" s="1"/>
      <c r="D870" s="2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</row>
    <row r="871" spans="1:33" ht="15.75" customHeight="1" x14ac:dyDescent="0.25">
      <c r="A871" s="1"/>
      <c r="B871" s="1"/>
      <c r="C871" s="1"/>
      <c r="D871" s="2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</row>
    <row r="872" spans="1:33" ht="15.75" customHeight="1" x14ac:dyDescent="0.25">
      <c r="A872" s="1"/>
      <c r="B872" s="1"/>
      <c r="C872" s="1"/>
      <c r="D872" s="2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</row>
    <row r="873" spans="1:33" ht="15.75" customHeight="1" x14ac:dyDescent="0.25">
      <c r="A873" s="1"/>
      <c r="B873" s="1"/>
      <c r="C873" s="1"/>
      <c r="D873" s="2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</row>
    <row r="874" spans="1:33" ht="15.75" customHeight="1" x14ac:dyDescent="0.25">
      <c r="A874" s="1"/>
      <c r="B874" s="1"/>
      <c r="C874" s="1"/>
      <c r="D874" s="2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</row>
    <row r="875" spans="1:33" ht="15.75" customHeight="1" x14ac:dyDescent="0.25">
      <c r="A875" s="1"/>
      <c r="B875" s="1"/>
      <c r="C875" s="1"/>
      <c r="D875" s="2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</row>
    <row r="876" spans="1:33" ht="15.75" customHeight="1" x14ac:dyDescent="0.25">
      <c r="A876" s="1"/>
      <c r="B876" s="1"/>
      <c r="C876" s="1"/>
      <c r="D876" s="2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</row>
    <row r="877" spans="1:33" ht="15.75" customHeight="1" x14ac:dyDescent="0.25">
      <c r="A877" s="1"/>
      <c r="B877" s="1"/>
      <c r="C877" s="1"/>
      <c r="D877" s="2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</row>
    <row r="878" spans="1:33" ht="15.75" customHeight="1" x14ac:dyDescent="0.25">
      <c r="A878" s="1"/>
      <c r="B878" s="1"/>
      <c r="C878" s="1"/>
      <c r="D878" s="2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</row>
    <row r="879" spans="1:33" ht="15.75" customHeight="1" x14ac:dyDescent="0.25">
      <c r="A879" s="1"/>
      <c r="B879" s="1"/>
      <c r="C879" s="1"/>
      <c r="D879" s="2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</row>
    <row r="880" spans="1:33" ht="15.75" customHeight="1" x14ac:dyDescent="0.25">
      <c r="A880" s="1"/>
      <c r="B880" s="1"/>
      <c r="C880" s="1"/>
      <c r="D880" s="2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</row>
    <row r="881" spans="1:33" ht="15.75" customHeight="1" x14ac:dyDescent="0.25">
      <c r="A881" s="1"/>
      <c r="B881" s="1"/>
      <c r="C881" s="1"/>
      <c r="D881" s="2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</row>
    <row r="882" spans="1:33" ht="15.75" customHeight="1" x14ac:dyDescent="0.25">
      <c r="A882" s="1"/>
      <c r="B882" s="1"/>
      <c r="C882" s="1"/>
      <c r="D882" s="2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</row>
    <row r="883" spans="1:33" ht="15.75" customHeight="1" x14ac:dyDescent="0.25">
      <c r="A883" s="1"/>
      <c r="B883" s="1"/>
      <c r="C883" s="1"/>
      <c r="D883" s="2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</row>
    <row r="884" spans="1:33" ht="15.75" customHeight="1" x14ac:dyDescent="0.25">
      <c r="A884" s="1"/>
      <c r="B884" s="1"/>
      <c r="C884" s="1"/>
      <c r="D884" s="2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</row>
    <row r="885" spans="1:33" ht="15.75" customHeight="1" x14ac:dyDescent="0.25">
      <c r="A885" s="1"/>
      <c r="B885" s="1"/>
      <c r="C885" s="1"/>
      <c r="D885" s="2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</row>
    <row r="886" spans="1:33" ht="15.75" customHeight="1" x14ac:dyDescent="0.25">
      <c r="A886" s="1"/>
      <c r="B886" s="1"/>
      <c r="C886" s="1"/>
      <c r="D886" s="2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</row>
    <row r="887" spans="1:33" ht="15.75" customHeight="1" x14ac:dyDescent="0.25">
      <c r="A887" s="1"/>
      <c r="B887" s="1"/>
      <c r="C887" s="1"/>
      <c r="D887" s="2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</row>
    <row r="888" spans="1:33" ht="15.75" customHeight="1" x14ac:dyDescent="0.25">
      <c r="A888" s="1"/>
      <c r="B888" s="1"/>
      <c r="C888" s="1"/>
      <c r="D888" s="2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</row>
    <row r="889" spans="1:33" ht="15.75" customHeight="1" x14ac:dyDescent="0.25">
      <c r="A889" s="1"/>
      <c r="B889" s="1"/>
      <c r="C889" s="1"/>
      <c r="D889" s="2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</row>
    <row r="890" spans="1:33" ht="15.75" customHeight="1" x14ac:dyDescent="0.25">
      <c r="A890" s="1"/>
      <c r="B890" s="1"/>
      <c r="C890" s="1"/>
      <c r="D890" s="2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</row>
    <row r="891" spans="1:33" ht="15.75" customHeight="1" x14ac:dyDescent="0.25">
      <c r="A891" s="1"/>
      <c r="B891" s="1"/>
      <c r="C891" s="1"/>
      <c r="D891" s="2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</row>
    <row r="892" spans="1:33" ht="15.75" customHeight="1" x14ac:dyDescent="0.25">
      <c r="A892" s="1"/>
      <c r="B892" s="1"/>
      <c r="C892" s="1"/>
      <c r="D892" s="2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</row>
    <row r="893" spans="1:33" ht="15.75" customHeight="1" x14ac:dyDescent="0.25">
      <c r="A893" s="1"/>
      <c r="B893" s="1"/>
      <c r="C893" s="1"/>
      <c r="D893" s="2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</row>
    <row r="894" spans="1:33" ht="15.75" customHeight="1" x14ac:dyDescent="0.25">
      <c r="A894" s="1"/>
      <c r="B894" s="1"/>
      <c r="C894" s="1"/>
      <c r="D894" s="2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</row>
    <row r="895" spans="1:33" ht="15.75" customHeight="1" x14ac:dyDescent="0.25">
      <c r="A895" s="1"/>
      <c r="B895" s="1"/>
      <c r="C895" s="1"/>
      <c r="D895" s="2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</row>
    <row r="896" spans="1:33" ht="15.75" customHeight="1" x14ac:dyDescent="0.25">
      <c r="A896" s="1"/>
      <c r="B896" s="1"/>
      <c r="C896" s="1"/>
      <c r="D896" s="2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</row>
    <row r="897" spans="1:33" ht="15.75" customHeight="1" x14ac:dyDescent="0.25">
      <c r="A897" s="1"/>
      <c r="B897" s="1"/>
      <c r="C897" s="1"/>
      <c r="D897" s="2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</row>
    <row r="898" spans="1:33" ht="15.75" customHeight="1" x14ac:dyDescent="0.25">
      <c r="A898" s="1"/>
      <c r="B898" s="1"/>
      <c r="C898" s="1"/>
      <c r="D898" s="2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</row>
    <row r="899" spans="1:33" ht="15.75" customHeight="1" x14ac:dyDescent="0.25">
      <c r="A899" s="1"/>
      <c r="B899" s="1"/>
      <c r="C899" s="1"/>
      <c r="D899" s="2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</row>
    <row r="900" spans="1:33" ht="15.75" customHeight="1" x14ac:dyDescent="0.25">
      <c r="A900" s="1"/>
      <c r="B900" s="1"/>
      <c r="C900" s="1"/>
      <c r="D900" s="2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</row>
    <row r="901" spans="1:33" ht="15.75" customHeight="1" x14ac:dyDescent="0.25">
      <c r="A901" s="1"/>
      <c r="B901" s="1"/>
      <c r="C901" s="1"/>
      <c r="D901" s="2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</row>
    <row r="902" spans="1:33" ht="15.75" customHeight="1" x14ac:dyDescent="0.25">
      <c r="A902" s="1"/>
      <c r="B902" s="1"/>
      <c r="C902" s="1"/>
      <c r="D902" s="2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</row>
    <row r="903" spans="1:33" ht="15.75" customHeight="1" x14ac:dyDescent="0.25">
      <c r="A903" s="1"/>
      <c r="B903" s="1"/>
      <c r="C903" s="1"/>
      <c r="D903" s="2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</row>
    <row r="904" spans="1:33" ht="15.75" customHeight="1" x14ac:dyDescent="0.25">
      <c r="A904" s="1"/>
      <c r="B904" s="1"/>
      <c r="C904" s="1"/>
      <c r="D904" s="2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</row>
    <row r="905" spans="1:33" ht="15.75" customHeight="1" x14ac:dyDescent="0.25">
      <c r="A905" s="1"/>
      <c r="B905" s="1"/>
      <c r="C905" s="1"/>
      <c r="D905" s="2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</row>
    <row r="906" spans="1:33" ht="15.75" customHeight="1" x14ac:dyDescent="0.25">
      <c r="A906" s="1"/>
      <c r="B906" s="1"/>
      <c r="C906" s="1"/>
      <c r="D906" s="2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</row>
    <row r="907" spans="1:33" ht="15.75" customHeight="1" x14ac:dyDescent="0.25">
      <c r="A907" s="1"/>
      <c r="B907" s="1"/>
      <c r="C907" s="1"/>
      <c r="D907" s="2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</row>
    <row r="908" spans="1:33" ht="15.75" customHeight="1" x14ac:dyDescent="0.25">
      <c r="A908" s="1"/>
      <c r="B908" s="1"/>
      <c r="C908" s="1"/>
      <c r="D908" s="2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</row>
    <row r="909" spans="1:33" ht="15.75" customHeight="1" x14ac:dyDescent="0.25">
      <c r="A909" s="1"/>
      <c r="B909" s="1"/>
      <c r="C909" s="1"/>
      <c r="D909" s="2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</row>
    <row r="910" spans="1:33" ht="15.75" customHeight="1" x14ac:dyDescent="0.25">
      <c r="A910" s="1"/>
      <c r="B910" s="1"/>
      <c r="C910" s="1"/>
      <c r="D910" s="2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</row>
    <row r="911" spans="1:33" ht="15.75" customHeight="1" x14ac:dyDescent="0.25">
      <c r="A911" s="1"/>
      <c r="B911" s="1"/>
      <c r="C911" s="1"/>
      <c r="D911" s="2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</row>
    <row r="912" spans="1:33" ht="15.75" customHeight="1" x14ac:dyDescent="0.25">
      <c r="A912" s="1"/>
      <c r="B912" s="1"/>
      <c r="C912" s="1"/>
      <c r="D912" s="2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</row>
    <row r="913" spans="1:33" ht="15.75" customHeight="1" x14ac:dyDescent="0.25">
      <c r="A913" s="1"/>
      <c r="B913" s="1"/>
      <c r="C913" s="1"/>
      <c r="D913" s="2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</row>
    <row r="914" spans="1:33" ht="15.75" customHeight="1" x14ac:dyDescent="0.25">
      <c r="A914" s="1"/>
      <c r="B914" s="1"/>
      <c r="C914" s="1"/>
      <c r="D914" s="2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</row>
    <row r="915" spans="1:33" ht="15.75" customHeight="1" x14ac:dyDescent="0.25">
      <c r="A915" s="1"/>
      <c r="B915" s="1"/>
      <c r="C915" s="1"/>
      <c r="D915" s="2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</row>
    <row r="916" spans="1:33" ht="15.75" customHeight="1" x14ac:dyDescent="0.25">
      <c r="A916" s="1"/>
      <c r="B916" s="1"/>
      <c r="C916" s="1"/>
      <c r="D916" s="2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</row>
    <row r="917" spans="1:33" ht="15.75" customHeight="1" x14ac:dyDescent="0.25">
      <c r="A917" s="1"/>
      <c r="B917" s="1"/>
      <c r="C917" s="1"/>
      <c r="D917" s="2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</row>
    <row r="918" spans="1:33" ht="15.75" customHeight="1" x14ac:dyDescent="0.25">
      <c r="A918" s="1"/>
      <c r="B918" s="1"/>
      <c r="C918" s="1"/>
      <c r="D918" s="2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</row>
    <row r="919" spans="1:33" ht="15.75" customHeight="1" x14ac:dyDescent="0.25">
      <c r="A919" s="1"/>
      <c r="B919" s="1"/>
      <c r="C919" s="1"/>
      <c r="D919" s="2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</row>
    <row r="920" spans="1:33" ht="15.75" customHeight="1" x14ac:dyDescent="0.25">
      <c r="A920" s="1"/>
      <c r="B920" s="1"/>
      <c r="C920" s="1"/>
      <c r="D920" s="2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</row>
    <row r="921" spans="1:33" ht="15.75" customHeight="1" x14ac:dyDescent="0.25">
      <c r="A921" s="1"/>
      <c r="B921" s="1"/>
      <c r="C921" s="1"/>
      <c r="D921" s="2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</row>
    <row r="922" spans="1:33" ht="15.75" customHeight="1" x14ac:dyDescent="0.25">
      <c r="A922" s="1"/>
      <c r="B922" s="1"/>
      <c r="C922" s="1"/>
      <c r="D922" s="2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</row>
    <row r="923" spans="1:33" ht="15.75" customHeight="1" x14ac:dyDescent="0.25">
      <c r="A923" s="1"/>
      <c r="B923" s="1"/>
      <c r="C923" s="1"/>
      <c r="D923" s="2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</row>
    <row r="924" spans="1:33" ht="15.75" customHeight="1" x14ac:dyDescent="0.25">
      <c r="A924" s="1"/>
      <c r="B924" s="1"/>
      <c r="C924" s="1"/>
      <c r="D924" s="2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</row>
    <row r="925" spans="1:33" ht="15.75" customHeight="1" x14ac:dyDescent="0.25">
      <c r="A925" s="1"/>
      <c r="B925" s="1"/>
      <c r="C925" s="1"/>
      <c r="D925" s="2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</row>
    <row r="926" spans="1:33" ht="15.75" customHeight="1" x14ac:dyDescent="0.25">
      <c r="A926" s="1"/>
      <c r="B926" s="1"/>
      <c r="C926" s="1"/>
      <c r="D926" s="2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</row>
    <row r="927" spans="1:33" ht="15.75" customHeight="1" x14ac:dyDescent="0.25">
      <c r="A927" s="1"/>
      <c r="B927" s="1"/>
      <c r="C927" s="1"/>
      <c r="D927" s="2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</row>
    <row r="928" spans="1:33" ht="15.75" customHeight="1" x14ac:dyDescent="0.25">
      <c r="A928" s="1"/>
      <c r="B928" s="1"/>
      <c r="C928" s="1"/>
      <c r="D928" s="2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</row>
    <row r="929" spans="1:33" ht="15.75" customHeight="1" x14ac:dyDescent="0.25">
      <c r="A929" s="1"/>
      <c r="B929" s="1"/>
      <c r="C929" s="1"/>
      <c r="D929" s="2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</row>
    <row r="930" spans="1:33" ht="15.75" customHeight="1" x14ac:dyDescent="0.25">
      <c r="A930" s="1"/>
      <c r="B930" s="1"/>
      <c r="C930" s="1"/>
      <c r="D930" s="2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</row>
    <row r="931" spans="1:33" ht="15.75" customHeight="1" x14ac:dyDescent="0.25">
      <c r="A931" s="1"/>
      <c r="B931" s="1"/>
      <c r="C931" s="1"/>
      <c r="D931" s="2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</row>
    <row r="932" spans="1:33" ht="15.75" customHeight="1" x14ac:dyDescent="0.25">
      <c r="A932" s="1"/>
      <c r="B932" s="1"/>
      <c r="C932" s="1"/>
      <c r="D932" s="2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</row>
    <row r="933" spans="1:33" ht="15.75" customHeight="1" x14ac:dyDescent="0.25">
      <c r="A933" s="1"/>
      <c r="B933" s="1"/>
      <c r="C933" s="1"/>
      <c r="D933" s="2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</row>
    <row r="934" spans="1:33" ht="15.75" customHeight="1" x14ac:dyDescent="0.25">
      <c r="A934" s="1"/>
      <c r="B934" s="1"/>
      <c r="C934" s="1"/>
      <c r="D934" s="2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</row>
    <row r="935" spans="1:33" ht="15.75" customHeight="1" x14ac:dyDescent="0.25">
      <c r="A935" s="1"/>
      <c r="B935" s="1"/>
      <c r="C935" s="1"/>
      <c r="D935" s="2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</row>
    <row r="936" spans="1:33" ht="15.75" customHeight="1" x14ac:dyDescent="0.25">
      <c r="A936" s="1"/>
      <c r="B936" s="1"/>
      <c r="C936" s="1"/>
      <c r="D936" s="2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</row>
    <row r="937" spans="1:33" ht="15.75" customHeight="1" x14ac:dyDescent="0.25">
      <c r="A937" s="1"/>
      <c r="B937" s="1"/>
      <c r="C937" s="1"/>
      <c r="D937" s="2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</row>
    <row r="938" spans="1:33" ht="15.75" customHeight="1" x14ac:dyDescent="0.25">
      <c r="A938" s="1"/>
      <c r="B938" s="1"/>
      <c r="C938" s="1"/>
      <c r="D938" s="2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</row>
    <row r="939" spans="1:33" ht="15.75" customHeight="1" x14ac:dyDescent="0.25">
      <c r="A939" s="1"/>
      <c r="B939" s="1"/>
      <c r="C939" s="1"/>
      <c r="D939" s="2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</row>
    <row r="940" spans="1:33" ht="15.75" customHeight="1" x14ac:dyDescent="0.25">
      <c r="A940" s="1"/>
      <c r="B940" s="1"/>
      <c r="C940" s="1"/>
      <c r="D940" s="2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</row>
    <row r="941" spans="1:33" ht="15.75" customHeight="1" x14ac:dyDescent="0.25">
      <c r="A941" s="1"/>
      <c r="B941" s="1"/>
      <c r="C941" s="1"/>
      <c r="D941" s="2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</row>
    <row r="942" spans="1:33" ht="15.75" customHeight="1" x14ac:dyDescent="0.25">
      <c r="A942" s="1"/>
      <c r="B942" s="1"/>
      <c r="C942" s="1"/>
      <c r="D942" s="2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</row>
    <row r="943" spans="1:33" ht="15.75" customHeight="1" x14ac:dyDescent="0.25">
      <c r="A943" s="1"/>
      <c r="B943" s="1"/>
      <c r="C943" s="1"/>
      <c r="D943" s="2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</row>
    <row r="944" spans="1:33" ht="15.75" customHeight="1" x14ac:dyDescent="0.25">
      <c r="A944" s="1"/>
      <c r="B944" s="1"/>
      <c r="C944" s="1"/>
      <c r="D944" s="2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</row>
    <row r="945" spans="1:33" ht="15.75" customHeight="1" x14ac:dyDescent="0.25">
      <c r="A945" s="1"/>
      <c r="B945" s="1"/>
      <c r="C945" s="1"/>
      <c r="D945" s="2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</row>
    <row r="946" spans="1:33" ht="15.75" customHeight="1" x14ac:dyDescent="0.25">
      <c r="A946" s="1"/>
      <c r="B946" s="1"/>
      <c r="C946" s="1"/>
      <c r="D946" s="2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</row>
    <row r="947" spans="1:33" ht="15.75" customHeight="1" x14ac:dyDescent="0.25">
      <c r="A947" s="1"/>
      <c r="B947" s="1"/>
      <c r="C947" s="1"/>
      <c r="D947" s="2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</row>
    <row r="948" spans="1:33" ht="15.75" customHeight="1" x14ac:dyDescent="0.25">
      <c r="A948" s="1"/>
      <c r="B948" s="1"/>
      <c r="C948" s="1"/>
      <c r="D948" s="2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</row>
    <row r="949" spans="1:33" ht="15.75" customHeight="1" x14ac:dyDescent="0.25">
      <c r="A949" s="1"/>
      <c r="B949" s="1"/>
      <c r="C949" s="1"/>
      <c r="D949" s="2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</row>
    <row r="950" spans="1:33" ht="15.75" customHeight="1" x14ac:dyDescent="0.25">
      <c r="A950" s="1"/>
      <c r="B950" s="1"/>
      <c r="C950" s="1"/>
      <c r="D950" s="2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</row>
    <row r="951" spans="1:33" ht="15.75" customHeight="1" x14ac:dyDescent="0.25">
      <c r="A951" s="1"/>
      <c r="B951" s="1"/>
      <c r="C951" s="1"/>
      <c r="D951" s="2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</row>
    <row r="952" spans="1:33" ht="15.75" customHeight="1" x14ac:dyDescent="0.25">
      <c r="A952" s="1"/>
      <c r="B952" s="1"/>
      <c r="C952" s="1"/>
      <c r="D952" s="2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</row>
    <row r="953" spans="1:33" ht="15.75" customHeight="1" x14ac:dyDescent="0.25">
      <c r="A953" s="1"/>
      <c r="B953" s="1"/>
      <c r="C953" s="1"/>
      <c r="D953" s="2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</row>
    <row r="954" spans="1:33" ht="15.75" customHeight="1" x14ac:dyDescent="0.25">
      <c r="A954" s="1"/>
      <c r="B954" s="1"/>
      <c r="C954" s="1"/>
      <c r="D954" s="2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</row>
    <row r="955" spans="1:33" ht="15.75" customHeight="1" x14ac:dyDescent="0.25">
      <c r="A955" s="1"/>
      <c r="B955" s="1"/>
      <c r="C955" s="1"/>
      <c r="D955" s="2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</row>
    <row r="956" spans="1:33" ht="15.75" customHeight="1" x14ac:dyDescent="0.25">
      <c r="A956" s="1"/>
      <c r="B956" s="1"/>
      <c r="C956" s="1"/>
      <c r="D956" s="2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</row>
    <row r="957" spans="1:33" ht="15.75" customHeight="1" x14ac:dyDescent="0.25">
      <c r="A957" s="1"/>
      <c r="B957" s="1"/>
      <c r="C957" s="1"/>
      <c r="D957" s="2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</row>
    <row r="958" spans="1:33" ht="15.75" customHeight="1" x14ac:dyDescent="0.25">
      <c r="A958" s="1"/>
      <c r="B958" s="1"/>
      <c r="C958" s="1"/>
      <c r="D958" s="2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</row>
    <row r="959" spans="1:33" ht="15.75" customHeight="1" x14ac:dyDescent="0.25">
      <c r="A959" s="1"/>
      <c r="B959" s="1"/>
      <c r="C959" s="1"/>
      <c r="D959" s="2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</row>
    <row r="960" spans="1:33" ht="15.75" customHeight="1" x14ac:dyDescent="0.25">
      <c r="A960" s="1"/>
      <c r="B960" s="1"/>
      <c r="C960" s="1"/>
      <c r="D960" s="2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</row>
    <row r="961" spans="1:33" ht="15.75" customHeight="1" x14ac:dyDescent="0.25">
      <c r="A961" s="1"/>
      <c r="B961" s="1"/>
      <c r="C961" s="1"/>
      <c r="D961" s="2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</row>
    <row r="962" spans="1:33" ht="15.75" customHeight="1" x14ac:dyDescent="0.25">
      <c r="A962" s="1"/>
      <c r="B962" s="1"/>
      <c r="C962" s="1"/>
      <c r="D962" s="2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</row>
    <row r="963" spans="1:33" ht="15.75" customHeight="1" x14ac:dyDescent="0.25">
      <c r="A963" s="1"/>
      <c r="B963" s="1"/>
      <c r="C963" s="1"/>
      <c r="D963" s="2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</row>
    <row r="964" spans="1:33" ht="15.75" customHeight="1" x14ac:dyDescent="0.25">
      <c r="A964" s="1"/>
      <c r="B964" s="1"/>
      <c r="C964" s="1"/>
      <c r="D964" s="2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</row>
    <row r="965" spans="1:33" ht="15.75" customHeight="1" x14ac:dyDescent="0.25">
      <c r="A965" s="1"/>
      <c r="B965" s="1"/>
      <c r="C965" s="1"/>
      <c r="D965" s="2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</row>
    <row r="966" spans="1:33" ht="15.75" customHeight="1" x14ac:dyDescent="0.25">
      <c r="A966" s="1"/>
      <c r="B966" s="1"/>
      <c r="C966" s="1"/>
      <c r="D966" s="2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</row>
    <row r="967" spans="1:33" ht="15.75" customHeight="1" x14ac:dyDescent="0.25">
      <c r="A967" s="1"/>
      <c r="B967" s="1"/>
      <c r="C967" s="1"/>
      <c r="D967" s="2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</row>
    <row r="968" spans="1:33" ht="15.75" customHeight="1" x14ac:dyDescent="0.25">
      <c r="A968" s="1"/>
      <c r="B968" s="1"/>
      <c r="C968" s="1"/>
      <c r="D968" s="2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</row>
    <row r="969" spans="1:33" ht="15.75" customHeight="1" x14ac:dyDescent="0.25">
      <c r="A969" s="1"/>
      <c r="B969" s="1"/>
      <c r="C969" s="1"/>
      <c r="D969" s="2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</row>
    <row r="970" spans="1:33" ht="15.75" customHeight="1" x14ac:dyDescent="0.25">
      <c r="A970" s="1"/>
      <c r="B970" s="1"/>
      <c r="C970" s="1"/>
      <c r="D970" s="2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</row>
    <row r="971" spans="1:33" ht="15.75" customHeight="1" x14ac:dyDescent="0.25">
      <c r="A971" s="1"/>
      <c r="B971" s="1"/>
      <c r="C971" s="1"/>
      <c r="D971" s="2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</row>
    <row r="972" spans="1:33" ht="15.75" customHeight="1" x14ac:dyDescent="0.25">
      <c r="A972" s="1"/>
      <c r="B972" s="1"/>
      <c r="C972" s="1"/>
      <c r="D972" s="2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</row>
    <row r="973" spans="1:33" ht="15.75" customHeight="1" x14ac:dyDescent="0.25">
      <c r="A973" s="1"/>
      <c r="B973" s="1"/>
      <c r="C973" s="1"/>
      <c r="D973" s="2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</row>
    <row r="974" spans="1:33" ht="15.75" customHeight="1" x14ac:dyDescent="0.25">
      <c r="A974" s="1"/>
      <c r="B974" s="1"/>
      <c r="C974" s="1"/>
      <c r="D974" s="2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</row>
    <row r="975" spans="1:33" ht="15.75" customHeight="1" x14ac:dyDescent="0.25">
      <c r="A975" s="1"/>
      <c r="B975" s="1"/>
      <c r="C975" s="1"/>
      <c r="D975" s="2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</row>
    <row r="976" spans="1:33" ht="15.75" customHeight="1" x14ac:dyDescent="0.25">
      <c r="A976" s="1"/>
      <c r="B976" s="1"/>
      <c r="C976" s="1"/>
      <c r="D976" s="2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</row>
    <row r="977" spans="1:33" ht="15.75" customHeight="1" x14ac:dyDescent="0.25">
      <c r="A977" s="1"/>
      <c r="B977" s="1"/>
      <c r="C977" s="1"/>
      <c r="D977" s="2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</row>
    <row r="978" spans="1:33" ht="15.75" customHeight="1" x14ac:dyDescent="0.25">
      <c r="A978" s="1"/>
      <c r="B978" s="1"/>
      <c r="C978" s="1"/>
      <c r="D978" s="2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</row>
    <row r="979" spans="1:33" ht="15.75" customHeight="1" x14ac:dyDescent="0.25">
      <c r="A979" s="1"/>
      <c r="B979" s="1"/>
      <c r="C979" s="1"/>
      <c r="D979" s="2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</row>
    <row r="980" spans="1:33" ht="15.75" customHeight="1" x14ac:dyDescent="0.25">
      <c r="A980" s="1"/>
      <c r="B980" s="1"/>
      <c r="C980" s="1"/>
      <c r="D980" s="2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</row>
    <row r="981" spans="1:33" ht="15.75" customHeight="1" x14ac:dyDescent="0.25">
      <c r="A981" s="1"/>
      <c r="B981" s="1"/>
      <c r="C981" s="1"/>
      <c r="D981" s="2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</row>
    <row r="982" spans="1:33" ht="15.75" customHeight="1" x14ac:dyDescent="0.25">
      <c r="A982" s="1"/>
      <c r="B982" s="1"/>
      <c r="C982" s="1"/>
      <c r="D982" s="2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</row>
    <row r="983" spans="1:33" ht="15.75" customHeight="1" x14ac:dyDescent="0.25">
      <c r="A983" s="1"/>
      <c r="B983" s="1"/>
      <c r="C983" s="1"/>
      <c r="D983" s="2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</row>
    <row r="984" spans="1:33" ht="15.75" customHeight="1" x14ac:dyDescent="0.25">
      <c r="A984" s="1"/>
      <c r="B984" s="1"/>
      <c r="C984" s="1"/>
      <c r="D984" s="2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</row>
    <row r="985" spans="1:33" ht="15.75" customHeight="1" x14ac:dyDescent="0.25">
      <c r="A985" s="1"/>
      <c r="B985" s="1"/>
      <c r="C985" s="1"/>
      <c r="D985" s="2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</row>
    <row r="986" spans="1:33" ht="15.75" customHeight="1" x14ac:dyDescent="0.25">
      <c r="A986" s="1"/>
      <c r="B986" s="1"/>
      <c r="C986" s="1"/>
      <c r="D986" s="2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</row>
    <row r="987" spans="1:33" ht="15.75" customHeight="1" x14ac:dyDescent="0.25">
      <c r="A987" s="1"/>
      <c r="B987" s="1"/>
      <c r="C987" s="1"/>
      <c r="D987" s="2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</row>
    <row r="988" spans="1:33" ht="15.75" customHeight="1" x14ac:dyDescent="0.25">
      <c r="A988" s="1"/>
      <c r="B988" s="1"/>
      <c r="C988" s="1"/>
      <c r="D988" s="2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</row>
    <row r="989" spans="1:33" ht="15.75" customHeight="1" x14ac:dyDescent="0.25">
      <c r="A989" s="1"/>
      <c r="B989" s="1"/>
      <c r="C989" s="1"/>
      <c r="D989" s="2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</row>
    <row r="990" spans="1:33" ht="15.75" customHeight="1" x14ac:dyDescent="0.25">
      <c r="A990" s="1"/>
      <c r="B990" s="1"/>
      <c r="C990" s="1"/>
      <c r="D990" s="2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</row>
    <row r="991" spans="1:33" ht="15.75" customHeight="1" x14ac:dyDescent="0.25">
      <c r="A991" s="1"/>
      <c r="B991" s="1"/>
      <c r="C991" s="1"/>
      <c r="D991" s="2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</row>
    <row r="992" spans="1:33" ht="15.75" customHeight="1" x14ac:dyDescent="0.25">
      <c r="A992" s="1"/>
      <c r="B992" s="1"/>
      <c r="C992" s="1"/>
      <c r="D992" s="2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</row>
    <row r="993" spans="1:33" ht="15.75" customHeight="1" x14ac:dyDescent="0.25">
      <c r="A993" s="1"/>
      <c r="B993" s="1"/>
      <c r="C993" s="1"/>
      <c r="D993" s="2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</row>
    <row r="994" spans="1:33" ht="15.75" customHeight="1" x14ac:dyDescent="0.25">
      <c r="A994" s="1"/>
      <c r="B994" s="1"/>
      <c r="C994" s="1"/>
      <c r="D994" s="2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</row>
    <row r="995" spans="1:33" ht="15.75" customHeight="1" x14ac:dyDescent="0.25">
      <c r="A995" s="1"/>
      <c r="B995" s="1"/>
      <c r="C995" s="1"/>
      <c r="D995" s="2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</row>
    <row r="996" spans="1:33" ht="15.75" customHeight="1" x14ac:dyDescent="0.25">
      <c r="A996" s="1"/>
      <c r="B996" s="1"/>
      <c r="C996" s="1"/>
      <c r="D996" s="2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</row>
    <row r="997" spans="1:33" ht="15.75" customHeight="1" x14ac:dyDescent="0.25">
      <c r="A997" s="1"/>
      <c r="B997" s="1"/>
      <c r="C997" s="1"/>
      <c r="D997" s="2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</row>
    <row r="998" spans="1:33" ht="15.75" customHeight="1" x14ac:dyDescent="0.25">
      <c r="A998" s="1"/>
      <c r="B998" s="1"/>
      <c r="C998" s="1"/>
      <c r="D998" s="2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</row>
    <row r="999" spans="1:33" ht="15.75" customHeight="1" x14ac:dyDescent="0.25">
      <c r="A999" s="1"/>
      <c r="B999" s="1"/>
      <c r="C999" s="1"/>
      <c r="D999" s="2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</row>
    <row r="1000" spans="1:33" ht="15.75" customHeight="1" x14ac:dyDescent="0.25">
      <c r="A1000" s="1"/>
      <c r="B1000" s="1"/>
      <c r="C1000" s="1"/>
      <c r="D1000" s="2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</row>
  </sheetData>
  <mergeCells count="31">
    <mergeCell ref="E3:J3"/>
    <mergeCell ref="W3:AA3"/>
    <mergeCell ref="F6:G6"/>
    <mergeCell ref="D7:D11"/>
    <mergeCell ref="G14:H14"/>
    <mergeCell ref="E16:G16"/>
    <mergeCell ref="H16:I16"/>
    <mergeCell ref="G15:H15"/>
    <mergeCell ref="G24:H24"/>
    <mergeCell ref="E25:I25"/>
    <mergeCell ref="F26:G26"/>
    <mergeCell ref="F27:G27"/>
    <mergeCell ref="F28:G28"/>
    <mergeCell ref="F29:G29"/>
    <mergeCell ref="F30:G30"/>
    <mergeCell ref="F31:G31"/>
    <mergeCell ref="F32:G32"/>
    <mergeCell ref="E35:F35"/>
    <mergeCell ref="E36:F36"/>
    <mergeCell ref="E37:F37"/>
    <mergeCell ref="E38:F38"/>
    <mergeCell ref="H64:I64"/>
    <mergeCell ref="H65:I65"/>
    <mergeCell ref="G69:I69"/>
    <mergeCell ref="G41:H41"/>
    <mergeCell ref="H48:I48"/>
    <mergeCell ref="H49:I53"/>
    <mergeCell ref="H60:I60"/>
    <mergeCell ref="H61:I61"/>
    <mergeCell ref="H62:I62"/>
    <mergeCell ref="H63:I63"/>
  </mergeCells>
  <dataValidations count="11">
    <dataValidation type="list" allowBlank="1" showErrorMessage="1" sqref="I58" xr:uid="{00000000-0002-0000-0100-000000000000}">
      <formula1>$X$18:$X$28</formula1>
    </dataValidation>
    <dataValidation type="list" allowBlank="1" showErrorMessage="1" sqref="F24" xr:uid="{00000000-0002-0000-0100-000001000000}">
      <formula1>$AA$11:$AA$14</formula1>
    </dataValidation>
    <dataValidation type="list" allowBlank="1" showErrorMessage="1" sqref="H27:H31" xr:uid="{00000000-0002-0000-0100-000002000000}">
      <formula1>"Sim,Não"</formula1>
    </dataValidation>
    <dataValidation type="list" allowBlank="1" showErrorMessage="1" sqref="I11" xr:uid="{00000000-0002-0000-0100-000003000000}">
      <formula1>$AA$4:$AA$7</formula1>
    </dataValidation>
    <dataValidation type="list" allowBlank="1" showErrorMessage="1" sqref="H61:H65" xr:uid="{00000000-0002-0000-0100-000004000000}">
      <formula1>"SIM,NÃO"</formula1>
    </dataValidation>
    <dataValidation type="list" allowBlank="1" showErrorMessage="1" sqref="I9" xr:uid="{00000000-0002-0000-0100-000005000000}">
      <formula1>$Z$4:$Z$8</formula1>
    </dataValidation>
    <dataValidation type="list" allowBlank="1" showErrorMessage="1" sqref="G36:G38" xr:uid="{00000000-0002-0000-0100-000006000000}">
      <formula1>"P,F"</formula1>
    </dataValidation>
    <dataValidation type="list" allowBlank="1" showErrorMessage="1" sqref="G61:G65" xr:uid="{00000000-0002-0000-0100-000007000000}">
      <formula1>$AG$2:$AG$31</formula1>
    </dataValidation>
    <dataValidation type="list" allowBlank="1" showErrorMessage="1" sqref="I36:I38" xr:uid="{00000000-0002-0000-0100-000008000000}">
      <formula1>$AC$3:$AC$32</formula1>
    </dataValidation>
    <dataValidation type="decimal" operator="notEqual" allowBlank="1" showErrorMessage="1" sqref="F8:F11" xr:uid="{00000000-0002-0000-0100-000009000000}">
      <formula1>0</formula1>
    </dataValidation>
    <dataValidation type="list" allowBlank="1" showErrorMessage="1" sqref="H16" xr:uid="{00000000-0002-0000-0100-00000A000000}">
      <formula1>$W$4:$W$6</formula1>
    </dataValidation>
  </dataValidations>
  <pageMargins left="0.25" right="0.25" top="0.75" bottom="0.75" header="0" footer="0"/>
  <pageSetup paperSize="9"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>
    <tabColor rgb="FF279D27"/>
    <pageSetUpPr fitToPage="1"/>
  </sheetPr>
  <dimension ref="A1:BH1000"/>
  <sheetViews>
    <sheetView showGridLines="0" tabSelected="1" topLeftCell="B1" zoomScale="85" zoomScaleNormal="85" workbookViewId="0">
      <selection activeCell="Q23" sqref="Q23:R24"/>
    </sheetView>
  </sheetViews>
  <sheetFormatPr defaultColWidth="12.625" defaultRowHeight="15" customHeight="1" x14ac:dyDescent="0.2"/>
  <cols>
    <col min="1" max="1" width="5.625" customWidth="1"/>
    <col min="2" max="2" width="2.5" customWidth="1"/>
    <col min="3" max="3" width="3" customWidth="1"/>
    <col min="4" max="4" width="10" customWidth="1"/>
    <col min="5" max="5" width="18.75" customWidth="1"/>
    <col min="6" max="6" width="32.375" customWidth="1"/>
    <col min="7" max="7" width="17.875" customWidth="1"/>
    <col min="8" max="8" width="25.125" customWidth="1"/>
    <col min="9" max="9" width="10.75" customWidth="1"/>
    <col min="10" max="10" width="12" customWidth="1"/>
    <col min="11" max="11" width="31" customWidth="1"/>
    <col min="12" max="12" width="10.75" customWidth="1"/>
    <col min="13" max="13" width="12.25" customWidth="1"/>
    <col min="14" max="14" width="21.75" customWidth="1"/>
    <col min="15" max="15" width="10.75" customWidth="1"/>
    <col min="16" max="16" width="13" customWidth="1"/>
    <col min="17" max="17" width="23.125" customWidth="1"/>
    <col min="18" max="18" width="10.75" customWidth="1"/>
    <col min="19" max="19" width="7.875" customWidth="1"/>
    <col min="20" max="20" width="13.5" customWidth="1"/>
    <col min="21" max="21" width="8.75" customWidth="1"/>
    <col min="22" max="22" width="14.375" customWidth="1"/>
    <col min="23" max="23" width="5.5" customWidth="1"/>
    <col min="24" max="24" width="10" customWidth="1"/>
    <col min="25" max="25" width="11.625" customWidth="1"/>
    <col min="26" max="26" width="5.5" customWidth="1"/>
    <col min="27" max="27" width="20.125" customWidth="1"/>
    <col min="28" max="28" width="13.125" customWidth="1"/>
    <col min="29" max="30" width="5.5" customWidth="1"/>
    <col min="31" max="31" width="8" customWidth="1"/>
    <col min="32" max="32" width="20.375" customWidth="1"/>
    <col min="33" max="33" width="5.625" customWidth="1"/>
    <col min="34" max="34" width="12.5" customWidth="1"/>
    <col min="35" max="35" width="11.25" customWidth="1"/>
    <col min="36" max="36" width="10" customWidth="1"/>
    <col min="37" max="37" width="5.5" customWidth="1"/>
    <col min="38" max="38" width="3.25" customWidth="1"/>
    <col min="39" max="40" width="5.5" customWidth="1"/>
    <col min="41" max="41" width="15.875" customWidth="1"/>
    <col min="42" max="42" width="14" customWidth="1"/>
    <col min="43" max="43" width="13.125" customWidth="1"/>
    <col min="44" max="44" width="12.375" customWidth="1"/>
    <col min="45" max="45" width="15.75" customWidth="1"/>
    <col min="46" max="46" width="9.125" customWidth="1"/>
    <col min="47" max="48" width="5.875" customWidth="1"/>
    <col min="49" max="49" width="22.875" customWidth="1"/>
    <col min="50" max="50" width="40.25" customWidth="1"/>
    <col min="51" max="51" width="40.375" customWidth="1"/>
    <col min="52" max="52" width="19.625" customWidth="1"/>
    <col min="53" max="53" width="12.125" customWidth="1"/>
    <col min="54" max="54" width="8" customWidth="1"/>
    <col min="55" max="55" width="10.75" customWidth="1"/>
    <col min="56" max="60" width="8" customWidth="1"/>
  </cols>
  <sheetData>
    <row r="1" spans="1:6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1"/>
      <c r="BC1" s="1"/>
      <c r="BD1" s="1"/>
      <c r="BE1" s="1"/>
      <c r="BF1" s="1"/>
      <c r="BG1" s="1"/>
      <c r="BH1" s="1"/>
    </row>
    <row r="2" spans="1:60" x14ac:dyDescent="0.25">
      <c r="A2" s="1"/>
      <c r="B2" s="634"/>
      <c r="C2" s="3"/>
      <c r="D2" s="694"/>
      <c r="E2" s="695"/>
      <c r="F2" s="695"/>
      <c r="G2" s="695"/>
      <c r="H2" s="695"/>
      <c r="I2" s="695"/>
      <c r="J2" s="695"/>
      <c r="K2" s="694"/>
      <c r="L2" s="695"/>
      <c r="M2" s="695"/>
      <c r="N2" s="695"/>
      <c r="O2" s="695"/>
      <c r="P2" s="695"/>
      <c r="Q2" s="695"/>
      <c r="R2" s="695"/>
      <c r="S2" s="6"/>
      <c r="T2" s="96"/>
      <c r="U2" s="9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79"/>
      <c r="AO2" s="674" t="s">
        <v>73</v>
      </c>
      <c r="AP2" s="613"/>
      <c r="AQ2" s="613"/>
      <c r="AR2" s="613"/>
      <c r="AS2" s="613"/>
      <c r="AT2" s="613"/>
      <c r="AU2" s="613"/>
      <c r="AV2" s="613"/>
      <c r="AW2" s="613"/>
      <c r="AX2" s="613"/>
      <c r="AY2" s="613"/>
      <c r="AZ2" s="675"/>
      <c r="BA2" s="79"/>
      <c r="BB2" s="1"/>
      <c r="BC2" s="1"/>
      <c r="BD2" s="1"/>
      <c r="BE2" s="1"/>
      <c r="BF2" s="1"/>
      <c r="BG2" s="1"/>
      <c r="BH2" s="1"/>
    </row>
    <row r="3" spans="1:60" ht="23.25" x14ac:dyDescent="0.35">
      <c r="A3" s="1"/>
      <c r="B3" s="635"/>
      <c r="C3" s="7"/>
      <c r="D3" s="35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/>
      <c r="R3" s="100"/>
      <c r="S3" s="626"/>
      <c r="T3" s="1"/>
      <c r="U3" s="101"/>
      <c r="V3" s="1"/>
      <c r="W3" s="1"/>
      <c r="X3" s="1"/>
      <c r="Y3" s="1"/>
      <c r="Z3" s="1"/>
      <c r="AA3" s="1"/>
      <c r="AB3" s="1"/>
      <c r="AC3" s="1"/>
      <c r="AD3" s="1"/>
      <c r="AE3" s="678" t="s">
        <v>74</v>
      </c>
      <c r="AF3" s="569"/>
      <c r="AG3" s="1"/>
      <c r="AH3" s="1"/>
      <c r="AI3" s="1"/>
      <c r="AJ3" s="1"/>
      <c r="AK3" s="1"/>
      <c r="AL3" s="1"/>
      <c r="AM3" s="1"/>
      <c r="AN3" s="79"/>
      <c r="AO3" s="676"/>
      <c r="AP3" s="616"/>
      <c r="AQ3" s="616"/>
      <c r="AR3" s="616"/>
      <c r="AS3" s="616"/>
      <c r="AT3" s="616"/>
      <c r="AU3" s="616"/>
      <c r="AV3" s="616"/>
      <c r="AW3" s="616"/>
      <c r="AX3" s="616"/>
      <c r="AY3" s="616"/>
      <c r="AZ3" s="677"/>
      <c r="BA3" s="79"/>
      <c r="BB3" s="1"/>
      <c r="BC3" s="1"/>
      <c r="BD3" s="1"/>
      <c r="BE3" s="1"/>
      <c r="BF3" s="1"/>
      <c r="BG3" s="1"/>
      <c r="BH3" s="102" t="s">
        <v>75</v>
      </c>
    </row>
    <row r="4" spans="1:60" x14ac:dyDescent="0.25">
      <c r="A4" s="1"/>
      <c r="B4" s="635"/>
      <c r="C4" s="7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100"/>
      <c r="S4" s="627"/>
      <c r="T4" s="1"/>
      <c r="U4" s="101"/>
      <c r="V4" s="1"/>
      <c r="W4" s="1"/>
      <c r="X4" s="1"/>
      <c r="Y4" s="1"/>
      <c r="Z4" s="1"/>
      <c r="AA4" s="1"/>
      <c r="AB4" s="1"/>
      <c r="AC4" s="1"/>
      <c r="AD4" s="1"/>
      <c r="AE4" s="103">
        <v>10</v>
      </c>
      <c r="AF4" s="104">
        <f>FV</f>
        <v>8012903.2258064514</v>
      </c>
      <c r="AG4" s="1"/>
      <c r="AH4" s="1"/>
      <c r="AI4" s="1"/>
      <c r="AJ4" s="1"/>
      <c r="AK4" s="1"/>
      <c r="AL4" s="1"/>
      <c r="AM4" s="1"/>
      <c r="AN4" s="79"/>
      <c r="AO4" s="105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106"/>
      <c r="BA4" s="79"/>
      <c r="BB4" s="1"/>
      <c r="BC4" s="1"/>
      <c r="BD4" s="1"/>
      <c r="BE4" s="1"/>
      <c r="BF4" s="1"/>
      <c r="BG4" s="1"/>
      <c r="BH4" s="102" t="s">
        <v>76</v>
      </c>
    </row>
    <row r="5" spans="1:60" ht="18" customHeight="1" x14ac:dyDescent="0.35">
      <c r="A5" s="1"/>
      <c r="B5" s="635"/>
      <c r="C5" s="7"/>
      <c r="D5" s="107" t="s">
        <v>8</v>
      </c>
      <c r="E5" s="696" t="s">
        <v>251</v>
      </c>
      <c r="F5" s="607"/>
      <c r="G5" s="108" t="s">
        <v>77</v>
      </c>
      <c r="H5" s="109">
        <v>24</v>
      </c>
      <c r="I5" s="35"/>
      <c r="J5" s="110" t="s">
        <v>78</v>
      </c>
      <c r="K5" s="111"/>
      <c r="L5" s="696">
        <f>Dados_despesaatual</f>
        <v>10000</v>
      </c>
      <c r="M5" s="608"/>
      <c r="N5" s="35"/>
      <c r="O5" s="686" t="s">
        <v>79</v>
      </c>
      <c r="P5" s="687"/>
      <c r="Q5" s="679" t="str">
        <f>perfil</f>
        <v>Agressivo</v>
      </c>
      <c r="R5" s="680"/>
      <c r="S5" s="627"/>
      <c r="T5" s="1"/>
      <c r="U5" s="101"/>
      <c r="V5" s="1"/>
      <c r="W5" s="1"/>
      <c r="X5" s="1"/>
      <c r="Y5" s="1"/>
      <c r="Z5" s="1"/>
      <c r="AA5" s="1"/>
      <c r="AB5" s="102"/>
      <c r="AC5" s="1"/>
      <c r="AD5" s="1"/>
      <c r="AE5" s="112">
        <v>7</v>
      </c>
      <c r="AF5" s="104">
        <f>FV_minimo</f>
        <v>6613955.2499865303</v>
      </c>
      <c r="AG5" s="102"/>
      <c r="AH5" s="113">
        <f>AF5/AF4</f>
        <v>0.82541309480508229</v>
      </c>
      <c r="AI5" s="1"/>
      <c r="AJ5" s="1"/>
      <c r="AK5" s="102"/>
      <c r="AL5" s="102"/>
      <c r="AM5" s="102"/>
      <c r="AN5" s="114"/>
      <c r="AO5" s="115" t="s">
        <v>80</v>
      </c>
      <c r="AP5" s="116" t="s">
        <v>81</v>
      </c>
      <c r="AQ5" s="116" t="s">
        <v>82</v>
      </c>
      <c r="AR5" s="116" t="s">
        <v>83</v>
      </c>
      <c r="AS5" s="116" t="s">
        <v>84</v>
      </c>
      <c r="AT5" s="79"/>
      <c r="AU5" s="79"/>
      <c r="AV5" s="117" t="s">
        <v>9</v>
      </c>
      <c r="AW5" s="118" t="s">
        <v>85</v>
      </c>
      <c r="AX5" s="118" t="s">
        <v>86</v>
      </c>
      <c r="AY5" s="118" t="s">
        <v>87</v>
      </c>
      <c r="AZ5" s="119" t="s">
        <v>80</v>
      </c>
      <c r="BA5" s="79"/>
      <c r="BB5" s="1"/>
      <c r="BC5" s="1"/>
      <c r="BD5" s="1"/>
      <c r="BE5" s="1"/>
      <c r="BF5" s="1"/>
      <c r="BG5" s="1"/>
      <c r="BH5" s="102" t="s">
        <v>88</v>
      </c>
    </row>
    <row r="6" spans="1:60" ht="18.75" customHeight="1" x14ac:dyDescent="0.25">
      <c r="A6" s="1"/>
      <c r="B6" s="635"/>
      <c r="C6" s="7"/>
      <c r="D6" s="120" t="s">
        <v>89</v>
      </c>
      <c r="E6" s="697" t="str">
        <f>dados_objetivo</f>
        <v>Acumular Recursos</v>
      </c>
      <c r="F6" s="698"/>
      <c r="G6" s="121" t="s">
        <v>90</v>
      </c>
      <c r="H6" s="122">
        <f>IF(Dados_aposentadoria&lt;Dados_idade,"Aposentado",'Resumo das informações'!I7)</f>
        <v>50</v>
      </c>
      <c r="I6" s="19"/>
      <c r="J6" s="702" t="s">
        <v>91</v>
      </c>
      <c r="K6" s="592"/>
      <c r="L6" s="699">
        <v>40000</v>
      </c>
      <c r="M6" s="700"/>
      <c r="N6" s="19"/>
      <c r="O6" s="688"/>
      <c r="P6" s="579"/>
      <c r="Q6" s="681"/>
      <c r="R6" s="682"/>
      <c r="S6" s="627"/>
      <c r="T6" s="1"/>
      <c r="U6" s="101"/>
      <c r="V6" s="1"/>
      <c r="W6" s="1"/>
      <c r="X6" s="568" t="s">
        <v>0</v>
      </c>
      <c r="Y6" s="569"/>
      <c r="Z6" s="1"/>
      <c r="AA6" s="1"/>
      <c r="AB6" s="1"/>
      <c r="AC6" s="1"/>
      <c r="AD6" s="1"/>
      <c r="AE6" s="103">
        <v>0</v>
      </c>
      <c r="AF6" s="104">
        <v>0</v>
      </c>
      <c r="AG6" s="1"/>
      <c r="AH6" s="1"/>
      <c r="AI6" s="1"/>
      <c r="AJ6" s="1"/>
      <c r="AK6" s="1"/>
      <c r="AL6" s="1"/>
      <c r="AM6" s="1"/>
      <c r="AN6" s="79"/>
      <c r="AO6" s="123" t="s">
        <v>88</v>
      </c>
      <c r="AP6" s="124" t="str">
        <f>IF(AO6="   Cenário 3",R50,IF(AO6="   Cenário 2",O50,L50))</f>
        <v/>
      </c>
      <c r="AQ6" s="125">
        <f>IF(AO6="   Cenário 3",Q37,IF(AO6="   Cenário 2",N37,K37))</f>
        <v>500000</v>
      </c>
      <c r="AR6" s="125">
        <f>IF(AO6="   Cenário 3",Q40,IF(AO6="   Cenário 2",N40,K40))</f>
        <v>80</v>
      </c>
      <c r="AS6" s="125">
        <f>IF(AO6="   Cenário 3",Q43,IF(AO6="   Cenário 2",N43,K43))</f>
        <v>0</v>
      </c>
      <c r="AT6" s="79"/>
      <c r="AU6" s="79"/>
      <c r="AV6" s="105">
        <f>H5</f>
        <v>24</v>
      </c>
      <c r="AW6" s="126">
        <f>PV</f>
        <v>1000000</v>
      </c>
      <c r="AX6" s="127">
        <f>PV</f>
        <v>1000000</v>
      </c>
      <c r="AY6" s="128">
        <f>PV</f>
        <v>1000000</v>
      </c>
      <c r="AZ6" s="128">
        <f>PV</f>
        <v>1000000</v>
      </c>
      <c r="BA6" s="79"/>
      <c r="BB6" s="1"/>
      <c r="BC6" s="1"/>
      <c r="BD6" s="1"/>
      <c r="BE6" s="1"/>
      <c r="BF6" s="1"/>
      <c r="BG6" s="1"/>
      <c r="BH6" s="1"/>
    </row>
    <row r="7" spans="1:60" ht="19.5" customHeight="1" x14ac:dyDescent="0.25">
      <c r="A7" s="1"/>
      <c r="B7" s="635"/>
      <c r="C7" s="7"/>
      <c r="D7" s="129" t="s">
        <v>92</v>
      </c>
      <c r="E7" s="130"/>
      <c r="F7" s="703" t="str">
        <f>I.R</f>
        <v>Sem considerar I.R</v>
      </c>
      <c r="G7" s="643"/>
      <c r="H7" s="704"/>
      <c r="I7" s="19"/>
      <c r="J7" s="131" t="s">
        <v>93</v>
      </c>
      <c r="K7" s="132"/>
      <c r="L7" s="701">
        <v>60000</v>
      </c>
      <c r="M7" s="651"/>
      <c r="N7" s="19"/>
      <c r="O7" s="646"/>
      <c r="P7" s="647"/>
      <c r="Q7" s="683"/>
      <c r="R7" s="651"/>
      <c r="S7" s="627"/>
      <c r="T7" s="1"/>
      <c r="U7" s="101"/>
      <c r="V7" s="1"/>
      <c r="W7" s="1"/>
      <c r="X7" s="689" t="str">
        <f>Dados_Nome</f>
        <v>Marcos</v>
      </c>
      <c r="Y7" s="569"/>
      <c r="Z7" s="1"/>
      <c r="AA7" s="1"/>
      <c r="AB7" s="1"/>
      <c r="AC7" s="1"/>
      <c r="AD7" s="1"/>
      <c r="AE7" s="133">
        <f>(AF7/AF4)*10</f>
        <v>10.087398621819201</v>
      </c>
      <c r="AF7" s="104">
        <f>FV_projetado</f>
        <v>8082934.8956770627</v>
      </c>
      <c r="AG7" s="1"/>
      <c r="AH7" s="1">
        <f>MIN(MAX(IF(AF7&lt;AF5,(AF7-AF6)/(AF5-AF6)*AE5,(AF7-AF5)/(AF4-AF5)*(AE4-AE5)+AE5),0),10)</f>
        <v>10</v>
      </c>
      <c r="AI7" s="1"/>
      <c r="AJ7" s="1"/>
      <c r="AK7" s="1"/>
      <c r="AL7" s="1"/>
      <c r="AM7" s="1"/>
      <c r="AN7" s="79"/>
      <c r="AO7" s="105"/>
      <c r="AP7" s="79"/>
      <c r="AQ7" s="79"/>
      <c r="AR7" s="79"/>
      <c r="AS7" s="79"/>
      <c r="AT7" s="79"/>
      <c r="AU7" s="79"/>
      <c r="AV7" s="105">
        <f t="shared" ref="AV7:AV71" si="0">AV6+1</f>
        <v>25</v>
      </c>
      <c r="AW7" s="134">
        <f t="shared" ref="AW7:AW38" si="1">IF(AV7&gt;$H$6,(AW6*(1+i_realaposentadoria))-($L$6*12),AW6*(1+i_real_atual)+PMT_atual)</f>
        <v>1119903.381642512</v>
      </c>
      <c r="AX7" s="135">
        <f t="shared" ref="AX7:AX38" si="2">IF(AV7&gt;$H$6,(AX6*(1+i_realaposentadoria))-($L$6*12),AX6*(1+i_real_atual)+PMT_necessario)</f>
        <v>1118717.8513272917</v>
      </c>
      <c r="AY7" s="136">
        <f t="shared" ref="AY7:AY38" si="3">IF(AV7&gt;$H$6,(AY6*(1+i_realaposentadoria))-(Renda_aposentadoria*12),AY6*(1+$AT$9)+PMT_atual)</f>
        <v>1109935.5519744358</v>
      </c>
      <c r="AZ7" s="136" t="e">
        <f t="shared" ref="AZ7:AZ38" si="4">IF(AV7&gt;$AR$6,(AZ6*(1+i_realaposentadoria))-(Renda_aposentadoria*12),AZ6*(1+$AP$6)+$AQ$6)</f>
        <v>#VALUE!</v>
      </c>
      <c r="BA7" s="79"/>
      <c r="BB7" s="1"/>
      <c r="BC7" s="1"/>
      <c r="BD7" s="1"/>
      <c r="BE7" s="1"/>
      <c r="BF7" s="1"/>
      <c r="BG7" s="1"/>
      <c r="BH7" s="1"/>
    </row>
    <row r="8" spans="1:60" x14ac:dyDescent="0.25">
      <c r="A8" s="1"/>
      <c r="B8" s="635"/>
      <c r="C8" s="7"/>
      <c r="D8" s="35"/>
      <c r="E8" s="137"/>
      <c r="G8" s="35"/>
      <c r="H8" s="35"/>
      <c r="I8" s="19"/>
      <c r="J8" s="35"/>
      <c r="K8" s="35"/>
      <c r="L8" s="35"/>
      <c r="M8" s="138"/>
      <c r="N8" s="138"/>
      <c r="O8" s="138"/>
      <c r="P8" s="139"/>
      <c r="Q8" s="139"/>
      <c r="R8" s="140"/>
      <c r="S8" s="627"/>
      <c r="T8" s="1"/>
      <c r="U8" s="101"/>
      <c r="V8" s="141"/>
      <c r="W8" s="1"/>
      <c r="X8" s="1"/>
      <c r="Y8" s="1"/>
      <c r="Z8" s="1"/>
      <c r="AA8" s="141"/>
      <c r="AB8" s="141"/>
      <c r="AC8" s="1"/>
      <c r="AD8" s="1"/>
      <c r="AE8" s="141">
        <f>(AF8/AF4)*10</f>
        <v>0</v>
      </c>
      <c r="AF8" s="142">
        <f>Q46</f>
        <v>0</v>
      </c>
      <c r="AG8" s="1"/>
      <c r="AH8" s="1"/>
      <c r="AI8" s="1"/>
      <c r="AJ8" s="1"/>
      <c r="AK8" s="1"/>
      <c r="AL8" s="1"/>
      <c r="AM8" s="1"/>
      <c r="AN8" s="79"/>
      <c r="AO8" s="143" t="s">
        <v>94</v>
      </c>
      <c r="AP8" s="143" t="s">
        <v>95</v>
      </c>
      <c r="AQ8" s="119" t="s">
        <v>96</v>
      </c>
      <c r="AR8" s="144" t="s">
        <v>97</v>
      </c>
      <c r="AS8" s="144" t="s">
        <v>98</v>
      </c>
      <c r="AT8" s="145" t="s">
        <v>99</v>
      </c>
      <c r="AU8" s="79"/>
      <c r="AV8" s="105">
        <f t="shared" si="0"/>
        <v>26</v>
      </c>
      <c r="AW8" s="134">
        <f t="shared" si="1"/>
        <v>1246989.3813157834</v>
      </c>
      <c r="AX8" s="135">
        <f t="shared" si="2"/>
        <v>1244547.3034104211</v>
      </c>
      <c r="AY8" s="136">
        <f t="shared" si="3"/>
        <v>1225360.7964183292</v>
      </c>
      <c r="AZ8" s="136" t="e">
        <f t="shared" si="4"/>
        <v>#VALUE!</v>
      </c>
      <c r="BA8" s="79"/>
      <c r="BB8" s="1"/>
      <c r="BC8" s="1"/>
      <c r="BD8" s="1"/>
      <c r="BE8" s="1"/>
      <c r="BF8" s="1"/>
      <c r="BG8" s="1"/>
      <c r="BH8" s="1"/>
    </row>
    <row r="9" spans="1:60" x14ac:dyDescent="0.25">
      <c r="A9" s="1"/>
      <c r="B9" s="635"/>
      <c r="C9" s="7"/>
      <c r="D9" s="35"/>
      <c r="E9" s="19"/>
      <c r="F9" s="146"/>
      <c r="G9" s="146"/>
      <c r="H9" s="146"/>
      <c r="I9" s="19"/>
      <c r="J9" s="147"/>
      <c r="K9" s="148"/>
      <c r="L9" s="148"/>
      <c r="M9" s="147"/>
      <c r="N9" s="19"/>
      <c r="O9" s="139"/>
      <c r="P9" s="139"/>
      <c r="Q9" s="139"/>
      <c r="R9" s="140"/>
      <c r="S9" s="627"/>
      <c r="T9" s="1"/>
      <c r="U9" s="149"/>
      <c r="V9" s="1"/>
      <c r="W9" s="1"/>
      <c r="X9" s="1"/>
      <c r="Y9" s="1"/>
      <c r="Z9" s="1"/>
      <c r="AA9" s="1"/>
      <c r="AB9" s="14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79"/>
      <c r="AO9" s="150">
        <f>Dados_vida</f>
        <v>80</v>
      </c>
      <c r="AP9" s="151">
        <f>H6-H5</f>
        <v>26</v>
      </c>
      <c r="AQ9" s="152">
        <f>Dados_vida-Dados_idade</f>
        <v>56</v>
      </c>
      <c r="AR9" s="153">
        <f>i_atual</f>
        <v>9.7000000000000003E-2</v>
      </c>
      <c r="AS9" s="153">
        <f>RATE(n,-PMT_atual,-PV,FV,0)</f>
        <v>5.9473554357627523E-2</v>
      </c>
      <c r="AT9" s="153">
        <f>RATE(n,-L7,-PV,Q18,0)</f>
        <v>4.9935551974435805E-2</v>
      </c>
      <c r="AU9" s="79"/>
      <c r="AV9" s="105">
        <f t="shared" si="0"/>
        <v>27</v>
      </c>
      <c r="AW9" s="134">
        <f t="shared" si="1"/>
        <v>1381688.2621289028</v>
      </c>
      <c r="AX9" s="135">
        <f t="shared" si="2"/>
        <v>1377914.3651835546</v>
      </c>
      <c r="AY9" s="136">
        <f t="shared" si="3"/>
        <v>1346549.8641553128</v>
      </c>
      <c r="AZ9" s="136" t="e">
        <f t="shared" si="4"/>
        <v>#VALUE!</v>
      </c>
      <c r="BA9" s="79"/>
      <c r="BB9" s="1"/>
      <c r="BC9" s="141" t="e">
        <f>AZ6*(1+AP6)+36000</f>
        <v>#VALUE!</v>
      </c>
      <c r="BD9" s="1"/>
      <c r="BE9" s="1"/>
      <c r="BF9" s="1"/>
      <c r="BG9" s="1"/>
      <c r="BH9" s="1"/>
    </row>
    <row r="10" spans="1:60" x14ac:dyDescent="0.25">
      <c r="A10" s="1"/>
      <c r="B10" s="635"/>
      <c r="C10" s="7"/>
      <c r="D10" s="35"/>
      <c r="E10" s="19"/>
      <c r="F10" s="146"/>
      <c r="G10" s="146"/>
      <c r="H10" s="146"/>
      <c r="I10" s="19"/>
      <c r="J10" s="147"/>
      <c r="K10" s="148"/>
      <c r="L10" s="148"/>
      <c r="M10" s="147"/>
      <c r="N10" s="19"/>
      <c r="O10" s="139"/>
      <c r="P10" s="139"/>
      <c r="Q10" s="139"/>
      <c r="R10" s="140"/>
      <c r="S10" s="627"/>
      <c r="T10" s="154"/>
      <c r="U10" s="101"/>
      <c r="V10" s="1"/>
      <c r="W10" s="1"/>
      <c r="X10" s="1"/>
      <c r="Y10" s="1"/>
      <c r="Z10" s="1"/>
      <c r="AA10" s="1"/>
      <c r="AB10" s="1"/>
      <c r="AC10" s="1"/>
      <c r="AD10" s="1"/>
      <c r="AE10" s="690" t="str">
        <f>IF(Q23&lt;FV,"Deficit","Superavit")</f>
        <v>Superavit</v>
      </c>
      <c r="AF10" s="692">
        <f>FV_projetado-FV</f>
        <v>70031.66987061128</v>
      </c>
      <c r="AG10" s="1"/>
      <c r="AH10" s="1"/>
      <c r="AI10" s="1"/>
      <c r="AJ10" s="1"/>
      <c r="AK10" s="1"/>
      <c r="AL10" s="1"/>
      <c r="AM10" s="1"/>
      <c r="AN10" s="79"/>
      <c r="AO10" s="105"/>
      <c r="AP10" s="79"/>
      <c r="AQ10" s="79"/>
      <c r="AR10" s="79"/>
      <c r="AS10" s="79"/>
      <c r="AT10" s="79"/>
      <c r="AU10" s="79"/>
      <c r="AV10" s="105">
        <f t="shared" si="0"/>
        <v>28</v>
      </c>
      <c r="AW10" s="134">
        <f t="shared" si="1"/>
        <v>1524456.0614061898</v>
      </c>
      <c r="AX10" s="135">
        <f t="shared" si="2"/>
        <v>1519270.5649566245</v>
      </c>
      <c r="AY10" s="136">
        <f t="shared" si="3"/>
        <v>1473790.5748830098</v>
      </c>
      <c r="AZ10" s="136" t="e">
        <f t="shared" si="4"/>
        <v>#VALUE!</v>
      </c>
      <c r="BA10" s="79"/>
      <c r="BB10" s="1"/>
      <c r="BC10" s="1"/>
      <c r="BD10" s="1"/>
      <c r="BE10" s="1"/>
      <c r="BF10" s="1"/>
      <c r="BG10" s="1"/>
      <c r="BH10" s="1"/>
    </row>
    <row r="11" spans="1:60" x14ac:dyDescent="0.25">
      <c r="A11" s="1"/>
      <c r="B11" s="635"/>
      <c r="C11" s="7"/>
      <c r="D11" s="35"/>
      <c r="E11" s="35"/>
      <c r="F11" s="35"/>
      <c r="G11" s="146"/>
      <c r="H11" s="146"/>
      <c r="I11" s="19"/>
      <c r="J11" s="147"/>
      <c r="K11" s="148"/>
      <c r="L11" s="148"/>
      <c r="M11" s="147"/>
      <c r="N11" s="19"/>
      <c r="O11" s="139"/>
      <c r="P11" s="35"/>
      <c r="Q11" s="35"/>
      <c r="R11" s="140"/>
      <c r="S11" s="627"/>
      <c r="T11" s="1"/>
      <c r="U11" s="155"/>
      <c r="V11" s="1"/>
      <c r="W11" s="1"/>
      <c r="X11" s="1"/>
      <c r="Y11" s="1"/>
      <c r="Z11" s="1"/>
      <c r="AA11" s="1"/>
      <c r="AB11" s="1"/>
      <c r="AC11" s="1"/>
      <c r="AD11" s="1"/>
      <c r="AE11" s="691"/>
      <c r="AF11" s="693"/>
      <c r="AG11" s="1"/>
      <c r="AH11" s="1"/>
      <c r="AI11" s="1"/>
      <c r="AJ11" s="1"/>
      <c r="AK11" s="1"/>
      <c r="AL11" s="1"/>
      <c r="AM11" s="1"/>
      <c r="AN11" s="79"/>
      <c r="AO11" s="105"/>
      <c r="AP11" s="79"/>
      <c r="AQ11" s="79"/>
      <c r="AR11" s="79"/>
      <c r="AS11" s="79"/>
      <c r="AT11" s="156"/>
      <c r="AU11" s="79"/>
      <c r="AV11" s="105">
        <f t="shared" si="0"/>
        <v>29</v>
      </c>
      <c r="AW11" s="134">
        <f t="shared" si="1"/>
        <v>1675776.1346498455</v>
      </c>
      <c r="AX11" s="135">
        <f t="shared" si="2"/>
        <v>1669094.4791122358</v>
      </c>
      <c r="AY11" s="136">
        <f t="shared" si="3"/>
        <v>1607385.120734514</v>
      </c>
      <c r="AZ11" s="136" t="e">
        <f t="shared" si="4"/>
        <v>#VALUE!</v>
      </c>
      <c r="BA11" s="79"/>
      <c r="BB11" s="1"/>
      <c r="BC11" s="1"/>
      <c r="BD11" s="1"/>
      <c r="BE11" s="1"/>
      <c r="BF11" s="1"/>
      <c r="BG11" s="1"/>
      <c r="BH11" s="1"/>
    </row>
    <row r="12" spans="1:60" ht="15.75" x14ac:dyDescent="0.25">
      <c r="A12" s="1"/>
      <c r="B12" s="635"/>
      <c r="C12" s="7"/>
      <c r="D12" s="35"/>
      <c r="E12" s="35"/>
      <c r="F12" s="35"/>
      <c r="G12" s="146"/>
      <c r="H12" s="146"/>
      <c r="I12" s="19"/>
      <c r="J12" s="147"/>
      <c r="K12" s="148"/>
      <c r="L12" s="148"/>
      <c r="M12" s="147"/>
      <c r="N12" s="19"/>
      <c r="O12" s="684" t="s">
        <v>100</v>
      </c>
      <c r="P12" s="607"/>
      <c r="Q12" s="607"/>
      <c r="R12" s="608"/>
      <c r="S12" s="627"/>
      <c r="T12" s="157"/>
      <c r="U12" s="10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79"/>
      <c r="AO12" s="105"/>
      <c r="AP12" s="79"/>
      <c r="AQ12" s="79"/>
      <c r="AR12" s="79"/>
      <c r="AS12" s="79"/>
      <c r="AT12" s="79"/>
      <c r="AU12" s="79"/>
      <c r="AV12" s="105">
        <f t="shared" si="0"/>
        <v>30</v>
      </c>
      <c r="AW12" s="134">
        <f t="shared" si="1"/>
        <v>1836160.7919911889</v>
      </c>
      <c r="AX12" s="135">
        <f t="shared" si="2"/>
        <v>1827893.3523766857</v>
      </c>
      <c r="AY12" s="136">
        <f t="shared" si="3"/>
        <v>1747650.7839738871</v>
      </c>
      <c r="AZ12" s="136" t="e">
        <f t="shared" si="4"/>
        <v>#VALUE!</v>
      </c>
      <c r="BA12" s="79"/>
      <c r="BB12" s="1"/>
      <c r="BC12" s="1"/>
      <c r="BD12" s="1"/>
      <c r="BE12" s="1"/>
      <c r="BF12" s="1"/>
      <c r="BG12" s="1"/>
      <c r="BH12" s="1"/>
    </row>
    <row r="13" spans="1:60" ht="15" customHeight="1" x14ac:dyDescent="0.25">
      <c r="A13" s="1"/>
      <c r="B13" s="635"/>
      <c r="C13" s="7"/>
      <c r="D13" s="35"/>
      <c r="E13" s="19"/>
      <c r="F13" s="146"/>
      <c r="G13" s="146"/>
      <c r="H13" s="146"/>
      <c r="I13" s="19"/>
      <c r="J13" s="147"/>
      <c r="K13" s="148"/>
      <c r="L13" s="148"/>
      <c r="M13" s="147"/>
      <c r="N13" s="19"/>
      <c r="O13" s="685" t="s">
        <v>101</v>
      </c>
      <c r="P13" s="577"/>
      <c r="Q13" s="648">
        <f>(Renda_aposentadoria*12)/i_realaposentadoria</f>
        <v>8012903.2258064514</v>
      </c>
      <c r="R13" s="649"/>
      <c r="S13" s="627"/>
      <c r="T13" s="1"/>
      <c r="U13" s="10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79"/>
      <c r="AO13" s="105"/>
      <c r="AP13" s="79"/>
      <c r="AQ13" s="79"/>
      <c r="AR13" s="79"/>
      <c r="AS13" s="79"/>
      <c r="AT13" s="79"/>
      <c r="AU13" s="79"/>
      <c r="AV13" s="105">
        <f t="shared" si="0"/>
        <v>31</v>
      </c>
      <c r="AW13" s="134">
        <f t="shared" si="1"/>
        <v>2006153.0326708544</v>
      </c>
      <c r="AX13" s="135">
        <f t="shared" si="2"/>
        <v>1996204.8151506968</v>
      </c>
      <c r="AY13" s="136">
        <f t="shared" si="3"/>
        <v>1894920.6905301786</v>
      </c>
      <c r="AZ13" s="136" t="e">
        <f t="shared" si="4"/>
        <v>#VALUE!</v>
      </c>
      <c r="BA13" s="79"/>
      <c r="BB13" s="1"/>
      <c r="BC13" s="1"/>
      <c r="BD13" s="1"/>
      <c r="BE13" s="1"/>
      <c r="BF13" s="1"/>
      <c r="BG13" s="1"/>
      <c r="BH13" s="1"/>
    </row>
    <row r="14" spans="1:60" ht="15" customHeight="1" x14ac:dyDescent="0.25">
      <c r="A14" s="1"/>
      <c r="B14" s="635"/>
      <c r="C14" s="7"/>
      <c r="D14" s="35"/>
      <c r="E14" s="35"/>
      <c r="F14" s="35"/>
      <c r="G14" s="146"/>
      <c r="H14" s="146"/>
      <c r="I14" s="19"/>
      <c r="J14" s="147"/>
      <c r="K14" s="148"/>
      <c r="L14" s="148"/>
      <c r="M14" s="147"/>
      <c r="N14" s="19"/>
      <c r="O14" s="646"/>
      <c r="P14" s="647"/>
      <c r="Q14" s="650"/>
      <c r="R14" s="651"/>
      <c r="S14" s="627"/>
      <c r="T14" s="1"/>
      <c r="U14" s="10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79"/>
      <c r="AO14" s="105"/>
      <c r="AP14" s="79"/>
      <c r="AQ14" s="79"/>
      <c r="AR14" s="79"/>
      <c r="AS14" s="79"/>
      <c r="AT14" s="79"/>
      <c r="AU14" s="79"/>
      <c r="AV14" s="105">
        <f t="shared" si="0"/>
        <v>32</v>
      </c>
      <c r="AW14" s="134">
        <f t="shared" si="1"/>
        <v>2186328.3834202196</v>
      </c>
      <c r="AX14" s="135">
        <f t="shared" si="2"/>
        <v>2174598.703714069</v>
      </c>
      <c r="AY14" s="136">
        <f t="shared" si="3"/>
        <v>2049544.6011595821</v>
      </c>
      <c r="AZ14" s="136" t="e">
        <f t="shared" si="4"/>
        <v>#VALUE!</v>
      </c>
      <c r="BA14" s="79"/>
      <c r="BB14" s="1"/>
      <c r="BC14" s="1"/>
      <c r="BD14" s="1"/>
      <c r="BE14" s="1"/>
      <c r="BF14" s="1"/>
      <c r="BG14" s="1"/>
      <c r="BH14" s="1"/>
    </row>
    <row r="15" spans="1:60" x14ac:dyDescent="0.25">
      <c r="A15" s="1"/>
      <c r="B15" s="635"/>
      <c r="C15" s="7"/>
      <c r="D15" s="35"/>
      <c r="E15" s="35"/>
      <c r="F15" s="35"/>
      <c r="G15" s="146"/>
      <c r="H15" s="146"/>
      <c r="I15" s="19"/>
      <c r="J15" s="147"/>
      <c r="K15" s="148"/>
      <c r="L15" s="148"/>
      <c r="M15" s="147"/>
      <c r="N15" s="19"/>
      <c r="O15" s="35"/>
      <c r="P15" s="140"/>
      <c r="Q15" s="35"/>
      <c r="R15" s="79"/>
      <c r="S15" s="627"/>
      <c r="T15" s="1"/>
      <c r="U15" s="10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79"/>
      <c r="AO15" s="105"/>
      <c r="AP15" s="79"/>
      <c r="AQ15" s="79"/>
      <c r="AR15" s="79"/>
      <c r="AS15" s="79"/>
      <c r="AT15" s="79"/>
      <c r="AU15" s="79"/>
      <c r="AV15" s="105">
        <f t="shared" si="0"/>
        <v>33</v>
      </c>
      <c r="AW15" s="134">
        <f t="shared" si="1"/>
        <v>2377296.8469680976</v>
      </c>
      <c r="AX15" s="135">
        <f t="shared" si="2"/>
        <v>2363678.9894667445</v>
      </c>
      <c r="AY15" s="136">
        <f t="shared" si="3"/>
        <v>2211889.7421147106</v>
      </c>
      <c r="AZ15" s="136" t="e">
        <f t="shared" si="4"/>
        <v>#VALUE!</v>
      </c>
      <c r="BA15" s="79"/>
      <c r="BB15" s="1"/>
      <c r="BC15" s="1"/>
      <c r="BD15" s="1"/>
      <c r="BE15" s="1"/>
      <c r="BF15" s="1"/>
      <c r="BG15" s="1"/>
      <c r="BH15" s="1"/>
    </row>
    <row r="16" spans="1:60" ht="15" customHeight="1" x14ac:dyDescent="0.25">
      <c r="A16" s="1"/>
      <c r="B16" s="635"/>
      <c r="C16" s="7"/>
      <c r="D16" s="35"/>
      <c r="E16" s="705">
        <f>MIN(MAX(IF(AF7&lt;AF5,(AF7-AF6)/(AF5-AF6)*AE5,(AF7-AF5)/(AF4-AF5)*(AE4-AE5)+AE5),0),10)</f>
        <v>10</v>
      </c>
      <c r="F16" s="146"/>
      <c r="G16" s="146"/>
      <c r="H16" s="146"/>
      <c r="I16" s="19"/>
      <c r="J16" s="147"/>
      <c r="K16" s="148"/>
      <c r="L16" s="148"/>
      <c r="M16" s="147"/>
      <c r="N16" s="19"/>
      <c r="O16" s="35"/>
      <c r="P16" s="140"/>
      <c r="Q16" s="35"/>
      <c r="R16" s="79"/>
      <c r="S16" s="627"/>
      <c r="T16" s="1"/>
      <c r="U16" s="10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79"/>
      <c r="AO16" s="105"/>
      <c r="AP16" s="79"/>
      <c r="AQ16" s="79"/>
      <c r="AR16" s="79"/>
      <c r="AS16" s="79"/>
      <c r="AT16" s="79"/>
      <c r="AU16" s="79"/>
      <c r="AV16" s="105">
        <f t="shared" si="0"/>
        <v>34</v>
      </c>
      <c r="AW16" s="134">
        <f t="shared" si="1"/>
        <v>2579704.9672695682</v>
      </c>
      <c r="AX16" s="135">
        <f t="shared" si="2"/>
        <v>2564085.823737938</v>
      </c>
      <c r="AY16" s="136">
        <f t="shared" si="3"/>
        <v>2382341.6772938012</v>
      </c>
      <c r="AZ16" s="136" t="e">
        <f t="shared" si="4"/>
        <v>#VALUE!</v>
      </c>
      <c r="BA16" s="79"/>
      <c r="BB16" s="1"/>
      <c r="BC16" s="1"/>
      <c r="BD16" s="1"/>
      <c r="BE16" s="1"/>
      <c r="BF16" s="1"/>
      <c r="BG16" s="1"/>
      <c r="BH16" s="1"/>
    </row>
    <row r="17" spans="1:60" ht="16.5" customHeight="1" x14ac:dyDescent="0.25">
      <c r="A17" s="1"/>
      <c r="B17" s="635"/>
      <c r="C17" s="7"/>
      <c r="D17" s="35"/>
      <c r="E17" s="619"/>
      <c r="F17" s="146"/>
      <c r="G17" s="146"/>
      <c r="H17" s="146"/>
      <c r="I17" s="19"/>
      <c r="J17" s="147"/>
      <c r="K17" s="148"/>
      <c r="L17" s="148"/>
      <c r="M17" s="147"/>
      <c r="N17" s="19"/>
      <c r="O17" s="684" t="s">
        <v>102</v>
      </c>
      <c r="P17" s="607"/>
      <c r="Q17" s="607"/>
      <c r="R17" s="608"/>
      <c r="S17" s="627"/>
      <c r="T17" s="1"/>
      <c r="U17" s="10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79"/>
      <c r="AO17" s="105"/>
      <c r="AP17" s="79"/>
      <c r="AQ17" s="79"/>
      <c r="AR17" s="79"/>
      <c r="AS17" s="79"/>
      <c r="AT17" s="79"/>
      <c r="AU17" s="79"/>
      <c r="AV17" s="105">
        <f t="shared" si="0"/>
        <v>35</v>
      </c>
      <c r="AW17" s="134">
        <f t="shared" si="1"/>
        <v>2794238.0184490015</v>
      </c>
      <c r="AX17" s="135">
        <f t="shared" si="2"/>
        <v>2776497.7050862461</v>
      </c>
      <c r="AY17" s="136">
        <f t="shared" si="3"/>
        <v>2561305.2239411701</v>
      </c>
      <c r="AZ17" s="136" t="e">
        <f t="shared" si="4"/>
        <v>#VALUE!</v>
      </c>
      <c r="BA17" s="79"/>
      <c r="BB17" s="1"/>
      <c r="BC17" s="1"/>
      <c r="BD17" s="1"/>
      <c r="BE17" s="1"/>
      <c r="BF17" s="1"/>
      <c r="BG17" s="1"/>
      <c r="BH17" s="1"/>
    </row>
    <row r="18" spans="1:60" ht="15" customHeight="1" x14ac:dyDescent="0.25">
      <c r="A18" s="1"/>
      <c r="B18" s="635"/>
      <c r="C18" s="7"/>
      <c r="D18" s="35"/>
      <c r="E18" s="19"/>
      <c r="F18" s="146"/>
      <c r="G18" s="146"/>
      <c r="H18" s="146"/>
      <c r="I18" s="19"/>
      <c r="J18" s="147"/>
      <c r="K18" s="148"/>
      <c r="L18" s="148"/>
      <c r="M18" s="147"/>
      <c r="N18" s="19"/>
      <c r="O18" s="645" t="s">
        <v>103</v>
      </c>
      <c r="P18" s="577"/>
      <c r="Q18" s="648">
        <f>PV(i_realaposentadoria,'Resumo das informações'!I8-'Investimentos - Não Aposentado'!H6,-Renda_aposentadoria*12,0,0)</f>
        <v>6613955.2499865303</v>
      </c>
      <c r="R18" s="649"/>
      <c r="S18" s="627"/>
      <c r="T18" s="1"/>
      <c r="U18" s="101"/>
      <c r="V18" s="1"/>
      <c r="W18" s="1"/>
      <c r="X18" s="1"/>
      <c r="Y18" s="1" t="s">
        <v>104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79"/>
      <c r="AO18" s="105"/>
      <c r="AP18" s="79"/>
      <c r="AQ18" s="79"/>
      <c r="AR18" s="79"/>
      <c r="AS18" s="79"/>
      <c r="AT18" s="79"/>
      <c r="AU18" s="79"/>
      <c r="AV18" s="105">
        <f t="shared" si="0"/>
        <v>36</v>
      </c>
      <c r="AW18" s="134">
        <f t="shared" si="1"/>
        <v>3021622.3248681687</v>
      </c>
      <c r="AX18" s="135">
        <f t="shared" si="2"/>
        <v>3001633.7764283661</v>
      </c>
      <c r="AY18" s="136">
        <f t="shared" si="3"/>
        <v>2749205.4140736782</v>
      </c>
      <c r="AZ18" s="136" t="e">
        <f t="shared" si="4"/>
        <v>#VALUE!</v>
      </c>
      <c r="BA18" s="79"/>
      <c r="BB18" s="1"/>
      <c r="BC18" s="1"/>
      <c r="BD18" s="1"/>
      <c r="BE18" s="1"/>
      <c r="BF18" s="1"/>
      <c r="BG18" s="1"/>
      <c r="BH18" s="1"/>
    </row>
    <row r="19" spans="1:60" ht="15.75" customHeight="1" x14ac:dyDescent="0.25">
      <c r="A19" s="1"/>
      <c r="B19" s="635"/>
      <c r="C19" s="7"/>
      <c r="D19" s="35"/>
      <c r="E19" s="19"/>
      <c r="F19" s="158"/>
      <c r="G19" s="158"/>
      <c r="H19" s="158"/>
      <c r="I19" s="158"/>
      <c r="J19" s="158"/>
      <c r="K19" s="19"/>
      <c r="L19" s="147"/>
      <c r="M19" s="58"/>
      <c r="N19" s="58"/>
      <c r="O19" s="646"/>
      <c r="P19" s="647"/>
      <c r="Q19" s="650"/>
      <c r="R19" s="651"/>
      <c r="S19" s="627"/>
      <c r="T19" s="1"/>
      <c r="U19" s="10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79"/>
      <c r="AO19" s="105"/>
      <c r="AP19" s="79"/>
      <c r="AQ19" s="79"/>
      <c r="AR19" s="79"/>
      <c r="AS19" s="79"/>
      <c r="AT19" s="79"/>
      <c r="AU19" s="79"/>
      <c r="AV19" s="105">
        <f t="shared" si="0"/>
        <v>37</v>
      </c>
      <c r="AW19" s="134">
        <f t="shared" si="1"/>
        <v>3262627.7201742814</v>
      </c>
      <c r="AX19" s="135">
        <f t="shared" si="2"/>
        <v>3240256.2597735887</v>
      </c>
      <c r="AY19" s="136">
        <f t="shared" si="3"/>
        <v>2946488.5039165546</v>
      </c>
      <c r="AZ19" s="136" t="e">
        <f t="shared" si="4"/>
        <v>#VALUE!</v>
      </c>
      <c r="BA19" s="79"/>
      <c r="BB19" s="1"/>
      <c r="BC19" s="1"/>
      <c r="BD19" s="1"/>
      <c r="BE19" s="1"/>
      <c r="BF19" s="1"/>
      <c r="BG19" s="1"/>
      <c r="BH19" s="1"/>
    </row>
    <row r="20" spans="1:60" ht="15.75" customHeight="1" x14ac:dyDescent="0.25">
      <c r="A20" s="1"/>
      <c r="B20" s="635"/>
      <c r="C20" s="7"/>
      <c r="D20" s="35"/>
      <c r="E20" s="35"/>
      <c r="F20" s="35"/>
      <c r="G20" s="35"/>
      <c r="H20" s="35"/>
      <c r="I20" s="35"/>
      <c r="J20" s="146"/>
      <c r="K20" s="19"/>
      <c r="L20" s="147"/>
      <c r="M20" s="58"/>
      <c r="N20" s="58"/>
      <c r="O20" s="35"/>
      <c r="P20" s="35"/>
      <c r="Q20" s="35"/>
      <c r="R20" s="79"/>
      <c r="S20" s="627"/>
      <c r="T20" s="1"/>
      <c r="U20" s="10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79"/>
      <c r="AO20" s="105"/>
      <c r="AP20" s="79"/>
      <c r="AQ20" s="79"/>
      <c r="AR20" s="79"/>
      <c r="AS20" s="79"/>
      <c r="AT20" s="79"/>
      <c r="AU20" s="79"/>
      <c r="AV20" s="105">
        <f t="shared" si="0"/>
        <v>38</v>
      </c>
      <c r="AW20" s="134">
        <f t="shared" si="1"/>
        <v>3518070.1536533204</v>
      </c>
      <c r="AX20" s="135">
        <f t="shared" si="2"/>
        <v>3493173.0368071245</v>
      </c>
      <c r="AY20" s="136">
        <f t="shared" si="3"/>
        <v>3153623.0337459571</v>
      </c>
      <c r="AZ20" s="136" t="e">
        <f t="shared" si="4"/>
        <v>#VALUE!</v>
      </c>
      <c r="BA20" s="79"/>
      <c r="BB20" s="1"/>
      <c r="BC20" s="1"/>
      <c r="BD20" s="1"/>
      <c r="BE20" s="1"/>
      <c r="BF20" s="1"/>
      <c r="BG20" s="1"/>
      <c r="BH20" s="1"/>
    </row>
    <row r="21" spans="1:60" ht="15.75" customHeight="1" x14ac:dyDescent="0.25">
      <c r="A21" s="1"/>
      <c r="B21" s="635"/>
      <c r="C21" s="7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79"/>
      <c r="S21" s="627"/>
      <c r="T21" s="1"/>
      <c r="U21" s="10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79"/>
      <c r="AO21" s="105"/>
      <c r="AP21" s="79"/>
      <c r="AQ21" s="79"/>
      <c r="AR21" s="79"/>
      <c r="AS21" s="79"/>
      <c r="AT21" s="79"/>
      <c r="AU21" s="79"/>
      <c r="AV21" s="105">
        <f t="shared" si="0"/>
        <v>39</v>
      </c>
      <c r="AW21" s="134">
        <f t="shared" si="1"/>
        <v>3788814.4527127463</v>
      </c>
      <c r="AX21" s="135">
        <f t="shared" si="2"/>
        <v>3761240.3840590944</v>
      </c>
      <c r="AY21" s="136">
        <f t="shared" si="3"/>
        <v>3371100.9406553563</v>
      </c>
      <c r="AZ21" s="136" t="e">
        <f t="shared" si="4"/>
        <v>#VALUE!</v>
      </c>
      <c r="BA21" s="79"/>
      <c r="BB21" s="1"/>
      <c r="BC21" s="1"/>
      <c r="BD21" s="1"/>
      <c r="BE21" s="1"/>
      <c r="BF21" s="1"/>
      <c r="BG21" s="1"/>
      <c r="BH21" s="1"/>
    </row>
    <row r="22" spans="1:60" ht="15.75" customHeight="1" x14ac:dyDescent="0.25">
      <c r="A22" s="1"/>
      <c r="B22" s="635"/>
      <c r="C22" s="7"/>
      <c r="D22" s="35"/>
      <c r="E22" s="19"/>
      <c r="F22" s="19"/>
      <c r="G22" s="100"/>
      <c r="H22" s="19"/>
      <c r="I22" s="19"/>
      <c r="J22" s="19"/>
      <c r="K22" s="100"/>
      <c r="L22" s="19"/>
      <c r="M22" s="19"/>
      <c r="N22" s="100"/>
      <c r="O22" s="684" t="s">
        <v>105</v>
      </c>
      <c r="P22" s="607"/>
      <c r="Q22" s="607"/>
      <c r="R22" s="608"/>
      <c r="S22" s="627"/>
      <c r="T22" s="1"/>
      <c r="U22" s="10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79"/>
      <c r="AO22" s="105"/>
      <c r="AP22" s="79"/>
      <c r="AQ22" s="79"/>
      <c r="AR22" s="79"/>
      <c r="AS22" s="79"/>
      <c r="AT22" s="79"/>
      <c r="AU22" s="79"/>
      <c r="AV22" s="105">
        <f t="shared" si="0"/>
        <v>40</v>
      </c>
      <c r="AW22" s="134">
        <f t="shared" si="1"/>
        <v>4075777.2508462635</v>
      </c>
      <c r="AX22" s="135">
        <f t="shared" si="2"/>
        <v>4045365.8719193945</v>
      </c>
      <c r="AY22" s="136">
        <f t="shared" si="3"/>
        <v>3599438.7268885211</v>
      </c>
      <c r="AZ22" s="136" t="e">
        <f t="shared" si="4"/>
        <v>#VALUE!</v>
      </c>
      <c r="BA22" s="79"/>
      <c r="BB22" s="1"/>
      <c r="BC22" s="1"/>
      <c r="BD22" s="1"/>
      <c r="BE22" s="1"/>
      <c r="BF22" s="1"/>
      <c r="BG22" s="1"/>
      <c r="BH22" s="1"/>
    </row>
    <row r="23" spans="1:60" ht="15.75" customHeight="1" x14ac:dyDescent="0.25">
      <c r="A23" s="1"/>
      <c r="B23" s="635"/>
      <c r="C23" s="7"/>
      <c r="D23" s="35"/>
      <c r="E23" s="19"/>
      <c r="F23" s="35"/>
      <c r="G23" s="159"/>
      <c r="H23" s="159"/>
      <c r="I23" s="159"/>
      <c r="J23" s="160"/>
      <c r="K23" s="79"/>
      <c r="L23" s="159"/>
      <c r="M23" s="159"/>
      <c r="N23" s="159"/>
      <c r="O23" s="685" t="s">
        <v>106</v>
      </c>
      <c r="P23" s="577"/>
      <c r="Q23" s="648">
        <f>FV(i_real_atual,n,-PMT_atual,-PV,0)</f>
        <v>8082934.8956770627</v>
      </c>
      <c r="R23" s="649"/>
      <c r="S23" s="627"/>
      <c r="T23" s="1"/>
      <c r="U23" s="10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79"/>
      <c r="AO23" s="105"/>
      <c r="AP23" s="79"/>
      <c r="AQ23" s="79"/>
      <c r="AR23" s="79"/>
      <c r="AS23" s="79"/>
      <c r="AT23" s="79"/>
      <c r="AU23" s="79"/>
      <c r="AV23" s="105">
        <f t="shared" si="0"/>
        <v>41</v>
      </c>
      <c r="AW23" s="134">
        <f t="shared" si="1"/>
        <v>4379930.0909935758</v>
      </c>
      <c r="AX23" s="135">
        <f t="shared" si="2"/>
        <v>4346511.4373133555</v>
      </c>
      <c r="AY23" s="136">
        <f t="shared" si="3"/>
        <v>3839178.6865138598</v>
      </c>
      <c r="AZ23" s="136" t="e">
        <f t="shared" si="4"/>
        <v>#VALUE!</v>
      </c>
      <c r="BA23" s="79"/>
      <c r="BB23" s="1"/>
      <c r="BC23" s="1"/>
      <c r="BD23" s="1"/>
      <c r="BE23" s="1"/>
      <c r="BF23" s="1"/>
      <c r="BG23" s="1"/>
      <c r="BH23" s="1"/>
    </row>
    <row r="24" spans="1:60" ht="15.75" customHeight="1" x14ac:dyDescent="0.25">
      <c r="A24" s="1"/>
      <c r="B24" s="635"/>
      <c r="C24" s="7"/>
      <c r="D24" s="35"/>
      <c r="E24" s="35"/>
      <c r="F24" s="35"/>
      <c r="G24" s="114"/>
      <c r="H24" s="114"/>
      <c r="I24" s="79"/>
      <c r="J24" s="79"/>
      <c r="K24" s="79"/>
      <c r="L24" s="159"/>
      <c r="M24" s="159"/>
      <c r="N24" s="79"/>
      <c r="O24" s="646"/>
      <c r="P24" s="647"/>
      <c r="Q24" s="650"/>
      <c r="R24" s="651"/>
      <c r="S24" s="627"/>
      <c r="T24" s="1"/>
      <c r="U24" s="10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79"/>
      <c r="AO24" s="105"/>
      <c r="AP24" s="79"/>
      <c r="AQ24" s="79"/>
      <c r="AR24" s="79"/>
      <c r="AS24" s="79"/>
      <c r="AT24" s="79"/>
      <c r="AU24" s="79"/>
      <c r="AV24" s="105">
        <f t="shared" si="0"/>
        <v>42</v>
      </c>
      <c r="AW24" s="134">
        <f t="shared" si="1"/>
        <v>4702302.7148018861</v>
      </c>
      <c r="AX24" s="135">
        <f t="shared" si="2"/>
        <v>4665696.640441061</v>
      </c>
      <c r="AY24" s="136">
        <f t="shared" si="3"/>
        <v>4090890.1933534187</v>
      </c>
      <c r="AZ24" s="136" t="e">
        <f t="shared" si="4"/>
        <v>#VALUE!</v>
      </c>
      <c r="BA24" s="79"/>
      <c r="BB24" s="1"/>
      <c r="BC24" s="1"/>
      <c r="BD24" s="1"/>
      <c r="BE24" s="1"/>
      <c r="BF24" s="1"/>
      <c r="BG24" s="1"/>
      <c r="BH24" s="1"/>
    </row>
    <row r="25" spans="1:60" ht="16.5" customHeight="1" x14ac:dyDescent="0.25">
      <c r="A25" s="1"/>
      <c r="B25" s="635"/>
      <c r="C25" s="7"/>
      <c r="D25" s="35"/>
      <c r="E25" s="19"/>
      <c r="F25" s="158"/>
      <c r="G25" s="158"/>
      <c r="H25" s="158"/>
      <c r="I25" s="158"/>
      <c r="J25" s="158"/>
      <c r="K25" s="19"/>
      <c r="L25" s="147"/>
      <c r="M25" s="58"/>
      <c r="N25" s="58"/>
      <c r="O25" s="146"/>
      <c r="P25" s="146"/>
      <c r="Q25" s="146"/>
      <c r="R25" s="35"/>
      <c r="S25" s="627"/>
      <c r="T25" s="1"/>
      <c r="U25" s="10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79"/>
      <c r="AO25" s="105"/>
      <c r="AP25" s="79"/>
      <c r="AQ25" s="79"/>
      <c r="AR25" s="79"/>
      <c r="AS25" s="79"/>
      <c r="AT25" s="79"/>
      <c r="AU25" s="79"/>
      <c r="AV25" s="105">
        <f t="shared" si="0"/>
        <v>43</v>
      </c>
      <c r="AW25" s="134">
        <f t="shared" si="1"/>
        <v>5043986.5489252843</v>
      </c>
      <c r="AX25" s="135">
        <f t="shared" si="2"/>
        <v>5004002.1166063678</v>
      </c>
      <c r="AY25" s="136">
        <f t="shared" si="3"/>
        <v>4355171.0532253282</v>
      </c>
      <c r="AZ25" s="136" t="e">
        <f t="shared" si="4"/>
        <v>#VALUE!</v>
      </c>
      <c r="BA25" s="79"/>
      <c r="BB25" s="1"/>
      <c r="BC25" s="1"/>
      <c r="BD25" s="1"/>
      <c r="BE25" s="1"/>
      <c r="BF25" s="1"/>
      <c r="BG25" s="1"/>
      <c r="BH25" s="1"/>
    </row>
    <row r="26" spans="1:60" ht="15.75" customHeight="1" x14ac:dyDescent="0.25">
      <c r="A26" s="1"/>
      <c r="B26" s="636"/>
      <c r="C26" s="654"/>
      <c r="D26" s="583"/>
      <c r="E26" s="583"/>
      <c r="F26" s="583"/>
      <c r="G26" s="583"/>
      <c r="H26" s="583"/>
      <c r="I26" s="583"/>
      <c r="J26" s="583"/>
      <c r="K26" s="596"/>
      <c r="L26" s="583"/>
      <c r="M26" s="583"/>
      <c r="N26" s="583"/>
      <c r="O26" s="583"/>
      <c r="P26" s="583"/>
      <c r="Q26" s="583"/>
      <c r="R26" s="583"/>
      <c r="S26" s="627"/>
      <c r="T26" s="1"/>
      <c r="U26" s="10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79"/>
      <c r="AO26" s="105"/>
      <c r="AP26" s="79"/>
      <c r="AQ26" s="79"/>
      <c r="AR26" s="79"/>
      <c r="AS26" s="79"/>
      <c r="AT26" s="79"/>
      <c r="AU26" s="79"/>
      <c r="AV26" s="105">
        <f t="shared" si="0"/>
        <v>44</v>
      </c>
      <c r="AW26" s="134">
        <f t="shared" si="1"/>
        <v>5406138.4001652533</v>
      </c>
      <c r="AX26" s="135">
        <f t="shared" si="2"/>
        <v>5362573.2348221568</v>
      </c>
      <c r="AY26" s="136">
        <f t="shared" si="3"/>
        <v>4632648.9237112198</v>
      </c>
      <c r="AZ26" s="136" t="e">
        <f t="shared" si="4"/>
        <v>#VALUE!</v>
      </c>
      <c r="BA26" s="79"/>
      <c r="BB26" s="1"/>
      <c r="BC26" s="1"/>
      <c r="BD26" s="1"/>
      <c r="BE26" s="1"/>
      <c r="BF26" s="1"/>
      <c r="BG26" s="1"/>
      <c r="BH26" s="1"/>
    </row>
    <row r="27" spans="1:60" ht="15.75" customHeight="1" x14ac:dyDescent="0.25">
      <c r="A27" s="1"/>
      <c r="B27" s="634"/>
      <c r="C27" s="7"/>
      <c r="D27" s="35"/>
      <c r="E27" s="35"/>
      <c r="F27" s="35"/>
      <c r="G27" s="35"/>
      <c r="H27" s="35"/>
      <c r="I27" s="158"/>
      <c r="J27" s="158"/>
      <c r="K27" s="35"/>
      <c r="L27" s="35"/>
      <c r="M27" s="58"/>
      <c r="N27" s="58"/>
      <c r="O27" s="146"/>
      <c r="P27" s="146"/>
      <c r="Q27" s="146"/>
      <c r="R27" s="35"/>
      <c r="S27" s="626"/>
      <c r="T27" s="1"/>
      <c r="U27" s="10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79"/>
      <c r="AO27" s="105"/>
      <c r="AP27" s="79"/>
      <c r="AQ27" s="79"/>
      <c r="AR27" s="79"/>
      <c r="AS27" s="79"/>
      <c r="AT27" s="79"/>
      <c r="AU27" s="79"/>
      <c r="AV27" s="105">
        <f t="shared" si="0"/>
        <v>45</v>
      </c>
      <c r="AW27" s="134">
        <f t="shared" si="1"/>
        <v>5789984.371962592</v>
      </c>
      <c r="AX27" s="135">
        <f t="shared" si="2"/>
        <v>5742623.9755784087</v>
      </c>
      <c r="AY27" s="136">
        <f t="shared" si="3"/>
        <v>4923982.8048205152</v>
      </c>
      <c r="AZ27" s="136" t="e">
        <f t="shared" si="4"/>
        <v>#VALUE!</v>
      </c>
      <c r="BA27" s="79"/>
      <c r="BB27" s="1"/>
      <c r="BC27" s="1"/>
      <c r="BD27" s="1"/>
      <c r="BE27" s="1"/>
      <c r="BF27" s="1"/>
      <c r="BG27" s="1"/>
      <c r="BH27" s="1"/>
    </row>
    <row r="28" spans="1:60" ht="15.75" customHeight="1" x14ac:dyDescent="0.3">
      <c r="A28" s="1"/>
      <c r="B28" s="635"/>
      <c r="C28" s="7"/>
      <c r="D28" s="35"/>
      <c r="E28" s="161" t="s">
        <v>31</v>
      </c>
      <c r="F28" s="162" t="s">
        <v>32</v>
      </c>
      <c r="G28" s="162" t="s">
        <v>107</v>
      </c>
      <c r="H28" s="162" t="s">
        <v>108</v>
      </c>
      <c r="I28" s="163" t="s">
        <v>109</v>
      </c>
      <c r="J28" s="146"/>
      <c r="K28" s="657" t="s">
        <v>110</v>
      </c>
      <c r="L28" s="583"/>
      <c r="M28" s="58"/>
      <c r="N28" s="657" t="s">
        <v>111</v>
      </c>
      <c r="O28" s="583"/>
      <c r="P28" s="146"/>
      <c r="Q28" s="657" t="s">
        <v>112</v>
      </c>
      <c r="R28" s="583"/>
      <c r="S28" s="627"/>
      <c r="T28" s="1"/>
      <c r="U28" s="10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79"/>
      <c r="AO28" s="105"/>
      <c r="AP28" s="79"/>
      <c r="AQ28" s="79"/>
      <c r="AR28" s="79"/>
      <c r="AS28" s="79"/>
      <c r="AT28" s="79"/>
      <c r="AU28" s="79"/>
      <c r="AV28" s="105">
        <f t="shared" si="0"/>
        <v>46</v>
      </c>
      <c r="AW28" s="134">
        <f t="shared" si="1"/>
        <v>6196824.0155004477</v>
      </c>
      <c r="AX28" s="135">
        <f t="shared" si="2"/>
        <v>6145441.0409017019</v>
      </c>
      <c r="AY28" s="136">
        <f t="shared" si="3"/>
        <v>5229864.6040918585</v>
      </c>
      <c r="AZ28" s="136" t="e">
        <f t="shared" si="4"/>
        <v>#VALUE!</v>
      </c>
      <c r="BA28" s="164">
        <f>Dados_rendaaposentadoria</f>
        <v>40000</v>
      </c>
      <c r="BB28" s="1"/>
      <c r="BC28" s="1"/>
      <c r="BD28" s="1"/>
      <c r="BE28" s="1"/>
      <c r="BF28" s="1"/>
      <c r="BG28" s="1"/>
      <c r="BH28" s="1"/>
    </row>
    <row r="29" spans="1:60" ht="15.75" customHeight="1" x14ac:dyDescent="0.25">
      <c r="A29" s="1"/>
      <c r="B29" s="635"/>
      <c r="C29" s="7"/>
      <c r="D29" s="35"/>
      <c r="E29" s="165" t="str">
        <f>'Resumo das informações'!E18</f>
        <v>Carteira</v>
      </c>
      <c r="F29" s="166">
        <f>'Resumo das informações'!F18</f>
        <v>1000000</v>
      </c>
      <c r="G29" s="167">
        <f>'Resumo das informações'!G18</f>
        <v>1</v>
      </c>
      <c r="H29" s="168">
        <f t="shared" ref="H29:H33" si="5">I29*$H$57</f>
        <v>9.7000000000000003E-2</v>
      </c>
      <c r="I29" s="169">
        <f>'Resumo das informações'!H18</f>
        <v>1</v>
      </c>
      <c r="J29" s="146"/>
      <c r="K29" s="35"/>
      <c r="L29" s="35"/>
      <c r="M29" s="58"/>
      <c r="N29" s="35"/>
      <c r="O29" s="35"/>
      <c r="P29" s="35"/>
      <c r="Q29" s="35"/>
      <c r="R29" s="35"/>
      <c r="S29" s="627"/>
      <c r="T29" s="1"/>
      <c r="U29" s="10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79"/>
      <c r="AO29" s="105"/>
      <c r="AP29" s="79"/>
      <c r="AQ29" s="79"/>
      <c r="AR29" s="79"/>
      <c r="AS29" s="79"/>
      <c r="AT29" s="79"/>
      <c r="AU29" s="79"/>
      <c r="AV29" s="105">
        <f t="shared" si="0"/>
        <v>47</v>
      </c>
      <c r="AW29" s="134">
        <f t="shared" si="1"/>
        <v>6628034.7294724556</v>
      </c>
      <c r="AX29" s="135">
        <f t="shared" si="2"/>
        <v>6572388.2106211726</v>
      </c>
      <c r="AY29" s="136">
        <f t="shared" si="3"/>
        <v>5551020.7798487497</v>
      </c>
      <c r="AZ29" s="136" t="e">
        <f t="shared" si="4"/>
        <v>#VALUE!</v>
      </c>
      <c r="BA29" s="79"/>
      <c r="BB29" s="1"/>
      <c r="BC29" s="1"/>
      <c r="BD29" s="1"/>
      <c r="BE29" s="1"/>
      <c r="BF29" s="1"/>
      <c r="BG29" s="1"/>
      <c r="BH29" s="1"/>
    </row>
    <row r="30" spans="1:60" ht="15" customHeight="1" x14ac:dyDescent="0.25">
      <c r="A30" s="1"/>
      <c r="B30" s="635"/>
      <c r="C30" s="7"/>
      <c r="D30" s="35"/>
      <c r="E30" s="170">
        <f>'Resumo das informações'!E19</f>
        <v>0</v>
      </c>
      <c r="F30" s="171">
        <f>'Resumo das informações'!F19</f>
        <v>0</v>
      </c>
      <c r="G30" s="172">
        <f>'Resumo das informações'!G19</f>
        <v>0</v>
      </c>
      <c r="H30" s="173">
        <f t="shared" si="5"/>
        <v>0</v>
      </c>
      <c r="I30" s="174">
        <f>'Resumo das informações'!H19</f>
        <v>0</v>
      </c>
      <c r="J30" s="146"/>
      <c r="K30" s="35"/>
      <c r="L30" s="35"/>
      <c r="M30" s="58"/>
      <c r="N30" s="35"/>
      <c r="O30" s="35"/>
      <c r="P30" s="35"/>
      <c r="Q30" s="35"/>
      <c r="R30" s="35"/>
      <c r="S30" s="627"/>
      <c r="T30" s="1"/>
      <c r="U30" s="10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79"/>
      <c r="AO30" s="105"/>
      <c r="AP30" s="79"/>
      <c r="AQ30" s="79"/>
      <c r="AR30" s="79"/>
      <c r="AS30" s="79"/>
      <c r="AT30" s="79"/>
      <c r="AU30" s="79"/>
      <c r="AV30" s="105">
        <f t="shared" si="0"/>
        <v>48</v>
      </c>
      <c r="AW30" s="134">
        <f t="shared" si="1"/>
        <v>7085076.4234118685</v>
      </c>
      <c r="AX30" s="135">
        <f t="shared" si="2"/>
        <v>7024910.9595895391</v>
      </c>
      <c r="AY30" s="136">
        <f t="shared" si="3"/>
        <v>5888214.0665120604</v>
      </c>
      <c r="AZ30" s="136" t="e">
        <f t="shared" si="4"/>
        <v>#VALUE!</v>
      </c>
      <c r="BA30" s="79"/>
      <c r="BB30" s="1">
        <f>Dados_rendaaposentadoria*12</f>
        <v>480000</v>
      </c>
      <c r="BC30" s="1"/>
      <c r="BD30" s="1"/>
      <c r="BE30" s="1"/>
      <c r="BF30" s="1"/>
      <c r="BG30" s="1"/>
      <c r="BH30" s="1"/>
    </row>
    <row r="31" spans="1:60" ht="15.75" customHeight="1" x14ac:dyDescent="0.25">
      <c r="A31" s="1"/>
      <c r="B31" s="635"/>
      <c r="C31" s="7"/>
      <c r="D31" s="35"/>
      <c r="E31" s="165">
        <f>'Resumo das informações'!E20</f>
        <v>0</v>
      </c>
      <c r="F31" s="166">
        <f>'Resumo das informações'!F20</f>
        <v>0</v>
      </c>
      <c r="G31" s="167">
        <f>'Resumo das informações'!G20</f>
        <v>0</v>
      </c>
      <c r="H31" s="168">
        <f t="shared" si="5"/>
        <v>0</v>
      </c>
      <c r="I31" s="169">
        <f>'Resumo das informações'!H20</f>
        <v>0</v>
      </c>
      <c r="J31" s="146"/>
      <c r="K31" s="35"/>
      <c r="L31" s="35"/>
      <c r="M31" s="58"/>
      <c r="N31" s="58"/>
      <c r="O31" s="146"/>
      <c r="P31" s="146"/>
      <c r="Q31" s="146"/>
      <c r="R31" s="35"/>
      <c r="S31" s="627"/>
      <c r="T31" s="1"/>
      <c r="U31" s="10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79"/>
      <c r="AO31" s="105"/>
      <c r="AP31" s="79"/>
      <c r="AQ31" s="79"/>
      <c r="AR31" s="79"/>
      <c r="AS31" s="79"/>
      <c r="AT31" s="79"/>
      <c r="AU31" s="79"/>
      <c r="AV31" s="105">
        <f t="shared" si="0"/>
        <v>49</v>
      </c>
      <c r="AW31" s="134">
        <f t="shared" si="1"/>
        <v>7569496.4603698738</v>
      </c>
      <c r="AX31" s="135">
        <f t="shared" si="2"/>
        <v>7504541.3514912762</v>
      </c>
      <c r="AY31" s="136">
        <f t="shared" si="3"/>
        <v>6242245.2860669773</v>
      </c>
      <c r="AZ31" s="136" t="e">
        <f t="shared" si="4"/>
        <v>#VALUE!</v>
      </c>
      <c r="BA31" s="79"/>
      <c r="BB31" s="1"/>
      <c r="BC31" s="1"/>
      <c r="BD31" s="1"/>
      <c r="BE31" s="1"/>
      <c r="BF31" s="1"/>
      <c r="BG31" s="1"/>
      <c r="BH31" s="1"/>
    </row>
    <row r="32" spans="1:60" ht="23.25" customHeight="1" x14ac:dyDescent="0.25">
      <c r="A32" s="1"/>
      <c r="B32" s="635"/>
      <c r="C32" s="7"/>
      <c r="D32" s="35"/>
      <c r="E32" s="170">
        <f>'Resumo das informações'!E21</f>
        <v>0</v>
      </c>
      <c r="F32" s="171">
        <f>'Resumo das informações'!F21</f>
        <v>0</v>
      </c>
      <c r="G32" s="172">
        <f>'Resumo das informações'!G21</f>
        <v>0</v>
      </c>
      <c r="H32" s="173">
        <f t="shared" si="5"/>
        <v>0</v>
      </c>
      <c r="I32" s="174">
        <f>'Resumo das informações'!H21</f>
        <v>0</v>
      </c>
      <c r="J32" s="175"/>
      <c r="K32" s="35"/>
      <c r="L32" s="35"/>
      <c r="M32" s="58"/>
      <c r="N32" s="58"/>
      <c r="O32" s="146"/>
      <c r="P32" s="146"/>
      <c r="Q32" s="146"/>
      <c r="R32" s="35"/>
      <c r="S32" s="627"/>
      <c r="T32" s="1"/>
      <c r="U32" s="10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79"/>
      <c r="AO32" s="105"/>
      <c r="AP32" s="79"/>
      <c r="AQ32" s="79"/>
      <c r="AR32" s="79"/>
      <c r="AS32" s="79"/>
      <c r="AT32" s="79"/>
      <c r="AU32" s="79"/>
      <c r="AV32" s="105">
        <f t="shared" si="0"/>
        <v>50</v>
      </c>
      <c r="AW32" s="134">
        <f t="shared" si="1"/>
        <v>8082934.8956770543</v>
      </c>
      <c r="AX32" s="135">
        <f t="shared" si="2"/>
        <v>8012903.2258064514</v>
      </c>
      <c r="AY32" s="136">
        <f t="shared" si="3"/>
        <v>6613955.2499865517</v>
      </c>
      <c r="AZ32" s="136" t="e">
        <f t="shared" si="4"/>
        <v>#VALUE!</v>
      </c>
      <c r="BA32" s="135" t="e">
        <f>AZ31*(1+i_realaposentadoria)-BB30</f>
        <v>#VALUE!</v>
      </c>
      <c r="BB32" s="1"/>
      <c r="BC32" s="1"/>
      <c r="BD32" s="1"/>
      <c r="BE32" s="1"/>
      <c r="BF32" s="1"/>
      <c r="BG32" s="1"/>
      <c r="BH32" s="1"/>
    </row>
    <row r="33" spans="1:60" ht="15.75" customHeight="1" x14ac:dyDescent="0.25">
      <c r="A33" s="1"/>
      <c r="B33" s="635"/>
      <c r="C33" s="7"/>
      <c r="D33" s="35"/>
      <c r="E33" s="165" t="str">
        <f>'Resumo das informações'!E22</f>
        <v>Previdência</v>
      </c>
      <c r="F33" s="166">
        <f>'Resumo das informações'!F22</f>
        <v>0</v>
      </c>
      <c r="G33" s="167">
        <f>'Resumo das informações'!G22</f>
        <v>0</v>
      </c>
      <c r="H33" s="168">
        <f t="shared" si="5"/>
        <v>0</v>
      </c>
      <c r="I33" s="169">
        <f>'Resumo das informações'!H22</f>
        <v>0</v>
      </c>
      <c r="J33" s="146"/>
      <c r="K33" s="35"/>
      <c r="L33" s="35"/>
      <c r="M33" s="58"/>
      <c r="N33" s="58"/>
      <c r="O33" s="146"/>
      <c r="P33" s="146"/>
      <c r="Q33" s="146"/>
      <c r="R33" s="35"/>
      <c r="S33" s="627"/>
      <c r="T33" s="1"/>
      <c r="U33" s="10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79"/>
      <c r="AO33" s="105"/>
      <c r="AP33" s="79"/>
      <c r="AQ33" s="79"/>
      <c r="AR33" s="79"/>
      <c r="AS33" s="79"/>
      <c r="AT33" s="79"/>
      <c r="AU33" s="79"/>
      <c r="AV33" s="105">
        <f t="shared" si="0"/>
        <v>51</v>
      </c>
      <c r="AW33" s="134">
        <f t="shared" si="1"/>
        <v>8087130.0295243748</v>
      </c>
      <c r="AX33" s="135">
        <f t="shared" si="2"/>
        <v>8012903.2258064505</v>
      </c>
      <c r="AY33" s="136">
        <f t="shared" si="3"/>
        <v>6530153.535492992</v>
      </c>
      <c r="AZ33" s="136" t="e">
        <f t="shared" si="4"/>
        <v>#VALUE!</v>
      </c>
      <c r="BA33" s="79"/>
      <c r="BB33" s="1"/>
      <c r="BC33" s="1"/>
      <c r="BD33" s="1"/>
      <c r="BE33" s="1"/>
      <c r="BF33" s="1"/>
      <c r="BG33" s="1"/>
      <c r="BH33" s="1"/>
    </row>
    <row r="34" spans="1:60" ht="15.75" customHeight="1" x14ac:dyDescent="0.25">
      <c r="A34" s="1"/>
      <c r="B34" s="635"/>
      <c r="C34" s="7"/>
      <c r="D34" s="35"/>
      <c r="E34" s="176" t="s">
        <v>39</v>
      </c>
      <c r="F34" s="177">
        <f>SUM(F29:F33)</f>
        <v>1000000</v>
      </c>
      <c r="G34" s="178">
        <v>1</v>
      </c>
      <c r="H34" s="179">
        <f>$G$29*H29+$G$30*H30+$G$31*H31+$G$32*H32+$G$33*H33</f>
        <v>9.7000000000000003E-2</v>
      </c>
      <c r="I34" s="180">
        <f>'Resumo das informações'!H23</f>
        <v>1</v>
      </c>
      <c r="J34" s="146"/>
      <c r="K34" s="35"/>
      <c r="L34" s="35"/>
      <c r="M34" s="58"/>
      <c r="N34" s="58"/>
      <c r="O34" s="146"/>
      <c r="P34" s="146"/>
      <c r="Q34" s="146"/>
      <c r="R34" s="35"/>
      <c r="S34" s="627"/>
      <c r="T34" s="1"/>
      <c r="U34" s="10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79"/>
      <c r="AO34" s="105"/>
      <c r="AP34" s="79"/>
      <c r="AQ34" s="79"/>
      <c r="AR34" s="79"/>
      <c r="AS34" s="79"/>
      <c r="AT34" s="79"/>
      <c r="AU34" s="79"/>
      <c r="AV34" s="105">
        <f t="shared" si="0"/>
        <v>52</v>
      </c>
      <c r="AW34" s="134">
        <f t="shared" si="1"/>
        <v>8091576.4660755936</v>
      </c>
      <c r="AX34" s="135">
        <f t="shared" si="2"/>
        <v>8012903.2258064505</v>
      </c>
      <c r="AY34" s="136">
        <f t="shared" si="3"/>
        <v>6441331.8149138279</v>
      </c>
      <c r="AZ34" s="136" t="e">
        <f t="shared" si="4"/>
        <v>#VALUE!</v>
      </c>
      <c r="BA34" s="79"/>
      <c r="BB34" s="1"/>
      <c r="BC34" s="1"/>
      <c r="BD34" s="1"/>
      <c r="BE34" s="1"/>
      <c r="BF34" s="1"/>
      <c r="BG34" s="1"/>
      <c r="BH34" s="1"/>
    </row>
    <row r="35" spans="1:60" ht="15.75" customHeight="1" x14ac:dyDescent="0.25">
      <c r="A35" s="1"/>
      <c r="B35" s="635"/>
      <c r="C35" s="7"/>
      <c r="D35" s="35"/>
      <c r="E35" s="35"/>
      <c r="F35" s="35"/>
      <c r="G35" s="35"/>
      <c r="H35" s="35"/>
      <c r="I35" s="35"/>
      <c r="J35" s="146"/>
      <c r="K35" s="35"/>
      <c r="L35" s="35"/>
      <c r="M35" s="35"/>
      <c r="N35" s="35"/>
      <c r="O35" s="35"/>
      <c r="P35" s="35"/>
      <c r="Q35" s="35"/>
      <c r="R35" s="35"/>
      <c r="S35" s="627"/>
      <c r="T35" s="1"/>
      <c r="U35" s="10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79"/>
      <c r="AO35" s="105"/>
      <c r="AP35" s="79"/>
      <c r="AQ35" s="79"/>
      <c r="AR35" s="79"/>
      <c r="AS35" s="79"/>
      <c r="AT35" s="79"/>
      <c r="AU35" s="79"/>
      <c r="AV35" s="105">
        <f t="shared" si="0"/>
        <v>53</v>
      </c>
      <c r="AW35" s="134">
        <f t="shared" si="1"/>
        <v>8096289.2592124883</v>
      </c>
      <c r="AX35" s="135">
        <f t="shared" si="2"/>
        <v>8012903.2258064505</v>
      </c>
      <c r="AY35" s="136">
        <f t="shared" si="3"/>
        <v>6347189.3729086658</v>
      </c>
      <c r="AZ35" s="136" t="e">
        <f t="shared" si="4"/>
        <v>#VALUE!</v>
      </c>
      <c r="BA35" s="79"/>
      <c r="BB35" s="1"/>
      <c r="BC35" s="1"/>
      <c r="BD35" s="1"/>
      <c r="BE35" s="1"/>
      <c r="BF35" s="1"/>
      <c r="BG35" s="1"/>
      <c r="BH35" s="1"/>
    </row>
    <row r="36" spans="1:60" ht="15.75" customHeight="1" x14ac:dyDescent="0.25">
      <c r="A36" s="1"/>
      <c r="B36" s="635"/>
      <c r="C36" s="7"/>
      <c r="D36" s="35"/>
      <c r="E36" s="35"/>
      <c r="F36" s="637" t="s">
        <v>82</v>
      </c>
      <c r="G36" s="607"/>
      <c r="H36" s="608"/>
      <c r="I36" s="35"/>
      <c r="J36" s="146"/>
      <c r="K36" s="623" t="s">
        <v>82</v>
      </c>
      <c r="L36" s="608"/>
      <c r="M36" s="92"/>
      <c r="N36" s="624" t="s">
        <v>82</v>
      </c>
      <c r="O36" s="625"/>
      <c r="P36" s="8"/>
      <c r="Q36" s="624" t="s">
        <v>82</v>
      </c>
      <c r="R36" s="625"/>
      <c r="S36" s="627"/>
      <c r="T36" s="1"/>
      <c r="U36" s="101"/>
      <c r="V36" s="1"/>
      <c r="W36" s="1"/>
      <c r="X36" s="1"/>
      <c r="Y36" s="1"/>
      <c r="Z36" s="612" t="s">
        <v>113</v>
      </c>
      <c r="AA36" s="613"/>
      <c r="AB36" s="614"/>
      <c r="AC36" s="618">
        <f>IFERROR(PMT(i_real_atual,n,F34,-FV,0),0)</f>
        <v>58814.469684779637</v>
      </c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79"/>
      <c r="AO36" s="105"/>
      <c r="AP36" s="79"/>
      <c r="AQ36" s="79"/>
      <c r="AR36" s="79"/>
      <c r="AS36" s="79"/>
      <c r="AT36" s="79"/>
      <c r="AU36" s="79"/>
      <c r="AV36" s="105">
        <f t="shared" si="0"/>
        <v>54</v>
      </c>
      <c r="AW36" s="134">
        <f t="shared" si="1"/>
        <v>8101284.3645952661</v>
      </c>
      <c r="AX36" s="135">
        <f t="shared" si="2"/>
        <v>8012903.2258064505</v>
      </c>
      <c r="AY36" s="136">
        <f t="shared" si="3"/>
        <v>6247407.4802713105</v>
      </c>
      <c r="AZ36" s="136" t="e">
        <f t="shared" si="4"/>
        <v>#VALUE!</v>
      </c>
      <c r="BA36" s="79"/>
      <c r="BB36" s="1"/>
      <c r="BC36" s="1"/>
      <c r="BD36" s="1"/>
      <c r="BE36" s="1"/>
      <c r="BF36" s="1"/>
      <c r="BG36" s="1"/>
      <c r="BH36" s="1"/>
    </row>
    <row r="37" spans="1:60" ht="15.75" customHeight="1" x14ac:dyDescent="0.3">
      <c r="A37" s="1"/>
      <c r="B37" s="635"/>
      <c r="C37" s="7"/>
      <c r="D37" s="35"/>
      <c r="E37" s="181"/>
      <c r="F37" s="638">
        <f>PMT_atual</f>
        <v>60000</v>
      </c>
      <c r="G37" s="610"/>
      <c r="H37" s="611"/>
      <c r="I37" s="182"/>
      <c r="J37" s="35"/>
      <c r="K37" s="620">
        <f>PMT_atual</f>
        <v>60000</v>
      </c>
      <c r="L37" s="611"/>
      <c r="M37" s="183"/>
      <c r="N37" s="621">
        <v>500000</v>
      </c>
      <c r="O37" s="622"/>
      <c r="P37" s="8"/>
      <c r="Q37" s="621">
        <v>500000</v>
      </c>
      <c r="R37" s="622"/>
      <c r="S37" s="627"/>
      <c r="T37" s="1"/>
      <c r="U37" s="101"/>
      <c r="V37" s="1"/>
      <c r="W37" s="1"/>
      <c r="X37" s="1"/>
      <c r="Y37" s="1"/>
      <c r="Z37" s="615"/>
      <c r="AA37" s="616"/>
      <c r="AB37" s="617"/>
      <c r="AC37" s="61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79"/>
      <c r="AO37" s="105"/>
      <c r="AP37" s="79"/>
      <c r="AQ37" s="79"/>
      <c r="AR37" s="79"/>
      <c r="AS37" s="79"/>
      <c r="AT37" s="79"/>
      <c r="AU37" s="79"/>
      <c r="AV37" s="105">
        <f t="shared" si="0"/>
        <v>55</v>
      </c>
      <c r="AW37" s="134">
        <f t="shared" si="1"/>
        <v>8106578.6936821323</v>
      </c>
      <c r="AX37" s="135">
        <f t="shared" si="2"/>
        <v>8012903.2258064505</v>
      </c>
      <c r="AY37" s="136">
        <f t="shared" si="3"/>
        <v>6141648.3148382874</v>
      </c>
      <c r="AZ37" s="136" t="e">
        <f t="shared" si="4"/>
        <v>#VALUE!</v>
      </c>
      <c r="BA37" s="79"/>
      <c r="BB37" s="1"/>
      <c r="BC37" s="1"/>
      <c r="BD37" s="1"/>
      <c r="BE37" s="1"/>
      <c r="BF37" s="1"/>
      <c r="BG37" s="1"/>
      <c r="BH37" s="1"/>
    </row>
    <row r="38" spans="1:60" ht="15.75" customHeight="1" x14ac:dyDescent="0.25">
      <c r="A38" s="1"/>
      <c r="B38" s="635"/>
      <c r="C38" s="7"/>
      <c r="D38" s="35"/>
      <c r="E38" s="181"/>
      <c r="F38" s="35"/>
      <c r="G38" s="35"/>
      <c r="H38" s="182"/>
      <c r="I38" s="182"/>
      <c r="J38" s="35"/>
      <c r="K38" s="8"/>
      <c r="L38" s="8"/>
      <c r="M38" s="8"/>
      <c r="N38" s="8"/>
      <c r="O38" s="8"/>
      <c r="P38" s="183"/>
      <c r="Q38" s="8"/>
      <c r="R38" s="8"/>
      <c r="S38" s="627"/>
      <c r="T38" s="1"/>
      <c r="U38" s="10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79"/>
      <c r="AO38" s="105"/>
      <c r="AP38" s="79"/>
      <c r="AQ38" s="79"/>
      <c r="AR38" s="79"/>
      <c r="AS38" s="79"/>
      <c r="AT38" s="79"/>
      <c r="AU38" s="79"/>
      <c r="AV38" s="105">
        <f t="shared" si="0"/>
        <v>56</v>
      </c>
      <c r="AW38" s="134">
        <f t="shared" si="1"/>
        <v>8112190.1709848307</v>
      </c>
      <c r="AX38" s="135">
        <f t="shared" si="2"/>
        <v>8012903.2258064505</v>
      </c>
      <c r="AY38" s="136">
        <f t="shared" si="3"/>
        <v>6029553.8177561369</v>
      </c>
      <c r="AZ38" s="136" t="e">
        <f t="shared" si="4"/>
        <v>#VALUE!</v>
      </c>
      <c r="BA38" s="79"/>
      <c r="BB38" s="1"/>
      <c r="BC38" s="1"/>
      <c r="BD38" s="1"/>
      <c r="BE38" s="1"/>
      <c r="BF38" s="1"/>
      <c r="BG38" s="1"/>
      <c r="BH38" s="1"/>
    </row>
    <row r="39" spans="1:60" ht="15.75" customHeight="1" x14ac:dyDescent="0.25">
      <c r="A39" s="1"/>
      <c r="B39" s="635"/>
      <c r="C39" s="7"/>
      <c r="D39" s="35"/>
      <c r="E39" s="35"/>
      <c r="F39" s="637" t="s">
        <v>114</v>
      </c>
      <c r="G39" s="607"/>
      <c r="H39" s="608"/>
      <c r="I39" s="35"/>
      <c r="J39" s="146"/>
      <c r="K39" s="623" t="s">
        <v>114</v>
      </c>
      <c r="L39" s="608"/>
      <c r="M39" s="182"/>
      <c r="N39" s="624" t="s">
        <v>114</v>
      </c>
      <c r="O39" s="625"/>
      <c r="P39" s="183"/>
      <c r="Q39" s="624" t="s">
        <v>114</v>
      </c>
      <c r="R39" s="625"/>
      <c r="S39" s="627"/>
      <c r="T39" s="1"/>
      <c r="U39" s="10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79"/>
      <c r="AO39" s="105"/>
      <c r="AP39" s="79"/>
      <c r="AQ39" s="79"/>
      <c r="AR39" s="79"/>
      <c r="AS39" s="79"/>
      <c r="AT39" s="79"/>
      <c r="AU39" s="79"/>
      <c r="AV39" s="105">
        <f t="shared" si="0"/>
        <v>57</v>
      </c>
      <c r="AW39" s="134">
        <f t="shared" ref="AW39:AW70" si="6">IF(AV39&gt;$H$6,(AW38*(1+i_realaposentadoria))-($L$6*12),AW38*(1+i_real_atual)+PMT_atual)</f>
        <v>8118137.7947539706</v>
      </c>
      <c r="AX39" s="135">
        <f t="shared" ref="AX39:AX71" si="7">IF(AV39&gt;$H$6,(AX38*(1+i_realaposentadoria))-($L$6*12),AX38*(1+i_real_atual)+PMT_necessario)</f>
        <v>8012903.2258064505</v>
      </c>
      <c r="AY39" s="136">
        <f t="shared" ref="AY39:AY71" si="8">IF(AV39&gt;$H$6,(AY38*(1+i_realaposentadoria))-(Renda_aposentadoria*12),AY38*(1+$AT$9)+PMT_atual)</f>
        <v>5910744.481235248</v>
      </c>
      <c r="AZ39" s="136" t="e">
        <f t="shared" ref="AZ39:AZ71" si="9">IF(AV39&gt;$AR$6,(AZ38*(1+i_realaposentadoria))-(Renda_aposentadoria*12),AZ38*(1+$AP$6)+$AQ$6)</f>
        <v>#VALUE!</v>
      </c>
      <c r="BA39" s="79"/>
      <c r="BB39" s="1"/>
      <c r="BC39" s="1"/>
      <c r="BD39" s="1"/>
      <c r="BE39" s="1"/>
      <c r="BF39" s="1"/>
      <c r="BG39" s="1"/>
      <c r="BH39" s="1"/>
    </row>
    <row r="40" spans="1:60" ht="15.75" customHeight="1" x14ac:dyDescent="0.3">
      <c r="A40" s="1"/>
      <c r="B40" s="635"/>
      <c r="C40" s="7"/>
      <c r="D40" s="35"/>
      <c r="E40" s="184"/>
      <c r="F40" s="639">
        <f>Dados_aposentadoria</f>
        <v>50</v>
      </c>
      <c r="G40" s="610"/>
      <c r="H40" s="611"/>
      <c r="I40" s="146"/>
      <c r="J40" s="146"/>
      <c r="K40" s="662">
        <f>Dados_aposentadoria</f>
        <v>50</v>
      </c>
      <c r="L40" s="611"/>
      <c r="M40" s="92"/>
      <c r="N40" s="628">
        <v>75</v>
      </c>
      <c r="O40" s="622"/>
      <c r="P40" s="8"/>
      <c r="Q40" s="628">
        <v>80</v>
      </c>
      <c r="R40" s="622"/>
      <c r="S40" s="627"/>
      <c r="T40" s="631"/>
      <c r="U40" s="10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79"/>
      <c r="AO40" s="105"/>
      <c r="AP40" s="79"/>
      <c r="AQ40" s="79"/>
      <c r="AR40" s="79"/>
      <c r="AS40" s="79"/>
      <c r="AT40" s="79"/>
      <c r="AU40" s="79"/>
      <c r="AV40" s="105">
        <f t="shared" si="0"/>
        <v>58</v>
      </c>
      <c r="AW40" s="134">
        <f t="shared" si="6"/>
        <v>8124441.7012996189</v>
      </c>
      <c r="AX40" s="135">
        <f t="shared" si="7"/>
        <v>8012903.2258064505</v>
      </c>
      <c r="AY40" s="136">
        <f t="shared" si="8"/>
        <v>5784818.0636860551</v>
      </c>
      <c r="AZ40" s="136" t="e">
        <f t="shared" si="9"/>
        <v>#VALUE!</v>
      </c>
      <c r="BA40" s="79"/>
      <c r="BB40" s="1"/>
      <c r="BC40" s="1"/>
      <c r="BD40" s="1"/>
      <c r="BE40" s="1"/>
      <c r="BF40" s="1"/>
      <c r="BG40" s="1"/>
      <c r="BH40" s="1"/>
    </row>
    <row r="41" spans="1:60" ht="23.25" customHeight="1" x14ac:dyDescent="0.25">
      <c r="A41" s="1"/>
      <c r="B41" s="635"/>
      <c r="C41" s="7"/>
      <c r="D41" s="35"/>
      <c r="E41" s="35"/>
      <c r="F41" s="185"/>
      <c r="G41" s="185"/>
      <c r="H41" s="35"/>
      <c r="I41" s="35"/>
      <c r="J41" s="146"/>
      <c r="K41" s="183"/>
      <c r="L41" s="183"/>
      <c r="M41" s="8"/>
      <c r="N41" s="183"/>
      <c r="O41" s="183"/>
      <c r="P41" s="92"/>
      <c r="Q41" s="183"/>
      <c r="R41" s="183"/>
      <c r="S41" s="627"/>
      <c r="T41" s="632"/>
      <c r="U41" s="10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79"/>
      <c r="AO41" s="105"/>
      <c r="AP41" s="79"/>
      <c r="AQ41" s="79"/>
      <c r="AR41" s="79"/>
      <c r="AS41" s="79"/>
      <c r="AT41" s="79"/>
      <c r="AU41" s="79"/>
      <c r="AV41" s="105">
        <f t="shared" si="0"/>
        <v>59</v>
      </c>
      <c r="AW41" s="134">
        <f t="shared" si="6"/>
        <v>8131123.2331649102</v>
      </c>
      <c r="AX41" s="135">
        <f t="shared" si="7"/>
        <v>8012903.2258064505</v>
      </c>
      <c r="AY41" s="136">
        <f t="shared" si="8"/>
        <v>5651348.2278875383</v>
      </c>
      <c r="AZ41" s="136" t="e">
        <f t="shared" si="9"/>
        <v>#VALUE!</v>
      </c>
      <c r="BA41" s="79"/>
      <c r="BB41" s="1"/>
      <c r="BC41" s="1"/>
      <c r="BD41" s="1"/>
      <c r="BE41" s="1"/>
      <c r="BF41" s="1"/>
      <c r="BG41" s="1"/>
      <c r="BH41" s="1"/>
    </row>
    <row r="42" spans="1:60" ht="15.75" customHeight="1" x14ac:dyDescent="0.25">
      <c r="A42" s="1"/>
      <c r="B42" s="635"/>
      <c r="C42" s="7"/>
      <c r="D42" s="35"/>
      <c r="E42" s="35"/>
      <c r="F42" s="606">
        <f>Dados_vida</f>
        <v>80</v>
      </c>
      <c r="G42" s="607"/>
      <c r="H42" s="608"/>
      <c r="I42" s="181"/>
      <c r="J42" s="146"/>
      <c r="K42" s="656">
        <f>Dados_vida</f>
        <v>80</v>
      </c>
      <c r="L42" s="608"/>
      <c r="M42" s="182"/>
      <c r="N42" s="656">
        <f>Dados_vida</f>
        <v>80</v>
      </c>
      <c r="O42" s="608"/>
      <c r="P42" s="8"/>
      <c r="Q42" s="629">
        <f>Dados_vida</f>
        <v>80</v>
      </c>
      <c r="R42" s="625"/>
      <c r="S42" s="627"/>
      <c r="T42" s="633"/>
      <c r="U42" s="10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79"/>
      <c r="AO42" s="105"/>
      <c r="AP42" s="79"/>
      <c r="AQ42" s="79"/>
      <c r="AR42" s="79"/>
      <c r="AS42" s="79"/>
      <c r="AT42" s="79"/>
      <c r="AU42" s="79"/>
      <c r="AV42" s="105">
        <f t="shared" si="0"/>
        <v>60</v>
      </c>
      <c r="AW42" s="134">
        <f t="shared" si="6"/>
        <v>8138205.011383485</v>
      </c>
      <c r="AX42" s="135">
        <f t="shared" si="7"/>
        <v>8012903.2258064505</v>
      </c>
      <c r="AY42" s="136">
        <f t="shared" si="8"/>
        <v>5509883.0975774201</v>
      </c>
      <c r="AZ42" s="136" t="e">
        <f t="shared" si="9"/>
        <v>#VALUE!</v>
      </c>
      <c r="BA42" s="79"/>
      <c r="BB42" s="1"/>
      <c r="BC42" s="1"/>
      <c r="BD42" s="1"/>
      <c r="BE42" s="1"/>
      <c r="BF42" s="1"/>
      <c r="BG42" s="1"/>
      <c r="BH42" s="1"/>
    </row>
    <row r="43" spans="1:60" ht="15.75" customHeight="1" x14ac:dyDescent="0.3">
      <c r="A43" s="1"/>
      <c r="B43" s="635"/>
      <c r="C43" s="7"/>
      <c r="D43" s="35"/>
      <c r="E43" s="35"/>
      <c r="F43" s="609">
        <f>VLOOKUP(F42,AV5:AY71,2,)</f>
        <v>8414031.0755292904</v>
      </c>
      <c r="G43" s="610"/>
      <c r="H43" s="611"/>
      <c r="I43" s="181"/>
      <c r="J43" s="146"/>
      <c r="K43" s="663">
        <f>FV</f>
        <v>8012903.2258064514</v>
      </c>
      <c r="L43" s="611"/>
      <c r="M43" s="8"/>
      <c r="N43" s="663">
        <f>FV</f>
        <v>8012903.2258064514</v>
      </c>
      <c r="O43" s="611"/>
      <c r="P43" s="183"/>
      <c r="Q43" s="630">
        <v>0</v>
      </c>
      <c r="R43" s="622"/>
      <c r="S43" s="627"/>
      <c r="T43" s="632"/>
      <c r="U43" s="10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79"/>
      <c r="AO43" s="105"/>
      <c r="AP43" s="79"/>
      <c r="AQ43" s="79"/>
      <c r="AR43" s="79"/>
      <c r="AS43" s="79"/>
      <c r="AT43" s="79"/>
      <c r="AU43" s="79"/>
      <c r="AV43" s="105">
        <f t="shared" si="0"/>
        <v>61</v>
      </c>
      <c r="AW43" s="134">
        <f t="shared" si="6"/>
        <v>8145711.0120653939</v>
      </c>
      <c r="AX43" s="135">
        <f t="shared" si="7"/>
        <v>8012903.2258064505</v>
      </c>
      <c r="AY43" s="136">
        <f t="shared" si="8"/>
        <v>5359943.7275772272</v>
      </c>
      <c r="AZ43" s="136" t="e">
        <f t="shared" si="9"/>
        <v>#VALUE!</v>
      </c>
      <c r="BA43" s="79"/>
      <c r="BB43" s="1"/>
      <c r="BC43" s="1"/>
      <c r="BD43" s="1"/>
      <c r="BE43" s="1"/>
      <c r="BF43" s="1"/>
      <c r="BG43" s="1"/>
      <c r="BH43" s="1"/>
    </row>
    <row r="44" spans="1:60" ht="15.75" customHeight="1" x14ac:dyDescent="0.25">
      <c r="A44" s="1"/>
      <c r="B44" s="635"/>
      <c r="C44" s="7"/>
      <c r="D44" s="35"/>
      <c r="E44" s="35"/>
      <c r="F44" s="35"/>
      <c r="G44" s="35"/>
      <c r="H44" s="146"/>
      <c r="I44" s="146"/>
      <c r="J44" s="146"/>
      <c r="K44" s="8"/>
      <c r="L44" s="8"/>
      <c r="M44" s="8"/>
      <c r="N44" s="8"/>
      <c r="O44" s="8"/>
      <c r="P44" s="8"/>
      <c r="Q44" s="8"/>
      <c r="R44" s="8"/>
      <c r="S44" s="627"/>
      <c r="T44" s="1"/>
      <c r="U44" s="10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79"/>
      <c r="AO44" s="105"/>
      <c r="AP44" s="79"/>
      <c r="AQ44" s="79"/>
      <c r="AR44" s="79"/>
      <c r="AS44" s="79"/>
      <c r="AT44" s="79"/>
      <c r="AU44" s="79"/>
      <c r="AV44" s="105">
        <f t="shared" si="0"/>
        <v>62</v>
      </c>
      <c r="AW44" s="134">
        <f t="shared" si="6"/>
        <v>8153666.6475707609</v>
      </c>
      <c r="AX44" s="135">
        <f t="shared" si="7"/>
        <v>8012903.2258064505</v>
      </c>
      <c r="AY44" s="136">
        <f t="shared" si="8"/>
        <v>5201022.4822726743</v>
      </c>
      <c r="AZ44" s="136" t="e">
        <f t="shared" si="9"/>
        <v>#VALUE!</v>
      </c>
      <c r="BA44" s="79"/>
      <c r="BB44" s="1"/>
      <c r="BC44" s="1"/>
      <c r="BD44" s="1"/>
      <c r="BE44" s="1"/>
      <c r="BF44" s="1"/>
      <c r="BG44" s="1"/>
      <c r="BH44" s="1"/>
    </row>
    <row r="45" spans="1:60" ht="15.75" customHeight="1" x14ac:dyDescent="0.25">
      <c r="A45" s="1"/>
      <c r="B45" s="635"/>
      <c r="C45" s="7"/>
      <c r="D45" s="35"/>
      <c r="E45" s="35"/>
      <c r="F45" s="606">
        <f>Dados_aposentadoria</f>
        <v>50</v>
      </c>
      <c r="G45" s="607"/>
      <c r="H45" s="608"/>
      <c r="I45" s="146"/>
      <c r="J45" s="146"/>
      <c r="K45" s="656">
        <f>Dados_aposentadoria</f>
        <v>50</v>
      </c>
      <c r="L45" s="608"/>
      <c r="M45" s="186"/>
      <c r="N45" s="656">
        <f>N40</f>
        <v>75</v>
      </c>
      <c r="O45" s="608"/>
      <c r="P45" s="92"/>
      <c r="Q45" s="656">
        <f>Q40</f>
        <v>80</v>
      </c>
      <c r="R45" s="608"/>
      <c r="S45" s="627"/>
      <c r="T45" s="1"/>
      <c r="U45" s="10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79"/>
      <c r="AO45" s="105"/>
      <c r="AP45" s="79"/>
      <c r="AQ45" s="79"/>
      <c r="AR45" s="79"/>
      <c r="AS45" s="79"/>
      <c r="AT45" s="79"/>
      <c r="AU45" s="79"/>
      <c r="AV45" s="105">
        <f t="shared" si="0"/>
        <v>63</v>
      </c>
      <c r="AW45" s="134">
        <f t="shared" si="6"/>
        <v>8162098.8525460139</v>
      </c>
      <c r="AX45" s="135">
        <f t="shared" si="7"/>
        <v>8012903.2258064505</v>
      </c>
      <c r="AY45" s="136">
        <f t="shared" si="8"/>
        <v>5032581.3169595394</v>
      </c>
      <c r="AZ45" s="136" t="e">
        <f t="shared" si="9"/>
        <v>#VALUE!</v>
      </c>
      <c r="BA45" s="79"/>
      <c r="BB45" s="1"/>
      <c r="BC45" s="1"/>
      <c r="BD45" s="1"/>
      <c r="BE45" s="1"/>
      <c r="BF45" s="1"/>
      <c r="BG45" s="1"/>
      <c r="BH45" s="1"/>
    </row>
    <row r="46" spans="1:60" ht="15.75" customHeight="1" x14ac:dyDescent="0.3">
      <c r="A46" s="1"/>
      <c r="B46" s="635"/>
      <c r="C46" s="7"/>
      <c r="D46" s="35"/>
      <c r="E46" s="35"/>
      <c r="F46" s="609">
        <f>VLOOKUP(F45,AV5:AY71,2,0)</f>
        <v>8082934.8956770543</v>
      </c>
      <c r="G46" s="610"/>
      <c r="H46" s="611"/>
      <c r="I46" s="187"/>
      <c r="J46" s="146"/>
      <c r="K46" s="663">
        <f>VLOOKUP(K45,AV5:AY71,3,0)</f>
        <v>8012903.2258064514</v>
      </c>
      <c r="L46" s="611"/>
      <c r="M46" s="8"/>
      <c r="N46" s="663">
        <f>FV</f>
        <v>8012903.2258064514</v>
      </c>
      <c r="O46" s="611"/>
      <c r="P46" s="8"/>
      <c r="Q46" s="663">
        <f>O76</f>
        <v>0</v>
      </c>
      <c r="R46" s="611"/>
      <c r="S46" s="627"/>
      <c r="T46" s="1"/>
      <c r="U46" s="10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79"/>
      <c r="AO46" s="105"/>
      <c r="AP46" s="79"/>
      <c r="AQ46" s="79"/>
      <c r="AR46" s="79"/>
      <c r="AS46" s="79"/>
      <c r="AT46" s="79"/>
      <c r="AU46" s="79"/>
      <c r="AV46" s="105">
        <f t="shared" si="0"/>
        <v>64</v>
      </c>
      <c r="AW46" s="134">
        <f t="shared" si="6"/>
        <v>8171036.1751139872</v>
      </c>
      <c r="AX46" s="135">
        <f t="shared" si="7"/>
        <v>8012903.2258064505</v>
      </c>
      <c r="AY46" s="136">
        <f t="shared" si="8"/>
        <v>4854049.9562363429</v>
      </c>
      <c r="AZ46" s="136" t="e">
        <f t="shared" si="9"/>
        <v>#VALUE!</v>
      </c>
      <c r="BA46" s="79"/>
      <c r="BB46" s="1"/>
      <c r="BC46" s="1"/>
      <c r="BD46" s="1"/>
      <c r="BE46" s="1"/>
      <c r="BF46" s="1"/>
      <c r="BG46" s="1"/>
      <c r="BH46" s="1"/>
    </row>
    <row r="47" spans="1:60" ht="15.75" customHeight="1" x14ac:dyDescent="0.25">
      <c r="A47" s="1"/>
      <c r="B47" s="635"/>
      <c r="C47" s="7"/>
      <c r="D47" s="35"/>
      <c r="E47" s="35"/>
      <c r="F47" s="35"/>
      <c r="G47" s="35"/>
      <c r="H47" s="181"/>
      <c r="I47" s="181"/>
      <c r="J47" s="35"/>
      <c r="K47" s="35"/>
      <c r="L47" s="35"/>
      <c r="M47" s="35"/>
      <c r="N47" s="35"/>
      <c r="O47" s="35"/>
      <c r="P47" s="188"/>
      <c r="Q47" s="35"/>
      <c r="R47" s="35"/>
      <c r="S47" s="627"/>
      <c r="T47" s="1"/>
      <c r="U47" s="101"/>
      <c r="V47" s="1"/>
      <c r="W47" s="1"/>
      <c r="X47" s="1"/>
      <c r="Y47" s="1"/>
      <c r="Z47" s="1"/>
      <c r="AA47" s="605" t="s">
        <v>115</v>
      </c>
      <c r="AB47" s="569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79"/>
      <c r="AO47" s="105"/>
      <c r="AP47" s="79"/>
      <c r="AQ47" s="79"/>
      <c r="AR47" s="79"/>
      <c r="AS47" s="79"/>
      <c r="AT47" s="79"/>
      <c r="AU47" s="79"/>
      <c r="AV47" s="105">
        <f t="shared" si="0"/>
        <v>65</v>
      </c>
      <c r="AW47" s="134">
        <f t="shared" si="6"/>
        <v>8180508.8735266123</v>
      </c>
      <c r="AX47" s="135">
        <f t="shared" si="7"/>
        <v>8012903.2258064505</v>
      </c>
      <c r="AY47" s="136">
        <f t="shared" si="8"/>
        <v>4664823.9632765874</v>
      </c>
      <c r="AZ47" s="136" t="e">
        <f t="shared" si="9"/>
        <v>#VALUE!</v>
      </c>
      <c r="BA47" s="79"/>
      <c r="BB47" s="1"/>
      <c r="BC47" s="1"/>
      <c r="BD47" s="1"/>
      <c r="BE47" s="1"/>
      <c r="BF47" s="1"/>
      <c r="BG47" s="1"/>
      <c r="BH47" s="1"/>
    </row>
    <row r="48" spans="1:60" ht="15.75" customHeight="1" x14ac:dyDescent="0.25">
      <c r="A48" s="1"/>
      <c r="B48" s="635"/>
      <c r="C48" s="7"/>
      <c r="D48" s="35"/>
      <c r="E48" s="35"/>
      <c r="F48" s="652" t="str">
        <f>IF(I.R="sem considerar I.R","Rentabilidade sem considerar I.R",I.R)</f>
        <v>Rentabilidade sem considerar I.R</v>
      </c>
      <c r="G48" s="607"/>
      <c r="H48" s="608"/>
      <c r="I48" s="181"/>
      <c r="J48" s="35"/>
      <c r="K48" s="664" t="s">
        <v>116</v>
      </c>
      <c r="L48" s="608"/>
      <c r="M48" s="35"/>
      <c r="N48" s="664" t="s">
        <v>116</v>
      </c>
      <c r="O48" s="608"/>
      <c r="P48" s="35"/>
      <c r="Q48" s="664" t="s">
        <v>116</v>
      </c>
      <c r="R48" s="608"/>
      <c r="S48" s="627"/>
      <c r="T48" s="1"/>
      <c r="U48" s="101"/>
      <c r="V48" s="1"/>
      <c r="W48" s="1"/>
      <c r="X48" s="1"/>
      <c r="Y48" s="1"/>
      <c r="Z48" s="1"/>
      <c r="AA48" s="189" t="s">
        <v>117</v>
      </c>
      <c r="AB48" s="190">
        <f>i_atual</f>
        <v>9.7000000000000003E-2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79"/>
      <c r="AO48" s="105"/>
      <c r="AP48" s="79"/>
      <c r="AQ48" s="79"/>
      <c r="AR48" s="79"/>
      <c r="AS48" s="79"/>
      <c r="AT48" s="79"/>
      <c r="AU48" s="79"/>
      <c r="AV48" s="105">
        <f t="shared" si="0"/>
        <v>66</v>
      </c>
      <c r="AW48" s="134">
        <f t="shared" si="6"/>
        <v>8190549.0186074339</v>
      </c>
      <c r="AX48" s="135">
        <f t="shared" si="7"/>
        <v>8012903.2258064505</v>
      </c>
      <c r="AY48" s="136">
        <f t="shared" si="8"/>
        <v>4464262.6934438804</v>
      </c>
      <c r="AZ48" s="136" t="e">
        <f t="shared" si="9"/>
        <v>#VALUE!</v>
      </c>
      <c r="BA48" s="79"/>
      <c r="BB48" s="1"/>
      <c r="BC48" s="1"/>
      <c r="BD48" s="1"/>
      <c r="BE48" s="1"/>
      <c r="BF48" s="1"/>
      <c r="BG48" s="1"/>
      <c r="BH48" s="1"/>
    </row>
    <row r="49" spans="1:60" ht="15.75" customHeight="1" x14ac:dyDescent="0.3">
      <c r="A49" s="1"/>
      <c r="B49" s="635"/>
      <c r="C49" s="7"/>
      <c r="D49" s="35"/>
      <c r="E49" s="35"/>
      <c r="F49" s="191" t="s">
        <v>118</v>
      </c>
      <c r="G49" s="192"/>
      <c r="H49" s="193" t="s">
        <v>119</v>
      </c>
      <c r="I49" s="35"/>
      <c r="J49" s="35"/>
      <c r="K49" s="194" t="s">
        <v>120</v>
      </c>
      <c r="L49" s="195" t="s">
        <v>121</v>
      </c>
      <c r="M49" s="35"/>
      <c r="N49" s="194" t="s">
        <v>120</v>
      </c>
      <c r="O49" s="195" t="s">
        <v>121</v>
      </c>
      <c r="P49" s="35"/>
      <c r="Q49" s="194" t="s">
        <v>120</v>
      </c>
      <c r="R49" s="195" t="s">
        <v>121</v>
      </c>
      <c r="S49" s="627"/>
      <c r="T49" s="1"/>
      <c r="U49" s="101"/>
      <c r="V49" s="1"/>
      <c r="W49" s="1"/>
      <c r="X49" s="1"/>
      <c r="Y49" s="1"/>
      <c r="Z49" s="1"/>
      <c r="AA49" s="189" t="s">
        <v>122</v>
      </c>
      <c r="AB49" s="190">
        <f>inflação</f>
        <v>3.5000000000000003E-2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79"/>
      <c r="AO49" s="105"/>
      <c r="AP49" s="79"/>
      <c r="AQ49" s="79"/>
      <c r="AR49" s="79"/>
      <c r="AS49" s="79"/>
      <c r="AT49" s="79"/>
      <c r="AU49" s="79"/>
      <c r="AV49" s="105">
        <f t="shared" si="0"/>
        <v>67</v>
      </c>
      <c r="AW49" s="134">
        <f t="shared" si="6"/>
        <v>8201190.6023307778</v>
      </c>
      <c r="AX49" s="135">
        <f t="shared" si="7"/>
        <v>8012903.2258064505</v>
      </c>
      <c r="AY49" s="136">
        <f t="shared" si="8"/>
        <v>4251687.1253216779</v>
      </c>
      <c r="AZ49" s="136" t="e">
        <f t="shared" si="9"/>
        <v>#VALUE!</v>
      </c>
      <c r="BA49" s="79"/>
      <c r="BB49" s="1"/>
      <c r="BC49" s="1"/>
      <c r="BD49" s="1"/>
      <c r="BE49" s="1"/>
      <c r="BF49" s="1"/>
      <c r="BG49" s="1"/>
      <c r="BH49" s="1"/>
    </row>
    <row r="50" spans="1:60" ht="15.75" customHeight="1" x14ac:dyDescent="0.3">
      <c r="A50" s="1"/>
      <c r="B50" s="635"/>
      <c r="C50" s="7"/>
      <c r="D50" s="35"/>
      <c r="E50" s="35"/>
      <c r="F50" s="196">
        <f>i_atual*(IFERROR(1-I.R,1))</f>
        <v>9.7000000000000003E-2</v>
      </c>
      <c r="G50" s="197"/>
      <c r="H50" s="198">
        <f>(1+F50)/(1+inflação)-1</f>
        <v>5.9903381642512077E-2</v>
      </c>
      <c r="I50" s="187"/>
      <c r="J50" s="35"/>
      <c r="K50" s="199">
        <f>IF(I.R="Sem considerar I.R",((1+L50)*(1+inflação)-1),((1+L50)*(1+inflação)-1)/(1-I.R))</f>
        <v>9.6555128760144049E-2</v>
      </c>
      <c r="L50" s="200">
        <f>IFERROR(RATE(n,-K37,-PV,K46,0,2),"")</f>
        <v>5.9473554357627148E-2</v>
      </c>
      <c r="M50" s="35"/>
      <c r="N50" s="201">
        <f>IF(I.R="Sem considerar I.R",((1+O50)*(1+inflação)-1),((1+O50)*(1+inflação)-1)/(1-I.R))</f>
        <v>-2.7170986013677734E-2</v>
      </c>
      <c r="O50" s="202">
        <f>IFERROR(RATE(N40-Dados_idade,-N37,-PV,N46,0,1),"")</f>
        <v>-6.0068585520461404E-2</v>
      </c>
      <c r="P50" s="188"/>
      <c r="Q50" s="201" t="e">
        <f>IF(I.R="Sem considerar I.R",((1+R50)*(1+inflação)-1),((1+R50)*(1+inflação)-1)/(1-I.R))</f>
        <v>#VALUE!</v>
      </c>
      <c r="R50" s="202" t="str">
        <f>IFERROR(RATE(Q40-Dados_idade,-Q37,-PV,Q46,0,1),"")</f>
        <v/>
      </c>
      <c r="S50" s="627"/>
      <c r="T50" s="1"/>
      <c r="U50" s="10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79"/>
      <c r="AO50" s="105"/>
      <c r="AP50" s="79"/>
      <c r="AQ50" s="79"/>
      <c r="AR50" s="79"/>
      <c r="AS50" s="79"/>
      <c r="AT50" s="79"/>
      <c r="AU50" s="79"/>
      <c r="AV50" s="105">
        <f t="shared" si="0"/>
        <v>68</v>
      </c>
      <c r="AW50" s="134">
        <f t="shared" si="6"/>
        <v>8212469.6529051811</v>
      </c>
      <c r="AX50" s="135">
        <f t="shared" si="7"/>
        <v>8012903.2258064505</v>
      </c>
      <c r="AY50" s="136">
        <f t="shared" si="8"/>
        <v>4026377.5618143771</v>
      </c>
      <c r="AZ50" s="136" t="e">
        <f t="shared" si="9"/>
        <v>#VALUE!</v>
      </c>
      <c r="BA50" s="79"/>
      <c r="BB50" s="1"/>
      <c r="BC50" s="1"/>
      <c r="BD50" s="1"/>
      <c r="BE50" s="1"/>
      <c r="BF50" s="1"/>
      <c r="BG50" s="1"/>
      <c r="BH50" s="1"/>
    </row>
    <row r="51" spans="1:60" ht="15.75" customHeight="1" x14ac:dyDescent="0.25">
      <c r="A51" s="1"/>
      <c r="B51" s="635"/>
      <c r="C51" s="7"/>
      <c r="D51" s="35"/>
      <c r="E51" s="35"/>
      <c r="F51" s="35"/>
      <c r="G51" s="35"/>
      <c r="H51" s="181"/>
      <c r="I51" s="181"/>
      <c r="J51" s="35"/>
      <c r="K51" s="203"/>
      <c r="L51" s="204"/>
      <c r="M51" s="79"/>
      <c r="N51" s="203"/>
      <c r="O51" s="204"/>
      <c r="P51" s="205"/>
      <c r="Q51" s="203"/>
      <c r="R51" s="204"/>
      <c r="S51" s="627"/>
      <c r="T51" s="1"/>
      <c r="U51" s="101"/>
      <c r="V51" s="1"/>
      <c r="W51" s="1"/>
      <c r="X51" s="1"/>
      <c r="Y51" s="1"/>
      <c r="Z51" s="1"/>
      <c r="AA51" s="206" t="s">
        <v>123</v>
      </c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79"/>
      <c r="AO51" s="105"/>
      <c r="AP51" s="79"/>
      <c r="AQ51" s="79"/>
      <c r="AR51" s="79"/>
      <c r="AS51" s="79"/>
      <c r="AT51" s="79"/>
      <c r="AU51" s="79"/>
      <c r="AV51" s="105">
        <f t="shared" si="0"/>
        <v>69</v>
      </c>
      <c r="AW51" s="134">
        <f t="shared" si="6"/>
        <v>8224424.3567507081</v>
      </c>
      <c r="AX51" s="135">
        <f t="shared" si="7"/>
        <v>8012903.2258064505</v>
      </c>
      <c r="AY51" s="136">
        <f t="shared" si="8"/>
        <v>3787571.1935365908</v>
      </c>
      <c r="AZ51" s="136" t="e">
        <f t="shared" si="9"/>
        <v>#VALUE!</v>
      </c>
      <c r="BA51" s="79"/>
      <c r="BB51" s="1"/>
      <c r="BC51" s="1"/>
      <c r="BD51" s="1"/>
      <c r="BE51" s="1"/>
      <c r="BF51" s="1"/>
      <c r="BG51" s="1"/>
      <c r="BH51" s="1"/>
    </row>
    <row r="52" spans="1:60" ht="23.25" customHeight="1" x14ac:dyDescent="0.25">
      <c r="A52" s="1"/>
      <c r="B52" s="635"/>
      <c r="C52" s="7"/>
      <c r="D52" s="35"/>
      <c r="E52" s="35"/>
      <c r="F52" s="653"/>
      <c r="G52" s="583"/>
      <c r="H52" s="583"/>
      <c r="I52" s="181"/>
      <c r="J52" s="35"/>
      <c r="K52" s="673" t="str">
        <f>IF(VLOOKUP(perfil,'Resumo das informações'!$W$11:$X$14,2,0)*dados_cdi&gt;'Investimentos - Não Aposentado'!K50,"Dentro do perfil de risco","Fora do perfil de risco")</f>
        <v>Dentro do perfil de risco</v>
      </c>
      <c r="L52" s="667">
        <f>IF(K52="Fora do Perfil de Risco","N/A",10)</f>
        <v>10</v>
      </c>
      <c r="M52" s="35"/>
      <c r="N52" s="673" t="str">
        <f>IF(VLOOKUP(perfil,'Resumo das informações'!$W$11:$X$14,2,0)*dados_cdi&gt;'Investimentos - Não Aposentado'!N50,"Dentro do perfil de risco","Fora do perfil de risco")</f>
        <v>Dentro do perfil de risco</v>
      </c>
      <c r="O52" s="667">
        <f>IF(N52="Fora do Perfil de Risco","N/A",10)</f>
        <v>10</v>
      </c>
      <c r="P52" s="35"/>
      <c r="Q52" s="665" t="e">
        <f>IF(VLOOKUP(perfil,'Resumo das informações'!$W$11:$X$14,2,0)*dados_cdi&gt;'Investimentos - Não Aposentado'!Q50,"Dentro do perfil de risco","Fora do perfil de risco")</f>
        <v>#VALUE!</v>
      </c>
      <c r="R52" s="667" t="e">
        <f>IF(Q52="Fora do Perfil de Risco","N/A",MIN(MAX(IF(Q46&lt;AF5,(Q46-AF6)/(AF5-AF6)*AE5,(Q46-AF5)/(AF4-AF5)*(AE4-AE5)+AE5),0),10))</f>
        <v>#VALUE!</v>
      </c>
      <c r="S52" s="627"/>
      <c r="T52" s="1"/>
      <c r="U52" s="10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79"/>
      <c r="AO52" s="105"/>
      <c r="AP52" s="79"/>
      <c r="AQ52" s="79"/>
      <c r="AR52" s="79"/>
      <c r="AS52" s="79"/>
      <c r="AT52" s="79"/>
      <c r="AU52" s="79"/>
      <c r="AV52" s="105">
        <f t="shared" si="0"/>
        <v>70</v>
      </c>
      <c r="AW52" s="134">
        <f t="shared" si="6"/>
        <v>8237095.1877831183</v>
      </c>
      <c r="AX52" s="135">
        <f t="shared" si="7"/>
        <v>8012903.2258064505</v>
      </c>
      <c r="AY52" s="136">
        <f t="shared" si="8"/>
        <v>3534459.5162411979</v>
      </c>
      <c r="AZ52" s="136" t="e">
        <f t="shared" si="9"/>
        <v>#VALUE!</v>
      </c>
      <c r="BA52" s="79"/>
      <c r="BB52" s="1"/>
      <c r="BC52" s="1"/>
      <c r="BD52" s="1"/>
      <c r="BE52" s="1"/>
      <c r="BF52" s="1"/>
      <c r="BG52" s="1"/>
      <c r="BH52" s="1"/>
    </row>
    <row r="53" spans="1:60" ht="15.75" customHeight="1" x14ac:dyDescent="0.25">
      <c r="A53" s="1"/>
      <c r="B53" s="636"/>
      <c r="C53" s="7"/>
      <c r="D53" s="35"/>
      <c r="E53" s="35"/>
      <c r="F53" s="583"/>
      <c r="G53" s="583"/>
      <c r="H53" s="583"/>
      <c r="I53" s="35"/>
      <c r="J53" s="35"/>
      <c r="K53" s="666"/>
      <c r="L53" s="668"/>
      <c r="M53" s="35"/>
      <c r="N53" s="666"/>
      <c r="O53" s="668"/>
      <c r="P53" s="35"/>
      <c r="Q53" s="666"/>
      <c r="R53" s="668"/>
      <c r="S53" s="627"/>
      <c r="T53" s="1"/>
      <c r="U53" s="10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79"/>
      <c r="AO53" s="105"/>
      <c r="AP53" s="79"/>
      <c r="AQ53" s="79"/>
      <c r="AR53" s="79"/>
      <c r="AS53" s="79"/>
      <c r="AT53" s="79"/>
      <c r="AU53" s="79"/>
      <c r="AV53" s="105">
        <f t="shared" si="0"/>
        <v>71</v>
      </c>
      <c r="AW53" s="134">
        <f t="shared" si="6"/>
        <v>8250525.0444425903</v>
      </c>
      <c r="AX53" s="135">
        <f t="shared" si="7"/>
        <v>8012903.2258064505</v>
      </c>
      <c r="AY53" s="136">
        <f t="shared" si="8"/>
        <v>3266185.5935426028</v>
      </c>
      <c r="AZ53" s="136" t="e">
        <f t="shared" si="9"/>
        <v>#VALUE!</v>
      </c>
      <c r="BA53" s="79"/>
      <c r="BB53" s="1"/>
      <c r="BC53" s="1"/>
      <c r="BD53" s="1"/>
      <c r="BE53" s="1"/>
      <c r="BF53" s="1"/>
      <c r="BG53" s="1"/>
      <c r="BH53" s="1"/>
    </row>
    <row r="54" spans="1:60" ht="15" customHeight="1" x14ac:dyDescent="0.25">
      <c r="A54" s="1"/>
      <c r="B54" s="101"/>
      <c r="C54" s="654"/>
      <c r="D54" s="583"/>
      <c r="E54" s="583"/>
      <c r="F54" s="583"/>
      <c r="G54" s="583"/>
      <c r="H54" s="583"/>
      <c r="I54" s="583"/>
      <c r="J54" s="583"/>
      <c r="K54" s="35"/>
      <c r="L54" s="35"/>
      <c r="M54" s="35"/>
      <c r="N54" s="35"/>
      <c r="O54" s="35"/>
      <c r="P54" s="35"/>
      <c r="Q54" s="35"/>
      <c r="R54" s="35"/>
      <c r="S54" s="627"/>
      <c r="T54" s="1"/>
      <c r="U54" s="10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79"/>
      <c r="AO54" s="105"/>
      <c r="AP54" s="79"/>
      <c r="AQ54" s="79"/>
      <c r="AR54" s="79"/>
      <c r="AS54" s="79"/>
      <c r="AT54" s="79"/>
      <c r="AU54" s="79"/>
      <c r="AV54" s="105">
        <f t="shared" si="0"/>
        <v>72</v>
      </c>
      <c r="AW54" s="134">
        <f t="shared" si="6"/>
        <v>8264759.3949309383</v>
      </c>
      <c r="AX54" s="135">
        <f t="shared" si="7"/>
        <v>8012903.2258064505</v>
      </c>
      <c r="AY54" s="136">
        <f t="shared" si="8"/>
        <v>2981841.1556678601</v>
      </c>
      <c r="AZ54" s="136" t="e">
        <f t="shared" si="9"/>
        <v>#VALUE!</v>
      </c>
      <c r="BA54" s="79"/>
      <c r="BB54" s="1"/>
      <c r="BC54" s="1"/>
      <c r="BD54" s="1"/>
      <c r="BE54" s="1"/>
      <c r="BF54" s="1"/>
      <c r="BG54" s="1"/>
      <c r="BH54" s="1"/>
    </row>
    <row r="55" spans="1:60" ht="15.75" customHeight="1" x14ac:dyDescent="0.25">
      <c r="A55" s="1"/>
      <c r="B55" s="101"/>
      <c r="C55" s="655"/>
      <c r="D55" s="583"/>
      <c r="E55" s="583"/>
      <c r="F55" s="583"/>
      <c r="G55" s="583"/>
      <c r="H55" s="583"/>
      <c r="I55" s="583"/>
      <c r="J55" s="583"/>
      <c r="K55" s="669"/>
      <c r="L55" s="583"/>
      <c r="M55" s="583"/>
      <c r="N55" s="583"/>
      <c r="O55" s="583"/>
      <c r="P55" s="583"/>
      <c r="Q55" s="583"/>
      <c r="R55" s="583"/>
      <c r="S55" s="627"/>
      <c r="T55" s="1"/>
      <c r="U55" s="10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79"/>
      <c r="AO55" s="105"/>
      <c r="AP55" s="79"/>
      <c r="AQ55" s="79"/>
      <c r="AR55" s="79"/>
      <c r="AS55" s="79"/>
      <c r="AT55" s="79"/>
      <c r="AU55" s="79"/>
      <c r="AV55" s="105">
        <f t="shared" si="0"/>
        <v>73</v>
      </c>
      <c r="AW55" s="134">
        <f t="shared" si="6"/>
        <v>8279846.4311490227</v>
      </c>
      <c r="AX55" s="135">
        <f t="shared" si="7"/>
        <v>8012903.2258064505</v>
      </c>
      <c r="AY55" s="136">
        <f t="shared" si="8"/>
        <v>2680463.524413181</v>
      </c>
      <c r="AZ55" s="136" t="e">
        <f t="shared" si="9"/>
        <v>#VALUE!</v>
      </c>
      <c r="BA55" s="79"/>
      <c r="BB55" s="1"/>
      <c r="BC55" s="1"/>
      <c r="BD55" s="1"/>
      <c r="BE55" s="1"/>
      <c r="BF55" s="1"/>
      <c r="BG55" s="1"/>
      <c r="BH55" s="1"/>
    </row>
    <row r="56" spans="1:60" ht="15.75" customHeight="1" x14ac:dyDescent="0.25">
      <c r="A56" s="207"/>
      <c r="B56" s="101"/>
      <c r="C56" s="208"/>
      <c r="D56" s="670" t="s">
        <v>124</v>
      </c>
      <c r="E56" s="671"/>
      <c r="F56" s="671"/>
      <c r="G56" s="671"/>
      <c r="H56" s="671"/>
      <c r="I56" s="671"/>
      <c r="J56" s="671"/>
      <c r="K56" s="671"/>
      <c r="L56" s="671"/>
      <c r="M56" s="671"/>
      <c r="N56" s="671"/>
      <c r="O56" s="671"/>
      <c r="P56" s="671"/>
      <c r="Q56" s="671"/>
      <c r="R56" s="672"/>
      <c r="S56" s="209"/>
      <c r="T56" s="210"/>
      <c r="U56" s="211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82"/>
      <c r="AO56" s="212"/>
      <c r="AP56" s="82"/>
      <c r="AQ56" s="82"/>
      <c r="AR56" s="82"/>
      <c r="AS56" s="82"/>
      <c r="AT56" s="82"/>
      <c r="AU56" s="82"/>
      <c r="AV56" s="212">
        <f t="shared" si="0"/>
        <v>74</v>
      </c>
      <c r="AW56" s="213">
        <f t="shared" si="6"/>
        <v>8295837.231855534</v>
      </c>
      <c r="AX56" s="214">
        <f t="shared" si="7"/>
        <v>8012903.2258064505</v>
      </c>
      <c r="AY56" s="136">
        <f t="shared" si="8"/>
        <v>2361032.3538949369</v>
      </c>
      <c r="AZ56" s="215" t="e">
        <f t="shared" si="9"/>
        <v>#VALUE!</v>
      </c>
      <c r="BA56" s="82"/>
      <c r="BB56" s="207"/>
      <c r="BC56" s="207"/>
      <c r="BD56" s="207"/>
      <c r="BE56" s="207"/>
      <c r="BF56" s="207"/>
      <c r="BG56" s="207"/>
      <c r="BH56" s="207"/>
    </row>
    <row r="57" spans="1:60" ht="15.75" customHeight="1" x14ac:dyDescent="0.25">
      <c r="A57" s="207"/>
      <c r="B57" s="101"/>
      <c r="C57" s="208"/>
      <c r="D57" s="640" t="s">
        <v>54</v>
      </c>
      <c r="E57" s="641"/>
      <c r="F57" s="216">
        <f>dados_inflação</f>
        <v>3.5000000000000003E-2</v>
      </c>
      <c r="G57" s="217" t="s">
        <v>125</v>
      </c>
      <c r="H57" s="216">
        <f>dados_cdi</f>
        <v>9.7000000000000003E-2</v>
      </c>
      <c r="I57" s="642" t="str">
        <f>IF(I.R="sem considerar I.R","Rentabilidade aposentadoria sem considerar I.R",I.R)</f>
        <v>Rentabilidade aposentadoria sem considerar I.R</v>
      </c>
      <c r="J57" s="643"/>
      <c r="K57" s="643"/>
      <c r="L57" s="641"/>
      <c r="M57" s="216">
        <f>dados_rentabilidade_aposentadoria</f>
        <v>9.7000000000000003E-2</v>
      </c>
      <c r="N57" s="644" t="s">
        <v>56</v>
      </c>
      <c r="O57" s="643"/>
      <c r="P57" s="643"/>
      <c r="Q57" s="641"/>
      <c r="R57" s="218">
        <f>dados_jurorealaposentadoria</f>
        <v>5.9903381642512077E-2</v>
      </c>
      <c r="S57" s="219"/>
      <c r="T57" s="210"/>
      <c r="U57" s="211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82"/>
      <c r="AO57" s="212"/>
      <c r="AP57" s="82"/>
      <c r="AQ57" s="82"/>
      <c r="AR57" s="82"/>
      <c r="AS57" s="82"/>
      <c r="AT57" s="82"/>
      <c r="AU57" s="82"/>
      <c r="AV57" s="212">
        <f t="shared" si="0"/>
        <v>75</v>
      </c>
      <c r="AW57" s="213">
        <f t="shared" si="6"/>
        <v>8312785.9355995376</v>
      </c>
      <c r="AX57" s="214">
        <f t="shared" si="7"/>
        <v>8012903.2258064505</v>
      </c>
      <c r="AY57" s="136">
        <f t="shared" si="8"/>
        <v>2022466.176060624</v>
      </c>
      <c r="AZ57" s="215" t="e">
        <f t="shared" si="9"/>
        <v>#VALUE!</v>
      </c>
      <c r="BA57" s="82"/>
      <c r="BB57" s="207"/>
      <c r="BC57" s="207"/>
      <c r="BD57" s="207"/>
      <c r="BE57" s="207"/>
      <c r="BF57" s="207"/>
      <c r="BG57" s="207"/>
      <c r="BH57" s="207"/>
    </row>
    <row r="58" spans="1:60" ht="15.75" customHeight="1" x14ac:dyDescent="0.25">
      <c r="A58" s="1"/>
      <c r="B58" s="101"/>
      <c r="C58" s="7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17"/>
      <c r="T58" s="1"/>
      <c r="U58" s="10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79"/>
      <c r="AO58" s="105"/>
      <c r="AP58" s="79"/>
      <c r="AQ58" s="79"/>
      <c r="AR58" s="79"/>
      <c r="AS58" s="79"/>
      <c r="AT58" s="79"/>
      <c r="AU58" s="79"/>
      <c r="AV58" s="105">
        <f t="shared" si="0"/>
        <v>76</v>
      </c>
      <c r="AW58" s="134">
        <f t="shared" si="6"/>
        <v>8330749.9240122642</v>
      </c>
      <c r="AX58" s="135">
        <f t="shared" si="7"/>
        <v>8012903.2258064505</v>
      </c>
      <c r="AY58" s="136">
        <f t="shared" si="8"/>
        <v>1663618.7392642554</v>
      </c>
      <c r="AZ58" s="136" t="e">
        <f t="shared" si="9"/>
        <v>#VALUE!</v>
      </c>
      <c r="BA58" s="79"/>
      <c r="BB58" s="1"/>
      <c r="BC58" s="1"/>
      <c r="BD58" s="1"/>
      <c r="BE58" s="1"/>
      <c r="BF58" s="1"/>
      <c r="BG58" s="1"/>
      <c r="BH58" s="1"/>
    </row>
    <row r="59" spans="1:60" ht="15.75" customHeight="1" x14ac:dyDescent="0.25">
      <c r="A59" s="1"/>
      <c r="B59" s="101"/>
      <c r="C59" s="7"/>
      <c r="D59" s="114"/>
      <c r="E59" s="160"/>
      <c r="F59" s="160"/>
      <c r="G59" s="160"/>
      <c r="H59" s="79"/>
      <c r="I59" s="79"/>
      <c r="J59" s="35"/>
      <c r="K59" s="35"/>
      <c r="L59" s="35"/>
      <c r="M59" s="35"/>
      <c r="N59" s="35"/>
      <c r="O59" s="35"/>
      <c r="P59" s="35"/>
      <c r="Q59" s="35"/>
      <c r="R59" s="35"/>
      <c r="S59" s="17"/>
      <c r="T59" s="1"/>
      <c r="U59" s="10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79"/>
      <c r="AO59" s="105"/>
      <c r="AP59" s="79"/>
      <c r="AQ59" s="79"/>
      <c r="AR59" s="79"/>
      <c r="AS59" s="79"/>
      <c r="AT59" s="79"/>
      <c r="AU59" s="79"/>
      <c r="AV59" s="105">
        <f t="shared" si="0"/>
        <v>77</v>
      </c>
      <c r="AW59" s="134">
        <f t="shared" si="6"/>
        <v>8349790.0160786994</v>
      </c>
      <c r="AX59" s="135">
        <f t="shared" si="7"/>
        <v>8012903.2258064505</v>
      </c>
      <c r="AY59" s="136">
        <f t="shared" si="8"/>
        <v>1283275.1275100368</v>
      </c>
      <c r="AZ59" s="136" t="e">
        <f t="shared" si="9"/>
        <v>#VALUE!</v>
      </c>
      <c r="BA59" s="79"/>
      <c r="BB59" s="1"/>
      <c r="BC59" s="1"/>
      <c r="BD59" s="1"/>
      <c r="BE59" s="1"/>
      <c r="BF59" s="1"/>
      <c r="BG59" s="1"/>
      <c r="BH59" s="1"/>
    </row>
    <row r="60" spans="1:60" ht="15.75" customHeight="1" x14ac:dyDescent="0.25">
      <c r="A60" s="1"/>
      <c r="B60" s="101"/>
      <c r="C60" s="7"/>
      <c r="D60" s="35"/>
      <c r="E60" s="185"/>
      <c r="F60" s="185"/>
      <c r="G60" s="146"/>
      <c r="H60" s="220"/>
      <c r="I60" s="220"/>
      <c r="J60" s="79"/>
      <c r="K60" s="79"/>
      <c r="L60" s="79"/>
      <c r="M60" s="79"/>
      <c r="N60" s="79"/>
      <c r="O60" s="79"/>
      <c r="P60" s="79"/>
      <c r="Q60" s="79"/>
      <c r="R60" s="79"/>
      <c r="S60" s="221"/>
      <c r="T60" s="1"/>
      <c r="U60" s="10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79"/>
      <c r="AO60" s="105"/>
      <c r="AP60" s="79"/>
      <c r="AQ60" s="79"/>
      <c r="AR60" s="79"/>
      <c r="AS60" s="79"/>
      <c r="AT60" s="79"/>
      <c r="AU60" s="79"/>
      <c r="AV60" s="105">
        <f t="shared" si="0"/>
        <v>78</v>
      </c>
      <c r="AW60" s="134">
        <f t="shared" si="6"/>
        <v>8369970.674046699</v>
      </c>
      <c r="AX60" s="135">
        <f t="shared" si="7"/>
        <v>8012903.2258064505</v>
      </c>
      <c r="AY60" s="136">
        <f t="shared" si="8"/>
        <v>880147.64722561394</v>
      </c>
      <c r="AZ60" s="136" t="e">
        <f t="shared" si="9"/>
        <v>#VALUE!</v>
      </c>
      <c r="BA60" s="79"/>
      <c r="BB60" s="1"/>
      <c r="BC60" s="1"/>
      <c r="BD60" s="1"/>
      <c r="BE60" s="1"/>
      <c r="BF60" s="1"/>
      <c r="BG60" s="1"/>
      <c r="BH60" s="1"/>
    </row>
    <row r="61" spans="1:60" ht="15.75" customHeight="1" x14ac:dyDescent="0.25">
      <c r="A61" s="1"/>
      <c r="B61" s="101"/>
      <c r="C61" s="7"/>
      <c r="D61" s="35"/>
      <c r="E61" s="35"/>
      <c r="F61" s="35"/>
      <c r="G61" s="35"/>
      <c r="H61" s="35"/>
      <c r="I61" s="35"/>
      <c r="J61" s="79"/>
      <c r="K61" s="79"/>
      <c r="L61" s="79"/>
      <c r="M61" s="79"/>
      <c r="N61" s="79"/>
      <c r="O61" s="79"/>
      <c r="P61" s="79"/>
      <c r="Q61" s="79"/>
      <c r="R61" s="79"/>
      <c r="S61" s="221"/>
      <c r="T61" s="1"/>
      <c r="U61" s="10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79"/>
      <c r="AO61" s="105"/>
      <c r="AP61" s="79"/>
      <c r="AQ61" s="79"/>
      <c r="AR61" s="79"/>
      <c r="AS61" s="79"/>
      <c r="AT61" s="79"/>
      <c r="AU61" s="79"/>
      <c r="AV61" s="105">
        <f t="shared" si="0"/>
        <v>79</v>
      </c>
      <c r="AW61" s="134">
        <f t="shared" si="6"/>
        <v>8391360.2216707524</v>
      </c>
      <c r="AX61" s="135">
        <f t="shared" si="7"/>
        <v>8012903.2258064505</v>
      </c>
      <c r="AY61" s="136">
        <f t="shared" si="8"/>
        <v>452871.46763912903</v>
      </c>
      <c r="AZ61" s="136" t="e">
        <f t="shared" si="9"/>
        <v>#VALUE!</v>
      </c>
      <c r="BA61" s="79"/>
      <c r="BB61" s="1"/>
      <c r="BC61" s="1"/>
      <c r="BD61" s="1"/>
      <c r="BE61" s="1"/>
      <c r="BF61" s="1"/>
      <c r="BG61" s="1"/>
      <c r="BH61" s="1"/>
    </row>
    <row r="62" spans="1:60" ht="15.75" customHeight="1" x14ac:dyDescent="0.25">
      <c r="A62" s="1"/>
      <c r="B62" s="1"/>
      <c r="C62" s="7"/>
      <c r="D62" s="35"/>
      <c r="E62" s="35"/>
      <c r="F62" s="35"/>
      <c r="G62" s="35"/>
      <c r="H62" s="35"/>
      <c r="I62" s="35"/>
      <c r="J62" s="658"/>
      <c r="K62" s="569"/>
      <c r="L62" s="658"/>
      <c r="M62" s="569"/>
      <c r="N62" s="658"/>
      <c r="O62" s="569"/>
      <c r="P62" s="658"/>
      <c r="Q62" s="569"/>
      <c r="R62" s="79"/>
      <c r="S62" s="221"/>
      <c r="T62" s="1"/>
      <c r="U62" s="10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79"/>
      <c r="AO62" s="105"/>
      <c r="AP62" s="79"/>
      <c r="AQ62" s="79"/>
      <c r="AR62" s="79"/>
      <c r="AS62" s="79"/>
      <c r="AT62" s="79"/>
      <c r="AU62" s="79"/>
      <c r="AV62" s="105">
        <f t="shared" si="0"/>
        <v>80</v>
      </c>
      <c r="AW62" s="134">
        <f t="shared" si="6"/>
        <v>8414031.0755292904</v>
      </c>
      <c r="AX62" s="135">
        <f t="shared" si="7"/>
        <v>8012903.2258064505</v>
      </c>
      <c r="AY62" s="136">
        <f t="shared" si="8"/>
        <v>1.2031523510813713E-7</v>
      </c>
      <c r="AZ62" s="136" t="e">
        <f t="shared" si="9"/>
        <v>#VALUE!</v>
      </c>
      <c r="BA62" s="79"/>
      <c r="BB62" s="1"/>
      <c r="BC62" s="1"/>
      <c r="BD62" s="1"/>
      <c r="BE62" s="1"/>
      <c r="BF62" s="1"/>
      <c r="BG62" s="1"/>
      <c r="BH62" s="1"/>
    </row>
    <row r="63" spans="1:60" ht="15.75" customHeight="1" x14ac:dyDescent="0.25">
      <c r="A63" s="1"/>
      <c r="B63" s="1"/>
      <c r="C63" s="222"/>
      <c r="D63" s="223"/>
      <c r="E63" s="224"/>
      <c r="F63" s="224"/>
      <c r="G63" s="224"/>
      <c r="H63" s="225"/>
      <c r="I63" s="225"/>
      <c r="J63" s="225"/>
      <c r="K63" s="226"/>
      <c r="L63" s="225"/>
      <c r="M63" s="226"/>
      <c r="N63" s="225"/>
      <c r="O63" s="226"/>
      <c r="P63" s="227"/>
      <c r="Q63" s="227"/>
      <c r="R63" s="225"/>
      <c r="S63" s="228"/>
      <c r="T63" s="229"/>
      <c r="U63" s="22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79"/>
      <c r="AO63" s="105"/>
      <c r="AP63" s="79"/>
      <c r="AQ63" s="79"/>
      <c r="AR63" s="79"/>
      <c r="AS63" s="79"/>
      <c r="AT63" s="79"/>
      <c r="AU63" s="79"/>
      <c r="AV63" s="105">
        <f t="shared" si="0"/>
        <v>81</v>
      </c>
      <c r="AW63" s="134">
        <f t="shared" si="6"/>
        <v>8438059.9901986774</v>
      </c>
      <c r="AX63" s="135">
        <f t="shared" si="7"/>
        <v>8012903.2258064505</v>
      </c>
      <c r="AY63" s="136">
        <f t="shared" si="8"/>
        <v>-479999.99999987247</v>
      </c>
      <c r="AZ63" s="136" t="e">
        <f t="shared" si="9"/>
        <v>#VALUE!</v>
      </c>
      <c r="BA63" s="79"/>
      <c r="BB63" s="1"/>
      <c r="BC63" s="1"/>
      <c r="BD63" s="1"/>
      <c r="BE63" s="1"/>
      <c r="BF63" s="1"/>
      <c r="BG63" s="1"/>
      <c r="BH63" s="1"/>
    </row>
    <row r="64" spans="1:60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230"/>
      <c r="L64" s="1"/>
      <c r="M64" s="230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79"/>
      <c r="AO64" s="105"/>
      <c r="AP64" s="79"/>
      <c r="AQ64" s="79"/>
      <c r="AR64" s="79"/>
      <c r="AS64" s="79"/>
      <c r="AT64" s="79"/>
      <c r="AU64" s="79"/>
      <c r="AV64" s="105">
        <f t="shared" si="0"/>
        <v>82</v>
      </c>
      <c r="AW64" s="134">
        <f t="shared" si="6"/>
        <v>8463528.3181139603</v>
      </c>
      <c r="AX64" s="135">
        <f t="shared" si="7"/>
        <v>8012903.2258064505</v>
      </c>
      <c r="AY64" s="136">
        <f t="shared" si="8"/>
        <v>-988753.62318827061</v>
      </c>
      <c r="AZ64" s="136" t="e">
        <f t="shared" si="9"/>
        <v>#VALUE!</v>
      </c>
      <c r="BA64" s="79"/>
      <c r="BB64" s="1"/>
      <c r="BC64" s="1"/>
      <c r="BD64" s="1"/>
      <c r="BE64" s="1"/>
      <c r="BF64" s="1"/>
      <c r="BG64" s="1"/>
      <c r="BH64" s="1"/>
    </row>
    <row r="65" spans="1:60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231"/>
      <c r="K65" s="232"/>
      <c r="L65" s="230"/>
      <c r="M65" s="233"/>
      <c r="N65" s="233"/>
      <c r="O65" s="1"/>
      <c r="P65" s="1"/>
      <c r="Q65" s="234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79"/>
      <c r="AO65" s="105"/>
      <c r="AP65" s="79"/>
      <c r="AQ65" s="79"/>
      <c r="AR65" s="79"/>
      <c r="AS65" s="79"/>
      <c r="AT65" s="79"/>
      <c r="AU65" s="79"/>
      <c r="AV65" s="105">
        <f t="shared" si="0"/>
        <v>83</v>
      </c>
      <c r="AW65" s="134">
        <f t="shared" si="6"/>
        <v>8490522.2849961501</v>
      </c>
      <c r="AX65" s="135">
        <f t="shared" si="7"/>
        <v>8012903.2258064505</v>
      </c>
      <c r="AY65" s="136">
        <f t="shared" si="8"/>
        <v>-1527983.3088285341</v>
      </c>
      <c r="AZ65" s="136" t="e">
        <f t="shared" si="9"/>
        <v>#VALUE!</v>
      </c>
      <c r="BA65" s="79"/>
      <c r="BB65" s="1"/>
      <c r="BC65" s="1"/>
      <c r="BD65" s="1"/>
      <c r="BE65" s="1"/>
      <c r="BF65" s="1"/>
      <c r="BG65" s="1"/>
      <c r="BH65" s="1"/>
    </row>
    <row r="66" spans="1:60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79"/>
      <c r="AO66" s="105"/>
      <c r="AP66" s="79"/>
      <c r="AQ66" s="79"/>
      <c r="AR66" s="79"/>
      <c r="AS66" s="79"/>
      <c r="AT66" s="79"/>
      <c r="AU66" s="79"/>
      <c r="AV66" s="105">
        <f t="shared" si="0"/>
        <v>84</v>
      </c>
      <c r="AW66" s="134">
        <f t="shared" si="6"/>
        <v>8519133.2817785274</v>
      </c>
      <c r="AX66" s="135">
        <f t="shared" si="7"/>
        <v>8012903.2258064505</v>
      </c>
      <c r="AY66" s="136">
        <f t="shared" si="8"/>
        <v>-2099514.676120678</v>
      </c>
      <c r="AZ66" s="136" t="e">
        <f t="shared" si="9"/>
        <v>#VALUE!</v>
      </c>
      <c r="BA66" s="79"/>
      <c r="BB66" s="1"/>
      <c r="BC66" s="1"/>
      <c r="BD66" s="1"/>
      <c r="BE66" s="1"/>
      <c r="BF66" s="1"/>
      <c r="BG66" s="1"/>
      <c r="BH66" s="1"/>
    </row>
    <row r="67" spans="1:60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79"/>
      <c r="AO67" s="105"/>
      <c r="AP67" s="79"/>
      <c r="AQ67" s="79"/>
      <c r="AR67" s="79"/>
      <c r="AS67" s="79"/>
      <c r="AT67" s="79"/>
      <c r="AU67" s="79"/>
      <c r="AV67" s="105">
        <f t="shared" si="0"/>
        <v>85</v>
      </c>
      <c r="AW67" s="134">
        <f t="shared" si="6"/>
        <v>8549458.1740203332</v>
      </c>
      <c r="AX67" s="135">
        <f t="shared" si="7"/>
        <v>8012903.2258064505</v>
      </c>
      <c r="AY67" s="136">
        <f t="shared" si="8"/>
        <v>-2705282.70502839</v>
      </c>
      <c r="AZ67" s="136" t="e">
        <f t="shared" si="9"/>
        <v>#VALUE!</v>
      </c>
      <c r="BA67" s="79"/>
      <c r="BB67" s="1"/>
      <c r="BC67" s="1"/>
      <c r="BD67" s="1"/>
      <c r="BE67" s="1"/>
      <c r="BF67" s="1"/>
      <c r="BG67" s="1"/>
      <c r="BH67" s="1"/>
    </row>
    <row r="68" spans="1:60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235"/>
      <c r="L68" s="1"/>
      <c r="M68" s="1"/>
      <c r="N68" s="9"/>
      <c r="O68" s="9"/>
      <c r="P68" s="9"/>
      <c r="Q68" s="9"/>
      <c r="R68" s="9"/>
      <c r="S68" s="9"/>
      <c r="T68" s="9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79"/>
      <c r="AO68" s="105"/>
      <c r="AP68" s="79"/>
      <c r="AQ68" s="79"/>
      <c r="AR68" s="79"/>
      <c r="AS68" s="79"/>
      <c r="AT68" s="79"/>
      <c r="AU68" s="79"/>
      <c r="AV68" s="105">
        <f t="shared" si="0"/>
        <v>86</v>
      </c>
      <c r="AW68" s="134">
        <f t="shared" si="6"/>
        <v>8581599.6298553683</v>
      </c>
      <c r="AX68" s="135">
        <f t="shared" si="7"/>
        <v>8012903.2258064505</v>
      </c>
      <c r="AY68" s="136">
        <f t="shared" si="8"/>
        <v>-3347338.2873585932</v>
      </c>
      <c r="AZ68" s="136" t="e">
        <f t="shared" si="9"/>
        <v>#VALUE!</v>
      </c>
      <c r="BA68" s="79"/>
      <c r="BB68" s="1"/>
      <c r="BC68" s="1"/>
      <c r="BD68" s="1"/>
      <c r="BE68" s="1"/>
      <c r="BF68" s="1"/>
      <c r="BG68" s="1"/>
      <c r="BH68" s="1"/>
    </row>
    <row r="69" spans="1:60" ht="15.75" customHeight="1" x14ac:dyDescent="0.25">
      <c r="A69" s="1"/>
      <c r="B69" s="1"/>
      <c r="C69" s="1"/>
      <c r="D69" s="1"/>
      <c r="E69" s="1"/>
      <c r="F69" s="1"/>
      <c r="G69" s="1"/>
      <c r="H69" s="1"/>
      <c r="I69" s="236"/>
      <c r="J69" s="1"/>
      <c r="K69" s="1"/>
      <c r="L69" s="1"/>
      <c r="M69" s="1"/>
      <c r="N69" s="9"/>
      <c r="O69" s="9"/>
      <c r="P69" s="9"/>
      <c r="Q69" s="9"/>
      <c r="R69" s="237"/>
      <c r="S69" s="9"/>
      <c r="T69" s="9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79"/>
      <c r="AO69" s="105"/>
      <c r="AP69" s="79"/>
      <c r="AQ69" s="79"/>
      <c r="AR69" s="79"/>
      <c r="AS69" s="79"/>
      <c r="AT69" s="79"/>
      <c r="AU69" s="79"/>
      <c r="AV69" s="105">
        <f t="shared" si="0"/>
        <v>87</v>
      </c>
      <c r="AW69" s="134">
        <f t="shared" si="6"/>
        <v>8615666.4675858356</v>
      </c>
      <c r="AX69" s="135">
        <f t="shared" si="7"/>
        <v>8012903.2258064505</v>
      </c>
      <c r="AY69" s="136">
        <f t="shared" si="8"/>
        <v>-4027855.1702728276</v>
      </c>
      <c r="AZ69" s="136" t="e">
        <f t="shared" si="9"/>
        <v>#VALUE!</v>
      </c>
      <c r="BA69" s="79"/>
      <c r="BB69" s="1"/>
      <c r="BC69" s="1"/>
      <c r="BD69" s="1"/>
      <c r="BE69" s="1"/>
      <c r="BF69" s="1"/>
      <c r="BG69" s="1"/>
      <c r="BH69" s="1"/>
    </row>
    <row r="70" spans="1:60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238"/>
      <c r="O70" s="9"/>
      <c r="P70" s="9"/>
      <c r="Q70" s="9"/>
      <c r="R70" s="9"/>
      <c r="S70" s="9"/>
      <c r="T70" s="9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79"/>
      <c r="AO70" s="105"/>
      <c r="AP70" s="79"/>
      <c r="AQ70" s="79"/>
      <c r="AR70" s="79"/>
      <c r="AS70" s="79"/>
      <c r="AT70" s="79"/>
      <c r="AU70" s="79"/>
      <c r="AV70" s="105">
        <f t="shared" si="0"/>
        <v>88</v>
      </c>
      <c r="AW70" s="134">
        <f t="shared" si="6"/>
        <v>8651774.0240982231</v>
      </c>
      <c r="AX70" s="135">
        <f t="shared" si="7"/>
        <v>8012903.2258064505</v>
      </c>
      <c r="AY70" s="136">
        <f t="shared" si="8"/>
        <v>-4749137.3157384461</v>
      </c>
      <c r="AZ70" s="136" t="e">
        <f t="shared" si="9"/>
        <v>#VALUE!</v>
      </c>
      <c r="BA70" s="79"/>
      <c r="BB70" s="1"/>
      <c r="BC70" s="1"/>
      <c r="BD70" s="1"/>
      <c r="BE70" s="1"/>
      <c r="BF70" s="1"/>
      <c r="BG70" s="1"/>
      <c r="BH70" s="1"/>
    </row>
    <row r="71" spans="1:60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9"/>
      <c r="O71" s="9"/>
      <c r="P71" s="9"/>
      <c r="Q71" s="9"/>
      <c r="R71" s="9"/>
      <c r="S71" s="9"/>
      <c r="T71" s="9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79"/>
      <c r="AO71" s="239"/>
      <c r="AP71" s="240"/>
      <c r="AQ71" s="240"/>
      <c r="AR71" s="240"/>
      <c r="AS71" s="240"/>
      <c r="AT71" s="240"/>
      <c r="AU71" s="240"/>
      <c r="AV71" s="239">
        <f t="shared" si="0"/>
        <v>89</v>
      </c>
      <c r="AW71" s="241">
        <f t="shared" ref="AW71" si="10">IF(AV71&gt;$H$6,(AW70*(1+i_realaposentadoria))-($L$6*12),AW70*(1+i_real_atual)+PMT_atual)</f>
        <v>8690044.5453485511</v>
      </c>
      <c r="AX71" s="242">
        <f t="shared" si="7"/>
        <v>8012903.2258064505</v>
      </c>
      <c r="AY71" s="136">
        <f t="shared" si="8"/>
        <v>-5513626.7008358212</v>
      </c>
      <c r="AZ71" s="136" t="e">
        <f t="shared" si="9"/>
        <v>#VALUE!</v>
      </c>
      <c r="BA71" s="79"/>
      <c r="BB71" s="1"/>
      <c r="BC71" s="1"/>
      <c r="BD71" s="1"/>
      <c r="BE71" s="1"/>
      <c r="BF71" s="1"/>
      <c r="BG71" s="1"/>
      <c r="BH71" s="1"/>
    </row>
    <row r="72" spans="1:60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9"/>
      <c r="O72" s="9"/>
      <c r="P72" s="9"/>
      <c r="Q72" s="9"/>
      <c r="R72" s="9"/>
      <c r="S72" s="9"/>
      <c r="T72" s="9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1"/>
      <c r="BC72" s="1"/>
      <c r="BD72" s="1"/>
      <c r="BE72" s="1"/>
      <c r="BF72" s="1"/>
      <c r="BG72" s="1"/>
      <c r="BH72" s="1"/>
    </row>
    <row r="73" spans="1:60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9"/>
      <c r="O73" s="9"/>
      <c r="P73" s="9"/>
      <c r="Q73" s="9"/>
      <c r="R73" s="9"/>
      <c r="S73" s="9"/>
      <c r="T73" s="9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1"/>
      <c r="BC73" s="1"/>
      <c r="BD73" s="1"/>
      <c r="BE73" s="1"/>
      <c r="BF73" s="1"/>
      <c r="BG73" s="1"/>
      <c r="BH73" s="1"/>
    </row>
    <row r="74" spans="1:60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9"/>
      <c r="O74" s="9"/>
      <c r="P74" s="9"/>
      <c r="Q74" s="9"/>
      <c r="R74" s="9"/>
      <c r="S74" s="9"/>
      <c r="T74" s="9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1"/>
      <c r="BC74" s="1"/>
      <c r="BD74" s="1"/>
      <c r="BE74" s="1"/>
      <c r="BF74" s="1"/>
      <c r="BG74" s="1"/>
      <c r="BH74" s="1"/>
    </row>
    <row r="75" spans="1:60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9"/>
      <c r="O75" s="659" t="s">
        <v>126</v>
      </c>
      <c r="P75" s="660"/>
      <c r="Q75" s="9"/>
      <c r="R75" s="9"/>
      <c r="S75" s="9"/>
      <c r="T75" s="9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1"/>
      <c r="BC75" s="1"/>
      <c r="BD75" s="1"/>
      <c r="BE75" s="1"/>
      <c r="BF75" s="1"/>
      <c r="BG75" s="1"/>
      <c r="BH75" s="1"/>
    </row>
    <row r="76" spans="1:60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9"/>
      <c r="O76" s="661">
        <f>PV(i_realaposentadoria,Dados_vida-Q40,-Renda_aposentadoria*12,-FV_desejado,0)</f>
        <v>0</v>
      </c>
      <c r="P76" s="660"/>
      <c r="Q76" s="9"/>
      <c r="R76" s="9"/>
      <c r="S76" s="9"/>
      <c r="T76" s="9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1"/>
      <c r="BC76" s="1"/>
      <c r="BD76" s="1"/>
      <c r="BE76" s="1"/>
      <c r="BF76" s="1"/>
      <c r="BG76" s="1"/>
      <c r="BH76" s="1"/>
    </row>
    <row r="77" spans="1:60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9"/>
      <c r="O77" s="9"/>
      <c r="P77" s="9"/>
      <c r="Q77" s="9"/>
      <c r="R77" s="9"/>
      <c r="S77" s="9"/>
      <c r="T77" s="9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1"/>
      <c r="BC77" s="1"/>
      <c r="BD77" s="1"/>
      <c r="BE77" s="1"/>
      <c r="BF77" s="1"/>
      <c r="BG77" s="1"/>
      <c r="BH77" s="1"/>
    </row>
    <row r="78" spans="1:60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9"/>
      <c r="O78" s="9"/>
      <c r="P78" s="9"/>
      <c r="Q78" s="9"/>
      <c r="R78" s="9"/>
      <c r="S78" s="9"/>
      <c r="T78" s="9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1"/>
      <c r="BC78" s="1"/>
      <c r="BD78" s="1"/>
      <c r="BE78" s="1"/>
      <c r="BF78" s="1"/>
      <c r="BG78" s="1"/>
      <c r="BH78" s="1"/>
    </row>
    <row r="79" spans="1:60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9"/>
      <c r="O79" s="9"/>
      <c r="P79" s="9"/>
      <c r="Q79" s="9"/>
      <c r="R79" s="9"/>
      <c r="S79" s="9"/>
      <c r="T79" s="9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1"/>
      <c r="BC79" s="1"/>
      <c r="BD79" s="1"/>
      <c r="BE79" s="1"/>
      <c r="BF79" s="1"/>
      <c r="BG79" s="1"/>
      <c r="BH79" s="1"/>
    </row>
    <row r="80" spans="1:60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9"/>
      <c r="O80" s="9"/>
      <c r="P80" s="9"/>
      <c r="Q80" s="9"/>
      <c r="R80" s="9"/>
      <c r="S80" s="9"/>
      <c r="T80" s="9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1"/>
      <c r="BC80" s="1"/>
      <c r="BD80" s="1"/>
      <c r="BE80" s="1"/>
      <c r="BF80" s="1"/>
      <c r="BG80" s="1"/>
      <c r="BH80" s="1"/>
    </row>
    <row r="81" spans="1:60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9"/>
      <c r="O81" s="9"/>
      <c r="P81" s="9"/>
      <c r="Q81" s="9"/>
      <c r="R81" s="9"/>
      <c r="S81" s="9"/>
      <c r="T81" s="9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1"/>
      <c r="BC81" s="1"/>
      <c r="BD81" s="1"/>
      <c r="BE81" s="1"/>
      <c r="BF81" s="1"/>
      <c r="BG81" s="1"/>
      <c r="BH81" s="1"/>
    </row>
    <row r="82" spans="1:60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9"/>
      <c r="O82" s="9"/>
      <c r="P82" s="9"/>
      <c r="Q82" s="9"/>
      <c r="R82" s="9"/>
      <c r="S82" s="9"/>
      <c r="T82" s="9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1"/>
      <c r="BC82" s="1"/>
      <c r="BD82" s="1"/>
      <c r="BE82" s="1"/>
      <c r="BF82" s="1"/>
      <c r="BG82" s="1"/>
      <c r="BH82" s="1"/>
    </row>
    <row r="83" spans="1:60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1"/>
      <c r="BC83" s="1"/>
      <c r="BD83" s="1"/>
      <c r="BE83" s="1"/>
      <c r="BF83" s="1"/>
      <c r="BG83" s="1"/>
      <c r="BH83" s="1"/>
    </row>
    <row r="84" spans="1:60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1"/>
      <c r="BC84" s="1"/>
      <c r="BD84" s="1"/>
      <c r="BE84" s="1"/>
      <c r="BF84" s="1"/>
      <c r="BG84" s="1"/>
      <c r="BH84" s="1"/>
    </row>
    <row r="85" spans="1:60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1"/>
      <c r="BC85" s="1"/>
      <c r="BD85" s="1"/>
      <c r="BE85" s="1"/>
      <c r="BF85" s="1"/>
      <c r="BG85" s="1"/>
      <c r="BH85" s="1"/>
    </row>
    <row r="86" spans="1:60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1"/>
      <c r="BC86" s="1"/>
      <c r="BD86" s="1"/>
      <c r="BE86" s="1"/>
      <c r="BF86" s="1"/>
      <c r="BG86" s="1"/>
      <c r="BH86" s="1"/>
    </row>
    <row r="87" spans="1:60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1"/>
      <c r="BC87" s="1"/>
      <c r="BD87" s="1"/>
      <c r="BE87" s="1"/>
      <c r="BF87" s="1"/>
      <c r="BG87" s="1"/>
      <c r="BH87" s="1"/>
    </row>
    <row r="88" spans="1:60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1"/>
      <c r="BC88" s="1"/>
      <c r="BD88" s="1"/>
      <c r="BE88" s="1"/>
      <c r="BF88" s="1"/>
      <c r="BG88" s="1"/>
      <c r="BH88" s="1"/>
    </row>
    <row r="89" spans="1:60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1"/>
      <c r="BC89" s="1"/>
      <c r="BD89" s="1"/>
      <c r="BE89" s="1"/>
      <c r="BF89" s="1"/>
      <c r="BG89" s="1"/>
      <c r="BH89" s="1"/>
    </row>
    <row r="90" spans="1:60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1"/>
      <c r="BC90" s="1"/>
      <c r="BD90" s="1"/>
      <c r="BE90" s="1"/>
      <c r="BF90" s="1"/>
      <c r="BG90" s="1"/>
      <c r="BH90" s="1"/>
    </row>
    <row r="91" spans="1:60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1"/>
      <c r="BC91" s="1"/>
      <c r="BD91" s="1"/>
      <c r="BE91" s="1"/>
      <c r="BF91" s="1"/>
      <c r="BG91" s="1"/>
      <c r="BH91" s="1"/>
    </row>
    <row r="92" spans="1:60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1"/>
      <c r="BC92" s="1"/>
      <c r="BD92" s="1"/>
      <c r="BE92" s="1"/>
      <c r="BF92" s="1"/>
      <c r="BG92" s="1"/>
      <c r="BH92" s="1"/>
    </row>
    <row r="93" spans="1:60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1"/>
      <c r="BC93" s="1"/>
      <c r="BD93" s="1"/>
      <c r="BE93" s="1"/>
      <c r="BF93" s="1"/>
      <c r="BG93" s="1"/>
      <c r="BH93" s="1"/>
    </row>
    <row r="94" spans="1:60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1"/>
      <c r="BC94" s="1"/>
      <c r="BD94" s="1"/>
      <c r="BE94" s="1"/>
      <c r="BF94" s="1"/>
      <c r="BG94" s="1"/>
      <c r="BH94" s="1"/>
    </row>
    <row r="95" spans="1:60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1"/>
      <c r="BC95" s="1"/>
      <c r="BD95" s="1"/>
      <c r="BE95" s="1"/>
      <c r="BF95" s="1"/>
      <c r="BG95" s="1"/>
      <c r="BH95" s="1"/>
    </row>
    <row r="96" spans="1:60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1"/>
      <c r="BC96" s="1"/>
      <c r="BD96" s="1"/>
      <c r="BE96" s="1"/>
      <c r="BF96" s="1"/>
      <c r="BG96" s="1"/>
      <c r="BH96" s="1"/>
    </row>
    <row r="97" spans="1:60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1"/>
      <c r="BC97" s="1"/>
      <c r="BD97" s="1"/>
      <c r="BE97" s="1"/>
      <c r="BF97" s="1"/>
      <c r="BG97" s="1"/>
      <c r="BH97" s="1"/>
    </row>
    <row r="98" spans="1:60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1"/>
      <c r="BC98" s="1"/>
      <c r="BD98" s="1"/>
      <c r="BE98" s="1"/>
      <c r="BF98" s="1"/>
      <c r="BG98" s="1"/>
      <c r="BH98" s="1"/>
    </row>
    <row r="99" spans="1:60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1"/>
      <c r="BC99" s="1"/>
      <c r="BD99" s="1"/>
      <c r="BE99" s="1"/>
      <c r="BF99" s="1"/>
      <c r="BG99" s="1"/>
      <c r="BH99" s="1"/>
    </row>
    <row r="100" spans="1:60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1"/>
      <c r="BC100" s="1"/>
      <c r="BD100" s="1"/>
      <c r="BE100" s="1"/>
      <c r="BF100" s="1"/>
      <c r="BG100" s="1"/>
      <c r="BH100" s="1"/>
    </row>
    <row r="101" spans="1:60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1"/>
      <c r="BC101" s="1"/>
      <c r="BD101" s="1"/>
      <c r="BE101" s="1"/>
      <c r="BF101" s="1"/>
      <c r="BG101" s="1"/>
      <c r="BH101" s="1"/>
    </row>
    <row r="102" spans="1:60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1"/>
      <c r="BC102" s="1"/>
      <c r="BD102" s="1"/>
      <c r="BE102" s="1"/>
      <c r="BF102" s="1"/>
      <c r="BG102" s="1"/>
      <c r="BH102" s="1"/>
    </row>
    <row r="103" spans="1:60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1"/>
      <c r="BC103" s="1"/>
      <c r="BD103" s="1"/>
      <c r="BE103" s="1"/>
      <c r="BF103" s="1"/>
      <c r="BG103" s="1"/>
      <c r="BH103" s="1"/>
    </row>
    <row r="104" spans="1:60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1"/>
      <c r="BC104" s="1"/>
      <c r="BD104" s="1"/>
      <c r="BE104" s="1"/>
      <c r="BF104" s="1"/>
      <c r="BG104" s="1"/>
      <c r="BH104" s="1"/>
    </row>
    <row r="105" spans="1:60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1"/>
      <c r="BC105" s="1"/>
      <c r="BD105" s="1"/>
      <c r="BE105" s="1"/>
      <c r="BF105" s="1"/>
      <c r="BG105" s="1"/>
      <c r="BH105" s="1"/>
    </row>
    <row r="106" spans="1:60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1"/>
      <c r="BC106" s="1"/>
      <c r="BD106" s="1"/>
      <c r="BE106" s="1"/>
      <c r="BF106" s="1"/>
      <c r="BG106" s="1"/>
      <c r="BH106" s="1"/>
    </row>
    <row r="107" spans="1:60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1"/>
      <c r="BC107" s="1"/>
      <c r="BD107" s="1"/>
      <c r="BE107" s="1"/>
      <c r="BF107" s="1"/>
      <c r="BG107" s="1"/>
      <c r="BH107" s="1"/>
    </row>
    <row r="108" spans="1:60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1"/>
      <c r="BC108" s="1"/>
      <c r="BD108" s="1"/>
      <c r="BE108" s="1"/>
      <c r="BF108" s="1"/>
      <c r="BG108" s="1"/>
      <c r="BH108" s="1"/>
    </row>
    <row r="109" spans="1:60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1"/>
      <c r="BC109" s="1"/>
      <c r="BD109" s="1"/>
      <c r="BE109" s="1"/>
      <c r="BF109" s="1"/>
      <c r="BG109" s="1"/>
      <c r="BH109" s="1"/>
    </row>
    <row r="110" spans="1:60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1"/>
      <c r="BC110" s="1"/>
      <c r="BD110" s="1"/>
      <c r="BE110" s="1"/>
      <c r="BF110" s="1"/>
      <c r="BG110" s="1"/>
      <c r="BH110" s="1"/>
    </row>
    <row r="111" spans="1:60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1"/>
      <c r="BC111" s="1"/>
      <c r="BD111" s="1"/>
      <c r="BE111" s="1"/>
      <c r="BF111" s="1"/>
      <c r="BG111" s="1"/>
      <c r="BH111" s="1"/>
    </row>
    <row r="112" spans="1:60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1"/>
      <c r="BC112" s="1"/>
      <c r="BD112" s="1"/>
      <c r="BE112" s="1"/>
      <c r="BF112" s="1"/>
      <c r="BG112" s="1"/>
      <c r="BH112" s="1"/>
    </row>
    <row r="113" spans="1:60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1"/>
      <c r="BC113" s="1"/>
      <c r="BD113" s="1"/>
      <c r="BE113" s="1"/>
      <c r="BF113" s="1"/>
      <c r="BG113" s="1"/>
      <c r="BH113" s="1"/>
    </row>
    <row r="114" spans="1:60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1"/>
      <c r="BC114" s="1"/>
      <c r="BD114" s="1"/>
      <c r="BE114" s="1"/>
      <c r="BF114" s="1"/>
      <c r="BG114" s="1"/>
      <c r="BH114" s="1"/>
    </row>
    <row r="115" spans="1:60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1"/>
      <c r="BC115" s="1"/>
      <c r="BD115" s="1"/>
      <c r="BE115" s="1"/>
      <c r="BF115" s="1"/>
      <c r="BG115" s="1"/>
      <c r="BH115" s="1"/>
    </row>
    <row r="116" spans="1:60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79"/>
      <c r="AO116" s="79"/>
      <c r="AP116" s="79"/>
      <c r="AQ116" s="79"/>
      <c r="AR116" s="79"/>
      <c r="AS116" s="79"/>
      <c r="AT116" s="79"/>
      <c r="AU116" s="79"/>
      <c r="AV116" s="79"/>
      <c r="AW116" s="79"/>
      <c r="AX116" s="79"/>
      <c r="AY116" s="79"/>
      <c r="AZ116" s="79"/>
      <c r="BA116" s="79"/>
      <c r="BB116" s="1"/>
      <c r="BC116" s="1"/>
      <c r="BD116" s="1"/>
      <c r="BE116" s="1"/>
      <c r="BF116" s="1"/>
      <c r="BG116" s="1"/>
      <c r="BH116" s="1"/>
    </row>
    <row r="117" spans="1:60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79"/>
      <c r="AO117" s="79"/>
      <c r="AP117" s="79"/>
      <c r="AQ117" s="79"/>
      <c r="AR117" s="79"/>
      <c r="AS117" s="79"/>
      <c r="AT117" s="79"/>
      <c r="AU117" s="79"/>
      <c r="AV117" s="79"/>
      <c r="AW117" s="79"/>
      <c r="AX117" s="79"/>
      <c r="AY117" s="79"/>
      <c r="AZ117" s="79"/>
      <c r="BA117" s="79"/>
      <c r="BB117" s="1"/>
      <c r="BC117" s="1"/>
      <c r="BD117" s="1"/>
      <c r="BE117" s="1"/>
      <c r="BF117" s="1"/>
      <c r="BG117" s="1"/>
      <c r="BH117" s="1"/>
    </row>
    <row r="118" spans="1:60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1"/>
      <c r="BC118" s="1"/>
      <c r="BD118" s="1"/>
      <c r="BE118" s="1"/>
      <c r="BF118" s="1"/>
      <c r="BG118" s="1"/>
      <c r="BH118" s="1"/>
    </row>
    <row r="119" spans="1:60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1"/>
      <c r="BC119" s="1"/>
      <c r="BD119" s="1"/>
      <c r="BE119" s="1"/>
      <c r="BF119" s="1"/>
      <c r="BG119" s="1"/>
      <c r="BH119" s="1"/>
    </row>
    <row r="120" spans="1:60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1"/>
      <c r="BC120" s="1"/>
      <c r="BD120" s="1"/>
      <c r="BE120" s="1"/>
      <c r="BF120" s="1"/>
      <c r="BG120" s="1"/>
      <c r="BH120" s="1"/>
    </row>
    <row r="121" spans="1:60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1"/>
      <c r="BC121" s="1"/>
      <c r="BD121" s="1"/>
      <c r="BE121" s="1"/>
      <c r="BF121" s="1"/>
      <c r="BG121" s="1"/>
      <c r="BH121" s="1"/>
    </row>
    <row r="122" spans="1:60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1"/>
      <c r="BC122" s="1"/>
      <c r="BD122" s="1"/>
      <c r="BE122" s="1"/>
      <c r="BF122" s="1"/>
      <c r="BG122" s="1"/>
      <c r="BH122" s="1"/>
    </row>
    <row r="123" spans="1:60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1"/>
      <c r="BC123" s="1"/>
      <c r="BD123" s="1"/>
      <c r="BE123" s="1"/>
      <c r="BF123" s="1"/>
      <c r="BG123" s="1"/>
      <c r="BH123" s="1"/>
    </row>
    <row r="124" spans="1:60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1"/>
      <c r="BC124" s="1"/>
      <c r="BD124" s="1"/>
      <c r="BE124" s="1"/>
      <c r="BF124" s="1"/>
      <c r="BG124" s="1"/>
      <c r="BH124" s="1"/>
    </row>
    <row r="125" spans="1:60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79"/>
      <c r="AO125" s="79"/>
      <c r="AP125" s="79"/>
      <c r="AQ125" s="79"/>
      <c r="AR125" s="79"/>
      <c r="AS125" s="79"/>
      <c r="AT125" s="79"/>
      <c r="AU125" s="79"/>
      <c r="AV125" s="79"/>
      <c r="AW125" s="79"/>
      <c r="AX125" s="79"/>
      <c r="AY125" s="79"/>
      <c r="AZ125" s="79"/>
      <c r="BA125" s="79"/>
      <c r="BB125" s="1"/>
      <c r="BC125" s="1"/>
      <c r="BD125" s="1"/>
      <c r="BE125" s="1"/>
      <c r="BF125" s="1"/>
      <c r="BG125" s="1"/>
      <c r="BH125" s="1"/>
    </row>
    <row r="126" spans="1:60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79"/>
      <c r="AO126" s="79"/>
      <c r="AP126" s="79"/>
      <c r="AQ126" s="79"/>
      <c r="AR126" s="79"/>
      <c r="AS126" s="79"/>
      <c r="AT126" s="79"/>
      <c r="AU126" s="79"/>
      <c r="AV126" s="79"/>
      <c r="AW126" s="79"/>
      <c r="AX126" s="79"/>
      <c r="AY126" s="79"/>
      <c r="AZ126" s="79"/>
      <c r="BA126" s="79"/>
      <c r="BB126" s="1"/>
      <c r="BC126" s="1"/>
      <c r="BD126" s="1"/>
      <c r="BE126" s="1"/>
      <c r="BF126" s="1"/>
      <c r="BG126" s="1"/>
      <c r="BH126" s="1"/>
    </row>
    <row r="127" spans="1:60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1"/>
      <c r="BC127" s="1"/>
      <c r="BD127" s="1"/>
      <c r="BE127" s="1"/>
      <c r="BF127" s="1"/>
      <c r="BG127" s="1"/>
      <c r="BH127" s="1"/>
    </row>
    <row r="128" spans="1:60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79"/>
      <c r="AO128" s="79"/>
      <c r="AP128" s="79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9"/>
      <c r="BB128" s="1"/>
      <c r="BC128" s="1"/>
      <c r="BD128" s="1"/>
      <c r="BE128" s="1"/>
      <c r="BF128" s="1"/>
      <c r="BG128" s="1"/>
      <c r="BH128" s="1"/>
    </row>
    <row r="129" spans="1:60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79"/>
      <c r="AO129" s="79"/>
      <c r="AP129" s="79"/>
      <c r="AQ129" s="79"/>
      <c r="AR129" s="79"/>
      <c r="AS129" s="79"/>
      <c r="AT129" s="79"/>
      <c r="AU129" s="79"/>
      <c r="AV129" s="79"/>
      <c r="AW129" s="79"/>
      <c r="AX129" s="79"/>
      <c r="AY129" s="79"/>
      <c r="AZ129" s="79"/>
      <c r="BA129" s="79"/>
      <c r="BB129" s="1"/>
      <c r="BC129" s="1"/>
      <c r="BD129" s="1"/>
      <c r="BE129" s="1"/>
      <c r="BF129" s="1"/>
      <c r="BG129" s="1"/>
      <c r="BH129" s="1"/>
    </row>
    <row r="130" spans="1:60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1"/>
      <c r="BC130" s="1"/>
      <c r="BD130" s="1"/>
      <c r="BE130" s="1"/>
      <c r="BF130" s="1"/>
      <c r="BG130" s="1"/>
      <c r="BH130" s="1"/>
    </row>
    <row r="131" spans="1:60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1"/>
      <c r="BC131" s="1"/>
      <c r="BD131" s="1"/>
      <c r="BE131" s="1"/>
      <c r="BF131" s="1"/>
      <c r="BG131" s="1"/>
      <c r="BH131" s="1"/>
    </row>
    <row r="132" spans="1:60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79"/>
      <c r="AO132" s="79"/>
      <c r="AP132" s="79"/>
      <c r="AQ132" s="79"/>
      <c r="AR132" s="79"/>
      <c r="AS132" s="79"/>
      <c r="AT132" s="79"/>
      <c r="AU132" s="79"/>
      <c r="AV132" s="79"/>
      <c r="AW132" s="79"/>
      <c r="AX132" s="79"/>
      <c r="AY132" s="79"/>
      <c r="AZ132" s="79"/>
      <c r="BA132" s="79"/>
      <c r="BB132" s="1"/>
      <c r="BC132" s="1"/>
      <c r="BD132" s="1"/>
      <c r="BE132" s="1"/>
      <c r="BF132" s="1"/>
      <c r="BG132" s="1"/>
      <c r="BH132" s="1"/>
    </row>
    <row r="133" spans="1:60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1"/>
      <c r="BC133" s="1"/>
      <c r="BD133" s="1"/>
      <c r="BE133" s="1"/>
      <c r="BF133" s="1"/>
      <c r="BG133" s="1"/>
      <c r="BH133" s="1"/>
    </row>
    <row r="134" spans="1:60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1"/>
      <c r="BC134" s="1"/>
      <c r="BD134" s="1"/>
      <c r="BE134" s="1"/>
      <c r="BF134" s="1"/>
      <c r="BG134" s="1"/>
      <c r="BH134" s="1"/>
    </row>
    <row r="135" spans="1:60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79"/>
      <c r="AO135" s="79"/>
      <c r="AP135" s="79"/>
      <c r="AQ135" s="79"/>
      <c r="AR135" s="79"/>
      <c r="AS135" s="79"/>
      <c r="AT135" s="79"/>
      <c r="AU135" s="79"/>
      <c r="AV135" s="79"/>
      <c r="AW135" s="79"/>
      <c r="AX135" s="79"/>
      <c r="AY135" s="79"/>
      <c r="AZ135" s="79"/>
      <c r="BA135" s="79"/>
      <c r="BB135" s="1"/>
      <c r="BC135" s="1"/>
      <c r="BD135" s="1"/>
      <c r="BE135" s="1"/>
      <c r="BF135" s="1"/>
      <c r="BG135" s="1"/>
      <c r="BH135" s="1"/>
    </row>
    <row r="136" spans="1:60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79"/>
      <c r="AO136" s="79"/>
      <c r="AP136" s="79"/>
      <c r="AQ136" s="79"/>
      <c r="AR136" s="79"/>
      <c r="AS136" s="79"/>
      <c r="AT136" s="79"/>
      <c r="AU136" s="79"/>
      <c r="AV136" s="79"/>
      <c r="AW136" s="79"/>
      <c r="AX136" s="79"/>
      <c r="AY136" s="79"/>
      <c r="AZ136" s="79"/>
      <c r="BA136" s="79"/>
      <c r="BB136" s="1"/>
      <c r="BC136" s="1"/>
      <c r="BD136" s="1"/>
      <c r="BE136" s="1"/>
      <c r="BF136" s="1"/>
      <c r="BG136" s="1"/>
      <c r="BH136" s="1"/>
    </row>
    <row r="137" spans="1:60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1"/>
      <c r="BC137" s="1"/>
      <c r="BD137" s="1"/>
      <c r="BE137" s="1"/>
      <c r="BF137" s="1"/>
      <c r="BG137" s="1"/>
      <c r="BH137" s="1"/>
    </row>
    <row r="138" spans="1:60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1"/>
      <c r="BC138" s="1"/>
      <c r="BD138" s="1"/>
      <c r="BE138" s="1"/>
      <c r="BF138" s="1"/>
      <c r="BG138" s="1"/>
      <c r="BH138" s="1"/>
    </row>
    <row r="139" spans="1:60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79"/>
      <c r="AO139" s="79"/>
      <c r="AP139" s="79"/>
      <c r="AQ139" s="79"/>
      <c r="AR139" s="79"/>
      <c r="AS139" s="79"/>
      <c r="AT139" s="79"/>
      <c r="AU139" s="79"/>
      <c r="AV139" s="79"/>
      <c r="AW139" s="79"/>
      <c r="AX139" s="79"/>
      <c r="AY139" s="79"/>
      <c r="AZ139" s="79"/>
      <c r="BA139" s="79"/>
      <c r="BB139" s="1"/>
      <c r="BC139" s="1"/>
      <c r="BD139" s="1"/>
      <c r="BE139" s="1"/>
      <c r="BF139" s="1"/>
      <c r="BG139" s="1"/>
      <c r="BH139" s="1"/>
    </row>
    <row r="140" spans="1:60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1"/>
      <c r="BC140" s="1"/>
      <c r="BD140" s="1"/>
      <c r="BE140" s="1"/>
      <c r="BF140" s="1"/>
      <c r="BG140" s="1"/>
      <c r="BH140" s="1"/>
    </row>
    <row r="141" spans="1:60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1"/>
      <c r="BC141" s="1"/>
      <c r="BD141" s="1"/>
      <c r="BE141" s="1"/>
      <c r="BF141" s="1"/>
      <c r="BG141" s="1"/>
      <c r="BH141" s="1"/>
    </row>
    <row r="142" spans="1:60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1"/>
      <c r="BC142" s="1"/>
      <c r="BD142" s="1"/>
      <c r="BE142" s="1"/>
      <c r="BF142" s="1"/>
      <c r="BG142" s="1"/>
      <c r="BH142" s="1"/>
    </row>
    <row r="143" spans="1:60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1"/>
      <c r="BC143" s="1"/>
      <c r="BD143" s="1"/>
      <c r="BE143" s="1"/>
      <c r="BF143" s="1"/>
      <c r="BG143" s="1"/>
      <c r="BH143" s="1"/>
    </row>
    <row r="144" spans="1:60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79"/>
      <c r="AO144" s="79"/>
      <c r="AP144" s="79"/>
      <c r="AQ144" s="79"/>
      <c r="AR144" s="79"/>
      <c r="AS144" s="79"/>
      <c r="AT144" s="79"/>
      <c r="AU144" s="79"/>
      <c r="AV144" s="79"/>
      <c r="AW144" s="79"/>
      <c r="AX144" s="79"/>
      <c r="AY144" s="79"/>
      <c r="AZ144" s="79"/>
      <c r="BA144" s="79"/>
      <c r="BB144" s="1"/>
      <c r="BC144" s="1"/>
      <c r="BD144" s="1"/>
      <c r="BE144" s="1"/>
      <c r="BF144" s="1"/>
      <c r="BG144" s="1"/>
      <c r="BH144" s="1"/>
    </row>
    <row r="145" spans="1:60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79"/>
      <c r="AO145" s="79"/>
      <c r="AP145" s="79"/>
      <c r="AQ145" s="79"/>
      <c r="AR145" s="79"/>
      <c r="AS145" s="79"/>
      <c r="AT145" s="79"/>
      <c r="AU145" s="79"/>
      <c r="AV145" s="79"/>
      <c r="AW145" s="79"/>
      <c r="AX145" s="79"/>
      <c r="AY145" s="79"/>
      <c r="AZ145" s="79"/>
      <c r="BA145" s="79"/>
      <c r="BB145" s="1"/>
      <c r="BC145" s="1"/>
      <c r="BD145" s="1"/>
      <c r="BE145" s="1"/>
      <c r="BF145" s="1"/>
      <c r="BG145" s="1"/>
      <c r="BH145" s="1"/>
    </row>
    <row r="146" spans="1:60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1"/>
      <c r="BC146" s="1"/>
      <c r="BD146" s="1"/>
      <c r="BE146" s="1"/>
      <c r="BF146" s="1"/>
      <c r="BG146" s="1"/>
      <c r="BH146" s="1"/>
    </row>
    <row r="147" spans="1:60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79"/>
      <c r="AO147" s="79"/>
      <c r="AP147" s="79"/>
      <c r="AQ147" s="79"/>
      <c r="AR147" s="79"/>
      <c r="AS147" s="79"/>
      <c r="AT147" s="79"/>
      <c r="AU147" s="79"/>
      <c r="AV147" s="79"/>
      <c r="AW147" s="79"/>
      <c r="AX147" s="79"/>
      <c r="AY147" s="79"/>
      <c r="AZ147" s="79"/>
      <c r="BA147" s="79"/>
      <c r="BB147" s="1"/>
      <c r="BC147" s="1"/>
      <c r="BD147" s="1"/>
      <c r="BE147" s="1"/>
      <c r="BF147" s="1"/>
      <c r="BG147" s="1"/>
      <c r="BH147" s="1"/>
    </row>
    <row r="148" spans="1:60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79"/>
      <c r="AO148" s="79"/>
      <c r="AP148" s="79"/>
      <c r="AQ148" s="79"/>
      <c r="AR148" s="79"/>
      <c r="AS148" s="79"/>
      <c r="AT148" s="79"/>
      <c r="AU148" s="79"/>
      <c r="AV148" s="79"/>
      <c r="AW148" s="79"/>
      <c r="AX148" s="79"/>
      <c r="AY148" s="79"/>
      <c r="AZ148" s="79"/>
      <c r="BA148" s="79"/>
      <c r="BB148" s="1"/>
      <c r="BC148" s="1"/>
      <c r="BD148" s="1"/>
      <c r="BE148" s="1"/>
      <c r="BF148" s="1"/>
      <c r="BG148" s="1"/>
      <c r="BH148" s="1"/>
    </row>
    <row r="149" spans="1:60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1"/>
      <c r="BC149" s="1"/>
      <c r="BD149" s="1"/>
      <c r="BE149" s="1"/>
      <c r="BF149" s="1"/>
      <c r="BG149" s="1"/>
      <c r="BH149" s="1"/>
    </row>
    <row r="150" spans="1:60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1"/>
      <c r="BC150" s="1"/>
      <c r="BD150" s="1"/>
      <c r="BE150" s="1"/>
      <c r="BF150" s="1"/>
      <c r="BG150" s="1"/>
      <c r="BH150" s="1"/>
    </row>
    <row r="151" spans="1:60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1"/>
      <c r="BC151" s="1"/>
      <c r="BD151" s="1"/>
      <c r="BE151" s="1"/>
      <c r="BF151" s="1"/>
      <c r="BG151" s="1"/>
      <c r="BH151" s="1"/>
    </row>
    <row r="152" spans="1:60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1"/>
      <c r="BC152" s="1"/>
      <c r="BD152" s="1"/>
      <c r="BE152" s="1"/>
      <c r="BF152" s="1"/>
      <c r="BG152" s="1"/>
      <c r="BH152" s="1"/>
    </row>
    <row r="153" spans="1:60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1"/>
      <c r="BC153" s="1"/>
      <c r="BD153" s="1"/>
      <c r="BE153" s="1"/>
      <c r="BF153" s="1"/>
      <c r="BG153" s="1"/>
      <c r="BH153" s="1"/>
    </row>
    <row r="154" spans="1:60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1"/>
      <c r="BC154" s="1"/>
      <c r="BD154" s="1"/>
      <c r="BE154" s="1"/>
      <c r="BF154" s="1"/>
      <c r="BG154" s="1"/>
      <c r="BH154" s="1"/>
    </row>
    <row r="155" spans="1:60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1"/>
      <c r="BC155" s="1"/>
      <c r="BD155" s="1"/>
      <c r="BE155" s="1"/>
      <c r="BF155" s="1"/>
      <c r="BG155" s="1"/>
      <c r="BH155" s="1"/>
    </row>
    <row r="156" spans="1:60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1"/>
      <c r="BC156" s="1"/>
      <c r="BD156" s="1"/>
      <c r="BE156" s="1"/>
      <c r="BF156" s="1"/>
      <c r="BG156" s="1"/>
      <c r="BH156" s="1"/>
    </row>
    <row r="157" spans="1:60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1"/>
      <c r="BC157" s="1"/>
      <c r="BD157" s="1"/>
      <c r="BE157" s="1"/>
      <c r="BF157" s="1"/>
      <c r="BG157" s="1"/>
      <c r="BH157" s="1"/>
    </row>
    <row r="158" spans="1:60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79"/>
      <c r="AO158" s="79"/>
      <c r="AP158" s="79"/>
      <c r="AQ158" s="79"/>
      <c r="AR158" s="79"/>
      <c r="AS158" s="79"/>
      <c r="AT158" s="79"/>
      <c r="AU158" s="79"/>
      <c r="AV158" s="79"/>
      <c r="AW158" s="79"/>
      <c r="AX158" s="79"/>
      <c r="AY158" s="79"/>
      <c r="AZ158" s="79"/>
      <c r="BA158" s="79"/>
      <c r="BB158" s="1"/>
      <c r="BC158" s="1"/>
      <c r="BD158" s="1"/>
      <c r="BE158" s="1"/>
      <c r="BF158" s="1"/>
      <c r="BG158" s="1"/>
      <c r="BH158" s="1"/>
    </row>
    <row r="159" spans="1:60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1"/>
      <c r="BC159" s="1"/>
      <c r="BD159" s="1"/>
      <c r="BE159" s="1"/>
      <c r="BF159" s="1"/>
      <c r="BG159" s="1"/>
      <c r="BH159" s="1"/>
    </row>
    <row r="160" spans="1:60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79"/>
      <c r="AO160" s="79"/>
      <c r="AP160" s="79"/>
      <c r="AQ160" s="79"/>
      <c r="AR160" s="79"/>
      <c r="AS160" s="79"/>
      <c r="AT160" s="79"/>
      <c r="AU160" s="79"/>
      <c r="AV160" s="79"/>
      <c r="AW160" s="79"/>
      <c r="AX160" s="79"/>
      <c r="AY160" s="79"/>
      <c r="AZ160" s="79"/>
      <c r="BA160" s="79"/>
      <c r="BB160" s="1"/>
      <c r="BC160" s="1"/>
      <c r="BD160" s="1"/>
      <c r="BE160" s="1"/>
      <c r="BF160" s="1"/>
      <c r="BG160" s="1"/>
      <c r="BH160" s="1"/>
    </row>
    <row r="161" spans="1:60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79"/>
      <c r="AO161" s="79"/>
      <c r="AP161" s="79"/>
      <c r="AQ161" s="79"/>
      <c r="AR161" s="79"/>
      <c r="AS161" s="79"/>
      <c r="AT161" s="79"/>
      <c r="AU161" s="79"/>
      <c r="AV161" s="79"/>
      <c r="AW161" s="79"/>
      <c r="AX161" s="79"/>
      <c r="AY161" s="79"/>
      <c r="AZ161" s="79"/>
      <c r="BA161" s="79"/>
      <c r="BB161" s="1"/>
      <c r="BC161" s="1"/>
      <c r="BD161" s="1"/>
      <c r="BE161" s="1"/>
      <c r="BF161" s="1"/>
      <c r="BG161" s="1"/>
      <c r="BH161" s="1"/>
    </row>
    <row r="162" spans="1:60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1"/>
      <c r="BC162" s="1"/>
      <c r="BD162" s="1"/>
      <c r="BE162" s="1"/>
      <c r="BF162" s="1"/>
      <c r="BG162" s="1"/>
      <c r="BH162" s="1"/>
    </row>
    <row r="163" spans="1:60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/>
      <c r="AY163" s="79"/>
      <c r="AZ163" s="79"/>
      <c r="BA163" s="79"/>
      <c r="BB163" s="1"/>
      <c r="BC163" s="1"/>
      <c r="BD163" s="1"/>
      <c r="BE163" s="1"/>
      <c r="BF163" s="1"/>
      <c r="BG163" s="1"/>
      <c r="BH163" s="1"/>
    </row>
    <row r="164" spans="1:60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79"/>
      <c r="AO164" s="79"/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1"/>
      <c r="BC164" s="1"/>
      <c r="BD164" s="1"/>
      <c r="BE164" s="1"/>
      <c r="BF164" s="1"/>
      <c r="BG164" s="1"/>
      <c r="BH164" s="1"/>
    </row>
    <row r="165" spans="1:60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1"/>
      <c r="BC165" s="1"/>
      <c r="BD165" s="1"/>
      <c r="BE165" s="1"/>
      <c r="BF165" s="1"/>
      <c r="BG165" s="1"/>
      <c r="BH165" s="1"/>
    </row>
    <row r="166" spans="1:60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79"/>
      <c r="AY166" s="79"/>
      <c r="AZ166" s="79"/>
      <c r="BA166" s="79"/>
      <c r="BB166" s="1"/>
      <c r="BC166" s="1"/>
      <c r="BD166" s="1"/>
      <c r="BE166" s="1"/>
      <c r="BF166" s="1"/>
      <c r="BG166" s="1"/>
      <c r="BH166" s="1"/>
    </row>
    <row r="167" spans="1:60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1"/>
      <c r="BC167" s="1"/>
      <c r="BD167" s="1"/>
      <c r="BE167" s="1"/>
      <c r="BF167" s="1"/>
      <c r="BG167" s="1"/>
      <c r="BH167" s="1"/>
    </row>
    <row r="168" spans="1:60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1"/>
      <c r="BC168" s="1"/>
      <c r="BD168" s="1"/>
      <c r="BE168" s="1"/>
      <c r="BF168" s="1"/>
      <c r="BG168" s="1"/>
      <c r="BH168" s="1"/>
    </row>
    <row r="169" spans="1:60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1"/>
      <c r="BC169" s="1"/>
      <c r="BD169" s="1"/>
      <c r="BE169" s="1"/>
      <c r="BF169" s="1"/>
      <c r="BG169" s="1"/>
      <c r="BH169" s="1"/>
    </row>
    <row r="170" spans="1:60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1"/>
      <c r="BC170" s="1"/>
      <c r="BD170" s="1"/>
      <c r="BE170" s="1"/>
      <c r="BF170" s="1"/>
      <c r="BG170" s="1"/>
      <c r="BH170" s="1"/>
    </row>
    <row r="171" spans="1:60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1"/>
      <c r="BC171" s="1"/>
      <c r="BD171" s="1"/>
      <c r="BE171" s="1"/>
      <c r="BF171" s="1"/>
      <c r="BG171" s="1"/>
      <c r="BH171" s="1"/>
    </row>
    <row r="172" spans="1:60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1"/>
      <c r="BC172" s="1"/>
      <c r="BD172" s="1"/>
      <c r="BE172" s="1"/>
      <c r="BF172" s="1"/>
      <c r="BG172" s="1"/>
      <c r="BH172" s="1"/>
    </row>
    <row r="173" spans="1:60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1"/>
      <c r="BC173" s="1"/>
      <c r="BD173" s="1"/>
      <c r="BE173" s="1"/>
      <c r="BF173" s="1"/>
      <c r="BG173" s="1"/>
      <c r="BH173" s="1"/>
    </row>
    <row r="174" spans="1:60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/>
      <c r="AY174" s="79"/>
      <c r="AZ174" s="79"/>
      <c r="BA174" s="79"/>
      <c r="BB174" s="1"/>
      <c r="BC174" s="1"/>
      <c r="BD174" s="1"/>
      <c r="BE174" s="1"/>
      <c r="BF174" s="1"/>
      <c r="BG174" s="1"/>
      <c r="BH174" s="1"/>
    </row>
    <row r="175" spans="1:60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/>
      <c r="BA175" s="79"/>
      <c r="BB175" s="1"/>
      <c r="BC175" s="1"/>
      <c r="BD175" s="1"/>
      <c r="BE175" s="1"/>
      <c r="BF175" s="1"/>
      <c r="BG175" s="1"/>
      <c r="BH175" s="1"/>
    </row>
    <row r="176" spans="1:60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79"/>
      <c r="AO176" s="79"/>
      <c r="AP176" s="79"/>
      <c r="AQ176" s="79"/>
      <c r="AR176" s="79"/>
      <c r="AS176" s="79"/>
      <c r="AT176" s="79"/>
      <c r="AU176" s="79"/>
      <c r="AV176" s="79"/>
      <c r="AW176" s="79"/>
      <c r="AX176" s="79"/>
      <c r="AY176" s="79"/>
      <c r="AZ176" s="79"/>
      <c r="BA176" s="79"/>
      <c r="BB176" s="1"/>
      <c r="BC176" s="1"/>
      <c r="BD176" s="1"/>
      <c r="BE176" s="1"/>
      <c r="BF176" s="1"/>
      <c r="BG176" s="1"/>
      <c r="BH176" s="1"/>
    </row>
    <row r="177" spans="1:60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79"/>
      <c r="AO177" s="79"/>
      <c r="AP177" s="79"/>
      <c r="AQ177" s="79"/>
      <c r="AR177" s="79"/>
      <c r="AS177" s="79"/>
      <c r="AT177" s="79"/>
      <c r="AU177" s="79"/>
      <c r="AV177" s="79"/>
      <c r="AW177" s="79"/>
      <c r="AX177" s="79"/>
      <c r="AY177" s="79"/>
      <c r="AZ177" s="79"/>
      <c r="BA177" s="79"/>
      <c r="BB177" s="1"/>
      <c r="BC177" s="1"/>
      <c r="BD177" s="1"/>
      <c r="BE177" s="1"/>
      <c r="BF177" s="1"/>
      <c r="BG177" s="1"/>
      <c r="BH177" s="1"/>
    </row>
    <row r="178" spans="1:60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1"/>
      <c r="BC178" s="1"/>
      <c r="BD178" s="1"/>
      <c r="BE178" s="1"/>
      <c r="BF178" s="1"/>
      <c r="BG178" s="1"/>
      <c r="BH178" s="1"/>
    </row>
    <row r="179" spans="1:60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79"/>
      <c r="AO179" s="79"/>
      <c r="AP179" s="79"/>
      <c r="AQ179" s="79"/>
      <c r="AR179" s="79"/>
      <c r="AS179" s="79"/>
      <c r="AT179" s="79"/>
      <c r="AU179" s="79"/>
      <c r="AV179" s="79"/>
      <c r="AW179" s="79"/>
      <c r="AX179" s="79"/>
      <c r="AY179" s="79"/>
      <c r="AZ179" s="79"/>
      <c r="BA179" s="79"/>
      <c r="BB179" s="1"/>
      <c r="BC179" s="1"/>
      <c r="BD179" s="1"/>
      <c r="BE179" s="1"/>
      <c r="BF179" s="1"/>
      <c r="BG179" s="1"/>
      <c r="BH179" s="1"/>
    </row>
    <row r="180" spans="1:60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79"/>
      <c r="AO180" s="79"/>
      <c r="AP180" s="79"/>
      <c r="AQ180" s="79"/>
      <c r="AR180" s="79"/>
      <c r="AS180" s="79"/>
      <c r="AT180" s="79"/>
      <c r="AU180" s="79"/>
      <c r="AV180" s="79"/>
      <c r="AW180" s="79"/>
      <c r="AX180" s="79"/>
      <c r="AY180" s="79"/>
      <c r="AZ180" s="79"/>
      <c r="BA180" s="79"/>
      <c r="BB180" s="1"/>
      <c r="BC180" s="1"/>
      <c r="BD180" s="1"/>
      <c r="BE180" s="1"/>
      <c r="BF180" s="1"/>
      <c r="BG180" s="1"/>
      <c r="BH180" s="1"/>
    </row>
    <row r="181" spans="1:60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1"/>
      <c r="BC181" s="1"/>
      <c r="BD181" s="1"/>
      <c r="BE181" s="1"/>
      <c r="BF181" s="1"/>
      <c r="BG181" s="1"/>
      <c r="BH181" s="1"/>
    </row>
    <row r="182" spans="1:60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/>
      <c r="BA182" s="79"/>
      <c r="BB182" s="1"/>
      <c r="BC182" s="1"/>
      <c r="BD182" s="1"/>
      <c r="BE182" s="1"/>
      <c r="BF182" s="1"/>
      <c r="BG182" s="1"/>
      <c r="BH182" s="1"/>
    </row>
    <row r="183" spans="1:60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79"/>
      <c r="AO183" s="79"/>
      <c r="AP183" s="79"/>
      <c r="AQ183" s="79"/>
      <c r="AR183" s="79"/>
      <c r="AS183" s="79"/>
      <c r="AT183" s="79"/>
      <c r="AU183" s="79"/>
      <c r="AV183" s="79"/>
      <c r="AW183" s="79"/>
      <c r="AX183" s="79"/>
      <c r="AY183" s="79"/>
      <c r="AZ183" s="79"/>
      <c r="BA183" s="79"/>
      <c r="BB183" s="1"/>
      <c r="BC183" s="1"/>
      <c r="BD183" s="1"/>
      <c r="BE183" s="1"/>
      <c r="BF183" s="1"/>
      <c r="BG183" s="1"/>
      <c r="BH183" s="1"/>
    </row>
    <row r="184" spans="1:60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1"/>
      <c r="BC184" s="1"/>
      <c r="BD184" s="1"/>
      <c r="BE184" s="1"/>
      <c r="BF184" s="1"/>
      <c r="BG184" s="1"/>
      <c r="BH184" s="1"/>
    </row>
    <row r="185" spans="1:60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1"/>
      <c r="BC185" s="1"/>
      <c r="BD185" s="1"/>
      <c r="BE185" s="1"/>
      <c r="BF185" s="1"/>
      <c r="BG185" s="1"/>
      <c r="BH185" s="1"/>
    </row>
    <row r="186" spans="1:60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/>
      <c r="BA186" s="79"/>
      <c r="BB186" s="1"/>
      <c r="BC186" s="1"/>
      <c r="BD186" s="1"/>
      <c r="BE186" s="1"/>
      <c r="BF186" s="1"/>
      <c r="BG186" s="1"/>
      <c r="BH186" s="1"/>
    </row>
    <row r="187" spans="1:60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1"/>
      <c r="BC187" s="1"/>
      <c r="BD187" s="1"/>
      <c r="BE187" s="1"/>
      <c r="BF187" s="1"/>
      <c r="BG187" s="1"/>
      <c r="BH187" s="1"/>
    </row>
    <row r="188" spans="1:60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79"/>
      <c r="AO188" s="79"/>
      <c r="AP188" s="79"/>
      <c r="AQ188" s="79"/>
      <c r="AR188" s="79"/>
      <c r="AS188" s="79"/>
      <c r="AT188" s="79"/>
      <c r="AU188" s="79"/>
      <c r="AV188" s="79"/>
      <c r="AW188" s="79"/>
      <c r="AX188" s="79"/>
      <c r="AY188" s="79"/>
      <c r="AZ188" s="79"/>
      <c r="BA188" s="79"/>
      <c r="BB188" s="1"/>
      <c r="BC188" s="1"/>
      <c r="BD188" s="1"/>
      <c r="BE188" s="1"/>
      <c r="BF188" s="1"/>
      <c r="BG188" s="1"/>
      <c r="BH188" s="1"/>
    </row>
    <row r="189" spans="1:60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1"/>
      <c r="BC189" s="1"/>
      <c r="BD189" s="1"/>
      <c r="BE189" s="1"/>
      <c r="BF189" s="1"/>
      <c r="BG189" s="1"/>
      <c r="BH189" s="1"/>
    </row>
    <row r="190" spans="1:60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1"/>
      <c r="BC190" s="1"/>
      <c r="BD190" s="1"/>
      <c r="BE190" s="1"/>
      <c r="BF190" s="1"/>
      <c r="BG190" s="1"/>
      <c r="BH190" s="1"/>
    </row>
    <row r="191" spans="1:60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1"/>
      <c r="BC191" s="1"/>
      <c r="BD191" s="1"/>
      <c r="BE191" s="1"/>
      <c r="BF191" s="1"/>
      <c r="BG191" s="1"/>
      <c r="BH191" s="1"/>
    </row>
    <row r="192" spans="1:60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/>
      <c r="BA192" s="79"/>
      <c r="BB192" s="1"/>
      <c r="BC192" s="1"/>
      <c r="BD192" s="1"/>
      <c r="BE192" s="1"/>
      <c r="BF192" s="1"/>
      <c r="BG192" s="1"/>
      <c r="BH192" s="1"/>
    </row>
    <row r="193" spans="1:60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79"/>
      <c r="AO193" s="79"/>
      <c r="AP193" s="79"/>
      <c r="AQ193" s="79"/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1"/>
      <c r="BC193" s="1"/>
      <c r="BD193" s="1"/>
      <c r="BE193" s="1"/>
      <c r="BF193" s="1"/>
      <c r="BG193" s="1"/>
      <c r="BH193" s="1"/>
    </row>
    <row r="194" spans="1:60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1"/>
      <c r="BC194" s="1"/>
      <c r="BD194" s="1"/>
      <c r="BE194" s="1"/>
      <c r="BF194" s="1"/>
      <c r="BG194" s="1"/>
      <c r="BH194" s="1"/>
    </row>
    <row r="195" spans="1:60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1"/>
      <c r="BC195" s="1"/>
      <c r="BD195" s="1"/>
      <c r="BE195" s="1"/>
      <c r="BF195" s="1"/>
      <c r="BG195" s="1"/>
      <c r="BH195" s="1"/>
    </row>
    <row r="196" spans="1:60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1"/>
      <c r="BC196" s="1"/>
      <c r="BD196" s="1"/>
      <c r="BE196" s="1"/>
      <c r="BF196" s="1"/>
      <c r="BG196" s="1"/>
      <c r="BH196" s="1"/>
    </row>
    <row r="197" spans="1:60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1"/>
      <c r="BC197" s="1"/>
      <c r="BD197" s="1"/>
      <c r="BE197" s="1"/>
      <c r="BF197" s="1"/>
      <c r="BG197" s="1"/>
      <c r="BH197" s="1"/>
    </row>
    <row r="198" spans="1:60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9"/>
      <c r="BA198" s="79"/>
      <c r="BB198" s="1"/>
      <c r="BC198" s="1"/>
      <c r="BD198" s="1"/>
      <c r="BE198" s="1"/>
      <c r="BF198" s="1"/>
      <c r="BG198" s="1"/>
      <c r="BH198" s="1"/>
    </row>
    <row r="199" spans="1:60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79"/>
      <c r="AO199" s="79"/>
      <c r="AP199" s="79"/>
      <c r="AQ199" s="79"/>
      <c r="AR199" s="79"/>
      <c r="AS199" s="79"/>
      <c r="AT199" s="79"/>
      <c r="AU199" s="79"/>
      <c r="AV199" s="79"/>
      <c r="AW199" s="79"/>
      <c r="AX199" s="79"/>
      <c r="AY199" s="79"/>
      <c r="AZ199" s="79"/>
      <c r="BA199" s="79"/>
      <c r="BB199" s="1"/>
      <c r="BC199" s="1"/>
      <c r="BD199" s="1"/>
      <c r="BE199" s="1"/>
      <c r="BF199" s="1"/>
      <c r="BG199" s="1"/>
      <c r="BH199" s="1"/>
    </row>
    <row r="200" spans="1:60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1"/>
      <c r="BC200" s="1"/>
      <c r="BD200" s="1"/>
      <c r="BE200" s="1"/>
      <c r="BF200" s="1"/>
      <c r="BG200" s="1"/>
      <c r="BH200" s="1"/>
    </row>
    <row r="201" spans="1:60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1"/>
      <c r="BC201" s="1"/>
      <c r="BD201" s="1"/>
      <c r="BE201" s="1"/>
      <c r="BF201" s="1"/>
      <c r="BG201" s="1"/>
      <c r="BH201" s="1"/>
    </row>
    <row r="202" spans="1:60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1"/>
      <c r="BC202" s="1"/>
      <c r="BD202" s="1"/>
      <c r="BE202" s="1"/>
      <c r="BF202" s="1"/>
      <c r="BG202" s="1"/>
      <c r="BH202" s="1"/>
    </row>
    <row r="203" spans="1:60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1"/>
      <c r="BC203" s="1"/>
      <c r="BD203" s="1"/>
      <c r="BE203" s="1"/>
      <c r="BF203" s="1"/>
      <c r="BG203" s="1"/>
      <c r="BH203" s="1"/>
    </row>
    <row r="204" spans="1:60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79"/>
      <c r="AO204" s="79"/>
      <c r="AP204" s="79"/>
      <c r="AQ204" s="79"/>
      <c r="AR204" s="79"/>
      <c r="AS204" s="79"/>
      <c r="AT204" s="79"/>
      <c r="AU204" s="79"/>
      <c r="AV204" s="79"/>
      <c r="AW204" s="79"/>
      <c r="AX204" s="79"/>
      <c r="AY204" s="79"/>
      <c r="AZ204" s="79"/>
      <c r="BA204" s="79"/>
      <c r="BB204" s="1"/>
      <c r="BC204" s="1"/>
      <c r="BD204" s="1"/>
      <c r="BE204" s="1"/>
      <c r="BF204" s="1"/>
      <c r="BG204" s="1"/>
      <c r="BH204" s="1"/>
    </row>
    <row r="205" spans="1:60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79"/>
      <c r="AO205" s="79"/>
      <c r="AP205" s="79"/>
      <c r="AQ205" s="79"/>
      <c r="AR205" s="79"/>
      <c r="AS205" s="79"/>
      <c r="AT205" s="79"/>
      <c r="AU205" s="79"/>
      <c r="AV205" s="79"/>
      <c r="AW205" s="79"/>
      <c r="AX205" s="79"/>
      <c r="AY205" s="79"/>
      <c r="AZ205" s="79"/>
      <c r="BA205" s="79"/>
      <c r="BB205" s="1"/>
      <c r="BC205" s="1"/>
      <c r="BD205" s="1"/>
      <c r="BE205" s="1"/>
      <c r="BF205" s="1"/>
      <c r="BG205" s="1"/>
      <c r="BH205" s="1"/>
    </row>
    <row r="206" spans="1:60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1"/>
      <c r="BC206" s="1"/>
      <c r="BD206" s="1"/>
      <c r="BE206" s="1"/>
      <c r="BF206" s="1"/>
      <c r="BG206" s="1"/>
      <c r="BH206" s="1"/>
    </row>
    <row r="207" spans="1:60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79"/>
      <c r="AO207" s="79"/>
      <c r="AP207" s="79"/>
      <c r="AQ207" s="79"/>
      <c r="AR207" s="79"/>
      <c r="AS207" s="79"/>
      <c r="AT207" s="79"/>
      <c r="AU207" s="79"/>
      <c r="AV207" s="79"/>
      <c r="AW207" s="79"/>
      <c r="AX207" s="79"/>
      <c r="AY207" s="79"/>
      <c r="AZ207" s="79"/>
      <c r="BA207" s="79"/>
      <c r="BB207" s="1"/>
      <c r="BC207" s="1"/>
      <c r="BD207" s="1"/>
      <c r="BE207" s="1"/>
      <c r="BF207" s="1"/>
      <c r="BG207" s="1"/>
      <c r="BH207" s="1"/>
    </row>
    <row r="208" spans="1:60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79"/>
      <c r="AO208" s="79"/>
      <c r="AP208" s="79"/>
      <c r="AQ208" s="79"/>
      <c r="AR208" s="79"/>
      <c r="AS208" s="79"/>
      <c r="AT208" s="79"/>
      <c r="AU208" s="79"/>
      <c r="AV208" s="79"/>
      <c r="AW208" s="79"/>
      <c r="AX208" s="79"/>
      <c r="AY208" s="79"/>
      <c r="AZ208" s="79"/>
      <c r="BA208" s="79"/>
      <c r="BB208" s="1"/>
      <c r="BC208" s="1"/>
      <c r="BD208" s="1"/>
      <c r="BE208" s="1"/>
      <c r="BF208" s="1"/>
      <c r="BG208" s="1"/>
      <c r="BH208" s="1"/>
    </row>
    <row r="209" spans="1:60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79"/>
      <c r="AO209" s="79"/>
      <c r="AP209" s="79"/>
      <c r="AQ209" s="79"/>
      <c r="AR209" s="79"/>
      <c r="AS209" s="79"/>
      <c r="AT209" s="79"/>
      <c r="AU209" s="79"/>
      <c r="AV209" s="79"/>
      <c r="AW209" s="79"/>
      <c r="AX209" s="79"/>
      <c r="AY209" s="79"/>
      <c r="AZ209" s="79"/>
      <c r="BA209" s="79"/>
      <c r="BB209" s="1"/>
      <c r="BC209" s="1"/>
      <c r="BD209" s="1"/>
      <c r="BE209" s="1"/>
      <c r="BF209" s="1"/>
      <c r="BG209" s="1"/>
      <c r="BH209" s="1"/>
    </row>
    <row r="210" spans="1:60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79"/>
      <c r="AO210" s="79"/>
      <c r="AP210" s="79"/>
      <c r="AQ210" s="79"/>
      <c r="AR210" s="79"/>
      <c r="AS210" s="79"/>
      <c r="AT210" s="79"/>
      <c r="AU210" s="79"/>
      <c r="AV210" s="79"/>
      <c r="AW210" s="79"/>
      <c r="AX210" s="79"/>
      <c r="AY210" s="79"/>
      <c r="AZ210" s="79"/>
      <c r="BA210" s="79"/>
      <c r="BB210" s="1"/>
      <c r="BC210" s="1"/>
      <c r="BD210" s="1"/>
      <c r="BE210" s="1"/>
      <c r="BF210" s="1"/>
      <c r="BG210" s="1"/>
      <c r="BH210" s="1"/>
    </row>
    <row r="211" spans="1:60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79"/>
      <c r="AO211" s="79"/>
      <c r="AP211" s="79"/>
      <c r="AQ211" s="79"/>
      <c r="AR211" s="79"/>
      <c r="AS211" s="79"/>
      <c r="AT211" s="79"/>
      <c r="AU211" s="79"/>
      <c r="AV211" s="79"/>
      <c r="AW211" s="79"/>
      <c r="AX211" s="79"/>
      <c r="AY211" s="79"/>
      <c r="AZ211" s="79"/>
      <c r="BA211" s="79"/>
      <c r="BB211" s="1"/>
      <c r="BC211" s="1"/>
      <c r="BD211" s="1"/>
      <c r="BE211" s="1"/>
      <c r="BF211" s="1"/>
      <c r="BG211" s="1"/>
      <c r="BH211" s="1"/>
    </row>
    <row r="212" spans="1:60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79"/>
      <c r="AO212" s="79"/>
      <c r="AP212" s="79"/>
      <c r="AQ212" s="79"/>
      <c r="AR212" s="79"/>
      <c r="AS212" s="79"/>
      <c r="AT212" s="79"/>
      <c r="AU212" s="79"/>
      <c r="AV212" s="79"/>
      <c r="AW212" s="79"/>
      <c r="AX212" s="79"/>
      <c r="AY212" s="79"/>
      <c r="AZ212" s="79"/>
      <c r="BA212" s="79"/>
      <c r="BB212" s="1"/>
      <c r="BC212" s="1"/>
      <c r="BD212" s="1"/>
      <c r="BE212" s="1"/>
      <c r="BF212" s="1"/>
      <c r="BG212" s="1"/>
      <c r="BH212" s="1"/>
    </row>
    <row r="213" spans="1:60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79"/>
      <c r="AO213" s="79"/>
      <c r="AP213" s="79"/>
      <c r="AQ213" s="79"/>
      <c r="AR213" s="79"/>
      <c r="AS213" s="79"/>
      <c r="AT213" s="79"/>
      <c r="AU213" s="79"/>
      <c r="AV213" s="79"/>
      <c r="AW213" s="79"/>
      <c r="AX213" s="79"/>
      <c r="AY213" s="79"/>
      <c r="AZ213" s="79"/>
      <c r="BA213" s="79"/>
      <c r="BB213" s="1"/>
      <c r="BC213" s="1"/>
      <c r="BD213" s="1"/>
      <c r="BE213" s="1"/>
      <c r="BF213" s="1"/>
      <c r="BG213" s="1"/>
      <c r="BH213" s="1"/>
    </row>
    <row r="214" spans="1:60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79"/>
      <c r="AO214" s="79"/>
      <c r="AP214" s="79"/>
      <c r="AQ214" s="79"/>
      <c r="AR214" s="79"/>
      <c r="AS214" s="79"/>
      <c r="AT214" s="79"/>
      <c r="AU214" s="79"/>
      <c r="AV214" s="79"/>
      <c r="AW214" s="79"/>
      <c r="AX214" s="79"/>
      <c r="AY214" s="79"/>
      <c r="AZ214" s="79"/>
      <c r="BA214" s="79"/>
      <c r="BB214" s="1"/>
      <c r="BC214" s="1"/>
      <c r="BD214" s="1"/>
      <c r="BE214" s="1"/>
      <c r="BF214" s="1"/>
      <c r="BG214" s="1"/>
      <c r="BH214" s="1"/>
    </row>
    <row r="215" spans="1:60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79"/>
      <c r="AO215" s="79"/>
      <c r="AP215" s="79"/>
      <c r="AQ215" s="79"/>
      <c r="AR215" s="79"/>
      <c r="AS215" s="79"/>
      <c r="AT215" s="79"/>
      <c r="AU215" s="79"/>
      <c r="AV215" s="79"/>
      <c r="AW215" s="79"/>
      <c r="AX215" s="79"/>
      <c r="AY215" s="79"/>
      <c r="AZ215" s="79"/>
      <c r="BA215" s="79"/>
      <c r="BB215" s="1"/>
      <c r="BC215" s="1"/>
      <c r="BD215" s="1"/>
      <c r="BE215" s="1"/>
      <c r="BF215" s="1"/>
      <c r="BG215" s="1"/>
      <c r="BH215" s="1"/>
    </row>
    <row r="216" spans="1:60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79"/>
      <c r="AO216" s="79"/>
      <c r="AP216" s="79"/>
      <c r="AQ216" s="79"/>
      <c r="AR216" s="79"/>
      <c r="AS216" s="79"/>
      <c r="AT216" s="79"/>
      <c r="AU216" s="79"/>
      <c r="AV216" s="79"/>
      <c r="AW216" s="79"/>
      <c r="AX216" s="79"/>
      <c r="AY216" s="79"/>
      <c r="AZ216" s="79"/>
      <c r="BA216" s="79"/>
      <c r="BB216" s="1"/>
      <c r="BC216" s="1"/>
      <c r="BD216" s="1"/>
      <c r="BE216" s="1"/>
      <c r="BF216" s="1"/>
      <c r="BG216" s="1"/>
      <c r="BH216" s="1"/>
    </row>
    <row r="217" spans="1:60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79"/>
      <c r="AO217" s="79"/>
      <c r="AP217" s="79"/>
      <c r="AQ217" s="79"/>
      <c r="AR217" s="79"/>
      <c r="AS217" s="79"/>
      <c r="AT217" s="79"/>
      <c r="AU217" s="79"/>
      <c r="AV217" s="79"/>
      <c r="AW217" s="79"/>
      <c r="AX217" s="79"/>
      <c r="AY217" s="79"/>
      <c r="AZ217" s="79"/>
      <c r="BA217" s="79"/>
      <c r="BB217" s="1"/>
      <c r="BC217" s="1"/>
      <c r="BD217" s="1"/>
      <c r="BE217" s="1"/>
      <c r="BF217" s="1"/>
      <c r="BG217" s="1"/>
      <c r="BH217" s="1"/>
    </row>
    <row r="218" spans="1:60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79"/>
      <c r="AO218" s="79"/>
      <c r="AP218" s="79"/>
      <c r="AQ218" s="79"/>
      <c r="AR218" s="79"/>
      <c r="AS218" s="79"/>
      <c r="AT218" s="79"/>
      <c r="AU218" s="79"/>
      <c r="AV218" s="79"/>
      <c r="AW218" s="79"/>
      <c r="AX218" s="79"/>
      <c r="AY218" s="79"/>
      <c r="AZ218" s="79"/>
      <c r="BA218" s="79"/>
      <c r="BB218" s="1"/>
      <c r="BC218" s="1"/>
      <c r="BD218" s="1"/>
      <c r="BE218" s="1"/>
      <c r="BF218" s="1"/>
      <c r="BG218" s="1"/>
      <c r="BH218" s="1"/>
    </row>
    <row r="219" spans="1:60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79"/>
      <c r="AO219" s="79"/>
      <c r="AP219" s="79"/>
      <c r="AQ219" s="79"/>
      <c r="AR219" s="79"/>
      <c r="AS219" s="79"/>
      <c r="AT219" s="79"/>
      <c r="AU219" s="79"/>
      <c r="AV219" s="79"/>
      <c r="AW219" s="79"/>
      <c r="AX219" s="79"/>
      <c r="AY219" s="79"/>
      <c r="AZ219" s="79"/>
      <c r="BA219" s="79"/>
      <c r="BB219" s="1"/>
      <c r="BC219" s="1"/>
      <c r="BD219" s="1"/>
      <c r="BE219" s="1"/>
      <c r="BF219" s="1"/>
      <c r="BG219" s="1"/>
      <c r="BH219" s="1"/>
    </row>
    <row r="220" spans="1:60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79"/>
      <c r="AO220" s="79"/>
      <c r="AP220" s="79"/>
      <c r="AQ220" s="79"/>
      <c r="AR220" s="79"/>
      <c r="AS220" s="79"/>
      <c r="AT220" s="79"/>
      <c r="AU220" s="79"/>
      <c r="AV220" s="79"/>
      <c r="AW220" s="79"/>
      <c r="AX220" s="79"/>
      <c r="AY220" s="79"/>
      <c r="AZ220" s="79"/>
      <c r="BA220" s="79"/>
      <c r="BB220" s="1"/>
      <c r="BC220" s="1"/>
      <c r="BD220" s="1"/>
      <c r="BE220" s="1"/>
      <c r="BF220" s="1"/>
      <c r="BG220" s="1"/>
      <c r="BH220" s="1"/>
    </row>
    <row r="221" spans="1:60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79"/>
      <c r="AO221" s="79"/>
      <c r="AP221" s="79"/>
      <c r="AQ221" s="79"/>
      <c r="AR221" s="79"/>
      <c r="AS221" s="79"/>
      <c r="AT221" s="79"/>
      <c r="AU221" s="79"/>
      <c r="AV221" s="79"/>
      <c r="AW221" s="79"/>
      <c r="AX221" s="79"/>
      <c r="AY221" s="79"/>
      <c r="AZ221" s="79"/>
      <c r="BA221" s="79"/>
      <c r="BB221" s="1"/>
      <c r="BC221" s="1"/>
      <c r="BD221" s="1"/>
      <c r="BE221" s="1"/>
      <c r="BF221" s="1"/>
      <c r="BG221" s="1"/>
      <c r="BH221" s="1"/>
    </row>
    <row r="222" spans="1:60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79"/>
      <c r="AO222" s="79"/>
      <c r="AP222" s="79"/>
      <c r="AQ222" s="79"/>
      <c r="AR222" s="79"/>
      <c r="AS222" s="79"/>
      <c r="AT222" s="79"/>
      <c r="AU222" s="79"/>
      <c r="AV222" s="79"/>
      <c r="AW222" s="79"/>
      <c r="AX222" s="79"/>
      <c r="AY222" s="79"/>
      <c r="AZ222" s="79"/>
      <c r="BA222" s="79"/>
      <c r="BB222" s="1"/>
      <c r="BC222" s="1"/>
      <c r="BD222" s="1"/>
      <c r="BE222" s="1"/>
      <c r="BF222" s="1"/>
      <c r="BG222" s="1"/>
      <c r="BH222" s="1"/>
    </row>
    <row r="223" spans="1:60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79"/>
      <c r="AO223" s="79"/>
      <c r="AP223" s="79"/>
      <c r="AQ223" s="79"/>
      <c r="AR223" s="79"/>
      <c r="AS223" s="79"/>
      <c r="AT223" s="79"/>
      <c r="AU223" s="79"/>
      <c r="AV223" s="79"/>
      <c r="AW223" s="79"/>
      <c r="AX223" s="79"/>
      <c r="AY223" s="79"/>
      <c r="AZ223" s="79"/>
      <c r="BA223" s="79"/>
      <c r="BB223" s="1"/>
      <c r="BC223" s="1"/>
      <c r="BD223" s="1"/>
      <c r="BE223" s="1"/>
      <c r="BF223" s="1"/>
      <c r="BG223" s="1"/>
      <c r="BH223" s="1"/>
    </row>
    <row r="224" spans="1:60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79"/>
      <c r="AO224" s="79"/>
      <c r="AP224" s="79"/>
      <c r="AQ224" s="79"/>
      <c r="AR224" s="79"/>
      <c r="AS224" s="79"/>
      <c r="AT224" s="79"/>
      <c r="AU224" s="79"/>
      <c r="AV224" s="79"/>
      <c r="AW224" s="79"/>
      <c r="AX224" s="79"/>
      <c r="AY224" s="79"/>
      <c r="AZ224" s="79"/>
      <c r="BA224" s="79"/>
      <c r="BB224" s="1"/>
      <c r="BC224" s="1"/>
      <c r="BD224" s="1"/>
      <c r="BE224" s="1"/>
      <c r="BF224" s="1"/>
      <c r="BG224" s="1"/>
      <c r="BH224" s="1"/>
    </row>
    <row r="225" spans="1:60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79"/>
      <c r="AO225" s="79"/>
      <c r="AP225" s="79"/>
      <c r="AQ225" s="79"/>
      <c r="AR225" s="79"/>
      <c r="AS225" s="79"/>
      <c r="AT225" s="79"/>
      <c r="AU225" s="79"/>
      <c r="AV225" s="79"/>
      <c r="AW225" s="79"/>
      <c r="AX225" s="79"/>
      <c r="AY225" s="79"/>
      <c r="AZ225" s="79"/>
      <c r="BA225" s="79"/>
      <c r="BB225" s="1"/>
      <c r="BC225" s="1"/>
      <c r="BD225" s="1"/>
      <c r="BE225" s="1"/>
      <c r="BF225" s="1"/>
      <c r="BG225" s="1"/>
      <c r="BH225" s="1"/>
    </row>
    <row r="226" spans="1:60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79"/>
      <c r="AO226" s="79"/>
      <c r="AP226" s="79"/>
      <c r="AQ226" s="79"/>
      <c r="AR226" s="79"/>
      <c r="AS226" s="79"/>
      <c r="AT226" s="79"/>
      <c r="AU226" s="79"/>
      <c r="AV226" s="79"/>
      <c r="AW226" s="79"/>
      <c r="AX226" s="79"/>
      <c r="AY226" s="79"/>
      <c r="AZ226" s="79"/>
      <c r="BA226" s="79"/>
      <c r="BB226" s="1"/>
      <c r="BC226" s="1"/>
      <c r="BD226" s="1"/>
      <c r="BE226" s="1"/>
      <c r="BF226" s="1"/>
      <c r="BG226" s="1"/>
      <c r="BH226" s="1"/>
    </row>
    <row r="227" spans="1:60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79"/>
      <c r="AO227" s="79"/>
      <c r="AP227" s="79"/>
      <c r="AQ227" s="79"/>
      <c r="AR227" s="79"/>
      <c r="AS227" s="79"/>
      <c r="AT227" s="79"/>
      <c r="AU227" s="79"/>
      <c r="AV227" s="79"/>
      <c r="AW227" s="79"/>
      <c r="AX227" s="79"/>
      <c r="AY227" s="79"/>
      <c r="AZ227" s="79"/>
      <c r="BA227" s="79"/>
      <c r="BB227" s="1"/>
      <c r="BC227" s="1"/>
      <c r="BD227" s="1"/>
      <c r="BE227" s="1"/>
      <c r="BF227" s="1"/>
      <c r="BG227" s="1"/>
      <c r="BH227" s="1"/>
    </row>
    <row r="228" spans="1:60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79"/>
      <c r="AO228" s="79"/>
      <c r="AP228" s="79"/>
      <c r="AQ228" s="79"/>
      <c r="AR228" s="79"/>
      <c r="AS228" s="79"/>
      <c r="AT228" s="79"/>
      <c r="AU228" s="79"/>
      <c r="AV228" s="79"/>
      <c r="AW228" s="79"/>
      <c r="AX228" s="79"/>
      <c r="AY228" s="79"/>
      <c r="AZ228" s="79"/>
      <c r="BA228" s="79"/>
      <c r="BB228" s="1"/>
      <c r="BC228" s="1"/>
      <c r="BD228" s="1"/>
      <c r="BE228" s="1"/>
      <c r="BF228" s="1"/>
      <c r="BG228" s="1"/>
      <c r="BH228" s="1"/>
    </row>
    <row r="229" spans="1:60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79"/>
      <c r="AO229" s="79"/>
      <c r="AP229" s="79"/>
      <c r="AQ229" s="79"/>
      <c r="AR229" s="79"/>
      <c r="AS229" s="79"/>
      <c r="AT229" s="79"/>
      <c r="AU229" s="79"/>
      <c r="AV229" s="79"/>
      <c r="AW229" s="79"/>
      <c r="AX229" s="79"/>
      <c r="AY229" s="79"/>
      <c r="AZ229" s="79"/>
      <c r="BA229" s="79"/>
      <c r="BB229" s="1"/>
      <c r="BC229" s="1"/>
      <c r="BD229" s="1"/>
      <c r="BE229" s="1"/>
      <c r="BF229" s="1"/>
      <c r="BG229" s="1"/>
      <c r="BH229" s="1"/>
    </row>
    <row r="230" spans="1:60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79"/>
      <c r="AO230" s="79"/>
      <c r="AP230" s="79"/>
      <c r="AQ230" s="79"/>
      <c r="AR230" s="79"/>
      <c r="AS230" s="79"/>
      <c r="AT230" s="79"/>
      <c r="AU230" s="79"/>
      <c r="AV230" s="79"/>
      <c r="AW230" s="79"/>
      <c r="AX230" s="79"/>
      <c r="AY230" s="79"/>
      <c r="AZ230" s="79"/>
      <c r="BA230" s="79"/>
      <c r="BB230" s="1"/>
      <c r="BC230" s="1"/>
      <c r="BD230" s="1"/>
      <c r="BE230" s="1"/>
      <c r="BF230" s="1"/>
      <c r="BG230" s="1"/>
      <c r="BH230" s="1"/>
    </row>
    <row r="231" spans="1:60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79"/>
      <c r="AO231" s="79"/>
      <c r="AP231" s="79"/>
      <c r="AQ231" s="79"/>
      <c r="AR231" s="79"/>
      <c r="AS231" s="79"/>
      <c r="AT231" s="79"/>
      <c r="AU231" s="79"/>
      <c r="AV231" s="79"/>
      <c r="AW231" s="79"/>
      <c r="AX231" s="79"/>
      <c r="AY231" s="79"/>
      <c r="AZ231" s="79"/>
      <c r="BA231" s="79"/>
      <c r="BB231" s="1"/>
      <c r="BC231" s="1"/>
      <c r="BD231" s="1"/>
      <c r="BE231" s="1"/>
      <c r="BF231" s="1"/>
      <c r="BG231" s="1"/>
      <c r="BH231" s="1"/>
    </row>
    <row r="232" spans="1:60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  <c r="AX232" s="79"/>
      <c r="AY232" s="79"/>
      <c r="AZ232" s="79"/>
      <c r="BA232" s="79"/>
      <c r="BB232" s="1"/>
      <c r="BC232" s="1"/>
      <c r="BD232" s="1"/>
      <c r="BE232" s="1"/>
      <c r="BF232" s="1"/>
      <c r="BG232" s="1"/>
      <c r="BH232" s="1"/>
    </row>
    <row r="233" spans="1:60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79"/>
      <c r="AO233" s="79"/>
      <c r="AP233" s="79"/>
      <c r="AQ233" s="79"/>
      <c r="AR233" s="79"/>
      <c r="AS233" s="79"/>
      <c r="AT233" s="79"/>
      <c r="AU233" s="79"/>
      <c r="AV233" s="79"/>
      <c r="AW233" s="79"/>
      <c r="AX233" s="79"/>
      <c r="AY233" s="79"/>
      <c r="AZ233" s="79"/>
      <c r="BA233" s="79"/>
      <c r="BB233" s="1"/>
      <c r="BC233" s="1"/>
      <c r="BD233" s="1"/>
      <c r="BE233" s="1"/>
      <c r="BF233" s="1"/>
      <c r="BG233" s="1"/>
      <c r="BH233" s="1"/>
    </row>
    <row r="234" spans="1:60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79"/>
      <c r="AO234" s="79"/>
      <c r="AP234" s="79"/>
      <c r="AQ234" s="79"/>
      <c r="AR234" s="79"/>
      <c r="AS234" s="79"/>
      <c r="AT234" s="79"/>
      <c r="AU234" s="79"/>
      <c r="AV234" s="79"/>
      <c r="AW234" s="79"/>
      <c r="AX234" s="79"/>
      <c r="AY234" s="79"/>
      <c r="AZ234" s="79"/>
      <c r="BA234" s="79"/>
      <c r="BB234" s="1"/>
      <c r="BC234" s="1"/>
      <c r="BD234" s="1"/>
      <c r="BE234" s="1"/>
      <c r="BF234" s="1"/>
      <c r="BG234" s="1"/>
      <c r="BH234" s="1"/>
    </row>
    <row r="235" spans="1:60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79"/>
      <c r="AO235" s="79"/>
      <c r="AP235" s="79"/>
      <c r="AQ235" s="79"/>
      <c r="AR235" s="79"/>
      <c r="AS235" s="79"/>
      <c r="AT235" s="79"/>
      <c r="AU235" s="79"/>
      <c r="AV235" s="79"/>
      <c r="AW235" s="79"/>
      <c r="AX235" s="79"/>
      <c r="AY235" s="79"/>
      <c r="AZ235" s="79"/>
      <c r="BA235" s="79"/>
      <c r="BB235" s="1"/>
      <c r="BC235" s="1"/>
      <c r="BD235" s="1"/>
      <c r="BE235" s="1"/>
      <c r="BF235" s="1"/>
      <c r="BG235" s="1"/>
      <c r="BH235" s="1"/>
    </row>
    <row r="236" spans="1:60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79"/>
      <c r="AO236" s="79"/>
      <c r="AP236" s="79"/>
      <c r="AQ236" s="79"/>
      <c r="AR236" s="79"/>
      <c r="AS236" s="79"/>
      <c r="AT236" s="79"/>
      <c r="AU236" s="79"/>
      <c r="AV236" s="79"/>
      <c r="AW236" s="79"/>
      <c r="AX236" s="79"/>
      <c r="AY236" s="79"/>
      <c r="AZ236" s="79"/>
      <c r="BA236" s="79"/>
      <c r="BB236" s="1"/>
      <c r="BC236" s="1"/>
      <c r="BD236" s="1"/>
      <c r="BE236" s="1"/>
      <c r="BF236" s="1"/>
      <c r="BG236" s="1"/>
      <c r="BH236" s="1"/>
    </row>
    <row r="237" spans="1:60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79"/>
      <c r="AO237" s="79"/>
      <c r="AP237" s="79"/>
      <c r="AQ237" s="79"/>
      <c r="AR237" s="79"/>
      <c r="AS237" s="79"/>
      <c r="AT237" s="79"/>
      <c r="AU237" s="79"/>
      <c r="AV237" s="79"/>
      <c r="AW237" s="79"/>
      <c r="AX237" s="79"/>
      <c r="AY237" s="79"/>
      <c r="AZ237" s="79"/>
      <c r="BA237" s="79"/>
      <c r="BB237" s="1"/>
      <c r="BC237" s="1"/>
      <c r="BD237" s="1"/>
      <c r="BE237" s="1"/>
      <c r="BF237" s="1"/>
      <c r="BG237" s="1"/>
      <c r="BH237" s="1"/>
    </row>
    <row r="238" spans="1:60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79"/>
      <c r="AO238" s="79"/>
      <c r="AP238" s="79"/>
      <c r="AQ238" s="79"/>
      <c r="AR238" s="79"/>
      <c r="AS238" s="79"/>
      <c r="AT238" s="79"/>
      <c r="AU238" s="79"/>
      <c r="AV238" s="79"/>
      <c r="AW238" s="79"/>
      <c r="AX238" s="79"/>
      <c r="AY238" s="79"/>
      <c r="AZ238" s="79"/>
      <c r="BA238" s="79"/>
      <c r="BB238" s="1"/>
      <c r="BC238" s="1"/>
      <c r="BD238" s="1"/>
      <c r="BE238" s="1"/>
      <c r="BF238" s="1"/>
      <c r="BG238" s="1"/>
      <c r="BH238" s="1"/>
    </row>
    <row r="239" spans="1:60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79"/>
      <c r="AO239" s="79"/>
      <c r="AP239" s="79"/>
      <c r="AQ239" s="79"/>
      <c r="AR239" s="79"/>
      <c r="AS239" s="79"/>
      <c r="AT239" s="79"/>
      <c r="AU239" s="79"/>
      <c r="AV239" s="79"/>
      <c r="AW239" s="79"/>
      <c r="AX239" s="79"/>
      <c r="AY239" s="79"/>
      <c r="AZ239" s="79"/>
      <c r="BA239" s="79"/>
      <c r="BB239" s="1"/>
      <c r="BC239" s="1"/>
      <c r="BD239" s="1"/>
      <c r="BE239" s="1"/>
      <c r="BF239" s="1"/>
      <c r="BG239" s="1"/>
      <c r="BH239" s="1"/>
    </row>
    <row r="240" spans="1:60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79"/>
      <c r="AO240" s="79"/>
      <c r="AP240" s="79"/>
      <c r="AQ240" s="79"/>
      <c r="AR240" s="79"/>
      <c r="AS240" s="79"/>
      <c r="AT240" s="79"/>
      <c r="AU240" s="79"/>
      <c r="AV240" s="79"/>
      <c r="AW240" s="79"/>
      <c r="AX240" s="79"/>
      <c r="AY240" s="79"/>
      <c r="AZ240" s="79"/>
      <c r="BA240" s="79"/>
      <c r="BB240" s="1"/>
      <c r="BC240" s="1"/>
      <c r="BD240" s="1"/>
      <c r="BE240" s="1"/>
      <c r="BF240" s="1"/>
      <c r="BG240" s="1"/>
      <c r="BH240" s="1"/>
    </row>
    <row r="241" spans="1:60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79"/>
      <c r="AO241" s="79"/>
      <c r="AP241" s="79"/>
      <c r="AQ241" s="79"/>
      <c r="AR241" s="79"/>
      <c r="AS241" s="79"/>
      <c r="AT241" s="79"/>
      <c r="AU241" s="79"/>
      <c r="AV241" s="79"/>
      <c r="AW241" s="79"/>
      <c r="AX241" s="79"/>
      <c r="AY241" s="79"/>
      <c r="AZ241" s="79"/>
      <c r="BA241" s="79"/>
      <c r="BB241" s="1"/>
      <c r="BC241" s="1"/>
      <c r="BD241" s="1"/>
      <c r="BE241" s="1"/>
      <c r="BF241" s="1"/>
      <c r="BG241" s="1"/>
      <c r="BH241" s="1"/>
    </row>
    <row r="242" spans="1:60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79"/>
      <c r="AO242" s="79"/>
      <c r="AP242" s="79"/>
      <c r="AQ242" s="79"/>
      <c r="AR242" s="79"/>
      <c r="AS242" s="79"/>
      <c r="AT242" s="79"/>
      <c r="AU242" s="79"/>
      <c r="AV242" s="79"/>
      <c r="AW242" s="79"/>
      <c r="AX242" s="79"/>
      <c r="AY242" s="79"/>
      <c r="AZ242" s="79"/>
      <c r="BA242" s="79"/>
      <c r="BB242" s="1"/>
      <c r="BC242" s="1"/>
      <c r="BD242" s="1"/>
      <c r="BE242" s="1"/>
      <c r="BF242" s="1"/>
      <c r="BG242" s="1"/>
      <c r="BH242" s="1"/>
    </row>
    <row r="243" spans="1:60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79"/>
      <c r="AO243" s="79"/>
      <c r="AP243" s="79"/>
      <c r="AQ243" s="79"/>
      <c r="AR243" s="79"/>
      <c r="AS243" s="79"/>
      <c r="AT243" s="79"/>
      <c r="AU243" s="79"/>
      <c r="AV243" s="79"/>
      <c r="AW243" s="79"/>
      <c r="AX243" s="79"/>
      <c r="AY243" s="79"/>
      <c r="AZ243" s="79"/>
      <c r="BA243" s="79"/>
      <c r="BB243" s="1"/>
      <c r="BC243" s="1"/>
      <c r="BD243" s="1"/>
      <c r="BE243" s="1"/>
      <c r="BF243" s="1"/>
      <c r="BG243" s="1"/>
      <c r="BH243" s="1"/>
    </row>
    <row r="244" spans="1:60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79"/>
      <c r="AO244" s="79"/>
      <c r="AP244" s="79"/>
      <c r="AQ244" s="79"/>
      <c r="AR244" s="79"/>
      <c r="AS244" s="79"/>
      <c r="AT244" s="79"/>
      <c r="AU244" s="79"/>
      <c r="AV244" s="79"/>
      <c r="AW244" s="79"/>
      <c r="AX244" s="79"/>
      <c r="AY244" s="79"/>
      <c r="AZ244" s="79"/>
      <c r="BA244" s="79"/>
      <c r="BB244" s="1"/>
      <c r="BC244" s="1"/>
      <c r="BD244" s="1"/>
      <c r="BE244" s="1"/>
      <c r="BF244" s="1"/>
      <c r="BG244" s="1"/>
      <c r="BH244" s="1"/>
    </row>
    <row r="245" spans="1:60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79"/>
      <c r="AO245" s="79"/>
      <c r="AP245" s="79"/>
      <c r="AQ245" s="79"/>
      <c r="AR245" s="79"/>
      <c r="AS245" s="79"/>
      <c r="AT245" s="79"/>
      <c r="AU245" s="79"/>
      <c r="AV245" s="79"/>
      <c r="AW245" s="79"/>
      <c r="AX245" s="79"/>
      <c r="AY245" s="79"/>
      <c r="AZ245" s="79"/>
      <c r="BA245" s="79"/>
      <c r="BB245" s="1"/>
      <c r="BC245" s="1"/>
      <c r="BD245" s="1"/>
      <c r="BE245" s="1"/>
      <c r="BF245" s="1"/>
      <c r="BG245" s="1"/>
      <c r="BH245" s="1"/>
    </row>
    <row r="246" spans="1:60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79"/>
      <c r="AO246" s="79"/>
      <c r="AP246" s="79"/>
      <c r="AQ246" s="79"/>
      <c r="AR246" s="79"/>
      <c r="AS246" s="79"/>
      <c r="AT246" s="79"/>
      <c r="AU246" s="79"/>
      <c r="AV246" s="79"/>
      <c r="AW246" s="79"/>
      <c r="AX246" s="79"/>
      <c r="AY246" s="79"/>
      <c r="AZ246" s="79"/>
      <c r="BA246" s="79"/>
      <c r="BB246" s="1"/>
      <c r="BC246" s="1"/>
      <c r="BD246" s="1"/>
      <c r="BE246" s="1"/>
      <c r="BF246" s="1"/>
      <c r="BG246" s="1"/>
      <c r="BH246" s="1"/>
    </row>
    <row r="247" spans="1:60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79"/>
      <c r="AO247" s="79"/>
      <c r="AP247" s="79"/>
      <c r="AQ247" s="79"/>
      <c r="AR247" s="79"/>
      <c r="AS247" s="79"/>
      <c r="AT247" s="79"/>
      <c r="AU247" s="79"/>
      <c r="AV247" s="79"/>
      <c r="AW247" s="79"/>
      <c r="AX247" s="79"/>
      <c r="AY247" s="79"/>
      <c r="AZ247" s="79"/>
      <c r="BA247" s="79"/>
      <c r="BB247" s="1"/>
      <c r="BC247" s="1"/>
      <c r="BD247" s="1"/>
      <c r="BE247" s="1"/>
      <c r="BF247" s="1"/>
      <c r="BG247" s="1"/>
      <c r="BH247" s="1"/>
    </row>
    <row r="248" spans="1:60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79"/>
      <c r="AO248" s="79"/>
      <c r="AP248" s="79"/>
      <c r="AQ248" s="79"/>
      <c r="AR248" s="79"/>
      <c r="AS248" s="79"/>
      <c r="AT248" s="79"/>
      <c r="AU248" s="79"/>
      <c r="AV248" s="79"/>
      <c r="AW248" s="79"/>
      <c r="AX248" s="79"/>
      <c r="AY248" s="79"/>
      <c r="AZ248" s="79"/>
      <c r="BA248" s="79"/>
      <c r="BB248" s="1"/>
      <c r="BC248" s="1"/>
      <c r="BD248" s="1"/>
      <c r="BE248" s="1"/>
      <c r="BF248" s="1"/>
      <c r="BG248" s="1"/>
      <c r="BH248" s="1"/>
    </row>
    <row r="249" spans="1:60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79"/>
      <c r="AO249" s="79"/>
      <c r="AP249" s="79"/>
      <c r="AQ249" s="79"/>
      <c r="AR249" s="79"/>
      <c r="AS249" s="79"/>
      <c r="AT249" s="79"/>
      <c r="AU249" s="79"/>
      <c r="AV249" s="79"/>
      <c r="AW249" s="79"/>
      <c r="AX249" s="79"/>
      <c r="AY249" s="79"/>
      <c r="AZ249" s="79"/>
      <c r="BA249" s="79"/>
      <c r="BB249" s="1"/>
      <c r="BC249" s="1"/>
      <c r="BD249" s="1"/>
      <c r="BE249" s="1"/>
      <c r="BF249" s="1"/>
      <c r="BG249" s="1"/>
      <c r="BH249" s="1"/>
    </row>
    <row r="250" spans="1:60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79"/>
      <c r="AO250" s="79"/>
      <c r="AP250" s="79"/>
      <c r="AQ250" s="79"/>
      <c r="AR250" s="79"/>
      <c r="AS250" s="79"/>
      <c r="AT250" s="79"/>
      <c r="AU250" s="79"/>
      <c r="AV250" s="79"/>
      <c r="AW250" s="79"/>
      <c r="AX250" s="79"/>
      <c r="AY250" s="79"/>
      <c r="AZ250" s="79"/>
      <c r="BA250" s="79"/>
      <c r="BB250" s="1"/>
      <c r="BC250" s="1"/>
      <c r="BD250" s="1"/>
      <c r="BE250" s="1"/>
      <c r="BF250" s="1"/>
      <c r="BG250" s="1"/>
      <c r="BH250" s="1"/>
    </row>
    <row r="251" spans="1:60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79"/>
      <c r="AO251" s="79"/>
      <c r="AP251" s="79"/>
      <c r="AQ251" s="79"/>
      <c r="AR251" s="79"/>
      <c r="AS251" s="79"/>
      <c r="AT251" s="79"/>
      <c r="AU251" s="79"/>
      <c r="AV251" s="79"/>
      <c r="AW251" s="79"/>
      <c r="AX251" s="79"/>
      <c r="AY251" s="79"/>
      <c r="AZ251" s="79"/>
      <c r="BA251" s="79"/>
      <c r="BB251" s="1"/>
      <c r="BC251" s="1"/>
      <c r="BD251" s="1"/>
      <c r="BE251" s="1"/>
      <c r="BF251" s="1"/>
      <c r="BG251" s="1"/>
      <c r="BH251" s="1"/>
    </row>
    <row r="252" spans="1:60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1"/>
      <c r="BC252" s="1"/>
      <c r="BD252" s="1"/>
      <c r="BE252" s="1"/>
      <c r="BF252" s="1"/>
      <c r="BG252" s="1"/>
      <c r="BH252" s="1"/>
    </row>
    <row r="253" spans="1:60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79"/>
      <c r="AO253" s="79"/>
      <c r="AP253" s="79"/>
      <c r="AQ253" s="79"/>
      <c r="AR253" s="79"/>
      <c r="AS253" s="79"/>
      <c r="AT253" s="79"/>
      <c r="AU253" s="79"/>
      <c r="AV253" s="79"/>
      <c r="AW253" s="79"/>
      <c r="AX253" s="79"/>
      <c r="AY253" s="79"/>
      <c r="AZ253" s="79"/>
      <c r="BA253" s="79"/>
      <c r="BB253" s="1"/>
      <c r="BC253" s="1"/>
      <c r="BD253" s="1"/>
      <c r="BE253" s="1"/>
      <c r="BF253" s="1"/>
      <c r="BG253" s="1"/>
      <c r="BH253" s="1"/>
    </row>
    <row r="254" spans="1:60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79"/>
      <c r="AO254" s="79"/>
      <c r="AP254" s="79"/>
      <c r="AQ254" s="79"/>
      <c r="AR254" s="79"/>
      <c r="AS254" s="79"/>
      <c r="AT254" s="79"/>
      <c r="AU254" s="79"/>
      <c r="AV254" s="79"/>
      <c r="AW254" s="79"/>
      <c r="AX254" s="79"/>
      <c r="AY254" s="79"/>
      <c r="AZ254" s="79"/>
      <c r="BA254" s="79"/>
      <c r="BB254" s="1"/>
      <c r="BC254" s="1"/>
      <c r="BD254" s="1"/>
      <c r="BE254" s="1"/>
      <c r="BF254" s="1"/>
      <c r="BG254" s="1"/>
      <c r="BH254" s="1"/>
    </row>
    <row r="255" spans="1:60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79"/>
      <c r="AO255" s="79"/>
      <c r="AP255" s="79"/>
      <c r="AQ255" s="79"/>
      <c r="AR255" s="79"/>
      <c r="AS255" s="79"/>
      <c r="AT255" s="79"/>
      <c r="AU255" s="79"/>
      <c r="AV255" s="79"/>
      <c r="AW255" s="79"/>
      <c r="AX255" s="79"/>
      <c r="AY255" s="79"/>
      <c r="AZ255" s="79"/>
      <c r="BA255" s="79"/>
      <c r="BB255" s="1"/>
      <c r="BC255" s="1"/>
      <c r="BD255" s="1"/>
      <c r="BE255" s="1"/>
      <c r="BF255" s="1"/>
      <c r="BG255" s="1"/>
      <c r="BH255" s="1"/>
    </row>
    <row r="256" spans="1:60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79"/>
      <c r="AO256" s="79"/>
      <c r="AP256" s="79"/>
      <c r="AQ256" s="79"/>
      <c r="AR256" s="79"/>
      <c r="AS256" s="79"/>
      <c r="AT256" s="79"/>
      <c r="AU256" s="79"/>
      <c r="AV256" s="79"/>
      <c r="AW256" s="79"/>
      <c r="AX256" s="79"/>
      <c r="AY256" s="79"/>
      <c r="AZ256" s="79"/>
      <c r="BA256" s="79"/>
      <c r="BB256" s="1"/>
      <c r="BC256" s="1"/>
      <c r="BD256" s="1"/>
      <c r="BE256" s="1"/>
      <c r="BF256" s="1"/>
      <c r="BG256" s="1"/>
      <c r="BH256" s="1"/>
    </row>
    <row r="257" spans="1:60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79"/>
      <c r="AO257" s="79"/>
      <c r="AP257" s="79"/>
      <c r="AQ257" s="79"/>
      <c r="AR257" s="79"/>
      <c r="AS257" s="79"/>
      <c r="AT257" s="79"/>
      <c r="AU257" s="79"/>
      <c r="AV257" s="79"/>
      <c r="AW257" s="79"/>
      <c r="AX257" s="79"/>
      <c r="AY257" s="79"/>
      <c r="AZ257" s="79"/>
      <c r="BA257" s="79"/>
      <c r="BB257" s="1"/>
      <c r="BC257" s="1"/>
      <c r="BD257" s="1"/>
      <c r="BE257" s="1"/>
      <c r="BF257" s="1"/>
      <c r="BG257" s="1"/>
      <c r="BH257" s="1"/>
    </row>
    <row r="258" spans="1:60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79"/>
      <c r="AO258" s="79"/>
      <c r="AP258" s="79"/>
      <c r="AQ258" s="79"/>
      <c r="AR258" s="79"/>
      <c r="AS258" s="79"/>
      <c r="AT258" s="79"/>
      <c r="AU258" s="79"/>
      <c r="AV258" s="79"/>
      <c r="AW258" s="79"/>
      <c r="AX258" s="79"/>
      <c r="AY258" s="79"/>
      <c r="AZ258" s="79"/>
      <c r="BA258" s="79"/>
      <c r="BB258" s="1"/>
      <c r="BC258" s="1"/>
      <c r="BD258" s="1"/>
      <c r="BE258" s="1"/>
      <c r="BF258" s="1"/>
      <c r="BG258" s="1"/>
      <c r="BH258" s="1"/>
    </row>
    <row r="259" spans="1:60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79"/>
      <c r="AO259" s="79"/>
      <c r="AP259" s="79"/>
      <c r="AQ259" s="79"/>
      <c r="AR259" s="79"/>
      <c r="AS259" s="79"/>
      <c r="AT259" s="79"/>
      <c r="AU259" s="79"/>
      <c r="AV259" s="79"/>
      <c r="AW259" s="79"/>
      <c r="AX259" s="79"/>
      <c r="AY259" s="79"/>
      <c r="AZ259" s="79"/>
      <c r="BA259" s="79"/>
      <c r="BB259" s="1"/>
      <c r="BC259" s="1"/>
      <c r="BD259" s="1"/>
      <c r="BE259" s="1"/>
      <c r="BF259" s="1"/>
      <c r="BG259" s="1"/>
      <c r="BH259" s="1"/>
    </row>
    <row r="260" spans="1:60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79"/>
      <c r="AO260" s="79"/>
      <c r="AP260" s="79"/>
      <c r="AQ260" s="79"/>
      <c r="AR260" s="79"/>
      <c r="AS260" s="79"/>
      <c r="AT260" s="79"/>
      <c r="AU260" s="79"/>
      <c r="AV260" s="79"/>
      <c r="AW260" s="79"/>
      <c r="AX260" s="79"/>
      <c r="AY260" s="79"/>
      <c r="AZ260" s="79"/>
      <c r="BA260" s="79"/>
      <c r="BB260" s="1"/>
      <c r="BC260" s="1"/>
      <c r="BD260" s="1"/>
      <c r="BE260" s="1"/>
      <c r="BF260" s="1"/>
      <c r="BG260" s="1"/>
      <c r="BH260" s="1"/>
    </row>
    <row r="261" spans="1:60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79"/>
      <c r="AO261" s="79"/>
      <c r="AP261" s="79"/>
      <c r="AQ261" s="79"/>
      <c r="AR261" s="79"/>
      <c r="AS261" s="79"/>
      <c r="AT261" s="79"/>
      <c r="AU261" s="79"/>
      <c r="AV261" s="79"/>
      <c r="AW261" s="79"/>
      <c r="AX261" s="79"/>
      <c r="AY261" s="79"/>
      <c r="AZ261" s="79"/>
      <c r="BA261" s="79"/>
      <c r="BB261" s="1"/>
      <c r="BC261" s="1"/>
      <c r="BD261" s="1"/>
      <c r="BE261" s="1"/>
      <c r="BF261" s="1"/>
      <c r="BG261" s="1"/>
      <c r="BH261" s="1"/>
    </row>
    <row r="262" spans="1:60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79"/>
      <c r="AO262" s="79"/>
      <c r="AP262" s="79"/>
      <c r="AQ262" s="79"/>
      <c r="AR262" s="79"/>
      <c r="AS262" s="79"/>
      <c r="AT262" s="79"/>
      <c r="AU262" s="79"/>
      <c r="AV262" s="79"/>
      <c r="AW262" s="79"/>
      <c r="AX262" s="79"/>
      <c r="AY262" s="79"/>
      <c r="AZ262" s="79"/>
      <c r="BA262" s="79"/>
      <c r="BB262" s="1"/>
      <c r="BC262" s="1"/>
      <c r="BD262" s="1"/>
      <c r="BE262" s="1"/>
      <c r="BF262" s="1"/>
      <c r="BG262" s="1"/>
      <c r="BH262" s="1"/>
    </row>
    <row r="263" spans="1:60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79"/>
      <c r="AO263" s="79"/>
      <c r="AP263" s="79"/>
      <c r="AQ263" s="79"/>
      <c r="AR263" s="79"/>
      <c r="AS263" s="79"/>
      <c r="AT263" s="79"/>
      <c r="AU263" s="79"/>
      <c r="AV263" s="79"/>
      <c r="AW263" s="79"/>
      <c r="AX263" s="79"/>
      <c r="AY263" s="79"/>
      <c r="AZ263" s="79"/>
      <c r="BA263" s="79"/>
      <c r="BB263" s="1"/>
      <c r="BC263" s="1"/>
      <c r="BD263" s="1"/>
      <c r="BE263" s="1"/>
      <c r="BF263" s="1"/>
      <c r="BG263" s="1"/>
      <c r="BH263" s="1"/>
    </row>
    <row r="264" spans="1:60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79"/>
      <c r="AO264" s="79"/>
      <c r="AP264" s="79"/>
      <c r="AQ264" s="79"/>
      <c r="AR264" s="79"/>
      <c r="AS264" s="79"/>
      <c r="AT264" s="79"/>
      <c r="AU264" s="79"/>
      <c r="AV264" s="79"/>
      <c r="AW264" s="79"/>
      <c r="AX264" s="79"/>
      <c r="AY264" s="79"/>
      <c r="AZ264" s="79"/>
      <c r="BA264" s="79"/>
      <c r="BB264" s="1"/>
      <c r="BC264" s="1"/>
      <c r="BD264" s="1"/>
      <c r="BE264" s="1"/>
      <c r="BF264" s="1"/>
      <c r="BG264" s="1"/>
      <c r="BH264" s="1"/>
    </row>
    <row r="265" spans="1:60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79"/>
      <c r="AO265" s="79"/>
      <c r="AP265" s="79"/>
      <c r="AQ265" s="79"/>
      <c r="AR265" s="79"/>
      <c r="AS265" s="79"/>
      <c r="AT265" s="79"/>
      <c r="AU265" s="79"/>
      <c r="AV265" s="79"/>
      <c r="AW265" s="79"/>
      <c r="AX265" s="79"/>
      <c r="AY265" s="79"/>
      <c r="AZ265" s="79"/>
      <c r="BA265" s="79"/>
      <c r="BB265" s="1"/>
      <c r="BC265" s="1"/>
      <c r="BD265" s="1"/>
      <c r="BE265" s="1"/>
      <c r="BF265" s="1"/>
      <c r="BG265" s="1"/>
      <c r="BH265" s="1"/>
    </row>
    <row r="266" spans="1:60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79"/>
      <c r="AO266" s="79"/>
      <c r="AP266" s="79"/>
      <c r="AQ266" s="79"/>
      <c r="AR266" s="79"/>
      <c r="AS266" s="79"/>
      <c r="AT266" s="79"/>
      <c r="AU266" s="79"/>
      <c r="AV266" s="79"/>
      <c r="AW266" s="79"/>
      <c r="AX266" s="79"/>
      <c r="AY266" s="79"/>
      <c r="AZ266" s="79"/>
      <c r="BA266" s="79"/>
      <c r="BB266" s="1"/>
      <c r="BC266" s="1"/>
      <c r="BD266" s="1"/>
      <c r="BE266" s="1"/>
      <c r="BF266" s="1"/>
      <c r="BG266" s="1"/>
      <c r="BH266" s="1"/>
    </row>
    <row r="267" spans="1:60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79"/>
      <c r="AO267" s="79"/>
      <c r="AP267" s="79"/>
      <c r="AQ267" s="79"/>
      <c r="AR267" s="79"/>
      <c r="AS267" s="79"/>
      <c r="AT267" s="79"/>
      <c r="AU267" s="79"/>
      <c r="AV267" s="79"/>
      <c r="AW267" s="79"/>
      <c r="AX267" s="79"/>
      <c r="AY267" s="79"/>
      <c r="AZ267" s="79"/>
      <c r="BA267" s="79"/>
      <c r="BB267" s="1"/>
      <c r="BC267" s="1"/>
      <c r="BD267" s="1"/>
      <c r="BE267" s="1"/>
      <c r="BF267" s="1"/>
      <c r="BG267" s="1"/>
      <c r="BH267" s="1"/>
    </row>
    <row r="268" spans="1:60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79"/>
      <c r="AO268" s="79"/>
      <c r="AP268" s="79"/>
      <c r="AQ268" s="79"/>
      <c r="AR268" s="79"/>
      <c r="AS268" s="79"/>
      <c r="AT268" s="79"/>
      <c r="AU268" s="79"/>
      <c r="AV268" s="79"/>
      <c r="AW268" s="79"/>
      <c r="AX268" s="79"/>
      <c r="AY268" s="79"/>
      <c r="AZ268" s="79"/>
      <c r="BA268" s="79"/>
      <c r="BB268" s="1"/>
      <c r="BC268" s="1"/>
      <c r="BD268" s="1"/>
      <c r="BE268" s="1"/>
      <c r="BF268" s="1"/>
      <c r="BG268" s="1"/>
      <c r="BH268" s="1"/>
    </row>
    <row r="269" spans="1:60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79"/>
      <c r="AO269" s="79"/>
      <c r="AP269" s="79"/>
      <c r="AQ269" s="79"/>
      <c r="AR269" s="79"/>
      <c r="AS269" s="79"/>
      <c r="AT269" s="79"/>
      <c r="AU269" s="79"/>
      <c r="AV269" s="79"/>
      <c r="AW269" s="79"/>
      <c r="AX269" s="79"/>
      <c r="AY269" s="79"/>
      <c r="AZ269" s="79"/>
      <c r="BA269" s="79"/>
      <c r="BB269" s="1"/>
      <c r="BC269" s="1"/>
      <c r="BD269" s="1"/>
      <c r="BE269" s="1"/>
      <c r="BF269" s="1"/>
      <c r="BG269" s="1"/>
      <c r="BH269" s="1"/>
    </row>
    <row r="270" spans="1:60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79"/>
      <c r="AO270" s="79"/>
      <c r="AP270" s="79"/>
      <c r="AQ270" s="79"/>
      <c r="AR270" s="79"/>
      <c r="AS270" s="79"/>
      <c r="AT270" s="79"/>
      <c r="AU270" s="79"/>
      <c r="AV270" s="79"/>
      <c r="AW270" s="79"/>
      <c r="AX270" s="79"/>
      <c r="AY270" s="79"/>
      <c r="AZ270" s="79"/>
      <c r="BA270" s="79"/>
      <c r="BB270" s="1"/>
      <c r="BC270" s="1"/>
      <c r="BD270" s="1"/>
      <c r="BE270" s="1"/>
      <c r="BF270" s="1"/>
      <c r="BG270" s="1"/>
      <c r="BH270" s="1"/>
    </row>
    <row r="271" spans="1:60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79"/>
      <c r="AO271" s="79"/>
      <c r="AP271" s="79"/>
      <c r="AQ271" s="79"/>
      <c r="AR271" s="79"/>
      <c r="AS271" s="79"/>
      <c r="AT271" s="79"/>
      <c r="AU271" s="79"/>
      <c r="AV271" s="79"/>
      <c r="AW271" s="79"/>
      <c r="AX271" s="79"/>
      <c r="AY271" s="79"/>
      <c r="AZ271" s="79"/>
      <c r="BA271" s="79"/>
      <c r="BB271" s="1"/>
      <c r="BC271" s="1"/>
      <c r="BD271" s="1"/>
      <c r="BE271" s="1"/>
      <c r="BF271" s="1"/>
      <c r="BG271" s="1"/>
      <c r="BH271" s="1"/>
    </row>
    <row r="272" spans="1:60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79"/>
      <c r="AO272" s="79"/>
      <c r="AP272" s="79"/>
      <c r="AQ272" s="79"/>
      <c r="AR272" s="79"/>
      <c r="AS272" s="79"/>
      <c r="AT272" s="79"/>
      <c r="AU272" s="79"/>
      <c r="AV272" s="79"/>
      <c r="AW272" s="79"/>
      <c r="AX272" s="79"/>
      <c r="AY272" s="79"/>
      <c r="AZ272" s="79"/>
      <c r="BA272" s="79"/>
      <c r="BB272" s="1"/>
      <c r="BC272" s="1"/>
      <c r="BD272" s="1"/>
      <c r="BE272" s="1"/>
      <c r="BF272" s="1"/>
      <c r="BG272" s="1"/>
      <c r="BH272" s="1"/>
    </row>
    <row r="273" spans="1:60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79"/>
      <c r="AO273" s="79"/>
      <c r="AP273" s="79"/>
      <c r="AQ273" s="79"/>
      <c r="AR273" s="79"/>
      <c r="AS273" s="79"/>
      <c r="AT273" s="79"/>
      <c r="AU273" s="79"/>
      <c r="AV273" s="79"/>
      <c r="AW273" s="79"/>
      <c r="AX273" s="79"/>
      <c r="AY273" s="79"/>
      <c r="AZ273" s="79"/>
      <c r="BA273" s="79"/>
      <c r="BB273" s="1"/>
      <c r="BC273" s="1"/>
      <c r="BD273" s="1"/>
      <c r="BE273" s="1"/>
      <c r="BF273" s="1"/>
      <c r="BG273" s="1"/>
      <c r="BH273" s="1"/>
    </row>
    <row r="274" spans="1:60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79"/>
      <c r="AO274" s="79"/>
      <c r="AP274" s="79"/>
      <c r="AQ274" s="79"/>
      <c r="AR274" s="79"/>
      <c r="AS274" s="79"/>
      <c r="AT274" s="79"/>
      <c r="AU274" s="79"/>
      <c r="AV274" s="79"/>
      <c r="AW274" s="79"/>
      <c r="AX274" s="79"/>
      <c r="AY274" s="79"/>
      <c r="AZ274" s="79"/>
      <c r="BA274" s="79"/>
      <c r="BB274" s="1"/>
      <c r="BC274" s="1"/>
      <c r="BD274" s="1"/>
      <c r="BE274" s="1"/>
      <c r="BF274" s="1"/>
      <c r="BG274" s="1"/>
      <c r="BH274" s="1"/>
    </row>
    <row r="275" spans="1:60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79"/>
      <c r="AO275" s="79"/>
      <c r="AP275" s="79"/>
      <c r="AQ275" s="79"/>
      <c r="AR275" s="79"/>
      <c r="AS275" s="79"/>
      <c r="AT275" s="79"/>
      <c r="AU275" s="79"/>
      <c r="AV275" s="79"/>
      <c r="AW275" s="79"/>
      <c r="AX275" s="79"/>
      <c r="AY275" s="79"/>
      <c r="AZ275" s="79"/>
      <c r="BA275" s="79"/>
      <c r="BB275" s="1"/>
      <c r="BC275" s="1"/>
      <c r="BD275" s="1"/>
      <c r="BE275" s="1"/>
      <c r="BF275" s="1"/>
      <c r="BG275" s="1"/>
      <c r="BH275" s="1"/>
    </row>
    <row r="276" spans="1:60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79"/>
      <c r="AO276" s="79"/>
      <c r="AP276" s="79"/>
      <c r="AQ276" s="79"/>
      <c r="AR276" s="79"/>
      <c r="AS276" s="79"/>
      <c r="AT276" s="79"/>
      <c r="AU276" s="79"/>
      <c r="AV276" s="79"/>
      <c r="AW276" s="79"/>
      <c r="AX276" s="79"/>
      <c r="AY276" s="79"/>
      <c r="AZ276" s="79"/>
      <c r="BA276" s="79"/>
      <c r="BB276" s="1"/>
      <c r="BC276" s="1"/>
      <c r="BD276" s="1"/>
      <c r="BE276" s="1"/>
      <c r="BF276" s="1"/>
      <c r="BG276" s="1"/>
      <c r="BH276" s="1"/>
    </row>
    <row r="277" spans="1:60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79"/>
      <c r="AO277" s="79"/>
      <c r="AP277" s="79"/>
      <c r="AQ277" s="79"/>
      <c r="AR277" s="79"/>
      <c r="AS277" s="79"/>
      <c r="AT277" s="79"/>
      <c r="AU277" s="79"/>
      <c r="AV277" s="79"/>
      <c r="AW277" s="79"/>
      <c r="AX277" s="79"/>
      <c r="AY277" s="79"/>
      <c r="AZ277" s="79"/>
      <c r="BA277" s="79"/>
      <c r="BB277" s="1"/>
      <c r="BC277" s="1"/>
      <c r="BD277" s="1"/>
      <c r="BE277" s="1"/>
      <c r="BF277" s="1"/>
      <c r="BG277" s="1"/>
      <c r="BH277" s="1"/>
    </row>
    <row r="278" spans="1:60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79"/>
      <c r="AO278" s="79"/>
      <c r="AP278" s="79"/>
      <c r="AQ278" s="79"/>
      <c r="AR278" s="79"/>
      <c r="AS278" s="79"/>
      <c r="AT278" s="79"/>
      <c r="AU278" s="79"/>
      <c r="AV278" s="79"/>
      <c r="AW278" s="79"/>
      <c r="AX278" s="79"/>
      <c r="AY278" s="79"/>
      <c r="AZ278" s="79"/>
      <c r="BA278" s="79"/>
      <c r="BB278" s="1"/>
      <c r="BC278" s="1"/>
      <c r="BD278" s="1"/>
      <c r="BE278" s="1"/>
      <c r="BF278" s="1"/>
      <c r="BG278" s="1"/>
      <c r="BH278" s="1"/>
    </row>
    <row r="279" spans="1:60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79"/>
      <c r="AO279" s="79"/>
      <c r="AP279" s="79"/>
      <c r="AQ279" s="79"/>
      <c r="AR279" s="79"/>
      <c r="AS279" s="79"/>
      <c r="AT279" s="79"/>
      <c r="AU279" s="79"/>
      <c r="AV279" s="79"/>
      <c r="AW279" s="79"/>
      <c r="AX279" s="79"/>
      <c r="AY279" s="79"/>
      <c r="AZ279" s="79"/>
      <c r="BA279" s="79"/>
      <c r="BB279" s="1"/>
      <c r="BC279" s="1"/>
      <c r="BD279" s="1"/>
      <c r="BE279" s="1"/>
      <c r="BF279" s="1"/>
      <c r="BG279" s="1"/>
      <c r="BH279" s="1"/>
    </row>
    <row r="280" spans="1:60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79"/>
      <c r="AO280" s="79"/>
      <c r="AP280" s="79"/>
      <c r="AQ280" s="79"/>
      <c r="AR280" s="79"/>
      <c r="AS280" s="79"/>
      <c r="AT280" s="79"/>
      <c r="AU280" s="79"/>
      <c r="AV280" s="79"/>
      <c r="AW280" s="79"/>
      <c r="AX280" s="79"/>
      <c r="AY280" s="79"/>
      <c r="AZ280" s="79"/>
      <c r="BA280" s="79"/>
      <c r="BB280" s="1"/>
      <c r="BC280" s="1"/>
      <c r="BD280" s="1"/>
      <c r="BE280" s="1"/>
      <c r="BF280" s="1"/>
      <c r="BG280" s="1"/>
      <c r="BH280" s="1"/>
    </row>
    <row r="281" spans="1:60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79"/>
      <c r="AO281" s="79"/>
      <c r="AP281" s="79"/>
      <c r="AQ281" s="79"/>
      <c r="AR281" s="79"/>
      <c r="AS281" s="79"/>
      <c r="AT281" s="79"/>
      <c r="AU281" s="79"/>
      <c r="AV281" s="79"/>
      <c r="AW281" s="79"/>
      <c r="AX281" s="79"/>
      <c r="AY281" s="79"/>
      <c r="AZ281" s="79"/>
      <c r="BA281" s="79"/>
      <c r="BB281" s="1"/>
      <c r="BC281" s="1"/>
      <c r="BD281" s="1"/>
      <c r="BE281" s="1"/>
      <c r="BF281" s="1"/>
      <c r="BG281" s="1"/>
      <c r="BH281" s="1"/>
    </row>
    <row r="282" spans="1:60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79"/>
      <c r="AO282" s="79"/>
      <c r="AP282" s="79"/>
      <c r="AQ282" s="79"/>
      <c r="AR282" s="79"/>
      <c r="AS282" s="79"/>
      <c r="AT282" s="79"/>
      <c r="AU282" s="79"/>
      <c r="AV282" s="79"/>
      <c r="AW282" s="79"/>
      <c r="AX282" s="79"/>
      <c r="AY282" s="79"/>
      <c r="AZ282" s="79"/>
      <c r="BA282" s="79"/>
      <c r="BB282" s="1"/>
      <c r="BC282" s="1"/>
      <c r="BD282" s="1"/>
      <c r="BE282" s="1"/>
      <c r="BF282" s="1"/>
      <c r="BG282" s="1"/>
      <c r="BH282" s="1"/>
    </row>
    <row r="283" spans="1:60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79"/>
      <c r="AO283" s="79"/>
      <c r="AP283" s="79"/>
      <c r="AQ283" s="79"/>
      <c r="AR283" s="79"/>
      <c r="AS283" s="79"/>
      <c r="AT283" s="79"/>
      <c r="AU283" s="79"/>
      <c r="AV283" s="79"/>
      <c r="AW283" s="79"/>
      <c r="AX283" s="79"/>
      <c r="AY283" s="79"/>
      <c r="AZ283" s="79"/>
      <c r="BA283" s="79"/>
      <c r="BB283" s="1"/>
      <c r="BC283" s="1"/>
      <c r="BD283" s="1"/>
      <c r="BE283" s="1"/>
      <c r="BF283" s="1"/>
      <c r="BG283" s="1"/>
      <c r="BH283" s="1"/>
    </row>
    <row r="284" spans="1:60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79"/>
      <c r="AO284" s="79"/>
      <c r="AP284" s="79"/>
      <c r="AQ284" s="79"/>
      <c r="AR284" s="79"/>
      <c r="AS284" s="79"/>
      <c r="AT284" s="79"/>
      <c r="AU284" s="79"/>
      <c r="AV284" s="79"/>
      <c r="AW284" s="79"/>
      <c r="AX284" s="79"/>
      <c r="AY284" s="79"/>
      <c r="AZ284" s="79"/>
      <c r="BA284" s="79"/>
      <c r="BB284" s="1"/>
      <c r="BC284" s="1"/>
      <c r="BD284" s="1"/>
      <c r="BE284" s="1"/>
      <c r="BF284" s="1"/>
      <c r="BG284" s="1"/>
      <c r="BH284" s="1"/>
    </row>
    <row r="285" spans="1:60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79"/>
      <c r="AO285" s="79"/>
      <c r="AP285" s="79"/>
      <c r="AQ285" s="79"/>
      <c r="AR285" s="79"/>
      <c r="AS285" s="79"/>
      <c r="AT285" s="79"/>
      <c r="AU285" s="79"/>
      <c r="AV285" s="79"/>
      <c r="AW285" s="79"/>
      <c r="AX285" s="79"/>
      <c r="AY285" s="79"/>
      <c r="AZ285" s="79"/>
      <c r="BA285" s="79"/>
      <c r="BB285" s="1"/>
      <c r="BC285" s="1"/>
      <c r="BD285" s="1"/>
      <c r="BE285" s="1"/>
      <c r="BF285" s="1"/>
      <c r="BG285" s="1"/>
      <c r="BH285" s="1"/>
    </row>
    <row r="286" spans="1:60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79"/>
      <c r="AO286" s="79"/>
      <c r="AP286" s="79"/>
      <c r="AQ286" s="79"/>
      <c r="AR286" s="79"/>
      <c r="AS286" s="79"/>
      <c r="AT286" s="79"/>
      <c r="AU286" s="79"/>
      <c r="AV286" s="79"/>
      <c r="AW286" s="79"/>
      <c r="AX286" s="79"/>
      <c r="AY286" s="79"/>
      <c r="AZ286" s="79"/>
      <c r="BA286" s="79"/>
      <c r="BB286" s="1"/>
      <c r="BC286" s="1"/>
      <c r="BD286" s="1"/>
      <c r="BE286" s="1"/>
      <c r="BF286" s="1"/>
      <c r="BG286" s="1"/>
      <c r="BH286" s="1"/>
    </row>
    <row r="287" spans="1:60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79"/>
      <c r="AO287" s="79"/>
      <c r="AP287" s="79"/>
      <c r="AQ287" s="79"/>
      <c r="AR287" s="79"/>
      <c r="AS287" s="79"/>
      <c r="AT287" s="79"/>
      <c r="AU287" s="79"/>
      <c r="AV287" s="79"/>
      <c r="AW287" s="79"/>
      <c r="AX287" s="79"/>
      <c r="AY287" s="79"/>
      <c r="AZ287" s="79"/>
      <c r="BA287" s="79"/>
      <c r="BB287" s="1"/>
      <c r="BC287" s="1"/>
      <c r="BD287" s="1"/>
      <c r="BE287" s="1"/>
      <c r="BF287" s="1"/>
      <c r="BG287" s="1"/>
      <c r="BH287" s="1"/>
    </row>
    <row r="288" spans="1:60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79"/>
      <c r="AO288" s="79"/>
      <c r="AP288" s="79"/>
      <c r="AQ288" s="79"/>
      <c r="AR288" s="79"/>
      <c r="AS288" s="79"/>
      <c r="AT288" s="79"/>
      <c r="AU288" s="79"/>
      <c r="AV288" s="79"/>
      <c r="AW288" s="79"/>
      <c r="AX288" s="79"/>
      <c r="AY288" s="79"/>
      <c r="AZ288" s="79"/>
      <c r="BA288" s="79"/>
      <c r="BB288" s="1"/>
      <c r="BC288" s="1"/>
      <c r="BD288" s="1"/>
      <c r="BE288" s="1"/>
      <c r="BF288" s="1"/>
      <c r="BG288" s="1"/>
      <c r="BH288" s="1"/>
    </row>
    <row r="289" spans="1:60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  <c r="AY289" s="79"/>
      <c r="AZ289" s="79"/>
      <c r="BA289" s="79"/>
      <c r="BB289" s="1"/>
      <c r="BC289" s="1"/>
      <c r="BD289" s="1"/>
      <c r="BE289" s="1"/>
      <c r="BF289" s="1"/>
      <c r="BG289" s="1"/>
      <c r="BH289" s="1"/>
    </row>
    <row r="290" spans="1:60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79"/>
      <c r="AO290" s="79"/>
      <c r="AP290" s="79"/>
      <c r="AQ290" s="79"/>
      <c r="AR290" s="79"/>
      <c r="AS290" s="79"/>
      <c r="AT290" s="79"/>
      <c r="AU290" s="79"/>
      <c r="AV290" s="79"/>
      <c r="AW290" s="79"/>
      <c r="AX290" s="79"/>
      <c r="AY290" s="79"/>
      <c r="AZ290" s="79"/>
      <c r="BA290" s="79"/>
      <c r="BB290" s="1"/>
      <c r="BC290" s="1"/>
      <c r="BD290" s="1"/>
      <c r="BE290" s="1"/>
      <c r="BF290" s="1"/>
      <c r="BG290" s="1"/>
      <c r="BH290" s="1"/>
    </row>
    <row r="291" spans="1:60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79"/>
      <c r="AO291" s="79"/>
      <c r="AP291" s="79"/>
      <c r="AQ291" s="79"/>
      <c r="AR291" s="79"/>
      <c r="AS291" s="79"/>
      <c r="AT291" s="79"/>
      <c r="AU291" s="79"/>
      <c r="AV291" s="79"/>
      <c r="AW291" s="79"/>
      <c r="AX291" s="79"/>
      <c r="AY291" s="79"/>
      <c r="AZ291" s="79"/>
      <c r="BA291" s="79"/>
      <c r="BB291" s="1"/>
      <c r="BC291" s="1"/>
      <c r="BD291" s="1"/>
      <c r="BE291" s="1"/>
      <c r="BF291" s="1"/>
      <c r="BG291" s="1"/>
      <c r="BH291" s="1"/>
    </row>
    <row r="292" spans="1:60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79"/>
      <c r="AO292" s="79"/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  <c r="AZ292" s="79"/>
      <c r="BA292" s="79"/>
      <c r="BB292" s="1"/>
      <c r="BC292" s="1"/>
      <c r="BD292" s="1"/>
      <c r="BE292" s="1"/>
      <c r="BF292" s="1"/>
      <c r="BG292" s="1"/>
      <c r="BH292" s="1"/>
    </row>
    <row r="293" spans="1:60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79"/>
      <c r="AZ293" s="79"/>
      <c r="BA293" s="79"/>
      <c r="BB293" s="1"/>
      <c r="BC293" s="1"/>
      <c r="BD293" s="1"/>
      <c r="BE293" s="1"/>
      <c r="BF293" s="1"/>
      <c r="BG293" s="1"/>
      <c r="BH293" s="1"/>
    </row>
    <row r="294" spans="1:60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79"/>
      <c r="AO294" s="79"/>
      <c r="AP294" s="79"/>
      <c r="AQ294" s="79"/>
      <c r="AR294" s="79"/>
      <c r="AS294" s="79"/>
      <c r="AT294" s="79"/>
      <c r="AU294" s="79"/>
      <c r="AV294" s="79"/>
      <c r="AW294" s="79"/>
      <c r="AX294" s="79"/>
      <c r="AY294" s="79"/>
      <c r="AZ294" s="79"/>
      <c r="BA294" s="79"/>
      <c r="BB294" s="1"/>
      <c r="BC294" s="1"/>
      <c r="BD294" s="1"/>
      <c r="BE294" s="1"/>
      <c r="BF294" s="1"/>
      <c r="BG294" s="1"/>
      <c r="BH294" s="1"/>
    </row>
    <row r="295" spans="1:60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79"/>
      <c r="AO295" s="79"/>
      <c r="AP295" s="79"/>
      <c r="AQ295" s="79"/>
      <c r="AR295" s="79"/>
      <c r="AS295" s="79"/>
      <c r="AT295" s="79"/>
      <c r="AU295" s="79"/>
      <c r="AV295" s="79"/>
      <c r="AW295" s="79"/>
      <c r="AX295" s="79"/>
      <c r="AY295" s="79"/>
      <c r="AZ295" s="79"/>
      <c r="BA295" s="79"/>
      <c r="BB295" s="1"/>
      <c r="BC295" s="1"/>
      <c r="BD295" s="1"/>
      <c r="BE295" s="1"/>
      <c r="BF295" s="1"/>
      <c r="BG295" s="1"/>
      <c r="BH295" s="1"/>
    </row>
    <row r="296" spans="1:60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79"/>
      <c r="AO296" s="79"/>
      <c r="AP296" s="79"/>
      <c r="AQ296" s="79"/>
      <c r="AR296" s="79"/>
      <c r="AS296" s="79"/>
      <c r="AT296" s="79"/>
      <c r="AU296" s="79"/>
      <c r="AV296" s="79"/>
      <c r="AW296" s="79"/>
      <c r="AX296" s="79"/>
      <c r="AY296" s="79"/>
      <c r="AZ296" s="79"/>
      <c r="BA296" s="79"/>
      <c r="BB296" s="1"/>
      <c r="BC296" s="1"/>
      <c r="BD296" s="1"/>
      <c r="BE296" s="1"/>
      <c r="BF296" s="1"/>
      <c r="BG296" s="1"/>
      <c r="BH296" s="1"/>
    </row>
    <row r="297" spans="1:60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79"/>
      <c r="AO297" s="79"/>
      <c r="AP297" s="79"/>
      <c r="AQ297" s="79"/>
      <c r="AR297" s="79"/>
      <c r="AS297" s="79"/>
      <c r="AT297" s="79"/>
      <c r="AU297" s="79"/>
      <c r="AV297" s="79"/>
      <c r="AW297" s="79"/>
      <c r="AX297" s="79"/>
      <c r="AY297" s="79"/>
      <c r="AZ297" s="79"/>
      <c r="BA297" s="79"/>
      <c r="BB297" s="1"/>
      <c r="BC297" s="1"/>
      <c r="BD297" s="1"/>
      <c r="BE297" s="1"/>
      <c r="BF297" s="1"/>
      <c r="BG297" s="1"/>
      <c r="BH297" s="1"/>
    </row>
    <row r="298" spans="1:60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79"/>
      <c r="AO298" s="79"/>
      <c r="AP298" s="79"/>
      <c r="AQ298" s="79"/>
      <c r="AR298" s="79"/>
      <c r="AS298" s="79"/>
      <c r="AT298" s="79"/>
      <c r="AU298" s="79"/>
      <c r="AV298" s="79"/>
      <c r="AW298" s="79"/>
      <c r="AX298" s="79"/>
      <c r="AY298" s="79"/>
      <c r="AZ298" s="79"/>
      <c r="BA298" s="79"/>
      <c r="BB298" s="1"/>
      <c r="BC298" s="1"/>
      <c r="BD298" s="1"/>
      <c r="BE298" s="1"/>
      <c r="BF298" s="1"/>
      <c r="BG298" s="1"/>
      <c r="BH298" s="1"/>
    </row>
    <row r="299" spans="1:60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79"/>
      <c r="AO299" s="79"/>
      <c r="AP299" s="79"/>
      <c r="AQ299" s="79"/>
      <c r="AR299" s="79"/>
      <c r="AS299" s="79"/>
      <c r="AT299" s="79"/>
      <c r="AU299" s="79"/>
      <c r="AV299" s="79"/>
      <c r="AW299" s="79"/>
      <c r="AX299" s="79"/>
      <c r="AY299" s="79"/>
      <c r="AZ299" s="79"/>
      <c r="BA299" s="79"/>
      <c r="BB299" s="1"/>
      <c r="BC299" s="1"/>
      <c r="BD299" s="1"/>
      <c r="BE299" s="1"/>
      <c r="BF299" s="1"/>
      <c r="BG299" s="1"/>
      <c r="BH299" s="1"/>
    </row>
    <row r="300" spans="1:60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79"/>
      <c r="AO300" s="79"/>
      <c r="AP300" s="79"/>
      <c r="AQ300" s="79"/>
      <c r="AR300" s="79"/>
      <c r="AS300" s="79"/>
      <c r="AT300" s="79"/>
      <c r="AU300" s="79"/>
      <c r="AV300" s="79"/>
      <c r="AW300" s="79"/>
      <c r="AX300" s="79"/>
      <c r="AY300" s="79"/>
      <c r="AZ300" s="79"/>
      <c r="BA300" s="79"/>
      <c r="BB300" s="1"/>
      <c r="BC300" s="1"/>
      <c r="BD300" s="1"/>
      <c r="BE300" s="1"/>
      <c r="BF300" s="1"/>
      <c r="BG300" s="1"/>
      <c r="BH300" s="1"/>
    </row>
    <row r="301" spans="1:60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79"/>
      <c r="AO301" s="79"/>
      <c r="AP301" s="79"/>
      <c r="AQ301" s="79"/>
      <c r="AR301" s="79"/>
      <c r="AS301" s="79"/>
      <c r="AT301" s="79"/>
      <c r="AU301" s="79"/>
      <c r="AV301" s="79"/>
      <c r="AW301" s="79"/>
      <c r="AX301" s="79"/>
      <c r="AY301" s="79"/>
      <c r="AZ301" s="79"/>
      <c r="BA301" s="79"/>
      <c r="BB301" s="1"/>
      <c r="BC301" s="1"/>
      <c r="BD301" s="1"/>
      <c r="BE301" s="1"/>
      <c r="BF301" s="1"/>
      <c r="BG301" s="1"/>
      <c r="BH301" s="1"/>
    </row>
    <row r="302" spans="1:60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79"/>
      <c r="AO302" s="79"/>
      <c r="AP302" s="79"/>
      <c r="AQ302" s="79"/>
      <c r="AR302" s="79"/>
      <c r="AS302" s="79"/>
      <c r="AT302" s="79"/>
      <c r="AU302" s="79"/>
      <c r="AV302" s="79"/>
      <c r="AW302" s="79"/>
      <c r="AX302" s="79"/>
      <c r="AY302" s="79"/>
      <c r="AZ302" s="79"/>
      <c r="BA302" s="79"/>
      <c r="BB302" s="1"/>
      <c r="BC302" s="1"/>
      <c r="BD302" s="1"/>
      <c r="BE302" s="1"/>
      <c r="BF302" s="1"/>
      <c r="BG302" s="1"/>
      <c r="BH302" s="1"/>
    </row>
    <row r="303" spans="1:60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79"/>
      <c r="AO303" s="79"/>
      <c r="AP303" s="79"/>
      <c r="AQ303" s="79"/>
      <c r="AR303" s="79"/>
      <c r="AS303" s="79"/>
      <c r="AT303" s="79"/>
      <c r="AU303" s="79"/>
      <c r="AV303" s="79"/>
      <c r="AW303" s="79"/>
      <c r="AX303" s="79"/>
      <c r="AY303" s="79"/>
      <c r="AZ303" s="79"/>
      <c r="BA303" s="79"/>
      <c r="BB303" s="1"/>
      <c r="BC303" s="1"/>
      <c r="BD303" s="1"/>
      <c r="BE303" s="1"/>
      <c r="BF303" s="1"/>
      <c r="BG303" s="1"/>
      <c r="BH303" s="1"/>
    </row>
    <row r="304" spans="1:60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79"/>
      <c r="AO304" s="79"/>
      <c r="AP304" s="79"/>
      <c r="AQ304" s="79"/>
      <c r="AR304" s="79"/>
      <c r="AS304" s="79"/>
      <c r="AT304" s="79"/>
      <c r="AU304" s="79"/>
      <c r="AV304" s="79"/>
      <c r="AW304" s="79"/>
      <c r="AX304" s="79"/>
      <c r="AY304" s="79"/>
      <c r="AZ304" s="79"/>
      <c r="BA304" s="79"/>
      <c r="BB304" s="1"/>
      <c r="BC304" s="1"/>
      <c r="BD304" s="1"/>
      <c r="BE304" s="1"/>
      <c r="BF304" s="1"/>
      <c r="BG304" s="1"/>
      <c r="BH304" s="1"/>
    </row>
    <row r="305" spans="1:60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1"/>
      <c r="BC305" s="1"/>
      <c r="BD305" s="1"/>
      <c r="BE305" s="1"/>
      <c r="BF305" s="1"/>
      <c r="BG305" s="1"/>
      <c r="BH305" s="1"/>
    </row>
    <row r="306" spans="1:60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1"/>
      <c r="BC306" s="1"/>
      <c r="BD306" s="1"/>
      <c r="BE306" s="1"/>
      <c r="BF306" s="1"/>
      <c r="BG306" s="1"/>
      <c r="BH306" s="1"/>
    </row>
    <row r="307" spans="1:60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79"/>
      <c r="AO307" s="79"/>
      <c r="AP307" s="79"/>
      <c r="AQ307" s="79"/>
      <c r="AR307" s="79"/>
      <c r="AS307" s="79"/>
      <c r="AT307" s="79"/>
      <c r="AU307" s="79"/>
      <c r="AV307" s="79"/>
      <c r="AW307" s="79"/>
      <c r="AX307" s="79"/>
      <c r="AY307" s="79"/>
      <c r="AZ307" s="79"/>
      <c r="BA307" s="79"/>
      <c r="BB307" s="1"/>
      <c r="BC307" s="1"/>
      <c r="BD307" s="1"/>
      <c r="BE307" s="1"/>
      <c r="BF307" s="1"/>
      <c r="BG307" s="1"/>
      <c r="BH307" s="1"/>
    </row>
    <row r="308" spans="1:60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79"/>
      <c r="AO308" s="79"/>
      <c r="AP308" s="79"/>
      <c r="AQ308" s="79"/>
      <c r="AR308" s="79"/>
      <c r="AS308" s="79"/>
      <c r="AT308" s="79"/>
      <c r="AU308" s="79"/>
      <c r="AV308" s="79"/>
      <c r="AW308" s="79"/>
      <c r="AX308" s="79"/>
      <c r="AY308" s="79"/>
      <c r="AZ308" s="79"/>
      <c r="BA308" s="79"/>
      <c r="BB308" s="1"/>
      <c r="BC308" s="1"/>
      <c r="BD308" s="1"/>
      <c r="BE308" s="1"/>
      <c r="BF308" s="1"/>
      <c r="BG308" s="1"/>
      <c r="BH308" s="1"/>
    </row>
    <row r="309" spans="1:60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79"/>
      <c r="AO309" s="79"/>
      <c r="AP309" s="79"/>
      <c r="AQ309" s="79"/>
      <c r="AR309" s="79"/>
      <c r="AS309" s="79"/>
      <c r="AT309" s="79"/>
      <c r="AU309" s="79"/>
      <c r="AV309" s="79"/>
      <c r="AW309" s="79"/>
      <c r="AX309" s="79"/>
      <c r="AY309" s="79"/>
      <c r="AZ309" s="79"/>
      <c r="BA309" s="79"/>
      <c r="BB309" s="1"/>
      <c r="BC309" s="1"/>
      <c r="BD309" s="1"/>
      <c r="BE309" s="1"/>
      <c r="BF309" s="1"/>
      <c r="BG309" s="1"/>
      <c r="BH309" s="1"/>
    </row>
    <row r="310" spans="1:60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79"/>
      <c r="AO310" s="79"/>
      <c r="AP310" s="79"/>
      <c r="AQ310" s="79"/>
      <c r="AR310" s="79"/>
      <c r="AS310" s="79"/>
      <c r="AT310" s="79"/>
      <c r="AU310" s="79"/>
      <c r="AV310" s="79"/>
      <c r="AW310" s="79"/>
      <c r="AX310" s="79"/>
      <c r="AY310" s="79"/>
      <c r="AZ310" s="79"/>
      <c r="BA310" s="79"/>
      <c r="BB310" s="1"/>
      <c r="BC310" s="1"/>
      <c r="BD310" s="1"/>
      <c r="BE310" s="1"/>
      <c r="BF310" s="1"/>
      <c r="BG310" s="1"/>
      <c r="BH310" s="1"/>
    </row>
    <row r="311" spans="1:60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  <c r="BA311" s="79"/>
      <c r="BB311" s="1"/>
      <c r="BC311" s="1"/>
      <c r="BD311" s="1"/>
      <c r="BE311" s="1"/>
      <c r="BF311" s="1"/>
      <c r="BG311" s="1"/>
      <c r="BH311" s="1"/>
    </row>
    <row r="312" spans="1:60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79"/>
      <c r="AO312" s="79"/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  <c r="AZ312" s="79"/>
      <c r="BA312" s="79"/>
      <c r="BB312" s="1"/>
      <c r="BC312" s="1"/>
      <c r="BD312" s="1"/>
      <c r="BE312" s="1"/>
      <c r="BF312" s="1"/>
      <c r="BG312" s="1"/>
      <c r="BH312" s="1"/>
    </row>
    <row r="313" spans="1:60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79"/>
      <c r="AO313" s="79"/>
      <c r="AP313" s="79"/>
      <c r="AQ313" s="79"/>
      <c r="AR313" s="79"/>
      <c r="AS313" s="79"/>
      <c r="AT313" s="79"/>
      <c r="AU313" s="79"/>
      <c r="AV313" s="79"/>
      <c r="AW313" s="79"/>
      <c r="AX313" s="79"/>
      <c r="AY313" s="79"/>
      <c r="AZ313" s="79"/>
      <c r="BA313" s="79"/>
      <c r="BB313" s="1"/>
      <c r="BC313" s="1"/>
      <c r="BD313" s="1"/>
      <c r="BE313" s="1"/>
      <c r="BF313" s="1"/>
      <c r="BG313" s="1"/>
      <c r="BH313" s="1"/>
    </row>
    <row r="314" spans="1:60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79"/>
      <c r="AO314" s="79"/>
      <c r="AP314" s="79"/>
      <c r="AQ314" s="79"/>
      <c r="AR314" s="79"/>
      <c r="AS314" s="79"/>
      <c r="AT314" s="79"/>
      <c r="AU314" s="79"/>
      <c r="AV314" s="79"/>
      <c r="AW314" s="79"/>
      <c r="AX314" s="79"/>
      <c r="AY314" s="79"/>
      <c r="AZ314" s="79"/>
      <c r="BA314" s="79"/>
      <c r="BB314" s="1"/>
      <c r="BC314" s="1"/>
      <c r="BD314" s="1"/>
      <c r="BE314" s="1"/>
      <c r="BF314" s="1"/>
      <c r="BG314" s="1"/>
      <c r="BH314" s="1"/>
    </row>
    <row r="315" spans="1:60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79"/>
      <c r="AO315" s="79"/>
      <c r="AP315" s="79"/>
      <c r="AQ315" s="79"/>
      <c r="AR315" s="79"/>
      <c r="AS315" s="79"/>
      <c r="AT315" s="79"/>
      <c r="AU315" s="79"/>
      <c r="AV315" s="79"/>
      <c r="AW315" s="79"/>
      <c r="AX315" s="79"/>
      <c r="AY315" s="79"/>
      <c r="AZ315" s="79"/>
      <c r="BA315" s="79"/>
      <c r="BB315" s="1"/>
      <c r="BC315" s="1"/>
      <c r="BD315" s="1"/>
      <c r="BE315" s="1"/>
      <c r="BF315" s="1"/>
      <c r="BG315" s="1"/>
      <c r="BH315" s="1"/>
    </row>
    <row r="316" spans="1:60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79"/>
      <c r="AO316" s="79"/>
      <c r="AP316" s="79"/>
      <c r="AQ316" s="79"/>
      <c r="AR316" s="79"/>
      <c r="AS316" s="79"/>
      <c r="AT316" s="79"/>
      <c r="AU316" s="79"/>
      <c r="AV316" s="79"/>
      <c r="AW316" s="79"/>
      <c r="AX316" s="79"/>
      <c r="AY316" s="79"/>
      <c r="AZ316" s="79"/>
      <c r="BA316" s="79"/>
      <c r="BB316" s="1"/>
      <c r="BC316" s="1"/>
      <c r="BD316" s="1"/>
      <c r="BE316" s="1"/>
      <c r="BF316" s="1"/>
      <c r="BG316" s="1"/>
      <c r="BH316" s="1"/>
    </row>
    <row r="317" spans="1:60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79"/>
      <c r="AO317" s="79"/>
      <c r="AP317" s="79"/>
      <c r="AQ317" s="79"/>
      <c r="AR317" s="79"/>
      <c r="AS317" s="79"/>
      <c r="AT317" s="79"/>
      <c r="AU317" s="79"/>
      <c r="AV317" s="79"/>
      <c r="AW317" s="79"/>
      <c r="AX317" s="79"/>
      <c r="AY317" s="79"/>
      <c r="AZ317" s="79"/>
      <c r="BA317" s="79"/>
      <c r="BB317" s="1"/>
      <c r="BC317" s="1"/>
      <c r="BD317" s="1"/>
      <c r="BE317" s="1"/>
      <c r="BF317" s="1"/>
      <c r="BG317" s="1"/>
      <c r="BH317" s="1"/>
    </row>
    <row r="318" spans="1:60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79"/>
      <c r="AO318" s="79"/>
      <c r="AP318" s="79"/>
      <c r="AQ318" s="79"/>
      <c r="AR318" s="79"/>
      <c r="AS318" s="79"/>
      <c r="AT318" s="79"/>
      <c r="AU318" s="79"/>
      <c r="AV318" s="79"/>
      <c r="AW318" s="79"/>
      <c r="AX318" s="79"/>
      <c r="AY318" s="79"/>
      <c r="AZ318" s="79"/>
      <c r="BA318" s="79"/>
      <c r="BB318" s="1"/>
      <c r="BC318" s="1"/>
      <c r="BD318" s="1"/>
      <c r="BE318" s="1"/>
      <c r="BF318" s="1"/>
      <c r="BG318" s="1"/>
      <c r="BH318" s="1"/>
    </row>
    <row r="319" spans="1:60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79"/>
      <c r="AO319" s="79"/>
      <c r="AP319" s="79"/>
      <c r="AQ319" s="79"/>
      <c r="AR319" s="79"/>
      <c r="AS319" s="79"/>
      <c r="AT319" s="79"/>
      <c r="AU319" s="79"/>
      <c r="AV319" s="79"/>
      <c r="AW319" s="79"/>
      <c r="AX319" s="79"/>
      <c r="AY319" s="79"/>
      <c r="AZ319" s="79"/>
      <c r="BA319" s="79"/>
      <c r="BB319" s="1"/>
      <c r="BC319" s="1"/>
      <c r="BD319" s="1"/>
      <c r="BE319" s="1"/>
      <c r="BF319" s="1"/>
      <c r="BG319" s="1"/>
      <c r="BH319" s="1"/>
    </row>
    <row r="320" spans="1:60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79"/>
      <c r="AO320" s="79"/>
      <c r="AP320" s="79"/>
      <c r="AQ320" s="79"/>
      <c r="AR320" s="79"/>
      <c r="AS320" s="79"/>
      <c r="AT320" s="79"/>
      <c r="AU320" s="79"/>
      <c r="AV320" s="79"/>
      <c r="AW320" s="79"/>
      <c r="AX320" s="79"/>
      <c r="AY320" s="79"/>
      <c r="AZ320" s="79"/>
      <c r="BA320" s="79"/>
      <c r="BB320" s="1"/>
      <c r="BC320" s="1"/>
      <c r="BD320" s="1"/>
      <c r="BE320" s="1"/>
      <c r="BF320" s="1"/>
      <c r="BG320" s="1"/>
      <c r="BH320" s="1"/>
    </row>
    <row r="321" spans="1:60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79"/>
      <c r="AO321" s="79"/>
      <c r="AP321" s="79"/>
      <c r="AQ321" s="79"/>
      <c r="AR321" s="79"/>
      <c r="AS321" s="79"/>
      <c r="AT321" s="79"/>
      <c r="AU321" s="79"/>
      <c r="AV321" s="79"/>
      <c r="AW321" s="79"/>
      <c r="AX321" s="79"/>
      <c r="AY321" s="79"/>
      <c r="AZ321" s="79"/>
      <c r="BA321" s="79"/>
      <c r="BB321" s="1"/>
      <c r="BC321" s="1"/>
      <c r="BD321" s="1"/>
      <c r="BE321" s="1"/>
      <c r="BF321" s="1"/>
      <c r="BG321" s="1"/>
      <c r="BH321" s="1"/>
    </row>
    <row r="322" spans="1:60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79"/>
      <c r="AO322" s="79"/>
      <c r="AP322" s="79"/>
      <c r="AQ322" s="79"/>
      <c r="AR322" s="79"/>
      <c r="AS322" s="79"/>
      <c r="AT322" s="79"/>
      <c r="AU322" s="79"/>
      <c r="AV322" s="79"/>
      <c r="AW322" s="79"/>
      <c r="AX322" s="79"/>
      <c r="AY322" s="79"/>
      <c r="AZ322" s="79"/>
      <c r="BA322" s="79"/>
      <c r="BB322" s="1"/>
      <c r="BC322" s="1"/>
      <c r="BD322" s="1"/>
      <c r="BE322" s="1"/>
      <c r="BF322" s="1"/>
      <c r="BG322" s="1"/>
      <c r="BH322" s="1"/>
    </row>
    <row r="323" spans="1:60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79"/>
      <c r="AO323" s="79"/>
      <c r="AP323" s="79"/>
      <c r="AQ323" s="79"/>
      <c r="AR323" s="79"/>
      <c r="AS323" s="79"/>
      <c r="AT323" s="79"/>
      <c r="AU323" s="79"/>
      <c r="AV323" s="79"/>
      <c r="AW323" s="79"/>
      <c r="AX323" s="79"/>
      <c r="AY323" s="79"/>
      <c r="AZ323" s="79"/>
      <c r="BA323" s="79"/>
      <c r="BB323" s="1"/>
      <c r="BC323" s="1"/>
      <c r="BD323" s="1"/>
      <c r="BE323" s="1"/>
      <c r="BF323" s="1"/>
      <c r="BG323" s="1"/>
      <c r="BH323" s="1"/>
    </row>
    <row r="324" spans="1:60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79"/>
      <c r="AO324" s="79"/>
      <c r="AP324" s="79"/>
      <c r="AQ324" s="79"/>
      <c r="AR324" s="79"/>
      <c r="AS324" s="79"/>
      <c r="AT324" s="79"/>
      <c r="AU324" s="79"/>
      <c r="AV324" s="79"/>
      <c r="AW324" s="79"/>
      <c r="AX324" s="79"/>
      <c r="AY324" s="79"/>
      <c r="AZ324" s="79"/>
      <c r="BA324" s="79"/>
      <c r="BB324" s="1"/>
      <c r="BC324" s="1"/>
      <c r="BD324" s="1"/>
      <c r="BE324" s="1"/>
      <c r="BF324" s="1"/>
      <c r="BG324" s="1"/>
      <c r="BH324" s="1"/>
    </row>
    <row r="325" spans="1:60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79"/>
      <c r="AO325" s="79"/>
      <c r="AP325" s="79"/>
      <c r="AQ325" s="79"/>
      <c r="AR325" s="79"/>
      <c r="AS325" s="79"/>
      <c r="AT325" s="79"/>
      <c r="AU325" s="79"/>
      <c r="AV325" s="79"/>
      <c r="AW325" s="79"/>
      <c r="AX325" s="79"/>
      <c r="AY325" s="79"/>
      <c r="AZ325" s="79"/>
      <c r="BA325" s="79"/>
      <c r="BB325" s="1"/>
      <c r="BC325" s="1"/>
      <c r="BD325" s="1"/>
      <c r="BE325" s="1"/>
      <c r="BF325" s="1"/>
      <c r="BG325" s="1"/>
      <c r="BH325" s="1"/>
    </row>
    <row r="326" spans="1:60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79"/>
      <c r="AO326" s="79"/>
      <c r="AP326" s="79"/>
      <c r="AQ326" s="79"/>
      <c r="AR326" s="79"/>
      <c r="AS326" s="79"/>
      <c r="AT326" s="79"/>
      <c r="AU326" s="79"/>
      <c r="AV326" s="79"/>
      <c r="AW326" s="79"/>
      <c r="AX326" s="79"/>
      <c r="AY326" s="79"/>
      <c r="AZ326" s="79"/>
      <c r="BA326" s="79"/>
      <c r="BB326" s="1"/>
      <c r="BC326" s="1"/>
      <c r="BD326" s="1"/>
      <c r="BE326" s="1"/>
      <c r="BF326" s="1"/>
      <c r="BG326" s="1"/>
      <c r="BH326" s="1"/>
    </row>
    <row r="327" spans="1:60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79"/>
      <c r="AO327" s="79"/>
      <c r="AP327" s="79"/>
      <c r="AQ327" s="79"/>
      <c r="AR327" s="79"/>
      <c r="AS327" s="79"/>
      <c r="AT327" s="79"/>
      <c r="AU327" s="79"/>
      <c r="AV327" s="79"/>
      <c r="AW327" s="79"/>
      <c r="AX327" s="79"/>
      <c r="AY327" s="79"/>
      <c r="AZ327" s="79"/>
      <c r="BA327" s="79"/>
      <c r="BB327" s="1"/>
      <c r="BC327" s="1"/>
      <c r="BD327" s="1"/>
      <c r="BE327" s="1"/>
      <c r="BF327" s="1"/>
      <c r="BG327" s="1"/>
      <c r="BH327" s="1"/>
    </row>
    <row r="328" spans="1:60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79"/>
      <c r="AO328" s="79"/>
      <c r="AP328" s="79"/>
      <c r="AQ328" s="79"/>
      <c r="AR328" s="79"/>
      <c r="AS328" s="79"/>
      <c r="AT328" s="79"/>
      <c r="AU328" s="79"/>
      <c r="AV328" s="79"/>
      <c r="AW328" s="79"/>
      <c r="AX328" s="79"/>
      <c r="AY328" s="79"/>
      <c r="AZ328" s="79"/>
      <c r="BA328" s="79"/>
      <c r="BB328" s="1"/>
      <c r="BC328" s="1"/>
      <c r="BD328" s="1"/>
      <c r="BE328" s="1"/>
      <c r="BF328" s="1"/>
      <c r="BG328" s="1"/>
      <c r="BH328" s="1"/>
    </row>
    <row r="329" spans="1:60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79"/>
      <c r="AO329" s="79"/>
      <c r="AP329" s="79"/>
      <c r="AQ329" s="79"/>
      <c r="AR329" s="79"/>
      <c r="AS329" s="79"/>
      <c r="AT329" s="79"/>
      <c r="AU329" s="79"/>
      <c r="AV329" s="79"/>
      <c r="AW329" s="79"/>
      <c r="AX329" s="79"/>
      <c r="AY329" s="79"/>
      <c r="AZ329" s="79"/>
      <c r="BA329" s="79"/>
      <c r="BB329" s="1"/>
      <c r="BC329" s="1"/>
      <c r="BD329" s="1"/>
      <c r="BE329" s="1"/>
      <c r="BF329" s="1"/>
      <c r="BG329" s="1"/>
      <c r="BH329" s="1"/>
    </row>
    <row r="330" spans="1:60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79"/>
      <c r="AO330" s="79"/>
      <c r="AP330" s="79"/>
      <c r="AQ330" s="79"/>
      <c r="AR330" s="79"/>
      <c r="AS330" s="79"/>
      <c r="AT330" s="79"/>
      <c r="AU330" s="79"/>
      <c r="AV330" s="79"/>
      <c r="AW330" s="79"/>
      <c r="AX330" s="79"/>
      <c r="AY330" s="79"/>
      <c r="AZ330" s="79"/>
      <c r="BA330" s="79"/>
      <c r="BB330" s="1"/>
      <c r="BC330" s="1"/>
      <c r="BD330" s="1"/>
      <c r="BE330" s="1"/>
      <c r="BF330" s="1"/>
      <c r="BG330" s="1"/>
      <c r="BH330" s="1"/>
    </row>
    <row r="331" spans="1:60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79"/>
      <c r="AO331" s="79"/>
      <c r="AP331" s="79"/>
      <c r="AQ331" s="79"/>
      <c r="AR331" s="79"/>
      <c r="AS331" s="79"/>
      <c r="AT331" s="79"/>
      <c r="AU331" s="79"/>
      <c r="AV331" s="79"/>
      <c r="AW331" s="79"/>
      <c r="AX331" s="79"/>
      <c r="AY331" s="79"/>
      <c r="AZ331" s="79"/>
      <c r="BA331" s="79"/>
      <c r="BB331" s="1"/>
      <c r="BC331" s="1"/>
      <c r="BD331" s="1"/>
      <c r="BE331" s="1"/>
      <c r="BF331" s="1"/>
      <c r="BG331" s="1"/>
      <c r="BH331" s="1"/>
    </row>
    <row r="332" spans="1:60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79"/>
      <c r="AO332" s="79"/>
      <c r="AP332" s="79"/>
      <c r="AQ332" s="79"/>
      <c r="AR332" s="79"/>
      <c r="AS332" s="79"/>
      <c r="AT332" s="79"/>
      <c r="AU332" s="79"/>
      <c r="AV332" s="79"/>
      <c r="AW332" s="79"/>
      <c r="AX332" s="79"/>
      <c r="AY332" s="79"/>
      <c r="AZ332" s="79"/>
      <c r="BA332" s="79"/>
      <c r="BB332" s="1"/>
      <c r="BC332" s="1"/>
      <c r="BD332" s="1"/>
      <c r="BE332" s="1"/>
      <c r="BF332" s="1"/>
      <c r="BG332" s="1"/>
      <c r="BH332" s="1"/>
    </row>
    <row r="333" spans="1:60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79"/>
      <c r="AO333" s="79"/>
      <c r="AP333" s="79"/>
      <c r="AQ333" s="79"/>
      <c r="AR333" s="79"/>
      <c r="AS333" s="79"/>
      <c r="AT333" s="79"/>
      <c r="AU333" s="79"/>
      <c r="AV333" s="79"/>
      <c r="AW333" s="79"/>
      <c r="AX333" s="79"/>
      <c r="AY333" s="79"/>
      <c r="AZ333" s="79"/>
      <c r="BA333" s="79"/>
      <c r="BB333" s="1"/>
      <c r="BC333" s="1"/>
      <c r="BD333" s="1"/>
      <c r="BE333" s="1"/>
      <c r="BF333" s="1"/>
      <c r="BG333" s="1"/>
      <c r="BH333" s="1"/>
    </row>
    <row r="334" spans="1:60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79"/>
      <c r="AO334" s="79"/>
      <c r="AP334" s="79"/>
      <c r="AQ334" s="79"/>
      <c r="AR334" s="79"/>
      <c r="AS334" s="79"/>
      <c r="AT334" s="79"/>
      <c r="AU334" s="79"/>
      <c r="AV334" s="79"/>
      <c r="AW334" s="79"/>
      <c r="AX334" s="79"/>
      <c r="AY334" s="79"/>
      <c r="AZ334" s="79"/>
      <c r="BA334" s="79"/>
      <c r="BB334" s="1"/>
      <c r="BC334" s="1"/>
      <c r="BD334" s="1"/>
      <c r="BE334" s="1"/>
      <c r="BF334" s="1"/>
      <c r="BG334" s="1"/>
      <c r="BH334" s="1"/>
    </row>
    <row r="335" spans="1:60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1"/>
      <c r="BC335" s="1"/>
      <c r="BD335" s="1"/>
      <c r="BE335" s="1"/>
      <c r="BF335" s="1"/>
      <c r="BG335" s="1"/>
      <c r="BH335" s="1"/>
    </row>
    <row r="336" spans="1:60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1"/>
      <c r="BC336" s="1"/>
      <c r="BD336" s="1"/>
      <c r="BE336" s="1"/>
      <c r="BF336" s="1"/>
      <c r="BG336" s="1"/>
      <c r="BH336" s="1"/>
    </row>
    <row r="337" spans="1:60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1"/>
      <c r="BC337" s="1"/>
      <c r="BD337" s="1"/>
      <c r="BE337" s="1"/>
      <c r="BF337" s="1"/>
      <c r="BG337" s="1"/>
      <c r="BH337" s="1"/>
    </row>
    <row r="338" spans="1:60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79"/>
      <c r="AO338" s="79"/>
      <c r="AP338" s="79"/>
      <c r="AQ338" s="79"/>
      <c r="AR338" s="79"/>
      <c r="AS338" s="79"/>
      <c r="AT338" s="79"/>
      <c r="AU338" s="79"/>
      <c r="AV338" s="79"/>
      <c r="AW338" s="79"/>
      <c r="AX338" s="79"/>
      <c r="AY338" s="79"/>
      <c r="AZ338" s="79"/>
      <c r="BA338" s="79"/>
      <c r="BB338" s="1"/>
      <c r="BC338" s="1"/>
      <c r="BD338" s="1"/>
      <c r="BE338" s="1"/>
      <c r="BF338" s="1"/>
      <c r="BG338" s="1"/>
      <c r="BH338" s="1"/>
    </row>
    <row r="339" spans="1:60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79"/>
      <c r="AO339" s="79"/>
      <c r="AP339" s="79"/>
      <c r="AQ339" s="79"/>
      <c r="AR339" s="79"/>
      <c r="AS339" s="79"/>
      <c r="AT339" s="79"/>
      <c r="AU339" s="79"/>
      <c r="AV339" s="79"/>
      <c r="AW339" s="79"/>
      <c r="AX339" s="79"/>
      <c r="AY339" s="79"/>
      <c r="AZ339" s="79"/>
      <c r="BA339" s="79"/>
      <c r="BB339" s="1"/>
      <c r="BC339" s="1"/>
      <c r="BD339" s="1"/>
      <c r="BE339" s="1"/>
      <c r="BF339" s="1"/>
      <c r="BG339" s="1"/>
      <c r="BH339" s="1"/>
    </row>
    <row r="340" spans="1:60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79"/>
      <c r="AO340" s="79"/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  <c r="AZ340" s="79"/>
      <c r="BA340" s="79"/>
      <c r="BB340" s="1"/>
      <c r="BC340" s="1"/>
      <c r="BD340" s="1"/>
      <c r="BE340" s="1"/>
      <c r="BF340" s="1"/>
      <c r="BG340" s="1"/>
      <c r="BH340" s="1"/>
    </row>
    <row r="341" spans="1:60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79"/>
      <c r="AO341" s="79"/>
      <c r="AP341" s="79"/>
      <c r="AQ341" s="79"/>
      <c r="AR341" s="79"/>
      <c r="AS341" s="79"/>
      <c r="AT341" s="79"/>
      <c r="AU341" s="79"/>
      <c r="AV341" s="79"/>
      <c r="AW341" s="79"/>
      <c r="AX341" s="79"/>
      <c r="AY341" s="79"/>
      <c r="AZ341" s="79"/>
      <c r="BA341" s="79"/>
      <c r="BB341" s="1"/>
      <c r="BC341" s="1"/>
      <c r="BD341" s="1"/>
      <c r="BE341" s="1"/>
      <c r="BF341" s="1"/>
      <c r="BG341" s="1"/>
      <c r="BH341" s="1"/>
    </row>
    <row r="342" spans="1:60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79"/>
      <c r="AO342" s="79"/>
      <c r="AP342" s="79"/>
      <c r="AQ342" s="79"/>
      <c r="AR342" s="79"/>
      <c r="AS342" s="79"/>
      <c r="AT342" s="79"/>
      <c r="AU342" s="79"/>
      <c r="AV342" s="79"/>
      <c r="AW342" s="79"/>
      <c r="AX342" s="79"/>
      <c r="AY342" s="79"/>
      <c r="AZ342" s="79"/>
      <c r="BA342" s="79"/>
      <c r="BB342" s="1"/>
      <c r="BC342" s="1"/>
      <c r="BD342" s="1"/>
      <c r="BE342" s="1"/>
      <c r="BF342" s="1"/>
      <c r="BG342" s="1"/>
      <c r="BH342" s="1"/>
    </row>
    <row r="343" spans="1:60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79"/>
      <c r="AO343" s="79"/>
      <c r="AP343" s="79"/>
      <c r="AQ343" s="79"/>
      <c r="AR343" s="79"/>
      <c r="AS343" s="79"/>
      <c r="AT343" s="79"/>
      <c r="AU343" s="79"/>
      <c r="AV343" s="79"/>
      <c r="AW343" s="79"/>
      <c r="AX343" s="79"/>
      <c r="AY343" s="79"/>
      <c r="AZ343" s="79"/>
      <c r="BA343" s="79"/>
      <c r="BB343" s="1"/>
      <c r="BC343" s="1"/>
      <c r="BD343" s="1"/>
      <c r="BE343" s="1"/>
      <c r="BF343" s="1"/>
      <c r="BG343" s="1"/>
      <c r="BH343" s="1"/>
    </row>
    <row r="344" spans="1:60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79"/>
      <c r="AO344" s="79"/>
      <c r="AP344" s="79"/>
      <c r="AQ344" s="79"/>
      <c r="AR344" s="79"/>
      <c r="AS344" s="79"/>
      <c r="AT344" s="79"/>
      <c r="AU344" s="79"/>
      <c r="AV344" s="79"/>
      <c r="AW344" s="79"/>
      <c r="AX344" s="79"/>
      <c r="AY344" s="79"/>
      <c r="AZ344" s="79"/>
      <c r="BA344" s="79"/>
      <c r="BB344" s="1"/>
      <c r="BC344" s="1"/>
      <c r="BD344" s="1"/>
      <c r="BE344" s="1"/>
      <c r="BF344" s="1"/>
      <c r="BG344" s="1"/>
      <c r="BH344" s="1"/>
    </row>
    <row r="345" spans="1:60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79"/>
      <c r="AO345" s="79"/>
      <c r="AP345" s="79"/>
      <c r="AQ345" s="79"/>
      <c r="AR345" s="79"/>
      <c r="AS345" s="79"/>
      <c r="AT345" s="79"/>
      <c r="AU345" s="79"/>
      <c r="AV345" s="79"/>
      <c r="AW345" s="79"/>
      <c r="AX345" s="79"/>
      <c r="AY345" s="79"/>
      <c r="AZ345" s="79"/>
      <c r="BA345" s="79"/>
      <c r="BB345" s="1"/>
      <c r="BC345" s="1"/>
      <c r="BD345" s="1"/>
      <c r="BE345" s="1"/>
      <c r="BF345" s="1"/>
      <c r="BG345" s="1"/>
      <c r="BH345" s="1"/>
    </row>
    <row r="346" spans="1:60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79"/>
      <c r="AO346" s="79"/>
      <c r="AP346" s="79"/>
      <c r="AQ346" s="79"/>
      <c r="AR346" s="79"/>
      <c r="AS346" s="79"/>
      <c r="AT346" s="79"/>
      <c r="AU346" s="79"/>
      <c r="AV346" s="79"/>
      <c r="AW346" s="79"/>
      <c r="AX346" s="79"/>
      <c r="AY346" s="79"/>
      <c r="AZ346" s="79"/>
      <c r="BA346" s="79"/>
      <c r="BB346" s="1"/>
      <c r="BC346" s="1"/>
      <c r="BD346" s="1"/>
      <c r="BE346" s="1"/>
      <c r="BF346" s="1"/>
      <c r="BG346" s="1"/>
      <c r="BH346" s="1"/>
    </row>
    <row r="347" spans="1:60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79"/>
      <c r="AO347" s="79"/>
      <c r="AP347" s="79"/>
      <c r="AQ347" s="79"/>
      <c r="AR347" s="79"/>
      <c r="AS347" s="79"/>
      <c r="AT347" s="79"/>
      <c r="AU347" s="79"/>
      <c r="AV347" s="79"/>
      <c r="AW347" s="79"/>
      <c r="AX347" s="79"/>
      <c r="AY347" s="79"/>
      <c r="AZ347" s="79"/>
      <c r="BA347" s="79"/>
      <c r="BB347" s="1"/>
      <c r="BC347" s="1"/>
      <c r="BD347" s="1"/>
      <c r="BE347" s="1"/>
      <c r="BF347" s="1"/>
      <c r="BG347" s="1"/>
      <c r="BH347" s="1"/>
    </row>
    <row r="348" spans="1:60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79"/>
      <c r="AO348" s="79"/>
      <c r="AP348" s="79"/>
      <c r="AQ348" s="79"/>
      <c r="AR348" s="79"/>
      <c r="AS348" s="79"/>
      <c r="AT348" s="79"/>
      <c r="AU348" s="79"/>
      <c r="AV348" s="79"/>
      <c r="AW348" s="79"/>
      <c r="AX348" s="79"/>
      <c r="AY348" s="79"/>
      <c r="AZ348" s="79"/>
      <c r="BA348" s="79"/>
      <c r="BB348" s="1"/>
      <c r="BC348" s="1"/>
      <c r="BD348" s="1"/>
      <c r="BE348" s="1"/>
      <c r="BF348" s="1"/>
      <c r="BG348" s="1"/>
      <c r="BH348" s="1"/>
    </row>
    <row r="349" spans="1:60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79"/>
      <c r="AO349" s="79"/>
      <c r="AP349" s="79"/>
      <c r="AQ349" s="79"/>
      <c r="AR349" s="79"/>
      <c r="AS349" s="79"/>
      <c r="AT349" s="79"/>
      <c r="AU349" s="79"/>
      <c r="AV349" s="79"/>
      <c r="AW349" s="79"/>
      <c r="AX349" s="79"/>
      <c r="AY349" s="79"/>
      <c r="AZ349" s="79"/>
      <c r="BA349" s="79"/>
      <c r="BB349" s="1"/>
      <c r="BC349" s="1"/>
      <c r="BD349" s="1"/>
      <c r="BE349" s="1"/>
      <c r="BF349" s="1"/>
      <c r="BG349" s="1"/>
      <c r="BH349" s="1"/>
    </row>
    <row r="350" spans="1:60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79"/>
      <c r="AO350" s="79"/>
      <c r="AP350" s="79"/>
      <c r="AQ350" s="79"/>
      <c r="AR350" s="79"/>
      <c r="AS350" s="79"/>
      <c r="AT350" s="79"/>
      <c r="AU350" s="79"/>
      <c r="AV350" s="79"/>
      <c r="AW350" s="79"/>
      <c r="AX350" s="79"/>
      <c r="AY350" s="79"/>
      <c r="AZ350" s="79"/>
      <c r="BA350" s="79"/>
      <c r="BB350" s="1"/>
      <c r="BC350" s="1"/>
      <c r="BD350" s="1"/>
      <c r="BE350" s="1"/>
      <c r="BF350" s="1"/>
      <c r="BG350" s="1"/>
      <c r="BH350" s="1"/>
    </row>
    <row r="351" spans="1:60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79"/>
      <c r="AO351" s="79"/>
      <c r="AP351" s="79"/>
      <c r="AQ351" s="79"/>
      <c r="AR351" s="79"/>
      <c r="AS351" s="79"/>
      <c r="AT351" s="79"/>
      <c r="AU351" s="79"/>
      <c r="AV351" s="79"/>
      <c r="AW351" s="79"/>
      <c r="AX351" s="79"/>
      <c r="AY351" s="79"/>
      <c r="AZ351" s="79"/>
      <c r="BA351" s="79"/>
      <c r="BB351" s="1"/>
      <c r="BC351" s="1"/>
      <c r="BD351" s="1"/>
      <c r="BE351" s="1"/>
      <c r="BF351" s="1"/>
      <c r="BG351" s="1"/>
      <c r="BH351" s="1"/>
    </row>
    <row r="352" spans="1:60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79"/>
      <c r="AO352" s="79"/>
      <c r="AP352" s="79"/>
      <c r="AQ352" s="79"/>
      <c r="AR352" s="79"/>
      <c r="AS352" s="79"/>
      <c r="AT352" s="79"/>
      <c r="AU352" s="79"/>
      <c r="AV352" s="79"/>
      <c r="AW352" s="79"/>
      <c r="AX352" s="79"/>
      <c r="AY352" s="79"/>
      <c r="AZ352" s="79"/>
      <c r="BA352" s="79"/>
      <c r="BB352" s="1"/>
      <c r="BC352" s="1"/>
      <c r="BD352" s="1"/>
      <c r="BE352" s="1"/>
      <c r="BF352" s="1"/>
      <c r="BG352" s="1"/>
      <c r="BH352" s="1"/>
    </row>
    <row r="353" spans="1:60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79"/>
      <c r="AO353" s="79"/>
      <c r="AP353" s="79"/>
      <c r="AQ353" s="79"/>
      <c r="AR353" s="79"/>
      <c r="AS353" s="79"/>
      <c r="AT353" s="79"/>
      <c r="AU353" s="79"/>
      <c r="AV353" s="79"/>
      <c r="AW353" s="79"/>
      <c r="AX353" s="79"/>
      <c r="AY353" s="79"/>
      <c r="AZ353" s="79"/>
      <c r="BA353" s="79"/>
      <c r="BB353" s="1"/>
      <c r="BC353" s="1"/>
      <c r="BD353" s="1"/>
      <c r="BE353" s="1"/>
      <c r="BF353" s="1"/>
      <c r="BG353" s="1"/>
      <c r="BH353" s="1"/>
    </row>
    <row r="354" spans="1:60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79"/>
      <c r="AO354" s="79"/>
      <c r="AP354" s="79"/>
      <c r="AQ354" s="79"/>
      <c r="AR354" s="79"/>
      <c r="AS354" s="79"/>
      <c r="AT354" s="79"/>
      <c r="AU354" s="79"/>
      <c r="AV354" s="79"/>
      <c r="AW354" s="79"/>
      <c r="AX354" s="79"/>
      <c r="AY354" s="79"/>
      <c r="AZ354" s="79"/>
      <c r="BA354" s="79"/>
      <c r="BB354" s="1"/>
      <c r="BC354" s="1"/>
      <c r="BD354" s="1"/>
      <c r="BE354" s="1"/>
      <c r="BF354" s="1"/>
      <c r="BG354" s="1"/>
      <c r="BH354" s="1"/>
    </row>
    <row r="355" spans="1:60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79"/>
      <c r="AO355" s="79"/>
      <c r="AP355" s="79"/>
      <c r="AQ355" s="79"/>
      <c r="AR355" s="79"/>
      <c r="AS355" s="79"/>
      <c r="AT355" s="79"/>
      <c r="AU355" s="79"/>
      <c r="AV355" s="79"/>
      <c r="AW355" s="79"/>
      <c r="AX355" s="79"/>
      <c r="AY355" s="79"/>
      <c r="AZ355" s="79"/>
      <c r="BA355" s="79"/>
      <c r="BB355" s="1"/>
      <c r="BC355" s="1"/>
      <c r="BD355" s="1"/>
      <c r="BE355" s="1"/>
      <c r="BF355" s="1"/>
      <c r="BG355" s="1"/>
      <c r="BH355" s="1"/>
    </row>
    <row r="356" spans="1:60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79"/>
      <c r="AO356" s="79"/>
      <c r="AP356" s="79"/>
      <c r="AQ356" s="79"/>
      <c r="AR356" s="79"/>
      <c r="AS356" s="79"/>
      <c r="AT356" s="79"/>
      <c r="AU356" s="79"/>
      <c r="AV356" s="79"/>
      <c r="AW356" s="79"/>
      <c r="AX356" s="79"/>
      <c r="AY356" s="79"/>
      <c r="AZ356" s="79"/>
      <c r="BA356" s="79"/>
      <c r="BB356" s="1"/>
      <c r="BC356" s="1"/>
      <c r="BD356" s="1"/>
      <c r="BE356" s="1"/>
      <c r="BF356" s="1"/>
      <c r="BG356" s="1"/>
      <c r="BH356" s="1"/>
    </row>
    <row r="357" spans="1:60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79"/>
      <c r="AO357" s="79"/>
      <c r="AP357" s="79"/>
      <c r="AQ357" s="79"/>
      <c r="AR357" s="79"/>
      <c r="AS357" s="79"/>
      <c r="AT357" s="79"/>
      <c r="AU357" s="79"/>
      <c r="AV357" s="79"/>
      <c r="AW357" s="79"/>
      <c r="AX357" s="79"/>
      <c r="AY357" s="79"/>
      <c r="AZ357" s="79"/>
      <c r="BA357" s="79"/>
      <c r="BB357" s="1"/>
      <c r="BC357" s="1"/>
      <c r="BD357" s="1"/>
      <c r="BE357" s="1"/>
      <c r="BF357" s="1"/>
      <c r="BG357" s="1"/>
      <c r="BH357" s="1"/>
    </row>
    <row r="358" spans="1:60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79"/>
      <c r="AO358" s="79"/>
      <c r="AP358" s="79"/>
      <c r="AQ358" s="79"/>
      <c r="AR358" s="79"/>
      <c r="AS358" s="79"/>
      <c r="AT358" s="79"/>
      <c r="AU358" s="79"/>
      <c r="AV358" s="79"/>
      <c r="AW358" s="79"/>
      <c r="AX358" s="79"/>
      <c r="AY358" s="79"/>
      <c r="AZ358" s="79"/>
      <c r="BA358" s="79"/>
      <c r="BB358" s="1"/>
      <c r="BC358" s="1"/>
      <c r="BD358" s="1"/>
      <c r="BE358" s="1"/>
      <c r="BF358" s="1"/>
      <c r="BG358" s="1"/>
      <c r="BH358" s="1"/>
    </row>
    <row r="359" spans="1:60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79"/>
      <c r="AO359" s="79"/>
      <c r="AP359" s="79"/>
      <c r="AQ359" s="79"/>
      <c r="AR359" s="79"/>
      <c r="AS359" s="79"/>
      <c r="AT359" s="79"/>
      <c r="AU359" s="79"/>
      <c r="AV359" s="79"/>
      <c r="AW359" s="79"/>
      <c r="AX359" s="79"/>
      <c r="AY359" s="79"/>
      <c r="AZ359" s="79"/>
      <c r="BA359" s="79"/>
      <c r="BB359" s="1"/>
      <c r="BC359" s="1"/>
      <c r="BD359" s="1"/>
      <c r="BE359" s="1"/>
      <c r="BF359" s="1"/>
      <c r="BG359" s="1"/>
      <c r="BH359" s="1"/>
    </row>
    <row r="360" spans="1:60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79"/>
      <c r="AO360" s="79"/>
      <c r="AP360" s="79"/>
      <c r="AQ360" s="79"/>
      <c r="AR360" s="79"/>
      <c r="AS360" s="79"/>
      <c r="AT360" s="79"/>
      <c r="AU360" s="79"/>
      <c r="AV360" s="79"/>
      <c r="AW360" s="79"/>
      <c r="AX360" s="79"/>
      <c r="AY360" s="79"/>
      <c r="AZ360" s="79"/>
      <c r="BA360" s="79"/>
      <c r="BB360" s="1"/>
      <c r="BC360" s="1"/>
      <c r="BD360" s="1"/>
      <c r="BE360" s="1"/>
      <c r="BF360" s="1"/>
      <c r="BG360" s="1"/>
      <c r="BH360" s="1"/>
    </row>
    <row r="361" spans="1:60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79"/>
      <c r="AO361" s="79"/>
      <c r="AP361" s="79"/>
      <c r="AQ361" s="79"/>
      <c r="AR361" s="79"/>
      <c r="AS361" s="79"/>
      <c r="AT361" s="79"/>
      <c r="AU361" s="79"/>
      <c r="AV361" s="79"/>
      <c r="AW361" s="79"/>
      <c r="AX361" s="79"/>
      <c r="AY361" s="79"/>
      <c r="AZ361" s="79"/>
      <c r="BA361" s="79"/>
      <c r="BB361" s="1"/>
      <c r="BC361" s="1"/>
      <c r="BD361" s="1"/>
      <c r="BE361" s="1"/>
      <c r="BF361" s="1"/>
      <c r="BG361" s="1"/>
      <c r="BH361" s="1"/>
    </row>
    <row r="362" spans="1:60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79"/>
      <c r="AO362" s="79"/>
      <c r="AP362" s="79"/>
      <c r="AQ362" s="79"/>
      <c r="AR362" s="79"/>
      <c r="AS362" s="79"/>
      <c r="AT362" s="79"/>
      <c r="AU362" s="79"/>
      <c r="AV362" s="79"/>
      <c r="AW362" s="79"/>
      <c r="AX362" s="79"/>
      <c r="AY362" s="79"/>
      <c r="AZ362" s="79"/>
      <c r="BA362" s="79"/>
      <c r="BB362" s="1"/>
      <c r="BC362" s="1"/>
      <c r="BD362" s="1"/>
      <c r="BE362" s="1"/>
      <c r="BF362" s="1"/>
      <c r="BG362" s="1"/>
      <c r="BH362" s="1"/>
    </row>
    <row r="363" spans="1:60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79"/>
      <c r="AO363" s="79"/>
      <c r="AP363" s="79"/>
      <c r="AQ363" s="79"/>
      <c r="AR363" s="79"/>
      <c r="AS363" s="79"/>
      <c r="AT363" s="79"/>
      <c r="AU363" s="79"/>
      <c r="AV363" s="79"/>
      <c r="AW363" s="79"/>
      <c r="AX363" s="79"/>
      <c r="AY363" s="79"/>
      <c r="AZ363" s="79"/>
      <c r="BA363" s="79"/>
      <c r="BB363" s="1"/>
      <c r="BC363" s="1"/>
      <c r="BD363" s="1"/>
      <c r="BE363" s="1"/>
      <c r="BF363" s="1"/>
      <c r="BG363" s="1"/>
      <c r="BH363" s="1"/>
    </row>
    <row r="364" spans="1:60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79"/>
      <c r="AO364" s="79"/>
      <c r="AP364" s="79"/>
      <c r="AQ364" s="79"/>
      <c r="AR364" s="79"/>
      <c r="AS364" s="79"/>
      <c r="AT364" s="79"/>
      <c r="AU364" s="79"/>
      <c r="AV364" s="79"/>
      <c r="AW364" s="79"/>
      <c r="AX364" s="79"/>
      <c r="AY364" s="79"/>
      <c r="AZ364" s="79"/>
      <c r="BA364" s="79"/>
      <c r="BB364" s="1"/>
      <c r="BC364" s="1"/>
      <c r="BD364" s="1"/>
      <c r="BE364" s="1"/>
      <c r="BF364" s="1"/>
      <c r="BG364" s="1"/>
      <c r="BH364" s="1"/>
    </row>
    <row r="365" spans="1:60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79"/>
      <c r="AO365" s="79"/>
      <c r="AP365" s="79"/>
      <c r="AQ365" s="79"/>
      <c r="AR365" s="79"/>
      <c r="AS365" s="79"/>
      <c r="AT365" s="79"/>
      <c r="AU365" s="79"/>
      <c r="AV365" s="79"/>
      <c r="AW365" s="79"/>
      <c r="AX365" s="79"/>
      <c r="AY365" s="79"/>
      <c r="AZ365" s="79"/>
      <c r="BA365" s="79"/>
      <c r="BB365" s="1"/>
      <c r="BC365" s="1"/>
      <c r="BD365" s="1"/>
      <c r="BE365" s="1"/>
      <c r="BF365" s="1"/>
      <c r="BG365" s="1"/>
      <c r="BH365" s="1"/>
    </row>
    <row r="366" spans="1:60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79"/>
      <c r="AO366" s="79"/>
      <c r="AP366" s="79"/>
      <c r="AQ366" s="79"/>
      <c r="AR366" s="79"/>
      <c r="AS366" s="79"/>
      <c r="AT366" s="79"/>
      <c r="AU366" s="79"/>
      <c r="AV366" s="79"/>
      <c r="AW366" s="79"/>
      <c r="AX366" s="79"/>
      <c r="AY366" s="79"/>
      <c r="AZ366" s="79"/>
      <c r="BA366" s="79"/>
      <c r="BB366" s="1"/>
      <c r="BC366" s="1"/>
      <c r="BD366" s="1"/>
      <c r="BE366" s="1"/>
      <c r="BF366" s="1"/>
      <c r="BG366" s="1"/>
      <c r="BH366" s="1"/>
    </row>
    <row r="367" spans="1:60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79"/>
      <c r="AO367" s="79"/>
      <c r="AP367" s="79"/>
      <c r="AQ367" s="79"/>
      <c r="AR367" s="79"/>
      <c r="AS367" s="79"/>
      <c r="AT367" s="79"/>
      <c r="AU367" s="79"/>
      <c r="AV367" s="79"/>
      <c r="AW367" s="79"/>
      <c r="AX367" s="79"/>
      <c r="AY367" s="79"/>
      <c r="AZ367" s="79"/>
      <c r="BA367" s="79"/>
      <c r="BB367" s="1"/>
      <c r="BC367" s="1"/>
      <c r="BD367" s="1"/>
      <c r="BE367" s="1"/>
      <c r="BF367" s="1"/>
      <c r="BG367" s="1"/>
      <c r="BH367" s="1"/>
    </row>
    <row r="368" spans="1:60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79"/>
      <c r="AO368" s="79"/>
      <c r="AP368" s="79"/>
      <c r="AQ368" s="79"/>
      <c r="AR368" s="79"/>
      <c r="AS368" s="79"/>
      <c r="AT368" s="79"/>
      <c r="AU368" s="79"/>
      <c r="AV368" s="79"/>
      <c r="AW368" s="79"/>
      <c r="AX368" s="79"/>
      <c r="AY368" s="79"/>
      <c r="AZ368" s="79"/>
      <c r="BA368" s="79"/>
      <c r="BB368" s="1"/>
      <c r="BC368" s="1"/>
      <c r="BD368" s="1"/>
      <c r="BE368" s="1"/>
      <c r="BF368" s="1"/>
      <c r="BG368" s="1"/>
      <c r="BH368" s="1"/>
    </row>
    <row r="369" spans="1:60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79"/>
      <c r="AO369" s="79"/>
      <c r="AP369" s="79"/>
      <c r="AQ369" s="79"/>
      <c r="AR369" s="79"/>
      <c r="AS369" s="79"/>
      <c r="AT369" s="79"/>
      <c r="AU369" s="79"/>
      <c r="AV369" s="79"/>
      <c r="AW369" s="79"/>
      <c r="AX369" s="79"/>
      <c r="AY369" s="79"/>
      <c r="AZ369" s="79"/>
      <c r="BA369" s="79"/>
      <c r="BB369" s="1"/>
      <c r="BC369" s="1"/>
      <c r="BD369" s="1"/>
      <c r="BE369" s="1"/>
      <c r="BF369" s="1"/>
      <c r="BG369" s="1"/>
      <c r="BH369" s="1"/>
    </row>
    <row r="370" spans="1:60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79"/>
      <c r="AO370" s="79"/>
      <c r="AP370" s="79"/>
      <c r="AQ370" s="79"/>
      <c r="AR370" s="79"/>
      <c r="AS370" s="79"/>
      <c r="AT370" s="79"/>
      <c r="AU370" s="79"/>
      <c r="AV370" s="79"/>
      <c r="AW370" s="79"/>
      <c r="AX370" s="79"/>
      <c r="AY370" s="79"/>
      <c r="AZ370" s="79"/>
      <c r="BA370" s="79"/>
      <c r="BB370" s="1"/>
      <c r="BC370" s="1"/>
      <c r="BD370" s="1"/>
      <c r="BE370" s="1"/>
      <c r="BF370" s="1"/>
      <c r="BG370" s="1"/>
      <c r="BH370" s="1"/>
    </row>
    <row r="371" spans="1:60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79"/>
      <c r="AO371" s="79"/>
      <c r="AP371" s="79"/>
      <c r="AQ371" s="79"/>
      <c r="AR371" s="79"/>
      <c r="AS371" s="79"/>
      <c r="AT371" s="79"/>
      <c r="AU371" s="79"/>
      <c r="AV371" s="79"/>
      <c r="AW371" s="79"/>
      <c r="AX371" s="79"/>
      <c r="AY371" s="79"/>
      <c r="AZ371" s="79"/>
      <c r="BA371" s="79"/>
      <c r="BB371" s="1"/>
      <c r="BC371" s="1"/>
      <c r="BD371" s="1"/>
      <c r="BE371" s="1"/>
      <c r="BF371" s="1"/>
      <c r="BG371" s="1"/>
      <c r="BH371" s="1"/>
    </row>
    <row r="372" spans="1:60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79"/>
      <c r="AO372" s="79"/>
      <c r="AP372" s="79"/>
      <c r="AQ372" s="79"/>
      <c r="AR372" s="79"/>
      <c r="AS372" s="79"/>
      <c r="AT372" s="79"/>
      <c r="AU372" s="79"/>
      <c r="AV372" s="79"/>
      <c r="AW372" s="79"/>
      <c r="AX372" s="79"/>
      <c r="AY372" s="79"/>
      <c r="AZ372" s="79"/>
      <c r="BA372" s="79"/>
      <c r="BB372" s="1"/>
      <c r="BC372" s="1"/>
      <c r="BD372" s="1"/>
      <c r="BE372" s="1"/>
      <c r="BF372" s="1"/>
      <c r="BG372" s="1"/>
      <c r="BH372" s="1"/>
    </row>
    <row r="373" spans="1:60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79"/>
      <c r="AO373" s="79"/>
      <c r="AP373" s="79"/>
      <c r="AQ373" s="79"/>
      <c r="AR373" s="79"/>
      <c r="AS373" s="79"/>
      <c r="AT373" s="79"/>
      <c r="AU373" s="79"/>
      <c r="AV373" s="79"/>
      <c r="AW373" s="79"/>
      <c r="AX373" s="79"/>
      <c r="AY373" s="79"/>
      <c r="AZ373" s="79"/>
      <c r="BA373" s="79"/>
      <c r="BB373" s="1"/>
      <c r="BC373" s="1"/>
      <c r="BD373" s="1"/>
      <c r="BE373" s="1"/>
      <c r="BF373" s="1"/>
      <c r="BG373" s="1"/>
      <c r="BH373" s="1"/>
    </row>
    <row r="374" spans="1:60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79"/>
      <c r="AO374" s="79"/>
      <c r="AP374" s="79"/>
      <c r="AQ374" s="79"/>
      <c r="AR374" s="79"/>
      <c r="AS374" s="79"/>
      <c r="AT374" s="79"/>
      <c r="AU374" s="79"/>
      <c r="AV374" s="79"/>
      <c r="AW374" s="79"/>
      <c r="AX374" s="79"/>
      <c r="AY374" s="79"/>
      <c r="AZ374" s="79"/>
      <c r="BA374" s="79"/>
      <c r="BB374" s="1"/>
      <c r="BC374" s="1"/>
      <c r="BD374" s="1"/>
      <c r="BE374" s="1"/>
      <c r="BF374" s="1"/>
      <c r="BG374" s="1"/>
      <c r="BH374" s="1"/>
    </row>
    <row r="375" spans="1:60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79"/>
      <c r="AO375" s="79"/>
      <c r="AP375" s="79"/>
      <c r="AQ375" s="79"/>
      <c r="AR375" s="79"/>
      <c r="AS375" s="79"/>
      <c r="AT375" s="79"/>
      <c r="AU375" s="79"/>
      <c r="AV375" s="79"/>
      <c r="AW375" s="79"/>
      <c r="AX375" s="79"/>
      <c r="AY375" s="79"/>
      <c r="AZ375" s="79"/>
      <c r="BA375" s="79"/>
      <c r="BB375" s="1"/>
      <c r="BC375" s="1"/>
      <c r="BD375" s="1"/>
      <c r="BE375" s="1"/>
      <c r="BF375" s="1"/>
      <c r="BG375" s="1"/>
      <c r="BH375" s="1"/>
    </row>
    <row r="376" spans="1:60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79"/>
      <c r="AO376" s="79"/>
      <c r="AP376" s="79"/>
      <c r="AQ376" s="79"/>
      <c r="AR376" s="79"/>
      <c r="AS376" s="79"/>
      <c r="AT376" s="79"/>
      <c r="AU376" s="79"/>
      <c r="AV376" s="79"/>
      <c r="AW376" s="79"/>
      <c r="AX376" s="79"/>
      <c r="AY376" s="79"/>
      <c r="AZ376" s="79"/>
      <c r="BA376" s="79"/>
      <c r="BB376" s="1"/>
      <c r="BC376" s="1"/>
      <c r="BD376" s="1"/>
      <c r="BE376" s="1"/>
      <c r="BF376" s="1"/>
      <c r="BG376" s="1"/>
      <c r="BH376" s="1"/>
    </row>
    <row r="377" spans="1:60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79"/>
      <c r="AO377" s="79"/>
      <c r="AP377" s="79"/>
      <c r="AQ377" s="79"/>
      <c r="AR377" s="79"/>
      <c r="AS377" s="79"/>
      <c r="AT377" s="79"/>
      <c r="AU377" s="79"/>
      <c r="AV377" s="79"/>
      <c r="AW377" s="79"/>
      <c r="AX377" s="79"/>
      <c r="AY377" s="79"/>
      <c r="AZ377" s="79"/>
      <c r="BA377" s="79"/>
      <c r="BB377" s="1"/>
      <c r="BC377" s="1"/>
      <c r="BD377" s="1"/>
      <c r="BE377" s="1"/>
      <c r="BF377" s="1"/>
      <c r="BG377" s="1"/>
      <c r="BH377" s="1"/>
    </row>
    <row r="378" spans="1:60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79"/>
      <c r="AO378" s="79"/>
      <c r="AP378" s="79"/>
      <c r="AQ378" s="79"/>
      <c r="AR378" s="79"/>
      <c r="AS378" s="79"/>
      <c r="AT378" s="79"/>
      <c r="AU378" s="79"/>
      <c r="AV378" s="79"/>
      <c r="AW378" s="79"/>
      <c r="AX378" s="79"/>
      <c r="AY378" s="79"/>
      <c r="AZ378" s="79"/>
      <c r="BA378" s="79"/>
      <c r="BB378" s="1"/>
      <c r="BC378" s="1"/>
      <c r="BD378" s="1"/>
      <c r="BE378" s="1"/>
      <c r="BF378" s="1"/>
      <c r="BG378" s="1"/>
      <c r="BH378" s="1"/>
    </row>
    <row r="379" spans="1:60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79"/>
      <c r="AO379" s="79"/>
      <c r="AP379" s="79"/>
      <c r="AQ379" s="79"/>
      <c r="AR379" s="79"/>
      <c r="AS379" s="79"/>
      <c r="AT379" s="79"/>
      <c r="AU379" s="79"/>
      <c r="AV379" s="79"/>
      <c r="AW379" s="79"/>
      <c r="AX379" s="79"/>
      <c r="AY379" s="79"/>
      <c r="AZ379" s="79"/>
      <c r="BA379" s="79"/>
      <c r="BB379" s="1"/>
      <c r="BC379" s="1"/>
      <c r="BD379" s="1"/>
      <c r="BE379" s="1"/>
      <c r="BF379" s="1"/>
      <c r="BG379" s="1"/>
      <c r="BH379" s="1"/>
    </row>
    <row r="380" spans="1:60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79"/>
      <c r="AO380" s="79"/>
      <c r="AP380" s="79"/>
      <c r="AQ380" s="79"/>
      <c r="AR380" s="79"/>
      <c r="AS380" s="79"/>
      <c r="AT380" s="79"/>
      <c r="AU380" s="79"/>
      <c r="AV380" s="79"/>
      <c r="AW380" s="79"/>
      <c r="AX380" s="79"/>
      <c r="AY380" s="79"/>
      <c r="AZ380" s="79"/>
      <c r="BA380" s="79"/>
      <c r="BB380" s="1"/>
      <c r="BC380" s="1"/>
      <c r="BD380" s="1"/>
      <c r="BE380" s="1"/>
      <c r="BF380" s="1"/>
      <c r="BG380" s="1"/>
      <c r="BH380" s="1"/>
    </row>
    <row r="381" spans="1:60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79"/>
      <c r="AO381" s="79"/>
      <c r="AP381" s="79"/>
      <c r="AQ381" s="79"/>
      <c r="AR381" s="79"/>
      <c r="AS381" s="79"/>
      <c r="AT381" s="79"/>
      <c r="AU381" s="79"/>
      <c r="AV381" s="79"/>
      <c r="AW381" s="79"/>
      <c r="AX381" s="79"/>
      <c r="AY381" s="79"/>
      <c r="AZ381" s="79"/>
      <c r="BA381" s="79"/>
      <c r="BB381" s="1"/>
      <c r="BC381" s="1"/>
      <c r="BD381" s="1"/>
      <c r="BE381" s="1"/>
      <c r="BF381" s="1"/>
      <c r="BG381" s="1"/>
      <c r="BH381" s="1"/>
    </row>
    <row r="382" spans="1:60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79"/>
      <c r="AO382" s="79"/>
      <c r="AP382" s="79"/>
      <c r="AQ382" s="79"/>
      <c r="AR382" s="79"/>
      <c r="AS382" s="79"/>
      <c r="AT382" s="79"/>
      <c r="AU382" s="79"/>
      <c r="AV382" s="79"/>
      <c r="AW382" s="79"/>
      <c r="AX382" s="79"/>
      <c r="AY382" s="79"/>
      <c r="AZ382" s="79"/>
      <c r="BA382" s="79"/>
      <c r="BB382" s="1"/>
      <c r="BC382" s="1"/>
      <c r="BD382" s="1"/>
      <c r="BE382" s="1"/>
      <c r="BF382" s="1"/>
      <c r="BG382" s="1"/>
      <c r="BH382" s="1"/>
    </row>
    <row r="383" spans="1:60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79"/>
      <c r="AO383" s="79"/>
      <c r="AP383" s="79"/>
      <c r="AQ383" s="79"/>
      <c r="AR383" s="79"/>
      <c r="AS383" s="79"/>
      <c r="AT383" s="79"/>
      <c r="AU383" s="79"/>
      <c r="AV383" s="79"/>
      <c r="AW383" s="79"/>
      <c r="AX383" s="79"/>
      <c r="AY383" s="79"/>
      <c r="AZ383" s="79"/>
      <c r="BA383" s="79"/>
      <c r="BB383" s="1"/>
      <c r="BC383" s="1"/>
      <c r="BD383" s="1"/>
      <c r="BE383" s="1"/>
      <c r="BF383" s="1"/>
      <c r="BG383" s="1"/>
      <c r="BH383" s="1"/>
    </row>
    <row r="384" spans="1:60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79"/>
      <c r="AO384" s="79"/>
      <c r="AP384" s="79"/>
      <c r="AQ384" s="79"/>
      <c r="AR384" s="79"/>
      <c r="AS384" s="79"/>
      <c r="AT384" s="79"/>
      <c r="AU384" s="79"/>
      <c r="AV384" s="79"/>
      <c r="AW384" s="79"/>
      <c r="AX384" s="79"/>
      <c r="AY384" s="79"/>
      <c r="AZ384" s="79"/>
      <c r="BA384" s="79"/>
      <c r="BB384" s="1"/>
      <c r="BC384" s="1"/>
      <c r="BD384" s="1"/>
      <c r="BE384" s="1"/>
      <c r="BF384" s="1"/>
      <c r="BG384" s="1"/>
      <c r="BH384" s="1"/>
    </row>
    <row r="385" spans="1:60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79"/>
      <c r="AO385" s="79"/>
      <c r="AP385" s="79"/>
      <c r="AQ385" s="79"/>
      <c r="AR385" s="79"/>
      <c r="AS385" s="79"/>
      <c r="AT385" s="79"/>
      <c r="AU385" s="79"/>
      <c r="AV385" s="79"/>
      <c r="AW385" s="79"/>
      <c r="AX385" s="79"/>
      <c r="AY385" s="79"/>
      <c r="AZ385" s="79"/>
      <c r="BA385" s="79"/>
      <c r="BB385" s="1"/>
      <c r="BC385" s="1"/>
      <c r="BD385" s="1"/>
      <c r="BE385" s="1"/>
      <c r="BF385" s="1"/>
      <c r="BG385" s="1"/>
      <c r="BH385" s="1"/>
    </row>
    <row r="386" spans="1:60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79"/>
      <c r="AO386" s="79"/>
      <c r="AP386" s="79"/>
      <c r="AQ386" s="79"/>
      <c r="AR386" s="79"/>
      <c r="AS386" s="79"/>
      <c r="AT386" s="79"/>
      <c r="AU386" s="79"/>
      <c r="AV386" s="79"/>
      <c r="AW386" s="79"/>
      <c r="AX386" s="79"/>
      <c r="AY386" s="79"/>
      <c r="AZ386" s="79"/>
      <c r="BA386" s="79"/>
      <c r="BB386" s="1"/>
      <c r="BC386" s="1"/>
      <c r="BD386" s="1"/>
      <c r="BE386" s="1"/>
      <c r="BF386" s="1"/>
      <c r="BG386" s="1"/>
      <c r="BH386" s="1"/>
    </row>
    <row r="387" spans="1:60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79"/>
      <c r="AO387" s="79"/>
      <c r="AP387" s="79"/>
      <c r="AQ387" s="79"/>
      <c r="AR387" s="79"/>
      <c r="AS387" s="79"/>
      <c r="AT387" s="79"/>
      <c r="AU387" s="79"/>
      <c r="AV387" s="79"/>
      <c r="AW387" s="79"/>
      <c r="AX387" s="79"/>
      <c r="AY387" s="79"/>
      <c r="AZ387" s="79"/>
      <c r="BA387" s="79"/>
      <c r="BB387" s="1"/>
      <c r="BC387" s="1"/>
      <c r="BD387" s="1"/>
      <c r="BE387" s="1"/>
      <c r="BF387" s="1"/>
      <c r="BG387" s="1"/>
      <c r="BH387" s="1"/>
    </row>
    <row r="388" spans="1:60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79"/>
      <c r="AO388" s="79"/>
      <c r="AP388" s="79"/>
      <c r="AQ388" s="79"/>
      <c r="AR388" s="79"/>
      <c r="AS388" s="79"/>
      <c r="AT388" s="79"/>
      <c r="AU388" s="79"/>
      <c r="AV388" s="79"/>
      <c r="AW388" s="79"/>
      <c r="AX388" s="79"/>
      <c r="AY388" s="79"/>
      <c r="AZ388" s="79"/>
      <c r="BA388" s="79"/>
      <c r="BB388" s="1"/>
      <c r="BC388" s="1"/>
      <c r="BD388" s="1"/>
      <c r="BE388" s="1"/>
      <c r="BF388" s="1"/>
      <c r="BG388" s="1"/>
      <c r="BH388" s="1"/>
    </row>
    <row r="389" spans="1:60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79"/>
      <c r="AO389" s="79"/>
      <c r="AP389" s="79"/>
      <c r="AQ389" s="79"/>
      <c r="AR389" s="79"/>
      <c r="AS389" s="79"/>
      <c r="AT389" s="79"/>
      <c r="AU389" s="79"/>
      <c r="AV389" s="79"/>
      <c r="AW389" s="79"/>
      <c r="AX389" s="79"/>
      <c r="AY389" s="79"/>
      <c r="AZ389" s="79"/>
      <c r="BA389" s="79"/>
      <c r="BB389" s="1"/>
      <c r="BC389" s="1"/>
      <c r="BD389" s="1"/>
      <c r="BE389" s="1"/>
      <c r="BF389" s="1"/>
      <c r="BG389" s="1"/>
      <c r="BH389" s="1"/>
    </row>
    <row r="390" spans="1:60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79"/>
      <c r="AO390" s="79"/>
      <c r="AP390" s="79"/>
      <c r="AQ390" s="79"/>
      <c r="AR390" s="79"/>
      <c r="AS390" s="79"/>
      <c r="AT390" s="79"/>
      <c r="AU390" s="79"/>
      <c r="AV390" s="79"/>
      <c r="AW390" s="79"/>
      <c r="AX390" s="79"/>
      <c r="AY390" s="79"/>
      <c r="AZ390" s="79"/>
      <c r="BA390" s="79"/>
      <c r="BB390" s="1"/>
      <c r="BC390" s="1"/>
      <c r="BD390" s="1"/>
      <c r="BE390" s="1"/>
      <c r="BF390" s="1"/>
      <c r="BG390" s="1"/>
      <c r="BH390" s="1"/>
    </row>
    <row r="391" spans="1:60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79"/>
      <c r="AO391" s="79"/>
      <c r="AP391" s="79"/>
      <c r="AQ391" s="79"/>
      <c r="AR391" s="79"/>
      <c r="AS391" s="79"/>
      <c r="AT391" s="79"/>
      <c r="AU391" s="79"/>
      <c r="AV391" s="79"/>
      <c r="AW391" s="79"/>
      <c r="AX391" s="79"/>
      <c r="AY391" s="79"/>
      <c r="AZ391" s="79"/>
      <c r="BA391" s="79"/>
      <c r="BB391" s="1"/>
      <c r="BC391" s="1"/>
      <c r="BD391" s="1"/>
      <c r="BE391" s="1"/>
      <c r="BF391" s="1"/>
      <c r="BG391" s="1"/>
      <c r="BH391" s="1"/>
    </row>
    <row r="392" spans="1:60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79"/>
      <c r="AO392" s="79"/>
      <c r="AP392" s="79"/>
      <c r="AQ392" s="79"/>
      <c r="AR392" s="79"/>
      <c r="AS392" s="79"/>
      <c r="AT392" s="79"/>
      <c r="AU392" s="79"/>
      <c r="AV392" s="79"/>
      <c r="AW392" s="79"/>
      <c r="AX392" s="79"/>
      <c r="AY392" s="79"/>
      <c r="AZ392" s="79"/>
      <c r="BA392" s="79"/>
      <c r="BB392" s="1"/>
      <c r="BC392" s="1"/>
      <c r="BD392" s="1"/>
      <c r="BE392" s="1"/>
      <c r="BF392" s="1"/>
      <c r="BG392" s="1"/>
      <c r="BH392" s="1"/>
    </row>
    <row r="393" spans="1:60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79"/>
      <c r="AO393" s="79"/>
      <c r="AP393" s="79"/>
      <c r="AQ393" s="79"/>
      <c r="AR393" s="79"/>
      <c r="AS393" s="79"/>
      <c r="AT393" s="79"/>
      <c r="AU393" s="79"/>
      <c r="AV393" s="79"/>
      <c r="AW393" s="79"/>
      <c r="AX393" s="79"/>
      <c r="AY393" s="79"/>
      <c r="AZ393" s="79"/>
      <c r="BA393" s="79"/>
      <c r="BB393" s="1"/>
      <c r="BC393" s="1"/>
      <c r="BD393" s="1"/>
      <c r="BE393" s="1"/>
      <c r="BF393" s="1"/>
      <c r="BG393" s="1"/>
      <c r="BH393" s="1"/>
    </row>
    <row r="394" spans="1:60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79"/>
      <c r="AO394" s="79"/>
      <c r="AP394" s="79"/>
      <c r="AQ394" s="79"/>
      <c r="AR394" s="79"/>
      <c r="AS394" s="79"/>
      <c r="AT394" s="79"/>
      <c r="AU394" s="79"/>
      <c r="AV394" s="79"/>
      <c r="AW394" s="79"/>
      <c r="AX394" s="79"/>
      <c r="AY394" s="79"/>
      <c r="AZ394" s="79"/>
      <c r="BA394" s="79"/>
      <c r="BB394" s="1"/>
      <c r="BC394" s="1"/>
      <c r="BD394" s="1"/>
      <c r="BE394" s="1"/>
      <c r="BF394" s="1"/>
      <c r="BG394" s="1"/>
      <c r="BH394" s="1"/>
    </row>
    <row r="395" spans="1:60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79"/>
      <c r="AO395" s="79"/>
      <c r="AP395" s="79"/>
      <c r="AQ395" s="79"/>
      <c r="AR395" s="79"/>
      <c r="AS395" s="79"/>
      <c r="AT395" s="79"/>
      <c r="AU395" s="79"/>
      <c r="AV395" s="79"/>
      <c r="AW395" s="79"/>
      <c r="AX395" s="79"/>
      <c r="AY395" s="79"/>
      <c r="AZ395" s="79"/>
      <c r="BA395" s="79"/>
      <c r="BB395" s="1"/>
      <c r="BC395" s="1"/>
      <c r="BD395" s="1"/>
      <c r="BE395" s="1"/>
      <c r="BF395" s="1"/>
      <c r="BG395" s="1"/>
      <c r="BH395" s="1"/>
    </row>
    <row r="396" spans="1:60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79"/>
      <c r="AO396" s="79"/>
      <c r="AP396" s="79"/>
      <c r="AQ396" s="79"/>
      <c r="AR396" s="79"/>
      <c r="AS396" s="79"/>
      <c r="AT396" s="79"/>
      <c r="AU396" s="79"/>
      <c r="AV396" s="79"/>
      <c r="AW396" s="79"/>
      <c r="AX396" s="79"/>
      <c r="AY396" s="79"/>
      <c r="AZ396" s="79"/>
      <c r="BA396" s="79"/>
      <c r="BB396" s="1"/>
      <c r="BC396" s="1"/>
      <c r="BD396" s="1"/>
      <c r="BE396" s="1"/>
      <c r="BF396" s="1"/>
      <c r="BG396" s="1"/>
      <c r="BH396" s="1"/>
    </row>
    <row r="397" spans="1:60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79"/>
      <c r="AO397" s="79"/>
      <c r="AP397" s="79"/>
      <c r="AQ397" s="79"/>
      <c r="AR397" s="79"/>
      <c r="AS397" s="79"/>
      <c r="AT397" s="79"/>
      <c r="AU397" s="79"/>
      <c r="AV397" s="79"/>
      <c r="AW397" s="79"/>
      <c r="AX397" s="79"/>
      <c r="AY397" s="79"/>
      <c r="AZ397" s="79"/>
      <c r="BA397" s="79"/>
      <c r="BB397" s="1"/>
      <c r="BC397" s="1"/>
      <c r="BD397" s="1"/>
      <c r="BE397" s="1"/>
      <c r="BF397" s="1"/>
      <c r="BG397" s="1"/>
      <c r="BH397" s="1"/>
    </row>
    <row r="398" spans="1:60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79"/>
      <c r="AO398" s="79"/>
      <c r="AP398" s="79"/>
      <c r="AQ398" s="79"/>
      <c r="AR398" s="79"/>
      <c r="AS398" s="79"/>
      <c r="AT398" s="79"/>
      <c r="AU398" s="79"/>
      <c r="AV398" s="79"/>
      <c r="AW398" s="79"/>
      <c r="AX398" s="79"/>
      <c r="AY398" s="79"/>
      <c r="AZ398" s="79"/>
      <c r="BA398" s="79"/>
      <c r="BB398" s="1"/>
      <c r="BC398" s="1"/>
      <c r="BD398" s="1"/>
      <c r="BE398" s="1"/>
      <c r="BF398" s="1"/>
      <c r="BG398" s="1"/>
      <c r="BH398" s="1"/>
    </row>
    <row r="399" spans="1:60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79"/>
      <c r="AO399" s="79"/>
      <c r="AP399" s="79"/>
      <c r="AQ399" s="79"/>
      <c r="AR399" s="79"/>
      <c r="AS399" s="79"/>
      <c r="AT399" s="79"/>
      <c r="AU399" s="79"/>
      <c r="AV399" s="79"/>
      <c r="AW399" s="79"/>
      <c r="AX399" s="79"/>
      <c r="AY399" s="79"/>
      <c r="AZ399" s="79"/>
      <c r="BA399" s="79"/>
      <c r="BB399" s="1"/>
      <c r="BC399" s="1"/>
      <c r="BD399" s="1"/>
      <c r="BE399" s="1"/>
      <c r="BF399" s="1"/>
      <c r="BG399" s="1"/>
      <c r="BH399" s="1"/>
    </row>
    <row r="400" spans="1:60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79"/>
      <c r="AO400" s="79"/>
      <c r="AP400" s="79"/>
      <c r="AQ400" s="79"/>
      <c r="AR400" s="79"/>
      <c r="AS400" s="79"/>
      <c r="AT400" s="79"/>
      <c r="AU400" s="79"/>
      <c r="AV400" s="79"/>
      <c r="AW400" s="79"/>
      <c r="AX400" s="79"/>
      <c r="AY400" s="79"/>
      <c r="AZ400" s="79"/>
      <c r="BA400" s="79"/>
      <c r="BB400" s="1"/>
      <c r="BC400" s="1"/>
      <c r="BD400" s="1"/>
      <c r="BE400" s="1"/>
      <c r="BF400" s="1"/>
      <c r="BG400" s="1"/>
      <c r="BH400" s="1"/>
    </row>
    <row r="401" spans="1:60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79"/>
      <c r="AO401" s="79"/>
      <c r="AP401" s="79"/>
      <c r="AQ401" s="79"/>
      <c r="AR401" s="79"/>
      <c r="AS401" s="79"/>
      <c r="AT401" s="79"/>
      <c r="AU401" s="79"/>
      <c r="AV401" s="79"/>
      <c r="AW401" s="79"/>
      <c r="AX401" s="79"/>
      <c r="AY401" s="79"/>
      <c r="AZ401" s="79"/>
      <c r="BA401" s="79"/>
      <c r="BB401" s="1"/>
      <c r="BC401" s="1"/>
      <c r="BD401" s="1"/>
      <c r="BE401" s="1"/>
      <c r="BF401" s="1"/>
      <c r="BG401" s="1"/>
      <c r="BH401" s="1"/>
    </row>
    <row r="402" spans="1:60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79"/>
      <c r="AO402" s="79"/>
      <c r="AP402" s="79"/>
      <c r="AQ402" s="79"/>
      <c r="AR402" s="79"/>
      <c r="AS402" s="79"/>
      <c r="AT402" s="79"/>
      <c r="AU402" s="79"/>
      <c r="AV402" s="79"/>
      <c r="AW402" s="79"/>
      <c r="AX402" s="79"/>
      <c r="AY402" s="79"/>
      <c r="AZ402" s="79"/>
      <c r="BA402" s="79"/>
      <c r="BB402" s="1"/>
      <c r="BC402" s="1"/>
      <c r="BD402" s="1"/>
      <c r="BE402" s="1"/>
      <c r="BF402" s="1"/>
      <c r="BG402" s="1"/>
      <c r="BH402" s="1"/>
    </row>
    <row r="403" spans="1:60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79"/>
      <c r="AO403" s="79"/>
      <c r="AP403" s="79"/>
      <c r="AQ403" s="79"/>
      <c r="AR403" s="79"/>
      <c r="AS403" s="79"/>
      <c r="AT403" s="79"/>
      <c r="AU403" s="79"/>
      <c r="AV403" s="79"/>
      <c r="AW403" s="79"/>
      <c r="AX403" s="79"/>
      <c r="AY403" s="79"/>
      <c r="AZ403" s="79"/>
      <c r="BA403" s="79"/>
      <c r="BB403" s="1"/>
      <c r="BC403" s="1"/>
      <c r="BD403" s="1"/>
      <c r="BE403" s="1"/>
      <c r="BF403" s="1"/>
      <c r="BG403" s="1"/>
      <c r="BH403" s="1"/>
    </row>
    <row r="404" spans="1:60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79"/>
      <c r="AO404" s="79"/>
      <c r="AP404" s="79"/>
      <c r="AQ404" s="79"/>
      <c r="AR404" s="79"/>
      <c r="AS404" s="79"/>
      <c r="AT404" s="79"/>
      <c r="AU404" s="79"/>
      <c r="AV404" s="79"/>
      <c r="AW404" s="79"/>
      <c r="AX404" s="79"/>
      <c r="AY404" s="79"/>
      <c r="AZ404" s="79"/>
      <c r="BA404" s="79"/>
      <c r="BB404" s="1"/>
      <c r="BC404" s="1"/>
      <c r="BD404" s="1"/>
      <c r="BE404" s="1"/>
      <c r="BF404" s="1"/>
      <c r="BG404" s="1"/>
      <c r="BH404" s="1"/>
    </row>
    <row r="405" spans="1:60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79"/>
      <c r="AO405" s="79"/>
      <c r="AP405" s="79"/>
      <c r="AQ405" s="79"/>
      <c r="AR405" s="79"/>
      <c r="AS405" s="79"/>
      <c r="AT405" s="79"/>
      <c r="AU405" s="79"/>
      <c r="AV405" s="79"/>
      <c r="AW405" s="79"/>
      <c r="AX405" s="79"/>
      <c r="AY405" s="79"/>
      <c r="AZ405" s="79"/>
      <c r="BA405" s="79"/>
      <c r="BB405" s="1"/>
      <c r="BC405" s="1"/>
      <c r="BD405" s="1"/>
      <c r="BE405" s="1"/>
      <c r="BF405" s="1"/>
      <c r="BG405" s="1"/>
      <c r="BH405" s="1"/>
    </row>
    <row r="406" spans="1:60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79"/>
      <c r="AO406" s="79"/>
      <c r="AP406" s="79"/>
      <c r="AQ406" s="79"/>
      <c r="AR406" s="79"/>
      <c r="AS406" s="79"/>
      <c r="AT406" s="79"/>
      <c r="AU406" s="79"/>
      <c r="AV406" s="79"/>
      <c r="AW406" s="79"/>
      <c r="AX406" s="79"/>
      <c r="AY406" s="79"/>
      <c r="AZ406" s="79"/>
      <c r="BA406" s="79"/>
      <c r="BB406" s="1"/>
      <c r="BC406" s="1"/>
      <c r="BD406" s="1"/>
      <c r="BE406" s="1"/>
      <c r="BF406" s="1"/>
      <c r="BG406" s="1"/>
      <c r="BH406" s="1"/>
    </row>
    <row r="407" spans="1:60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79"/>
      <c r="AO407" s="79"/>
      <c r="AP407" s="79"/>
      <c r="AQ407" s="79"/>
      <c r="AR407" s="79"/>
      <c r="AS407" s="79"/>
      <c r="AT407" s="79"/>
      <c r="AU407" s="79"/>
      <c r="AV407" s="79"/>
      <c r="AW407" s="79"/>
      <c r="AX407" s="79"/>
      <c r="AY407" s="79"/>
      <c r="AZ407" s="79"/>
      <c r="BA407" s="79"/>
      <c r="BB407" s="1"/>
      <c r="BC407" s="1"/>
      <c r="BD407" s="1"/>
      <c r="BE407" s="1"/>
      <c r="BF407" s="1"/>
      <c r="BG407" s="1"/>
      <c r="BH407" s="1"/>
    </row>
    <row r="408" spans="1:60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79"/>
      <c r="AO408" s="79"/>
      <c r="AP408" s="79"/>
      <c r="AQ408" s="79"/>
      <c r="AR408" s="79"/>
      <c r="AS408" s="79"/>
      <c r="AT408" s="79"/>
      <c r="AU408" s="79"/>
      <c r="AV408" s="79"/>
      <c r="AW408" s="79"/>
      <c r="AX408" s="79"/>
      <c r="AY408" s="79"/>
      <c r="AZ408" s="79"/>
      <c r="BA408" s="79"/>
      <c r="BB408" s="1"/>
      <c r="BC408" s="1"/>
      <c r="BD408" s="1"/>
      <c r="BE408" s="1"/>
      <c r="BF408" s="1"/>
      <c r="BG408" s="1"/>
      <c r="BH408" s="1"/>
    </row>
    <row r="409" spans="1:60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79"/>
      <c r="AO409" s="79"/>
      <c r="AP409" s="79"/>
      <c r="AQ409" s="79"/>
      <c r="AR409" s="79"/>
      <c r="AS409" s="79"/>
      <c r="AT409" s="79"/>
      <c r="AU409" s="79"/>
      <c r="AV409" s="79"/>
      <c r="AW409" s="79"/>
      <c r="AX409" s="79"/>
      <c r="AY409" s="79"/>
      <c r="AZ409" s="79"/>
      <c r="BA409" s="79"/>
      <c r="BB409" s="1"/>
      <c r="BC409" s="1"/>
      <c r="BD409" s="1"/>
      <c r="BE409" s="1"/>
      <c r="BF409" s="1"/>
      <c r="BG409" s="1"/>
      <c r="BH409" s="1"/>
    </row>
    <row r="410" spans="1:60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79"/>
      <c r="AO410" s="79"/>
      <c r="AP410" s="79"/>
      <c r="AQ410" s="79"/>
      <c r="AR410" s="79"/>
      <c r="AS410" s="79"/>
      <c r="AT410" s="79"/>
      <c r="AU410" s="79"/>
      <c r="AV410" s="79"/>
      <c r="AW410" s="79"/>
      <c r="AX410" s="79"/>
      <c r="AY410" s="79"/>
      <c r="AZ410" s="79"/>
      <c r="BA410" s="79"/>
      <c r="BB410" s="1"/>
      <c r="BC410" s="1"/>
      <c r="BD410" s="1"/>
      <c r="BE410" s="1"/>
      <c r="BF410" s="1"/>
      <c r="BG410" s="1"/>
      <c r="BH410" s="1"/>
    </row>
    <row r="411" spans="1:60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79"/>
      <c r="AO411" s="79"/>
      <c r="AP411" s="79"/>
      <c r="AQ411" s="79"/>
      <c r="AR411" s="79"/>
      <c r="AS411" s="79"/>
      <c r="AT411" s="79"/>
      <c r="AU411" s="79"/>
      <c r="AV411" s="79"/>
      <c r="AW411" s="79"/>
      <c r="AX411" s="79"/>
      <c r="AY411" s="79"/>
      <c r="AZ411" s="79"/>
      <c r="BA411" s="79"/>
      <c r="BB411" s="1"/>
      <c r="BC411" s="1"/>
      <c r="BD411" s="1"/>
      <c r="BE411" s="1"/>
      <c r="BF411" s="1"/>
      <c r="BG411" s="1"/>
      <c r="BH411" s="1"/>
    </row>
    <row r="412" spans="1:60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79"/>
      <c r="AO412" s="79"/>
      <c r="AP412" s="79"/>
      <c r="AQ412" s="79"/>
      <c r="AR412" s="79"/>
      <c r="AS412" s="79"/>
      <c r="AT412" s="79"/>
      <c r="AU412" s="79"/>
      <c r="AV412" s="79"/>
      <c r="AW412" s="79"/>
      <c r="AX412" s="79"/>
      <c r="AY412" s="79"/>
      <c r="AZ412" s="79"/>
      <c r="BA412" s="79"/>
      <c r="BB412" s="1"/>
      <c r="BC412" s="1"/>
      <c r="BD412" s="1"/>
      <c r="BE412" s="1"/>
      <c r="BF412" s="1"/>
      <c r="BG412" s="1"/>
      <c r="BH412" s="1"/>
    </row>
    <row r="413" spans="1:60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79"/>
      <c r="AO413" s="79"/>
      <c r="AP413" s="79"/>
      <c r="AQ413" s="79"/>
      <c r="AR413" s="79"/>
      <c r="AS413" s="79"/>
      <c r="AT413" s="79"/>
      <c r="AU413" s="79"/>
      <c r="AV413" s="79"/>
      <c r="AW413" s="79"/>
      <c r="AX413" s="79"/>
      <c r="AY413" s="79"/>
      <c r="AZ413" s="79"/>
      <c r="BA413" s="79"/>
      <c r="BB413" s="1"/>
      <c r="BC413" s="1"/>
      <c r="BD413" s="1"/>
      <c r="BE413" s="1"/>
      <c r="BF413" s="1"/>
      <c r="BG413" s="1"/>
      <c r="BH413" s="1"/>
    </row>
    <row r="414" spans="1:60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79"/>
      <c r="AO414" s="79"/>
      <c r="AP414" s="79"/>
      <c r="AQ414" s="79"/>
      <c r="AR414" s="79"/>
      <c r="AS414" s="79"/>
      <c r="AT414" s="79"/>
      <c r="AU414" s="79"/>
      <c r="AV414" s="79"/>
      <c r="AW414" s="79"/>
      <c r="AX414" s="79"/>
      <c r="AY414" s="79"/>
      <c r="AZ414" s="79"/>
      <c r="BA414" s="79"/>
      <c r="BB414" s="1"/>
      <c r="BC414" s="1"/>
      <c r="BD414" s="1"/>
      <c r="BE414" s="1"/>
      <c r="BF414" s="1"/>
      <c r="BG414" s="1"/>
      <c r="BH414" s="1"/>
    </row>
    <row r="415" spans="1:60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79"/>
      <c r="AO415" s="79"/>
      <c r="AP415" s="79"/>
      <c r="AQ415" s="79"/>
      <c r="AR415" s="79"/>
      <c r="AS415" s="79"/>
      <c r="AT415" s="79"/>
      <c r="AU415" s="79"/>
      <c r="AV415" s="79"/>
      <c r="AW415" s="79"/>
      <c r="AX415" s="79"/>
      <c r="AY415" s="79"/>
      <c r="AZ415" s="79"/>
      <c r="BA415" s="79"/>
      <c r="BB415" s="1"/>
      <c r="BC415" s="1"/>
      <c r="BD415" s="1"/>
      <c r="BE415" s="1"/>
      <c r="BF415" s="1"/>
      <c r="BG415" s="1"/>
      <c r="BH415" s="1"/>
    </row>
    <row r="416" spans="1:60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79"/>
      <c r="AO416" s="79"/>
      <c r="AP416" s="79"/>
      <c r="AQ416" s="79"/>
      <c r="AR416" s="79"/>
      <c r="AS416" s="79"/>
      <c r="AT416" s="79"/>
      <c r="AU416" s="79"/>
      <c r="AV416" s="79"/>
      <c r="AW416" s="79"/>
      <c r="AX416" s="79"/>
      <c r="AY416" s="79"/>
      <c r="AZ416" s="79"/>
      <c r="BA416" s="79"/>
      <c r="BB416" s="1"/>
      <c r="BC416" s="1"/>
      <c r="BD416" s="1"/>
      <c r="BE416" s="1"/>
      <c r="BF416" s="1"/>
      <c r="BG416" s="1"/>
      <c r="BH416" s="1"/>
    </row>
    <row r="417" spans="1:60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79"/>
      <c r="AO417" s="79"/>
      <c r="AP417" s="79"/>
      <c r="AQ417" s="79"/>
      <c r="AR417" s="79"/>
      <c r="AS417" s="79"/>
      <c r="AT417" s="79"/>
      <c r="AU417" s="79"/>
      <c r="AV417" s="79"/>
      <c r="AW417" s="79"/>
      <c r="AX417" s="79"/>
      <c r="AY417" s="79"/>
      <c r="AZ417" s="79"/>
      <c r="BA417" s="79"/>
      <c r="BB417" s="1"/>
      <c r="BC417" s="1"/>
      <c r="BD417" s="1"/>
      <c r="BE417" s="1"/>
      <c r="BF417" s="1"/>
      <c r="BG417" s="1"/>
      <c r="BH417" s="1"/>
    </row>
    <row r="418" spans="1:60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79"/>
      <c r="AO418" s="79"/>
      <c r="AP418" s="79"/>
      <c r="AQ418" s="79"/>
      <c r="AR418" s="79"/>
      <c r="AS418" s="79"/>
      <c r="AT418" s="79"/>
      <c r="AU418" s="79"/>
      <c r="AV418" s="79"/>
      <c r="AW418" s="79"/>
      <c r="AX418" s="79"/>
      <c r="AY418" s="79"/>
      <c r="AZ418" s="79"/>
      <c r="BA418" s="79"/>
      <c r="BB418" s="1"/>
      <c r="BC418" s="1"/>
      <c r="BD418" s="1"/>
      <c r="BE418" s="1"/>
      <c r="BF418" s="1"/>
      <c r="BG418" s="1"/>
      <c r="BH418" s="1"/>
    </row>
    <row r="419" spans="1:60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79"/>
      <c r="AO419" s="79"/>
      <c r="AP419" s="79"/>
      <c r="AQ419" s="79"/>
      <c r="AR419" s="79"/>
      <c r="AS419" s="79"/>
      <c r="AT419" s="79"/>
      <c r="AU419" s="79"/>
      <c r="AV419" s="79"/>
      <c r="AW419" s="79"/>
      <c r="AX419" s="79"/>
      <c r="AY419" s="79"/>
      <c r="AZ419" s="79"/>
      <c r="BA419" s="79"/>
      <c r="BB419" s="1"/>
      <c r="BC419" s="1"/>
      <c r="BD419" s="1"/>
      <c r="BE419" s="1"/>
      <c r="BF419" s="1"/>
      <c r="BG419" s="1"/>
      <c r="BH419" s="1"/>
    </row>
    <row r="420" spans="1:60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79"/>
      <c r="AO420" s="79"/>
      <c r="AP420" s="79"/>
      <c r="AQ420" s="79"/>
      <c r="AR420" s="79"/>
      <c r="AS420" s="79"/>
      <c r="AT420" s="79"/>
      <c r="AU420" s="79"/>
      <c r="AV420" s="79"/>
      <c r="AW420" s="79"/>
      <c r="AX420" s="79"/>
      <c r="AY420" s="79"/>
      <c r="AZ420" s="79"/>
      <c r="BA420" s="79"/>
      <c r="BB420" s="1"/>
      <c r="BC420" s="1"/>
      <c r="BD420" s="1"/>
      <c r="BE420" s="1"/>
      <c r="BF420" s="1"/>
      <c r="BG420" s="1"/>
      <c r="BH420" s="1"/>
    </row>
    <row r="421" spans="1:60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79"/>
      <c r="AO421" s="79"/>
      <c r="AP421" s="79"/>
      <c r="AQ421" s="79"/>
      <c r="AR421" s="79"/>
      <c r="AS421" s="79"/>
      <c r="AT421" s="79"/>
      <c r="AU421" s="79"/>
      <c r="AV421" s="79"/>
      <c r="AW421" s="79"/>
      <c r="AX421" s="79"/>
      <c r="AY421" s="79"/>
      <c r="AZ421" s="79"/>
      <c r="BA421" s="79"/>
      <c r="BB421" s="1"/>
      <c r="BC421" s="1"/>
      <c r="BD421" s="1"/>
      <c r="BE421" s="1"/>
      <c r="BF421" s="1"/>
      <c r="BG421" s="1"/>
      <c r="BH421" s="1"/>
    </row>
    <row r="422" spans="1:60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79"/>
      <c r="AO422" s="79"/>
      <c r="AP422" s="79"/>
      <c r="AQ422" s="79"/>
      <c r="AR422" s="79"/>
      <c r="AS422" s="79"/>
      <c r="AT422" s="79"/>
      <c r="AU422" s="79"/>
      <c r="AV422" s="79"/>
      <c r="AW422" s="79"/>
      <c r="AX422" s="79"/>
      <c r="AY422" s="79"/>
      <c r="AZ422" s="79"/>
      <c r="BA422" s="79"/>
      <c r="BB422" s="1"/>
      <c r="BC422" s="1"/>
      <c r="BD422" s="1"/>
      <c r="BE422" s="1"/>
      <c r="BF422" s="1"/>
      <c r="BG422" s="1"/>
      <c r="BH422" s="1"/>
    </row>
    <row r="423" spans="1:60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79"/>
      <c r="AO423" s="79"/>
      <c r="AP423" s="79"/>
      <c r="AQ423" s="79"/>
      <c r="AR423" s="79"/>
      <c r="AS423" s="79"/>
      <c r="AT423" s="79"/>
      <c r="AU423" s="79"/>
      <c r="AV423" s="79"/>
      <c r="AW423" s="79"/>
      <c r="AX423" s="79"/>
      <c r="AY423" s="79"/>
      <c r="AZ423" s="79"/>
      <c r="BA423" s="79"/>
      <c r="BB423" s="1"/>
      <c r="BC423" s="1"/>
      <c r="BD423" s="1"/>
      <c r="BE423" s="1"/>
      <c r="BF423" s="1"/>
      <c r="BG423" s="1"/>
      <c r="BH423" s="1"/>
    </row>
    <row r="424" spans="1:60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79"/>
      <c r="AO424" s="79"/>
      <c r="AP424" s="79"/>
      <c r="AQ424" s="79"/>
      <c r="AR424" s="79"/>
      <c r="AS424" s="79"/>
      <c r="AT424" s="79"/>
      <c r="AU424" s="79"/>
      <c r="AV424" s="79"/>
      <c r="AW424" s="79"/>
      <c r="AX424" s="79"/>
      <c r="AY424" s="79"/>
      <c r="AZ424" s="79"/>
      <c r="BA424" s="79"/>
      <c r="BB424" s="1"/>
      <c r="BC424" s="1"/>
      <c r="BD424" s="1"/>
      <c r="BE424" s="1"/>
      <c r="BF424" s="1"/>
      <c r="BG424" s="1"/>
      <c r="BH424" s="1"/>
    </row>
    <row r="425" spans="1:60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  <c r="BA425" s="79"/>
      <c r="BB425" s="1"/>
      <c r="BC425" s="1"/>
      <c r="BD425" s="1"/>
      <c r="BE425" s="1"/>
      <c r="BF425" s="1"/>
      <c r="BG425" s="1"/>
      <c r="BH425" s="1"/>
    </row>
    <row r="426" spans="1:60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79"/>
      <c r="AO426" s="79"/>
      <c r="AP426" s="79"/>
      <c r="AQ426" s="79"/>
      <c r="AR426" s="79"/>
      <c r="AS426" s="79"/>
      <c r="AT426" s="79"/>
      <c r="AU426" s="79"/>
      <c r="AV426" s="79"/>
      <c r="AW426" s="79"/>
      <c r="AX426" s="79"/>
      <c r="AY426" s="79"/>
      <c r="AZ426" s="79"/>
      <c r="BA426" s="79"/>
      <c r="BB426" s="1"/>
      <c r="BC426" s="1"/>
      <c r="BD426" s="1"/>
      <c r="BE426" s="1"/>
      <c r="BF426" s="1"/>
      <c r="BG426" s="1"/>
      <c r="BH426" s="1"/>
    </row>
    <row r="427" spans="1:60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79"/>
      <c r="AO427" s="79"/>
      <c r="AP427" s="79"/>
      <c r="AQ427" s="79"/>
      <c r="AR427" s="79"/>
      <c r="AS427" s="79"/>
      <c r="AT427" s="79"/>
      <c r="AU427" s="79"/>
      <c r="AV427" s="79"/>
      <c r="AW427" s="79"/>
      <c r="AX427" s="79"/>
      <c r="AY427" s="79"/>
      <c r="AZ427" s="79"/>
      <c r="BA427" s="79"/>
      <c r="BB427" s="1"/>
      <c r="BC427" s="1"/>
      <c r="BD427" s="1"/>
      <c r="BE427" s="1"/>
      <c r="BF427" s="1"/>
      <c r="BG427" s="1"/>
      <c r="BH427" s="1"/>
    </row>
    <row r="428" spans="1:60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79"/>
      <c r="AO428" s="79"/>
      <c r="AP428" s="79"/>
      <c r="AQ428" s="79"/>
      <c r="AR428" s="79"/>
      <c r="AS428" s="79"/>
      <c r="AT428" s="79"/>
      <c r="AU428" s="79"/>
      <c r="AV428" s="79"/>
      <c r="AW428" s="79"/>
      <c r="AX428" s="79"/>
      <c r="AY428" s="79"/>
      <c r="AZ428" s="79"/>
      <c r="BA428" s="79"/>
      <c r="BB428" s="1"/>
      <c r="BC428" s="1"/>
      <c r="BD428" s="1"/>
      <c r="BE428" s="1"/>
      <c r="BF428" s="1"/>
      <c r="BG428" s="1"/>
      <c r="BH428" s="1"/>
    </row>
    <row r="429" spans="1:60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79"/>
      <c r="AO429" s="79"/>
      <c r="AP429" s="79"/>
      <c r="AQ429" s="79"/>
      <c r="AR429" s="79"/>
      <c r="AS429" s="79"/>
      <c r="AT429" s="79"/>
      <c r="AU429" s="79"/>
      <c r="AV429" s="79"/>
      <c r="AW429" s="79"/>
      <c r="AX429" s="79"/>
      <c r="AY429" s="79"/>
      <c r="AZ429" s="79"/>
      <c r="BA429" s="79"/>
      <c r="BB429" s="1"/>
      <c r="BC429" s="1"/>
      <c r="BD429" s="1"/>
      <c r="BE429" s="1"/>
      <c r="BF429" s="1"/>
      <c r="BG429" s="1"/>
      <c r="BH429" s="1"/>
    </row>
    <row r="430" spans="1:60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79"/>
      <c r="AO430" s="79"/>
      <c r="AP430" s="79"/>
      <c r="AQ430" s="79"/>
      <c r="AR430" s="79"/>
      <c r="AS430" s="79"/>
      <c r="AT430" s="79"/>
      <c r="AU430" s="79"/>
      <c r="AV430" s="79"/>
      <c r="AW430" s="79"/>
      <c r="AX430" s="79"/>
      <c r="AY430" s="79"/>
      <c r="AZ430" s="79"/>
      <c r="BA430" s="79"/>
      <c r="BB430" s="1"/>
      <c r="BC430" s="1"/>
      <c r="BD430" s="1"/>
      <c r="BE430" s="1"/>
      <c r="BF430" s="1"/>
      <c r="BG430" s="1"/>
      <c r="BH430" s="1"/>
    </row>
    <row r="431" spans="1:60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79"/>
      <c r="AO431" s="79"/>
      <c r="AP431" s="79"/>
      <c r="AQ431" s="79"/>
      <c r="AR431" s="79"/>
      <c r="AS431" s="79"/>
      <c r="AT431" s="79"/>
      <c r="AU431" s="79"/>
      <c r="AV431" s="79"/>
      <c r="AW431" s="79"/>
      <c r="AX431" s="79"/>
      <c r="AY431" s="79"/>
      <c r="AZ431" s="79"/>
      <c r="BA431" s="79"/>
      <c r="BB431" s="1"/>
      <c r="BC431" s="1"/>
      <c r="BD431" s="1"/>
      <c r="BE431" s="1"/>
      <c r="BF431" s="1"/>
      <c r="BG431" s="1"/>
      <c r="BH431" s="1"/>
    </row>
    <row r="432" spans="1:60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79"/>
      <c r="AO432" s="79"/>
      <c r="AP432" s="79"/>
      <c r="AQ432" s="79"/>
      <c r="AR432" s="79"/>
      <c r="AS432" s="79"/>
      <c r="AT432" s="79"/>
      <c r="AU432" s="79"/>
      <c r="AV432" s="79"/>
      <c r="AW432" s="79"/>
      <c r="AX432" s="79"/>
      <c r="AY432" s="79"/>
      <c r="AZ432" s="79"/>
      <c r="BA432" s="79"/>
      <c r="BB432" s="1"/>
      <c r="BC432" s="1"/>
      <c r="BD432" s="1"/>
      <c r="BE432" s="1"/>
      <c r="BF432" s="1"/>
      <c r="BG432" s="1"/>
      <c r="BH432" s="1"/>
    </row>
    <row r="433" spans="1:60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79"/>
      <c r="AO433" s="79"/>
      <c r="AP433" s="79"/>
      <c r="AQ433" s="79"/>
      <c r="AR433" s="79"/>
      <c r="AS433" s="79"/>
      <c r="AT433" s="79"/>
      <c r="AU433" s="79"/>
      <c r="AV433" s="79"/>
      <c r="AW433" s="79"/>
      <c r="AX433" s="79"/>
      <c r="AY433" s="79"/>
      <c r="AZ433" s="79"/>
      <c r="BA433" s="79"/>
      <c r="BB433" s="1"/>
      <c r="BC433" s="1"/>
      <c r="BD433" s="1"/>
      <c r="BE433" s="1"/>
      <c r="BF433" s="1"/>
      <c r="BG433" s="1"/>
      <c r="BH433" s="1"/>
    </row>
    <row r="434" spans="1:60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79"/>
      <c r="AO434" s="79"/>
      <c r="AP434" s="79"/>
      <c r="AQ434" s="79"/>
      <c r="AR434" s="79"/>
      <c r="AS434" s="79"/>
      <c r="AT434" s="79"/>
      <c r="AU434" s="79"/>
      <c r="AV434" s="79"/>
      <c r="AW434" s="79"/>
      <c r="AX434" s="79"/>
      <c r="AY434" s="79"/>
      <c r="AZ434" s="79"/>
      <c r="BA434" s="79"/>
      <c r="BB434" s="1"/>
      <c r="BC434" s="1"/>
      <c r="BD434" s="1"/>
      <c r="BE434" s="1"/>
      <c r="BF434" s="1"/>
      <c r="BG434" s="1"/>
      <c r="BH434" s="1"/>
    </row>
    <row r="435" spans="1:60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79"/>
      <c r="AO435" s="79"/>
      <c r="AP435" s="79"/>
      <c r="AQ435" s="79"/>
      <c r="AR435" s="79"/>
      <c r="AS435" s="79"/>
      <c r="AT435" s="79"/>
      <c r="AU435" s="79"/>
      <c r="AV435" s="79"/>
      <c r="AW435" s="79"/>
      <c r="AX435" s="79"/>
      <c r="AY435" s="79"/>
      <c r="AZ435" s="79"/>
      <c r="BA435" s="79"/>
      <c r="BB435" s="1"/>
      <c r="BC435" s="1"/>
      <c r="BD435" s="1"/>
      <c r="BE435" s="1"/>
      <c r="BF435" s="1"/>
      <c r="BG435" s="1"/>
      <c r="BH435" s="1"/>
    </row>
    <row r="436" spans="1:60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79"/>
      <c r="AO436" s="79"/>
      <c r="AP436" s="79"/>
      <c r="AQ436" s="79"/>
      <c r="AR436" s="79"/>
      <c r="AS436" s="79"/>
      <c r="AT436" s="79"/>
      <c r="AU436" s="79"/>
      <c r="AV436" s="79"/>
      <c r="AW436" s="79"/>
      <c r="AX436" s="79"/>
      <c r="AY436" s="79"/>
      <c r="AZ436" s="79"/>
      <c r="BA436" s="79"/>
      <c r="BB436" s="1"/>
      <c r="BC436" s="1"/>
      <c r="BD436" s="1"/>
      <c r="BE436" s="1"/>
      <c r="BF436" s="1"/>
      <c r="BG436" s="1"/>
      <c r="BH436" s="1"/>
    </row>
    <row r="437" spans="1:60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79"/>
      <c r="AO437" s="79"/>
      <c r="AP437" s="79"/>
      <c r="AQ437" s="79"/>
      <c r="AR437" s="79"/>
      <c r="AS437" s="79"/>
      <c r="AT437" s="79"/>
      <c r="AU437" s="79"/>
      <c r="AV437" s="79"/>
      <c r="AW437" s="79"/>
      <c r="AX437" s="79"/>
      <c r="AY437" s="79"/>
      <c r="AZ437" s="79"/>
      <c r="BA437" s="79"/>
      <c r="BB437" s="1"/>
      <c r="BC437" s="1"/>
      <c r="BD437" s="1"/>
      <c r="BE437" s="1"/>
      <c r="BF437" s="1"/>
      <c r="BG437" s="1"/>
      <c r="BH437" s="1"/>
    </row>
    <row r="438" spans="1:60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79"/>
      <c r="AO438" s="79"/>
      <c r="AP438" s="79"/>
      <c r="AQ438" s="79"/>
      <c r="AR438" s="79"/>
      <c r="AS438" s="79"/>
      <c r="AT438" s="79"/>
      <c r="AU438" s="79"/>
      <c r="AV438" s="79"/>
      <c r="AW438" s="79"/>
      <c r="AX438" s="79"/>
      <c r="AY438" s="79"/>
      <c r="AZ438" s="79"/>
      <c r="BA438" s="79"/>
      <c r="BB438" s="1"/>
      <c r="BC438" s="1"/>
      <c r="BD438" s="1"/>
      <c r="BE438" s="1"/>
      <c r="BF438" s="1"/>
      <c r="BG438" s="1"/>
      <c r="BH438" s="1"/>
    </row>
    <row r="439" spans="1:60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79"/>
      <c r="AO439" s="79"/>
      <c r="AP439" s="79"/>
      <c r="AQ439" s="79"/>
      <c r="AR439" s="79"/>
      <c r="AS439" s="79"/>
      <c r="AT439" s="79"/>
      <c r="AU439" s="79"/>
      <c r="AV439" s="79"/>
      <c r="AW439" s="79"/>
      <c r="AX439" s="79"/>
      <c r="AY439" s="79"/>
      <c r="AZ439" s="79"/>
      <c r="BA439" s="79"/>
      <c r="BB439" s="1"/>
      <c r="BC439" s="1"/>
      <c r="BD439" s="1"/>
      <c r="BE439" s="1"/>
      <c r="BF439" s="1"/>
      <c r="BG439" s="1"/>
      <c r="BH439" s="1"/>
    </row>
    <row r="440" spans="1:60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79"/>
      <c r="AO440" s="79"/>
      <c r="AP440" s="79"/>
      <c r="AQ440" s="79"/>
      <c r="AR440" s="79"/>
      <c r="AS440" s="79"/>
      <c r="AT440" s="79"/>
      <c r="AU440" s="79"/>
      <c r="AV440" s="79"/>
      <c r="AW440" s="79"/>
      <c r="AX440" s="79"/>
      <c r="AY440" s="79"/>
      <c r="AZ440" s="79"/>
      <c r="BA440" s="79"/>
      <c r="BB440" s="1"/>
      <c r="BC440" s="1"/>
      <c r="BD440" s="1"/>
      <c r="BE440" s="1"/>
      <c r="BF440" s="1"/>
      <c r="BG440" s="1"/>
      <c r="BH440" s="1"/>
    </row>
    <row r="441" spans="1:60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79"/>
      <c r="AO441" s="79"/>
      <c r="AP441" s="79"/>
      <c r="AQ441" s="79"/>
      <c r="AR441" s="79"/>
      <c r="AS441" s="79"/>
      <c r="AT441" s="79"/>
      <c r="AU441" s="79"/>
      <c r="AV441" s="79"/>
      <c r="AW441" s="79"/>
      <c r="AX441" s="79"/>
      <c r="AY441" s="79"/>
      <c r="AZ441" s="79"/>
      <c r="BA441" s="79"/>
      <c r="BB441" s="1"/>
      <c r="BC441" s="1"/>
      <c r="BD441" s="1"/>
      <c r="BE441" s="1"/>
      <c r="BF441" s="1"/>
      <c r="BG441" s="1"/>
      <c r="BH441" s="1"/>
    </row>
    <row r="442" spans="1:60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79"/>
      <c r="AO442" s="79"/>
      <c r="AP442" s="79"/>
      <c r="AQ442" s="79"/>
      <c r="AR442" s="79"/>
      <c r="AS442" s="79"/>
      <c r="AT442" s="79"/>
      <c r="AU442" s="79"/>
      <c r="AV442" s="79"/>
      <c r="AW442" s="79"/>
      <c r="AX442" s="79"/>
      <c r="AY442" s="79"/>
      <c r="AZ442" s="79"/>
      <c r="BA442" s="79"/>
      <c r="BB442" s="1"/>
      <c r="BC442" s="1"/>
      <c r="BD442" s="1"/>
      <c r="BE442" s="1"/>
      <c r="BF442" s="1"/>
      <c r="BG442" s="1"/>
      <c r="BH442" s="1"/>
    </row>
    <row r="443" spans="1:60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79"/>
      <c r="AO443" s="79"/>
      <c r="AP443" s="79"/>
      <c r="AQ443" s="79"/>
      <c r="AR443" s="79"/>
      <c r="AS443" s="79"/>
      <c r="AT443" s="79"/>
      <c r="AU443" s="79"/>
      <c r="AV443" s="79"/>
      <c r="AW443" s="79"/>
      <c r="AX443" s="79"/>
      <c r="AY443" s="79"/>
      <c r="AZ443" s="79"/>
      <c r="BA443" s="79"/>
      <c r="BB443" s="1"/>
      <c r="BC443" s="1"/>
      <c r="BD443" s="1"/>
      <c r="BE443" s="1"/>
      <c r="BF443" s="1"/>
      <c r="BG443" s="1"/>
      <c r="BH443" s="1"/>
    </row>
    <row r="444" spans="1:60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79"/>
      <c r="AO444" s="79"/>
      <c r="AP444" s="79"/>
      <c r="AQ444" s="79"/>
      <c r="AR444" s="79"/>
      <c r="AS444" s="79"/>
      <c r="AT444" s="79"/>
      <c r="AU444" s="79"/>
      <c r="AV444" s="79"/>
      <c r="AW444" s="79"/>
      <c r="AX444" s="79"/>
      <c r="AY444" s="79"/>
      <c r="AZ444" s="79"/>
      <c r="BA444" s="79"/>
      <c r="BB444" s="1"/>
      <c r="BC444" s="1"/>
      <c r="BD444" s="1"/>
      <c r="BE444" s="1"/>
      <c r="BF444" s="1"/>
      <c r="BG444" s="1"/>
      <c r="BH444" s="1"/>
    </row>
    <row r="445" spans="1:60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79"/>
      <c r="AO445" s="79"/>
      <c r="AP445" s="79"/>
      <c r="AQ445" s="79"/>
      <c r="AR445" s="79"/>
      <c r="AS445" s="79"/>
      <c r="AT445" s="79"/>
      <c r="AU445" s="79"/>
      <c r="AV445" s="79"/>
      <c r="AW445" s="79"/>
      <c r="AX445" s="79"/>
      <c r="AY445" s="79"/>
      <c r="AZ445" s="79"/>
      <c r="BA445" s="79"/>
      <c r="BB445" s="1"/>
      <c r="BC445" s="1"/>
      <c r="BD445" s="1"/>
      <c r="BE445" s="1"/>
      <c r="BF445" s="1"/>
      <c r="BG445" s="1"/>
      <c r="BH445" s="1"/>
    </row>
    <row r="446" spans="1:60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79"/>
      <c r="AO446" s="79"/>
      <c r="AP446" s="79"/>
      <c r="AQ446" s="79"/>
      <c r="AR446" s="79"/>
      <c r="AS446" s="79"/>
      <c r="AT446" s="79"/>
      <c r="AU446" s="79"/>
      <c r="AV446" s="79"/>
      <c r="AW446" s="79"/>
      <c r="AX446" s="79"/>
      <c r="AY446" s="79"/>
      <c r="AZ446" s="79"/>
      <c r="BA446" s="79"/>
      <c r="BB446" s="1"/>
      <c r="BC446" s="1"/>
      <c r="BD446" s="1"/>
      <c r="BE446" s="1"/>
      <c r="BF446" s="1"/>
      <c r="BG446" s="1"/>
      <c r="BH446" s="1"/>
    </row>
    <row r="447" spans="1:60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79"/>
      <c r="AO447" s="79"/>
      <c r="AP447" s="79"/>
      <c r="AQ447" s="79"/>
      <c r="AR447" s="79"/>
      <c r="AS447" s="79"/>
      <c r="AT447" s="79"/>
      <c r="AU447" s="79"/>
      <c r="AV447" s="79"/>
      <c r="AW447" s="79"/>
      <c r="AX447" s="79"/>
      <c r="AY447" s="79"/>
      <c r="AZ447" s="79"/>
      <c r="BA447" s="79"/>
      <c r="BB447" s="1"/>
      <c r="BC447" s="1"/>
      <c r="BD447" s="1"/>
      <c r="BE447" s="1"/>
      <c r="BF447" s="1"/>
      <c r="BG447" s="1"/>
      <c r="BH447" s="1"/>
    </row>
    <row r="448" spans="1:60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79"/>
      <c r="AO448" s="79"/>
      <c r="AP448" s="79"/>
      <c r="AQ448" s="79"/>
      <c r="AR448" s="79"/>
      <c r="AS448" s="79"/>
      <c r="AT448" s="79"/>
      <c r="AU448" s="79"/>
      <c r="AV448" s="79"/>
      <c r="AW448" s="79"/>
      <c r="AX448" s="79"/>
      <c r="AY448" s="79"/>
      <c r="AZ448" s="79"/>
      <c r="BA448" s="79"/>
      <c r="BB448" s="1"/>
      <c r="BC448" s="1"/>
      <c r="BD448" s="1"/>
      <c r="BE448" s="1"/>
      <c r="BF448" s="1"/>
      <c r="BG448" s="1"/>
      <c r="BH448" s="1"/>
    </row>
    <row r="449" spans="1:60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79"/>
      <c r="AO449" s="79"/>
      <c r="AP449" s="79"/>
      <c r="AQ449" s="79"/>
      <c r="AR449" s="79"/>
      <c r="AS449" s="79"/>
      <c r="AT449" s="79"/>
      <c r="AU449" s="79"/>
      <c r="AV449" s="79"/>
      <c r="AW449" s="79"/>
      <c r="AX449" s="79"/>
      <c r="AY449" s="79"/>
      <c r="AZ449" s="79"/>
      <c r="BA449" s="79"/>
      <c r="BB449" s="1"/>
      <c r="BC449" s="1"/>
      <c r="BD449" s="1"/>
      <c r="BE449" s="1"/>
      <c r="BF449" s="1"/>
      <c r="BG449" s="1"/>
      <c r="BH449" s="1"/>
    </row>
    <row r="450" spans="1:60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79"/>
      <c r="AO450" s="79"/>
      <c r="AP450" s="79"/>
      <c r="AQ450" s="79"/>
      <c r="AR450" s="79"/>
      <c r="AS450" s="79"/>
      <c r="AT450" s="79"/>
      <c r="AU450" s="79"/>
      <c r="AV450" s="79"/>
      <c r="AW450" s="79"/>
      <c r="AX450" s="79"/>
      <c r="AY450" s="79"/>
      <c r="AZ450" s="79"/>
      <c r="BA450" s="79"/>
      <c r="BB450" s="1"/>
      <c r="BC450" s="1"/>
      <c r="BD450" s="1"/>
      <c r="BE450" s="1"/>
      <c r="BF450" s="1"/>
      <c r="BG450" s="1"/>
      <c r="BH450" s="1"/>
    </row>
    <row r="451" spans="1:60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79"/>
      <c r="AO451" s="79"/>
      <c r="AP451" s="79"/>
      <c r="AQ451" s="79"/>
      <c r="AR451" s="79"/>
      <c r="AS451" s="79"/>
      <c r="AT451" s="79"/>
      <c r="AU451" s="79"/>
      <c r="AV451" s="79"/>
      <c r="AW451" s="79"/>
      <c r="AX451" s="79"/>
      <c r="AY451" s="79"/>
      <c r="AZ451" s="79"/>
      <c r="BA451" s="79"/>
      <c r="BB451" s="1"/>
      <c r="BC451" s="1"/>
      <c r="BD451" s="1"/>
      <c r="BE451" s="1"/>
      <c r="BF451" s="1"/>
      <c r="BG451" s="1"/>
      <c r="BH451" s="1"/>
    </row>
    <row r="452" spans="1:60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79"/>
      <c r="AO452" s="79"/>
      <c r="AP452" s="79"/>
      <c r="AQ452" s="79"/>
      <c r="AR452" s="79"/>
      <c r="AS452" s="79"/>
      <c r="AT452" s="79"/>
      <c r="AU452" s="79"/>
      <c r="AV452" s="79"/>
      <c r="AW452" s="79"/>
      <c r="AX452" s="79"/>
      <c r="AY452" s="79"/>
      <c r="AZ452" s="79"/>
      <c r="BA452" s="79"/>
      <c r="BB452" s="1"/>
      <c r="BC452" s="1"/>
      <c r="BD452" s="1"/>
      <c r="BE452" s="1"/>
      <c r="BF452" s="1"/>
      <c r="BG452" s="1"/>
      <c r="BH452" s="1"/>
    </row>
    <row r="453" spans="1:60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79"/>
      <c r="AO453" s="79"/>
      <c r="AP453" s="79"/>
      <c r="AQ453" s="79"/>
      <c r="AR453" s="79"/>
      <c r="AS453" s="79"/>
      <c r="AT453" s="79"/>
      <c r="AU453" s="79"/>
      <c r="AV453" s="79"/>
      <c r="AW453" s="79"/>
      <c r="AX453" s="79"/>
      <c r="AY453" s="79"/>
      <c r="AZ453" s="79"/>
      <c r="BA453" s="79"/>
      <c r="BB453" s="1"/>
      <c r="BC453" s="1"/>
      <c r="BD453" s="1"/>
      <c r="BE453" s="1"/>
      <c r="BF453" s="1"/>
      <c r="BG453" s="1"/>
      <c r="BH453" s="1"/>
    </row>
    <row r="454" spans="1:60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79"/>
      <c r="AO454" s="79"/>
      <c r="AP454" s="79"/>
      <c r="AQ454" s="79"/>
      <c r="AR454" s="79"/>
      <c r="AS454" s="79"/>
      <c r="AT454" s="79"/>
      <c r="AU454" s="79"/>
      <c r="AV454" s="79"/>
      <c r="AW454" s="79"/>
      <c r="AX454" s="79"/>
      <c r="AY454" s="79"/>
      <c r="AZ454" s="79"/>
      <c r="BA454" s="79"/>
      <c r="BB454" s="1"/>
      <c r="BC454" s="1"/>
      <c r="BD454" s="1"/>
      <c r="BE454" s="1"/>
      <c r="BF454" s="1"/>
      <c r="BG454" s="1"/>
      <c r="BH454" s="1"/>
    </row>
    <row r="455" spans="1:60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79"/>
      <c r="AO455" s="79"/>
      <c r="AP455" s="79"/>
      <c r="AQ455" s="79"/>
      <c r="AR455" s="79"/>
      <c r="AS455" s="79"/>
      <c r="AT455" s="79"/>
      <c r="AU455" s="79"/>
      <c r="AV455" s="79"/>
      <c r="AW455" s="79"/>
      <c r="AX455" s="79"/>
      <c r="AY455" s="79"/>
      <c r="AZ455" s="79"/>
      <c r="BA455" s="79"/>
      <c r="BB455" s="1"/>
      <c r="BC455" s="1"/>
      <c r="BD455" s="1"/>
      <c r="BE455" s="1"/>
      <c r="BF455" s="1"/>
      <c r="BG455" s="1"/>
      <c r="BH455" s="1"/>
    </row>
    <row r="456" spans="1:60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79"/>
      <c r="AO456" s="79"/>
      <c r="AP456" s="79"/>
      <c r="AQ456" s="79"/>
      <c r="AR456" s="79"/>
      <c r="AS456" s="79"/>
      <c r="AT456" s="79"/>
      <c r="AU456" s="79"/>
      <c r="AV456" s="79"/>
      <c r="AW456" s="79"/>
      <c r="AX456" s="79"/>
      <c r="AY456" s="79"/>
      <c r="AZ456" s="79"/>
      <c r="BA456" s="79"/>
      <c r="BB456" s="1"/>
      <c r="BC456" s="1"/>
      <c r="BD456" s="1"/>
      <c r="BE456" s="1"/>
      <c r="BF456" s="1"/>
      <c r="BG456" s="1"/>
      <c r="BH456" s="1"/>
    </row>
    <row r="457" spans="1:60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79"/>
      <c r="AO457" s="79"/>
      <c r="AP457" s="79"/>
      <c r="AQ457" s="79"/>
      <c r="AR457" s="79"/>
      <c r="AS457" s="79"/>
      <c r="AT457" s="79"/>
      <c r="AU457" s="79"/>
      <c r="AV457" s="79"/>
      <c r="AW457" s="79"/>
      <c r="AX457" s="79"/>
      <c r="AY457" s="79"/>
      <c r="AZ457" s="79"/>
      <c r="BA457" s="79"/>
      <c r="BB457" s="1"/>
      <c r="BC457" s="1"/>
      <c r="BD457" s="1"/>
      <c r="BE457" s="1"/>
      <c r="BF457" s="1"/>
      <c r="BG457" s="1"/>
      <c r="BH457" s="1"/>
    </row>
    <row r="458" spans="1:60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79"/>
      <c r="AO458" s="79"/>
      <c r="AP458" s="79"/>
      <c r="AQ458" s="79"/>
      <c r="AR458" s="79"/>
      <c r="AS458" s="79"/>
      <c r="AT458" s="79"/>
      <c r="AU458" s="79"/>
      <c r="AV458" s="79"/>
      <c r="AW458" s="79"/>
      <c r="AX458" s="79"/>
      <c r="AY458" s="79"/>
      <c r="AZ458" s="79"/>
      <c r="BA458" s="79"/>
      <c r="BB458" s="1"/>
      <c r="BC458" s="1"/>
      <c r="BD458" s="1"/>
      <c r="BE458" s="1"/>
      <c r="BF458" s="1"/>
      <c r="BG458" s="1"/>
      <c r="BH458" s="1"/>
    </row>
    <row r="459" spans="1:60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79"/>
      <c r="AO459" s="79"/>
      <c r="AP459" s="79"/>
      <c r="AQ459" s="79"/>
      <c r="AR459" s="79"/>
      <c r="AS459" s="79"/>
      <c r="AT459" s="79"/>
      <c r="AU459" s="79"/>
      <c r="AV459" s="79"/>
      <c r="AW459" s="79"/>
      <c r="AX459" s="79"/>
      <c r="AY459" s="79"/>
      <c r="AZ459" s="79"/>
      <c r="BA459" s="79"/>
      <c r="BB459" s="1"/>
      <c r="BC459" s="1"/>
      <c r="BD459" s="1"/>
      <c r="BE459" s="1"/>
      <c r="BF459" s="1"/>
      <c r="BG459" s="1"/>
      <c r="BH459" s="1"/>
    </row>
    <row r="460" spans="1:60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79"/>
      <c r="AO460" s="79"/>
      <c r="AP460" s="79"/>
      <c r="AQ460" s="79"/>
      <c r="AR460" s="79"/>
      <c r="AS460" s="79"/>
      <c r="AT460" s="79"/>
      <c r="AU460" s="79"/>
      <c r="AV460" s="79"/>
      <c r="AW460" s="79"/>
      <c r="AX460" s="79"/>
      <c r="AY460" s="79"/>
      <c r="AZ460" s="79"/>
      <c r="BA460" s="79"/>
      <c r="BB460" s="1"/>
      <c r="BC460" s="1"/>
      <c r="BD460" s="1"/>
      <c r="BE460" s="1"/>
      <c r="BF460" s="1"/>
      <c r="BG460" s="1"/>
      <c r="BH460" s="1"/>
    </row>
    <row r="461" spans="1:60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79"/>
      <c r="AO461" s="79"/>
      <c r="AP461" s="79"/>
      <c r="AQ461" s="79"/>
      <c r="AR461" s="79"/>
      <c r="AS461" s="79"/>
      <c r="AT461" s="79"/>
      <c r="AU461" s="79"/>
      <c r="AV461" s="79"/>
      <c r="AW461" s="79"/>
      <c r="AX461" s="79"/>
      <c r="AY461" s="79"/>
      <c r="AZ461" s="79"/>
      <c r="BA461" s="79"/>
      <c r="BB461" s="1"/>
      <c r="BC461" s="1"/>
      <c r="BD461" s="1"/>
      <c r="BE461" s="1"/>
      <c r="BF461" s="1"/>
      <c r="BG461" s="1"/>
      <c r="BH461" s="1"/>
    </row>
    <row r="462" spans="1:60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79"/>
      <c r="AO462" s="79"/>
      <c r="AP462" s="79"/>
      <c r="AQ462" s="79"/>
      <c r="AR462" s="79"/>
      <c r="AS462" s="79"/>
      <c r="AT462" s="79"/>
      <c r="AU462" s="79"/>
      <c r="AV462" s="79"/>
      <c r="AW462" s="79"/>
      <c r="AX462" s="79"/>
      <c r="AY462" s="79"/>
      <c r="AZ462" s="79"/>
      <c r="BA462" s="79"/>
      <c r="BB462" s="1"/>
      <c r="BC462" s="1"/>
      <c r="BD462" s="1"/>
      <c r="BE462" s="1"/>
      <c r="BF462" s="1"/>
      <c r="BG462" s="1"/>
      <c r="BH462" s="1"/>
    </row>
    <row r="463" spans="1:60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79"/>
      <c r="AO463" s="79"/>
      <c r="AP463" s="79"/>
      <c r="AQ463" s="79"/>
      <c r="AR463" s="79"/>
      <c r="AS463" s="79"/>
      <c r="AT463" s="79"/>
      <c r="AU463" s="79"/>
      <c r="AV463" s="79"/>
      <c r="AW463" s="79"/>
      <c r="AX463" s="79"/>
      <c r="AY463" s="79"/>
      <c r="AZ463" s="79"/>
      <c r="BA463" s="79"/>
      <c r="BB463" s="1"/>
      <c r="BC463" s="1"/>
      <c r="BD463" s="1"/>
      <c r="BE463" s="1"/>
      <c r="BF463" s="1"/>
      <c r="BG463" s="1"/>
      <c r="BH463" s="1"/>
    </row>
    <row r="464" spans="1:60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79"/>
      <c r="AO464" s="79"/>
      <c r="AP464" s="79"/>
      <c r="AQ464" s="79"/>
      <c r="AR464" s="79"/>
      <c r="AS464" s="79"/>
      <c r="AT464" s="79"/>
      <c r="AU464" s="79"/>
      <c r="AV464" s="79"/>
      <c r="AW464" s="79"/>
      <c r="AX464" s="79"/>
      <c r="AY464" s="79"/>
      <c r="AZ464" s="79"/>
      <c r="BA464" s="79"/>
      <c r="BB464" s="1"/>
      <c r="BC464" s="1"/>
      <c r="BD464" s="1"/>
      <c r="BE464" s="1"/>
      <c r="BF464" s="1"/>
      <c r="BG464" s="1"/>
      <c r="BH464" s="1"/>
    </row>
    <row r="465" spans="1:60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79"/>
      <c r="AO465" s="79"/>
      <c r="AP465" s="79"/>
      <c r="AQ465" s="79"/>
      <c r="AR465" s="79"/>
      <c r="AS465" s="79"/>
      <c r="AT465" s="79"/>
      <c r="AU465" s="79"/>
      <c r="AV465" s="79"/>
      <c r="AW465" s="79"/>
      <c r="AX465" s="79"/>
      <c r="AY465" s="79"/>
      <c r="AZ465" s="79"/>
      <c r="BA465" s="79"/>
      <c r="BB465" s="1"/>
      <c r="BC465" s="1"/>
      <c r="BD465" s="1"/>
      <c r="BE465" s="1"/>
      <c r="BF465" s="1"/>
      <c r="BG465" s="1"/>
      <c r="BH465" s="1"/>
    </row>
    <row r="466" spans="1:60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79"/>
      <c r="AO466" s="79"/>
      <c r="AP466" s="79"/>
      <c r="AQ466" s="79"/>
      <c r="AR466" s="79"/>
      <c r="AS466" s="79"/>
      <c r="AT466" s="79"/>
      <c r="AU466" s="79"/>
      <c r="AV466" s="79"/>
      <c r="AW466" s="79"/>
      <c r="AX466" s="79"/>
      <c r="AY466" s="79"/>
      <c r="AZ466" s="79"/>
      <c r="BA466" s="79"/>
      <c r="BB466" s="1"/>
      <c r="BC466" s="1"/>
      <c r="BD466" s="1"/>
      <c r="BE466" s="1"/>
      <c r="BF466" s="1"/>
      <c r="BG466" s="1"/>
      <c r="BH466" s="1"/>
    </row>
    <row r="467" spans="1:60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79"/>
      <c r="AO467" s="79"/>
      <c r="AP467" s="79"/>
      <c r="AQ467" s="79"/>
      <c r="AR467" s="79"/>
      <c r="AS467" s="79"/>
      <c r="AT467" s="79"/>
      <c r="AU467" s="79"/>
      <c r="AV467" s="79"/>
      <c r="AW467" s="79"/>
      <c r="AX467" s="79"/>
      <c r="AY467" s="79"/>
      <c r="AZ467" s="79"/>
      <c r="BA467" s="79"/>
      <c r="BB467" s="1"/>
      <c r="BC467" s="1"/>
      <c r="BD467" s="1"/>
      <c r="BE467" s="1"/>
      <c r="BF467" s="1"/>
      <c r="BG467" s="1"/>
      <c r="BH467" s="1"/>
    </row>
    <row r="468" spans="1:60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79"/>
      <c r="AO468" s="79"/>
      <c r="AP468" s="79"/>
      <c r="AQ468" s="79"/>
      <c r="AR468" s="79"/>
      <c r="AS468" s="79"/>
      <c r="AT468" s="79"/>
      <c r="AU468" s="79"/>
      <c r="AV468" s="79"/>
      <c r="AW468" s="79"/>
      <c r="AX468" s="79"/>
      <c r="AY468" s="79"/>
      <c r="AZ468" s="79"/>
      <c r="BA468" s="79"/>
      <c r="BB468" s="1"/>
      <c r="BC468" s="1"/>
      <c r="BD468" s="1"/>
      <c r="BE468" s="1"/>
      <c r="BF468" s="1"/>
      <c r="BG468" s="1"/>
      <c r="BH468" s="1"/>
    </row>
    <row r="469" spans="1:60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79"/>
      <c r="AO469" s="79"/>
      <c r="AP469" s="79"/>
      <c r="AQ469" s="79"/>
      <c r="AR469" s="79"/>
      <c r="AS469" s="79"/>
      <c r="AT469" s="79"/>
      <c r="AU469" s="79"/>
      <c r="AV469" s="79"/>
      <c r="AW469" s="79"/>
      <c r="AX469" s="79"/>
      <c r="AY469" s="79"/>
      <c r="AZ469" s="79"/>
      <c r="BA469" s="79"/>
      <c r="BB469" s="1"/>
      <c r="BC469" s="1"/>
      <c r="BD469" s="1"/>
      <c r="BE469" s="1"/>
      <c r="BF469" s="1"/>
      <c r="BG469" s="1"/>
      <c r="BH469" s="1"/>
    </row>
    <row r="470" spans="1:60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79"/>
      <c r="AO470" s="79"/>
      <c r="AP470" s="79"/>
      <c r="AQ470" s="79"/>
      <c r="AR470" s="79"/>
      <c r="AS470" s="79"/>
      <c r="AT470" s="79"/>
      <c r="AU470" s="79"/>
      <c r="AV470" s="79"/>
      <c r="AW470" s="79"/>
      <c r="AX470" s="79"/>
      <c r="AY470" s="79"/>
      <c r="AZ470" s="79"/>
      <c r="BA470" s="79"/>
      <c r="BB470" s="1"/>
      <c r="BC470" s="1"/>
      <c r="BD470" s="1"/>
      <c r="BE470" s="1"/>
      <c r="BF470" s="1"/>
      <c r="BG470" s="1"/>
      <c r="BH470" s="1"/>
    </row>
    <row r="471" spans="1:60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79"/>
      <c r="AO471" s="79"/>
      <c r="AP471" s="79"/>
      <c r="AQ471" s="79"/>
      <c r="AR471" s="79"/>
      <c r="AS471" s="79"/>
      <c r="AT471" s="79"/>
      <c r="AU471" s="79"/>
      <c r="AV471" s="79"/>
      <c r="AW471" s="79"/>
      <c r="AX471" s="79"/>
      <c r="AY471" s="79"/>
      <c r="AZ471" s="79"/>
      <c r="BA471" s="79"/>
      <c r="BB471" s="1"/>
      <c r="BC471" s="1"/>
      <c r="BD471" s="1"/>
      <c r="BE471" s="1"/>
      <c r="BF471" s="1"/>
      <c r="BG471" s="1"/>
      <c r="BH471" s="1"/>
    </row>
    <row r="472" spans="1:60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79"/>
      <c r="AO472" s="79"/>
      <c r="AP472" s="79"/>
      <c r="AQ472" s="79"/>
      <c r="AR472" s="79"/>
      <c r="AS472" s="79"/>
      <c r="AT472" s="79"/>
      <c r="AU472" s="79"/>
      <c r="AV472" s="79"/>
      <c r="AW472" s="79"/>
      <c r="AX472" s="79"/>
      <c r="AY472" s="79"/>
      <c r="AZ472" s="79"/>
      <c r="BA472" s="79"/>
      <c r="BB472" s="1"/>
      <c r="BC472" s="1"/>
      <c r="BD472" s="1"/>
      <c r="BE472" s="1"/>
      <c r="BF472" s="1"/>
      <c r="BG472" s="1"/>
      <c r="BH472" s="1"/>
    </row>
    <row r="473" spans="1:60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79"/>
      <c r="AO473" s="79"/>
      <c r="AP473" s="79"/>
      <c r="AQ473" s="79"/>
      <c r="AR473" s="79"/>
      <c r="AS473" s="79"/>
      <c r="AT473" s="79"/>
      <c r="AU473" s="79"/>
      <c r="AV473" s="79"/>
      <c r="AW473" s="79"/>
      <c r="AX473" s="79"/>
      <c r="AY473" s="79"/>
      <c r="AZ473" s="79"/>
      <c r="BA473" s="79"/>
      <c r="BB473" s="1"/>
      <c r="BC473" s="1"/>
      <c r="BD473" s="1"/>
      <c r="BE473" s="1"/>
      <c r="BF473" s="1"/>
      <c r="BG473" s="1"/>
      <c r="BH473" s="1"/>
    </row>
    <row r="474" spans="1:60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79"/>
      <c r="AO474" s="79"/>
      <c r="AP474" s="79"/>
      <c r="AQ474" s="79"/>
      <c r="AR474" s="79"/>
      <c r="AS474" s="79"/>
      <c r="AT474" s="79"/>
      <c r="AU474" s="79"/>
      <c r="AV474" s="79"/>
      <c r="AW474" s="79"/>
      <c r="AX474" s="79"/>
      <c r="AY474" s="79"/>
      <c r="AZ474" s="79"/>
      <c r="BA474" s="79"/>
      <c r="BB474" s="1"/>
      <c r="BC474" s="1"/>
      <c r="BD474" s="1"/>
      <c r="BE474" s="1"/>
      <c r="BF474" s="1"/>
      <c r="BG474" s="1"/>
      <c r="BH474" s="1"/>
    </row>
    <row r="475" spans="1:60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79"/>
      <c r="AO475" s="79"/>
      <c r="AP475" s="79"/>
      <c r="AQ475" s="79"/>
      <c r="AR475" s="79"/>
      <c r="AS475" s="79"/>
      <c r="AT475" s="79"/>
      <c r="AU475" s="79"/>
      <c r="AV475" s="79"/>
      <c r="AW475" s="79"/>
      <c r="AX475" s="79"/>
      <c r="AY475" s="79"/>
      <c r="AZ475" s="79"/>
      <c r="BA475" s="79"/>
      <c r="BB475" s="1"/>
      <c r="BC475" s="1"/>
      <c r="BD475" s="1"/>
      <c r="BE475" s="1"/>
      <c r="BF475" s="1"/>
      <c r="BG475" s="1"/>
      <c r="BH475" s="1"/>
    </row>
    <row r="476" spans="1:60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79"/>
      <c r="AO476" s="79"/>
      <c r="AP476" s="79"/>
      <c r="AQ476" s="79"/>
      <c r="AR476" s="79"/>
      <c r="AS476" s="79"/>
      <c r="AT476" s="79"/>
      <c r="AU476" s="79"/>
      <c r="AV476" s="79"/>
      <c r="AW476" s="79"/>
      <c r="AX476" s="79"/>
      <c r="AY476" s="79"/>
      <c r="AZ476" s="79"/>
      <c r="BA476" s="79"/>
      <c r="BB476" s="1"/>
      <c r="BC476" s="1"/>
      <c r="BD476" s="1"/>
      <c r="BE476" s="1"/>
      <c r="BF476" s="1"/>
      <c r="BG476" s="1"/>
      <c r="BH476" s="1"/>
    </row>
    <row r="477" spans="1:60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79"/>
      <c r="AO477" s="79"/>
      <c r="AP477" s="79"/>
      <c r="AQ477" s="79"/>
      <c r="AR477" s="79"/>
      <c r="AS477" s="79"/>
      <c r="AT477" s="79"/>
      <c r="AU477" s="79"/>
      <c r="AV477" s="79"/>
      <c r="AW477" s="79"/>
      <c r="AX477" s="79"/>
      <c r="AY477" s="79"/>
      <c r="AZ477" s="79"/>
      <c r="BA477" s="79"/>
      <c r="BB477" s="1"/>
      <c r="BC477" s="1"/>
      <c r="BD477" s="1"/>
      <c r="BE477" s="1"/>
      <c r="BF477" s="1"/>
      <c r="BG477" s="1"/>
      <c r="BH477" s="1"/>
    </row>
    <row r="478" spans="1:60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79"/>
      <c r="AO478" s="79"/>
      <c r="AP478" s="79"/>
      <c r="AQ478" s="79"/>
      <c r="AR478" s="79"/>
      <c r="AS478" s="79"/>
      <c r="AT478" s="79"/>
      <c r="AU478" s="79"/>
      <c r="AV478" s="79"/>
      <c r="AW478" s="79"/>
      <c r="AX478" s="79"/>
      <c r="AY478" s="79"/>
      <c r="AZ478" s="79"/>
      <c r="BA478" s="79"/>
      <c r="BB478" s="1"/>
      <c r="BC478" s="1"/>
      <c r="BD478" s="1"/>
      <c r="BE478" s="1"/>
      <c r="BF478" s="1"/>
      <c r="BG478" s="1"/>
      <c r="BH478" s="1"/>
    </row>
    <row r="479" spans="1:60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79"/>
      <c r="AO479" s="79"/>
      <c r="AP479" s="79"/>
      <c r="AQ479" s="79"/>
      <c r="AR479" s="79"/>
      <c r="AS479" s="79"/>
      <c r="AT479" s="79"/>
      <c r="AU479" s="79"/>
      <c r="AV479" s="79"/>
      <c r="AW479" s="79"/>
      <c r="AX479" s="79"/>
      <c r="AY479" s="79"/>
      <c r="AZ479" s="79"/>
      <c r="BA479" s="79"/>
      <c r="BB479" s="1"/>
      <c r="BC479" s="1"/>
      <c r="BD479" s="1"/>
      <c r="BE479" s="1"/>
      <c r="BF479" s="1"/>
      <c r="BG479" s="1"/>
      <c r="BH479" s="1"/>
    </row>
    <row r="480" spans="1:60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79"/>
      <c r="AO480" s="79"/>
      <c r="AP480" s="79"/>
      <c r="AQ480" s="79"/>
      <c r="AR480" s="79"/>
      <c r="AS480" s="79"/>
      <c r="AT480" s="79"/>
      <c r="AU480" s="79"/>
      <c r="AV480" s="79"/>
      <c r="AW480" s="79"/>
      <c r="AX480" s="79"/>
      <c r="AY480" s="79"/>
      <c r="AZ480" s="79"/>
      <c r="BA480" s="79"/>
      <c r="BB480" s="1"/>
      <c r="BC480" s="1"/>
      <c r="BD480" s="1"/>
      <c r="BE480" s="1"/>
      <c r="BF480" s="1"/>
      <c r="BG480" s="1"/>
      <c r="BH480" s="1"/>
    </row>
    <row r="481" spans="1:60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79"/>
      <c r="AO481" s="79"/>
      <c r="AP481" s="79"/>
      <c r="AQ481" s="79"/>
      <c r="AR481" s="79"/>
      <c r="AS481" s="79"/>
      <c r="AT481" s="79"/>
      <c r="AU481" s="79"/>
      <c r="AV481" s="79"/>
      <c r="AW481" s="79"/>
      <c r="AX481" s="79"/>
      <c r="AY481" s="79"/>
      <c r="AZ481" s="79"/>
      <c r="BA481" s="79"/>
      <c r="BB481" s="1"/>
      <c r="BC481" s="1"/>
      <c r="BD481" s="1"/>
      <c r="BE481" s="1"/>
      <c r="BF481" s="1"/>
      <c r="BG481" s="1"/>
      <c r="BH481" s="1"/>
    </row>
    <row r="482" spans="1:60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79"/>
      <c r="AO482" s="79"/>
      <c r="AP482" s="79"/>
      <c r="AQ482" s="79"/>
      <c r="AR482" s="79"/>
      <c r="AS482" s="79"/>
      <c r="AT482" s="79"/>
      <c r="AU482" s="79"/>
      <c r="AV482" s="79"/>
      <c r="AW482" s="79"/>
      <c r="AX482" s="79"/>
      <c r="AY482" s="79"/>
      <c r="AZ482" s="79"/>
      <c r="BA482" s="79"/>
      <c r="BB482" s="1"/>
      <c r="BC482" s="1"/>
      <c r="BD482" s="1"/>
      <c r="BE482" s="1"/>
      <c r="BF482" s="1"/>
      <c r="BG482" s="1"/>
      <c r="BH482" s="1"/>
    </row>
    <row r="483" spans="1:60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79"/>
      <c r="AO483" s="79"/>
      <c r="AP483" s="79"/>
      <c r="AQ483" s="79"/>
      <c r="AR483" s="79"/>
      <c r="AS483" s="79"/>
      <c r="AT483" s="79"/>
      <c r="AU483" s="79"/>
      <c r="AV483" s="79"/>
      <c r="AW483" s="79"/>
      <c r="AX483" s="79"/>
      <c r="AY483" s="79"/>
      <c r="AZ483" s="79"/>
      <c r="BA483" s="79"/>
      <c r="BB483" s="1"/>
      <c r="BC483" s="1"/>
      <c r="BD483" s="1"/>
      <c r="BE483" s="1"/>
      <c r="BF483" s="1"/>
      <c r="BG483" s="1"/>
      <c r="BH483" s="1"/>
    </row>
    <row r="484" spans="1:60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79"/>
      <c r="AO484" s="79"/>
      <c r="AP484" s="79"/>
      <c r="AQ484" s="79"/>
      <c r="AR484" s="79"/>
      <c r="AS484" s="79"/>
      <c r="AT484" s="79"/>
      <c r="AU484" s="79"/>
      <c r="AV484" s="79"/>
      <c r="AW484" s="79"/>
      <c r="AX484" s="79"/>
      <c r="AY484" s="79"/>
      <c r="AZ484" s="79"/>
      <c r="BA484" s="79"/>
      <c r="BB484" s="1"/>
      <c r="BC484" s="1"/>
      <c r="BD484" s="1"/>
      <c r="BE484" s="1"/>
      <c r="BF484" s="1"/>
      <c r="BG484" s="1"/>
      <c r="BH484" s="1"/>
    </row>
    <row r="485" spans="1:60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79"/>
      <c r="AO485" s="79"/>
      <c r="AP485" s="79"/>
      <c r="AQ485" s="79"/>
      <c r="AR485" s="79"/>
      <c r="AS485" s="79"/>
      <c r="AT485" s="79"/>
      <c r="AU485" s="79"/>
      <c r="AV485" s="79"/>
      <c r="AW485" s="79"/>
      <c r="AX485" s="79"/>
      <c r="AY485" s="79"/>
      <c r="AZ485" s="79"/>
      <c r="BA485" s="79"/>
      <c r="BB485" s="1"/>
      <c r="BC485" s="1"/>
      <c r="BD485" s="1"/>
      <c r="BE485" s="1"/>
      <c r="BF485" s="1"/>
      <c r="BG485" s="1"/>
      <c r="BH485" s="1"/>
    </row>
    <row r="486" spans="1:60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79"/>
      <c r="AO486" s="79"/>
      <c r="AP486" s="79"/>
      <c r="AQ486" s="79"/>
      <c r="AR486" s="79"/>
      <c r="AS486" s="79"/>
      <c r="AT486" s="79"/>
      <c r="AU486" s="79"/>
      <c r="AV486" s="79"/>
      <c r="AW486" s="79"/>
      <c r="AX486" s="79"/>
      <c r="AY486" s="79"/>
      <c r="AZ486" s="79"/>
      <c r="BA486" s="79"/>
      <c r="BB486" s="1"/>
      <c r="BC486" s="1"/>
      <c r="BD486" s="1"/>
      <c r="BE486" s="1"/>
      <c r="BF486" s="1"/>
      <c r="BG486" s="1"/>
      <c r="BH486" s="1"/>
    </row>
    <row r="487" spans="1:60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79"/>
      <c r="AO487" s="79"/>
      <c r="AP487" s="79"/>
      <c r="AQ487" s="79"/>
      <c r="AR487" s="79"/>
      <c r="AS487" s="79"/>
      <c r="AT487" s="79"/>
      <c r="AU487" s="79"/>
      <c r="AV487" s="79"/>
      <c r="AW487" s="79"/>
      <c r="AX487" s="79"/>
      <c r="AY487" s="79"/>
      <c r="AZ487" s="79"/>
      <c r="BA487" s="79"/>
      <c r="BB487" s="1"/>
      <c r="BC487" s="1"/>
      <c r="BD487" s="1"/>
      <c r="BE487" s="1"/>
      <c r="BF487" s="1"/>
      <c r="BG487" s="1"/>
      <c r="BH487" s="1"/>
    </row>
    <row r="488" spans="1:60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79"/>
      <c r="AO488" s="79"/>
      <c r="AP488" s="79"/>
      <c r="AQ488" s="79"/>
      <c r="AR488" s="79"/>
      <c r="AS488" s="79"/>
      <c r="AT488" s="79"/>
      <c r="AU488" s="79"/>
      <c r="AV488" s="79"/>
      <c r="AW488" s="79"/>
      <c r="AX488" s="79"/>
      <c r="AY488" s="79"/>
      <c r="AZ488" s="79"/>
      <c r="BA488" s="79"/>
      <c r="BB488" s="1"/>
      <c r="BC488" s="1"/>
      <c r="BD488" s="1"/>
      <c r="BE488" s="1"/>
      <c r="BF488" s="1"/>
      <c r="BG488" s="1"/>
      <c r="BH488" s="1"/>
    </row>
    <row r="489" spans="1:60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79"/>
      <c r="AO489" s="79"/>
      <c r="AP489" s="79"/>
      <c r="AQ489" s="79"/>
      <c r="AR489" s="79"/>
      <c r="AS489" s="79"/>
      <c r="AT489" s="79"/>
      <c r="AU489" s="79"/>
      <c r="AV489" s="79"/>
      <c r="AW489" s="79"/>
      <c r="AX489" s="79"/>
      <c r="AY489" s="79"/>
      <c r="AZ489" s="79"/>
      <c r="BA489" s="79"/>
      <c r="BB489" s="1"/>
      <c r="BC489" s="1"/>
      <c r="BD489" s="1"/>
      <c r="BE489" s="1"/>
      <c r="BF489" s="1"/>
      <c r="BG489" s="1"/>
      <c r="BH489" s="1"/>
    </row>
    <row r="490" spans="1:60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79"/>
      <c r="AO490" s="79"/>
      <c r="AP490" s="79"/>
      <c r="AQ490" s="79"/>
      <c r="AR490" s="79"/>
      <c r="AS490" s="79"/>
      <c r="AT490" s="79"/>
      <c r="AU490" s="79"/>
      <c r="AV490" s="79"/>
      <c r="AW490" s="79"/>
      <c r="AX490" s="79"/>
      <c r="AY490" s="79"/>
      <c r="AZ490" s="79"/>
      <c r="BA490" s="79"/>
      <c r="BB490" s="1"/>
      <c r="BC490" s="1"/>
      <c r="BD490" s="1"/>
      <c r="BE490" s="1"/>
      <c r="BF490" s="1"/>
      <c r="BG490" s="1"/>
      <c r="BH490" s="1"/>
    </row>
    <row r="491" spans="1:60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79"/>
      <c r="AO491" s="79"/>
      <c r="AP491" s="79"/>
      <c r="AQ491" s="79"/>
      <c r="AR491" s="79"/>
      <c r="AS491" s="79"/>
      <c r="AT491" s="79"/>
      <c r="AU491" s="79"/>
      <c r="AV491" s="79"/>
      <c r="AW491" s="79"/>
      <c r="AX491" s="79"/>
      <c r="AY491" s="79"/>
      <c r="AZ491" s="79"/>
      <c r="BA491" s="79"/>
      <c r="BB491" s="1"/>
      <c r="BC491" s="1"/>
      <c r="BD491" s="1"/>
      <c r="BE491" s="1"/>
      <c r="BF491" s="1"/>
      <c r="BG491" s="1"/>
      <c r="BH491" s="1"/>
    </row>
    <row r="492" spans="1:60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79"/>
      <c r="AO492" s="79"/>
      <c r="AP492" s="79"/>
      <c r="AQ492" s="79"/>
      <c r="AR492" s="79"/>
      <c r="AS492" s="79"/>
      <c r="AT492" s="79"/>
      <c r="AU492" s="79"/>
      <c r="AV492" s="79"/>
      <c r="AW492" s="79"/>
      <c r="AX492" s="79"/>
      <c r="AY492" s="79"/>
      <c r="AZ492" s="79"/>
      <c r="BA492" s="79"/>
      <c r="BB492" s="1"/>
      <c r="BC492" s="1"/>
      <c r="BD492" s="1"/>
      <c r="BE492" s="1"/>
      <c r="BF492" s="1"/>
      <c r="BG492" s="1"/>
      <c r="BH492" s="1"/>
    </row>
    <row r="493" spans="1:60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79"/>
      <c r="AO493" s="79"/>
      <c r="AP493" s="79"/>
      <c r="AQ493" s="79"/>
      <c r="AR493" s="79"/>
      <c r="AS493" s="79"/>
      <c r="AT493" s="79"/>
      <c r="AU493" s="79"/>
      <c r="AV493" s="79"/>
      <c r="AW493" s="79"/>
      <c r="AX493" s="79"/>
      <c r="AY493" s="79"/>
      <c r="AZ493" s="79"/>
      <c r="BA493" s="79"/>
      <c r="BB493" s="1"/>
      <c r="BC493" s="1"/>
      <c r="BD493" s="1"/>
      <c r="BE493" s="1"/>
      <c r="BF493" s="1"/>
      <c r="BG493" s="1"/>
      <c r="BH493" s="1"/>
    </row>
    <row r="494" spans="1:60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79"/>
      <c r="AO494" s="79"/>
      <c r="AP494" s="79"/>
      <c r="AQ494" s="79"/>
      <c r="AR494" s="79"/>
      <c r="AS494" s="79"/>
      <c r="AT494" s="79"/>
      <c r="AU494" s="79"/>
      <c r="AV494" s="79"/>
      <c r="AW494" s="79"/>
      <c r="AX494" s="79"/>
      <c r="AY494" s="79"/>
      <c r="AZ494" s="79"/>
      <c r="BA494" s="79"/>
      <c r="BB494" s="1"/>
      <c r="BC494" s="1"/>
      <c r="BD494" s="1"/>
      <c r="BE494" s="1"/>
      <c r="BF494" s="1"/>
      <c r="BG494" s="1"/>
      <c r="BH494" s="1"/>
    </row>
    <row r="495" spans="1:60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79"/>
      <c r="AO495" s="79"/>
      <c r="AP495" s="79"/>
      <c r="AQ495" s="79"/>
      <c r="AR495" s="79"/>
      <c r="AS495" s="79"/>
      <c r="AT495" s="79"/>
      <c r="AU495" s="79"/>
      <c r="AV495" s="79"/>
      <c r="AW495" s="79"/>
      <c r="AX495" s="79"/>
      <c r="AY495" s="79"/>
      <c r="AZ495" s="79"/>
      <c r="BA495" s="79"/>
      <c r="BB495" s="1"/>
      <c r="BC495" s="1"/>
      <c r="BD495" s="1"/>
      <c r="BE495" s="1"/>
      <c r="BF495" s="1"/>
      <c r="BG495" s="1"/>
      <c r="BH495" s="1"/>
    </row>
    <row r="496" spans="1:60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79"/>
      <c r="AO496" s="79"/>
      <c r="AP496" s="79"/>
      <c r="AQ496" s="79"/>
      <c r="AR496" s="79"/>
      <c r="AS496" s="79"/>
      <c r="AT496" s="79"/>
      <c r="AU496" s="79"/>
      <c r="AV496" s="79"/>
      <c r="AW496" s="79"/>
      <c r="AX496" s="79"/>
      <c r="AY496" s="79"/>
      <c r="AZ496" s="79"/>
      <c r="BA496" s="79"/>
      <c r="BB496" s="1"/>
      <c r="BC496" s="1"/>
      <c r="BD496" s="1"/>
      <c r="BE496" s="1"/>
      <c r="BF496" s="1"/>
      <c r="BG496" s="1"/>
      <c r="BH496" s="1"/>
    </row>
    <row r="497" spans="1:60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79"/>
      <c r="AO497" s="79"/>
      <c r="AP497" s="79"/>
      <c r="AQ497" s="79"/>
      <c r="AR497" s="79"/>
      <c r="AS497" s="79"/>
      <c r="AT497" s="79"/>
      <c r="AU497" s="79"/>
      <c r="AV497" s="79"/>
      <c r="AW497" s="79"/>
      <c r="AX497" s="79"/>
      <c r="AY497" s="79"/>
      <c r="AZ497" s="79"/>
      <c r="BA497" s="79"/>
      <c r="BB497" s="1"/>
      <c r="BC497" s="1"/>
      <c r="BD497" s="1"/>
      <c r="BE497" s="1"/>
      <c r="BF497" s="1"/>
      <c r="BG497" s="1"/>
      <c r="BH497" s="1"/>
    </row>
    <row r="498" spans="1:60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79"/>
      <c r="AO498" s="79"/>
      <c r="AP498" s="79"/>
      <c r="AQ498" s="79"/>
      <c r="AR498" s="79"/>
      <c r="AS498" s="79"/>
      <c r="AT498" s="79"/>
      <c r="AU498" s="79"/>
      <c r="AV498" s="79"/>
      <c r="AW498" s="79"/>
      <c r="AX498" s="79"/>
      <c r="AY498" s="79"/>
      <c r="AZ498" s="79"/>
      <c r="BA498" s="79"/>
      <c r="BB498" s="1"/>
      <c r="BC498" s="1"/>
      <c r="BD498" s="1"/>
      <c r="BE498" s="1"/>
      <c r="BF498" s="1"/>
      <c r="BG498" s="1"/>
      <c r="BH498" s="1"/>
    </row>
    <row r="499" spans="1:60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79"/>
      <c r="AO499" s="79"/>
      <c r="AP499" s="79"/>
      <c r="AQ499" s="79"/>
      <c r="AR499" s="79"/>
      <c r="AS499" s="79"/>
      <c r="AT499" s="79"/>
      <c r="AU499" s="79"/>
      <c r="AV499" s="79"/>
      <c r="AW499" s="79"/>
      <c r="AX499" s="79"/>
      <c r="AY499" s="79"/>
      <c r="AZ499" s="79"/>
      <c r="BA499" s="79"/>
      <c r="BB499" s="1"/>
      <c r="BC499" s="1"/>
      <c r="BD499" s="1"/>
      <c r="BE499" s="1"/>
      <c r="BF499" s="1"/>
      <c r="BG499" s="1"/>
      <c r="BH499" s="1"/>
    </row>
    <row r="500" spans="1:60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79"/>
      <c r="AO500" s="79"/>
      <c r="AP500" s="79"/>
      <c r="AQ500" s="79"/>
      <c r="AR500" s="79"/>
      <c r="AS500" s="79"/>
      <c r="AT500" s="79"/>
      <c r="AU500" s="79"/>
      <c r="AV500" s="79"/>
      <c r="AW500" s="79"/>
      <c r="AX500" s="79"/>
      <c r="AY500" s="79"/>
      <c r="AZ500" s="79"/>
      <c r="BA500" s="79"/>
      <c r="BB500" s="1"/>
      <c r="BC500" s="1"/>
      <c r="BD500" s="1"/>
      <c r="BE500" s="1"/>
      <c r="BF500" s="1"/>
      <c r="BG500" s="1"/>
      <c r="BH500" s="1"/>
    </row>
    <row r="501" spans="1:60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79"/>
      <c r="AO501" s="79"/>
      <c r="AP501" s="79"/>
      <c r="AQ501" s="79"/>
      <c r="AR501" s="79"/>
      <c r="AS501" s="79"/>
      <c r="AT501" s="79"/>
      <c r="AU501" s="79"/>
      <c r="AV501" s="79"/>
      <c r="AW501" s="79"/>
      <c r="AX501" s="79"/>
      <c r="AY501" s="79"/>
      <c r="AZ501" s="79"/>
      <c r="BA501" s="79"/>
      <c r="BB501" s="1"/>
      <c r="BC501" s="1"/>
      <c r="BD501" s="1"/>
      <c r="BE501" s="1"/>
      <c r="BF501" s="1"/>
      <c r="BG501" s="1"/>
      <c r="BH501" s="1"/>
    </row>
    <row r="502" spans="1:60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79"/>
      <c r="AO502" s="79"/>
      <c r="AP502" s="79"/>
      <c r="AQ502" s="79"/>
      <c r="AR502" s="79"/>
      <c r="AS502" s="79"/>
      <c r="AT502" s="79"/>
      <c r="AU502" s="79"/>
      <c r="AV502" s="79"/>
      <c r="AW502" s="79"/>
      <c r="AX502" s="79"/>
      <c r="AY502" s="79"/>
      <c r="AZ502" s="79"/>
      <c r="BA502" s="79"/>
      <c r="BB502" s="1"/>
      <c r="BC502" s="1"/>
      <c r="BD502" s="1"/>
      <c r="BE502" s="1"/>
      <c r="BF502" s="1"/>
      <c r="BG502" s="1"/>
      <c r="BH502" s="1"/>
    </row>
    <row r="503" spans="1:60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79"/>
      <c r="AO503" s="79"/>
      <c r="AP503" s="79"/>
      <c r="AQ503" s="79"/>
      <c r="AR503" s="79"/>
      <c r="AS503" s="79"/>
      <c r="AT503" s="79"/>
      <c r="AU503" s="79"/>
      <c r="AV503" s="79"/>
      <c r="AW503" s="79"/>
      <c r="AX503" s="79"/>
      <c r="AY503" s="79"/>
      <c r="AZ503" s="79"/>
      <c r="BA503" s="79"/>
      <c r="BB503" s="1"/>
      <c r="BC503" s="1"/>
      <c r="BD503" s="1"/>
      <c r="BE503" s="1"/>
      <c r="BF503" s="1"/>
      <c r="BG503" s="1"/>
      <c r="BH503" s="1"/>
    </row>
    <row r="504" spans="1:60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79"/>
      <c r="BB504" s="1"/>
      <c r="BC504" s="1"/>
      <c r="BD504" s="1"/>
      <c r="BE504" s="1"/>
      <c r="BF504" s="1"/>
      <c r="BG504" s="1"/>
      <c r="BH504" s="1"/>
    </row>
    <row r="505" spans="1:60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79"/>
      <c r="AO505" s="79"/>
      <c r="AP505" s="79"/>
      <c r="AQ505" s="79"/>
      <c r="AR505" s="79"/>
      <c r="AS505" s="79"/>
      <c r="AT505" s="79"/>
      <c r="AU505" s="79"/>
      <c r="AV505" s="79"/>
      <c r="AW505" s="79"/>
      <c r="AX505" s="79"/>
      <c r="AY505" s="79"/>
      <c r="AZ505" s="79"/>
      <c r="BA505" s="79"/>
      <c r="BB505" s="1"/>
      <c r="BC505" s="1"/>
      <c r="BD505" s="1"/>
      <c r="BE505" s="1"/>
      <c r="BF505" s="1"/>
      <c r="BG505" s="1"/>
      <c r="BH505" s="1"/>
    </row>
    <row r="506" spans="1:60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79"/>
      <c r="AO506" s="79"/>
      <c r="AP506" s="79"/>
      <c r="AQ506" s="79"/>
      <c r="AR506" s="79"/>
      <c r="AS506" s="79"/>
      <c r="AT506" s="79"/>
      <c r="AU506" s="79"/>
      <c r="AV506" s="79"/>
      <c r="AW506" s="79"/>
      <c r="AX506" s="79"/>
      <c r="AY506" s="79"/>
      <c r="AZ506" s="79"/>
      <c r="BA506" s="79"/>
      <c r="BB506" s="1"/>
      <c r="BC506" s="1"/>
      <c r="BD506" s="1"/>
      <c r="BE506" s="1"/>
      <c r="BF506" s="1"/>
      <c r="BG506" s="1"/>
      <c r="BH506" s="1"/>
    </row>
    <row r="507" spans="1:60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79"/>
      <c r="AO507" s="79"/>
      <c r="AP507" s="79"/>
      <c r="AQ507" s="79"/>
      <c r="AR507" s="79"/>
      <c r="AS507" s="79"/>
      <c r="AT507" s="79"/>
      <c r="AU507" s="79"/>
      <c r="AV507" s="79"/>
      <c r="AW507" s="79"/>
      <c r="AX507" s="79"/>
      <c r="AY507" s="79"/>
      <c r="AZ507" s="79"/>
      <c r="BA507" s="79"/>
      <c r="BB507" s="1"/>
      <c r="BC507" s="1"/>
      <c r="BD507" s="1"/>
      <c r="BE507" s="1"/>
      <c r="BF507" s="1"/>
      <c r="BG507" s="1"/>
      <c r="BH507" s="1"/>
    </row>
    <row r="508" spans="1:60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79"/>
      <c r="AO508" s="79"/>
      <c r="AP508" s="79"/>
      <c r="AQ508" s="79"/>
      <c r="AR508" s="79"/>
      <c r="AS508" s="79"/>
      <c r="AT508" s="79"/>
      <c r="AU508" s="79"/>
      <c r="AV508" s="79"/>
      <c r="AW508" s="79"/>
      <c r="AX508" s="79"/>
      <c r="AY508" s="79"/>
      <c r="AZ508" s="79"/>
      <c r="BA508" s="79"/>
      <c r="BB508" s="1"/>
      <c r="BC508" s="1"/>
      <c r="BD508" s="1"/>
      <c r="BE508" s="1"/>
      <c r="BF508" s="1"/>
      <c r="BG508" s="1"/>
      <c r="BH508" s="1"/>
    </row>
    <row r="509" spans="1:60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79"/>
      <c r="AO509" s="79"/>
      <c r="AP509" s="79"/>
      <c r="AQ509" s="79"/>
      <c r="AR509" s="79"/>
      <c r="AS509" s="79"/>
      <c r="AT509" s="79"/>
      <c r="AU509" s="79"/>
      <c r="AV509" s="79"/>
      <c r="AW509" s="79"/>
      <c r="AX509" s="79"/>
      <c r="AY509" s="79"/>
      <c r="AZ509" s="79"/>
      <c r="BA509" s="79"/>
      <c r="BB509" s="1"/>
      <c r="BC509" s="1"/>
      <c r="BD509" s="1"/>
      <c r="BE509" s="1"/>
      <c r="BF509" s="1"/>
      <c r="BG509" s="1"/>
      <c r="BH509" s="1"/>
    </row>
    <row r="510" spans="1:60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79"/>
      <c r="AO510" s="79"/>
      <c r="AP510" s="79"/>
      <c r="AQ510" s="79"/>
      <c r="AR510" s="79"/>
      <c r="AS510" s="79"/>
      <c r="AT510" s="79"/>
      <c r="AU510" s="79"/>
      <c r="AV510" s="79"/>
      <c r="AW510" s="79"/>
      <c r="AX510" s="79"/>
      <c r="AY510" s="79"/>
      <c r="AZ510" s="79"/>
      <c r="BA510" s="79"/>
      <c r="BB510" s="1"/>
      <c r="BC510" s="1"/>
      <c r="BD510" s="1"/>
      <c r="BE510" s="1"/>
      <c r="BF510" s="1"/>
      <c r="BG510" s="1"/>
      <c r="BH510" s="1"/>
    </row>
    <row r="511" spans="1:60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79"/>
      <c r="AO511" s="79"/>
      <c r="AP511" s="79"/>
      <c r="AQ511" s="79"/>
      <c r="AR511" s="79"/>
      <c r="AS511" s="79"/>
      <c r="AT511" s="79"/>
      <c r="AU511" s="79"/>
      <c r="AV511" s="79"/>
      <c r="AW511" s="79"/>
      <c r="AX511" s="79"/>
      <c r="AY511" s="79"/>
      <c r="AZ511" s="79"/>
      <c r="BA511" s="79"/>
      <c r="BB511" s="1"/>
      <c r="BC511" s="1"/>
      <c r="BD511" s="1"/>
      <c r="BE511" s="1"/>
      <c r="BF511" s="1"/>
      <c r="BG511" s="1"/>
      <c r="BH511" s="1"/>
    </row>
    <row r="512" spans="1:60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79"/>
      <c r="AO512" s="79"/>
      <c r="AP512" s="79"/>
      <c r="AQ512" s="79"/>
      <c r="AR512" s="79"/>
      <c r="AS512" s="79"/>
      <c r="AT512" s="79"/>
      <c r="AU512" s="79"/>
      <c r="AV512" s="79"/>
      <c r="AW512" s="79"/>
      <c r="AX512" s="79"/>
      <c r="AY512" s="79"/>
      <c r="AZ512" s="79"/>
      <c r="BA512" s="79"/>
      <c r="BB512" s="1"/>
      <c r="BC512" s="1"/>
      <c r="BD512" s="1"/>
      <c r="BE512" s="1"/>
      <c r="BF512" s="1"/>
      <c r="BG512" s="1"/>
      <c r="BH512" s="1"/>
    </row>
    <row r="513" spans="1:60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79"/>
      <c r="AO513" s="79"/>
      <c r="AP513" s="79"/>
      <c r="AQ513" s="79"/>
      <c r="AR513" s="79"/>
      <c r="AS513" s="79"/>
      <c r="AT513" s="79"/>
      <c r="AU513" s="79"/>
      <c r="AV513" s="79"/>
      <c r="AW513" s="79"/>
      <c r="AX513" s="79"/>
      <c r="AY513" s="79"/>
      <c r="AZ513" s="79"/>
      <c r="BA513" s="79"/>
      <c r="BB513" s="1"/>
      <c r="BC513" s="1"/>
      <c r="BD513" s="1"/>
      <c r="BE513" s="1"/>
      <c r="BF513" s="1"/>
      <c r="BG513" s="1"/>
      <c r="BH513" s="1"/>
    </row>
    <row r="514" spans="1:60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79"/>
      <c r="AO514" s="79"/>
      <c r="AP514" s="79"/>
      <c r="AQ514" s="79"/>
      <c r="AR514" s="79"/>
      <c r="AS514" s="79"/>
      <c r="AT514" s="79"/>
      <c r="AU514" s="79"/>
      <c r="AV514" s="79"/>
      <c r="AW514" s="79"/>
      <c r="AX514" s="79"/>
      <c r="AY514" s="79"/>
      <c r="AZ514" s="79"/>
      <c r="BA514" s="79"/>
      <c r="BB514" s="1"/>
      <c r="BC514" s="1"/>
      <c r="BD514" s="1"/>
      <c r="BE514" s="1"/>
      <c r="BF514" s="1"/>
      <c r="BG514" s="1"/>
      <c r="BH514" s="1"/>
    </row>
    <row r="515" spans="1:60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79"/>
      <c r="AO515" s="79"/>
      <c r="AP515" s="79"/>
      <c r="AQ515" s="79"/>
      <c r="AR515" s="79"/>
      <c r="AS515" s="79"/>
      <c r="AT515" s="79"/>
      <c r="AU515" s="79"/>
      <c r="AV515" s="79"/>
      <c r="AW515" s="79"/>
      <c r="AX515" s="79"/>
      <c r="AY515" s="79"/>
      <c r="AZ515" s="79"/>
      <c r="BA515" s="79"/>
      <c r="BB515" s="1"/>
      <c r="BC515" s="1"/>
      <c r="BD515" s="1"/>
      <c r="BE515" s="1"/>
      <c r="BF515" s="1"/>
      <c r="BG515" s="1"/>
      <c r="BH515" s="1"/>
    </row>
    <row r="516" spans="1:60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79"/>
      <c r="AO516" s="79"/>
      <c r="AP516" s="79"/>
      <c r="AQ516" s="79"/>
      <c r="AR516" s="79"/>
      <c r="AS516" s="79"/>
      <c r="AT516" s="79"/>
      <c r="AU516" s="79"/>
      <c r="AV516" s="79"/>
      <c r="AW516" s="79"/>
      <c r="AX516" s="79"/>
      <c r="AY516" s="79"/>
      <c r="AZ516" s="79"/>
      <c r="BA516" s="79"/>
      <c r="BB516" s="1"/>
      <c r="BC516" s="1"/>
      <c r="BD516" s="1"/>
      <c r="BE516" s="1"/>
      <c r="BF516" s="1"/>
      <c r="BG516" s="1"/>
      <c r="BH516" s="1"/>
    </row>
    <row r="517" spans="1:60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79"/>
      <c r="AO517" s="79"/>
      <c r="AP517" s="79"/>
      <c r="AQ517" s="79"/>
      <c r="AR517" s="79"/>
      <c r="AS517" s="79"/>
      <c r="AT517" s="79"/>
      <c r="AU517" s="79"/>
      <c r="AV517" s="79"/>
      <c r="AW517" s="79"/>
      <c r="AX517" s="79"/>
      <c r="AY517" s="79"/>
      <c r="AZ517" s="79"/>
      <c r="BA517" s="79"/>
      <c r="BB517" s="1"/>
      <c r="BC517" s="1"/>
      <c r="BD517" s="1"/>
      <c r="BE517" s="1"/>
      <c r="BF517" s="1"/>
      <c r="BG517" s="1"/>
      <c r="BH517" s="1"/>
    </row>
    <row r="518" spans="1:60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79"/>
      <c r="AO518" s="79"/>
      <c r="AP518" s="79"/>
      <c r="AQ518" s="79"/>
      <c r="AR518" s="79"/>
      <c r="AS518" s="79"/>
      <c r="AT518" s="79"/>
      <c r="AU518" s="79"/>
      <c r="AV518" s="79"/>
      <c r="AW518" s="79"/>
      <c r="AX518" s="79"/>
      <c r="AY518" s="79"/>
      <c r="AZ518" s="79"/>
      <c r="BA518" s="79"/>
      <c r="BB518" s="1"/>
      <c r="BC518" s="1"/>
      <c r="BD518" s="1"/>
      <c r="BE518" s="1"/>
      <c r="BF518" s="1"/>
      <c r="BG518" s="1"/>
      <c r="BH518" s="1"/>
    </row>
    <row r="519" spans="1:60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79"/>
      <c r="AO519" s="79"/>
      <c r="AP519" s="79"/>
      <c r="AQ519" s="79"/>
      <c r="AR519" s="79"/>
      <c r="AS519" s="79"/>
      <c r="AT519" s="79"/>
      <c r="AU519" s="79"/>
      <c r="AV519" s="79"/>
      <c r="AW519" s="79"/>
      <c r="AX519" s="79"/>
      <c r="AY519" s="79"/>
      <c r="AZ519" s="79"/>
      <c r="BA519" s="79"/>
      <c r="BB519" s="1"/>
      <c r="BC519" s="1"/>
      <c r="BD519" s="1"/>
      <c r="BE519" s="1"/>
      <c r="BF519" s="1"/>
      <c r="BG519" s="1"/>
      <c r="BH519" s="1"/>
    </row>
    <row r="520" spans="1:60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79"/>
      <c r="AO520" s="79"/>
      <c r="AP520" s="79"/>
      <c r="AQ520" s="79"/>
      <c r="AR520" s="79"/>
      <c r="AS520" s="79"/>
      <c r="AT520" s="79"/>
      <c r="AU520" s="79"/>
      <c r="AV520" s="79"/>
      <c r="AW520" s="79"/>
      <c r="AX520" s="79"/>
      <c r="AY520" s="79"/>
      <c r="AZ520" s="79"/>
      <c r="BA520" s="79"/>
      <c r="BB520" s="1"/>
      <c r="BC520" s="1"/>
      <c r="BD520" s="1"/>
      <c r="BE520" s="1"/>
      <c r="BF520" s="1"/>
      <c r="BG520" s="1"/>
      <c r="BH520" s="1"/>
    </row>
    <row r="521" spans="1:60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79"/>
      <c r="AO521" s="79"/>
      <c r="AP521" s="79"/>
      <c r="AQ521" s="79"/>
      <c r="AR521" s="79"/>
      <c r="AS521" s="79"/>
      <c r="AT521" s="79"/>
      <c r="AU521" s="79"/>
      <c r="AV521" s="79"/>
      <c r="AW521" s="79"/>
      <c r="AX521" s="79"/>
      <c r="AY521" s="79"/>
      <c r="AZ521" s="79"/>
      <c r="BA521" s="79"/>
      <c r="BB521" s="1"/>
      <c r="BC521" s="1"/>
      <c r="BD521" s="1"/>
      <c r="BE521" s="1"/>
      <c r="BF521" s="1"/>
      <c r="BG521" s="1"/>
      <c r="BH521" s="1"/>
    </row>
    <row r="522" spans="1:60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79"/>
      <c r="AO522" s="79"/>
      <c r="AP522" s="79"/>
      <c r="AQ522" s="79"/>
      <c r="AR522" s="79"/>
      <c r="AS522" s="79"/>
      <c r="AT522" s="79"/>
      <c r="AU522" s="79"/>
      <c r="AV522" s="79"/>
      <c r="AW522" s="79"/>
      <c r="AX522" s="79"/>
      <c r="AY522" s="79"/>
      <c r="AZ522" s="79"/>
      <c r="BA522" s="79"/>
      <c r="BB522" s="1"/>
      <c r="BC522" s="1"/>
      <c r="BD522" s="1"/>
      <c r="BE522" s="1"/>
      <c r="BF522" s="1"/>
      <c r="BG522" s="1"/>
      <c r="BH522" s="1"/>
    </row>
    <row r="523" spans="1:60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79"/>
      <c r="AO523" s="79"/>
      <c r="AP523" s="79"/>
      <c r="AQ523" s="79"/>
      <c r="AR523" s="79"/>
      <c r="AS523" s="79"/>
      <c r="AT523" s="79"/>
      <c r="AU523" s="79"/>
      <c r="AV523" s="79"/>
      <c r="AW523" s="79"/>
      <c r="AX523" s="79"/>
      <c r="AY523" s="79"/>
      <c r="AZ523" s="79"/>
      <c r="BA523" s="79"/>
      <c r="BB523" s="1"/>
      <c r="BC523" s="1"/>
      <c r="BD523" s="1"/>
      <c r="BE523" s="1"/>
      <c r="BF523" s="1"/>
      <c r="BG523" s="1"/>
      <c r="BH523" s="1"/>
    </row>
    <row r="524" spans="1:60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79"/>
      <c r="AO524" s="79"/>
      <c r="AP524" s="79"/>
      <c r="AQ524" s="79"/>
      <c r="AR524" s="79"/>
      <c r="AS524" s="79"/>
      <c r="AT524" s="79"/>
      <c r="AU524" s="79"/>
      <c r="AV524" s="79"/>
      <c r="AW524" s="79"/>
      <c r="AX524" s="79"/>
      <c r="AY524" s="79"/>
      <c r="AZ524" s="79"/>
      <c r="BA524" s="79"/>
      <c r="BB524" s="1"/>
      <c r="BC524" s="1"/>
      <c r="BD524" s="1"/>
      <c r="BE524" s="1"/>
      <c r="BF524" s="1"/>
      <c r="BG524" s="1"/>
      <c r="BH524" s="1"/>
    </row>
    <row r="525" spans="1:60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79"/>
      <c r="AO525" s="79"/>
      <c r="AP525" s="79"/>
      <c r="AQ525" s="79"/>
      <c r="AR525" s="79"/>
      <c r="AS525" s="79"/>
      <c r="AT525" s="79"/>
      <c r="AU525" s="79"/>
      <c r="AV525" s="79"/>
      <c r="AW525" s="79"/>
      <c r="AX525" s="79"/>
      <c r="AY525" s="79"/>
      <c r="AZ525" s="79"/>
      <c r="BA525" s="79"/>
      <c r="BB525" s="1"/>
      <c r="BC525" s="1"/>
      <c r="BD525" s="1"/>
      <c r="BE525" s="1"/>
      <c r="BF525" s="1"/>
      <c r="BG525" s="1"/>
      <c r="BH525" s="1"/>
    </row>
    <row r="526" spans="1:60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79"/>
      <c r="AO526" s="79"/>
      <c r="AP526" s="79"/>
      <c r="AQ526" s="79"/>
      <c r="AR526" s="79"/>
      <c r="AS526" s="79"/>
      <c r="AT526" s="79"/>
      <c r="AU526" s="79"/>
      <c r="AV526" s="79"/>
      <c r="AW526" s="79"/>
      <c r="AX526" s="79"/>
      <c r="AY526" s="79"/>
      <c r="AZ526" s="79"/>
      <c r="BA526" s="79"/>
      <c r="BB526" s="1"/>
      <c r="BC526" s="1"/>
      <c r="BD526" s="1"/>
      <c r="BE526" s="1"/>
      <c r="BF526" s="1"/>
      <c r="BG526" s="1"/>
      <c r="BH526" s="1"/>
    </row>
    <row r="527" spans="1:60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79"/>
      <c r="AO527" s="79"/>
      <c r="AP527" s="79"/>
      <c r="AQ527" s="79"/>
      <c r="AR527" s="79"/>
      <c r="AS527" s="79"/>
      <c r="AT527" s="79"/>
      <c r="AU527" s="79"/>
      <c r="AV527" s="79"/>
      <c r="AW527" s="79"/>
      <c r="AX527" s="79"/>
      <c r="AY527" s="79"/>
      <c r="AZ527" s="79"/>
      <c r="BA527" s="79"/>
      <c r="BB527" s="1"/>
      <c r="BC527" s="1"/>
      <c r="BD527" s="1"/>
      <c r="BE527" s="1"/>
      <c r="BF527" s="1"/>
      <c r="BG527" s="1"/>
      <c r="BH527" s="1"/>
    </row>
    <row r="528" spans="1:60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79"/>
      <c r="AO528" s="79"/>
      <c r="AP528" s="79"/>
      <c r="AQ528" s="79"/>
      <c r="AR528" s="79"/>
      <c r="AS528" s="79"/>
      <c r="AT528" s="79"/>
      <c r="AU528" s="79"/>
      <c r="AV528" s="79"/>
      <c r="AW528" s="79"/>
      <c r="AX528" s="79"/>
      <c r="AY528" s="79"/>
      <c r="AZ528" s="79"/>
      <c r="BA528" s="79"/>
      <c r="BB528" s="1"/>
      <c r="BC528" s="1"/>
      <c r="BD528" s="1"/>
      <c r="BE528" s="1"/>
      <c r="BF528" s="1"/>
      <c r="BG528" s="1"/>
      <c r="BH528" s="1"/>
    </row>
    <row r="529" spans="1:60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79"/>
      <c r="AO529" s="79"/>
      <c r="AP529" s="79"/>
      <c r="AQ529" s="79"/>
      <c r="AR529" s="79"/>
      <c r="AS529" s="79"/>
      <c r="AT529" s="79"/>
      <c r="AU529" s="79"/>
      <c r="AV529" s="79"/>
      <c r="AW529" s="79"/>
      <c r="AX529" s="79"/>
      <c r="AY529" s="79"/>
      <c r="AZ529" s="79"/>
      <c r="BA529" s="79"/>
      <c r="BB529" s="1"/>
      <c r="BC529" s="1"/>
      <c r="BD529" s="1"/>
      <c r="BE529" s="1"/>
      <c r="BF529" s="1"/>
      <c r="BG529" s="1"/>
      <c r="BH529" s="1"/>
    </row>
    <row r="530" spans="1:60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79"/>
      <c r="AO530" s="79"/>
      <c r="AP530" s="79"/>
      <c r="AQ530" s="79"/>
      <c r="AR530" s="79"/>
      <c r="AS530" s="79"/>
      <c r="AT530" s="79"/>
      <c r="AU530" s="79"/>
      <c r="AV530" s="79"/>
      <c r="AW530" s="79"/>
      <c r="AX530" s="79"/>
      <c r="AY530" s="79"/>
      <c r="AZ530" s="79"/>
      <c r="BA530" s="79"/>
      <c r="BB530" s="1"/>
      <c r="BC530" s="1"/>
      <c r="BD530" s="1"/>
      <c r="BE530" s="1"/>
      <c r="BF530" s="1"/>
      <c r="BG530" s="1"/>
      <c r="BH530" s="1"/>
    </row>
    <row r="531" spans="1:60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79"/>
      <c r="AO531" s="79"/>
      <c r="AP531" s="79"/>
      <c r="AQ531" s="79"/>
      <c r="AR531" s="79"/>
      <c r="AS531" s="79"/>
      <c r="AT531" s="79"/>
      <c r="AU531" s="79"/>
      <c r="AV531" s="79"/>
      <c r="AW531" s="79"/>
      <c r="AX531" s="79"/>
      <c r="AY531" s="79"/>
      <c r="AZ531" s="79"/>
      <c r="BA531" s="79"/>
      <c r="BB531" s="1"/>
      <c r="BC531" s="1"/>
      <c r="BD531" s="1"/>
      <c r="BE531" s="1"/>
      <c r="BF531" s="1"/>
      <c r="BG531" s="1"/>
      <c r="BH531" s="1"/>
    </row>
    <row r="532" spans="1:60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79"/>
      <c r="AO532" s="79"/>
      <c r="AP532" s="79"/>
      <c r="AQ532" s="79"/>
      <c r="AR532" s="79"/>
      <c r="AS532" s="79"/>
      <c r="AT532" s="79"/>
      <c r="AU532" s="79"/>
      <c r="AV532" s="79"/>
      <c r="AW532" s="79"/>
      <c r="AX532" s="79"/>
      <c r="AY532" s="79"/>
      <c r="AZ532" s="79"/>
      <c r="BA532" s="79"/>
      <c r="BB532" s="1"/>
      <c r="BC532" s="1"/>
      <c r="BD532" s="1"/>
      <c r="BE532" s="1"/>
      <c r="BF532" s="1"/>
      <c r="BG532" s="1"/>
      <c r="BH532" s="1"/>
    </row>
    <row r="533" spans="1:60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79"/>
      <c r="AO533" s="79"/>
      <c r="AP533" s="79"/>
      <c r="AQ533" s="79"/>
      <c r="AR533" s="79"/>
      <c r="AS533" s="79"/>
      <c r="AT533" s="79"/>
      <c r="AU533" s="79"/>
      <c r="AV533" s="79"/>
      <c r="AW533" s="79"/>
      <c r="AX533" s="79"/>
      <c r="AY533" s="79"/>
      <c r="AZ533" s="79"/>
      <c r="BA533" s="79"/>
      <c r="BB533" s="1"/>
      <c r="BC533" s="1"/>
      <c r="BD533" s="1"/>
      <c r="BE533" s="1"/>
      <c r="BF533" s="1"/>
      <c r="BG533" s="1"/>
      <c r="BH533" s="1"/>
    </row>
    <row r="534" spans="1:60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79"/>
      <c r="AO534" s="79"/>
      <c r="AP534" s="79"/>
      <c r="AQ534" s="79"/>
      <c r="AR534" s="79"/>
      <c r="AS534" s="79"/>
      <c r="AT534" s="79"/>
      <c r="AU534" s="79"/>
      <c r="AV534" s="79"/>
      <c r="AW534" s="79"/>
      <c r="AX534" s="79"/>
      <c r="AY534" s="79"/>
      <c r="AZ534" s="79"/>
      <c r="BA534" s="79"/>
      <c r="BB534" s="1"/>
      <c r="BC534" s="1"/>
      <c r="BD534" s="1"/>
      <c r="BE534" s="1"/>
      <c r="BF534" s="1"/>
      <c r="BG534" s="1"/>
      <c r="BH534" s="1"/>
    </row>
    <row r="535" spans="1:60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79"/>
      <c r="AO535" s="79"/>
      <c r="AP535" s="79"/>
      <c r="AQ535" s="79"/>
      <c r="AR535" s="79"/>
      <c r="AS535" s="79"/>
      <c r="AT535" s="79"/>
      <c r="AU535" s="79"/>
      <c r="AV535" s="79"/>
      <c r="AW535" s="79"/>
      <c r="AX535" s="79"/>
      <c r="AY535" s="79"/>
      <c r="AZ535" s="79"/>
      <c r="BA535" s="79"/>
      <c r="BB535" s="1"/>
      <c r="BC535" s="1"/>
      <c r="BD535" s="1"/>
      <c r="BE535" s="1"/>
      <c r="BF535" s="1"/>
      <c r="BG535" s="1"/>
      <c r="BH535" s="1"/>
    </row>
    <row r="536" spans="1:60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79"/>
      <c r="AO536" s="79"/>
      <c r="AP536" s="79"/>
      <c r="AQ536" s="79"/>
      <c r="AR536" s="79"/>
      <c r="AS536" s="79"/>
      <c r="AT536" s="79"/>
      <c r="AU536" s="79"/>
      <c r="AV536" s="79"/>
      <c r="AW536" s="79"/>
      <c r="AX536" s="79"/>
      <c r="AY536" s="79"/>
      <c r="AZ536" s="79"/>
      <c r="BA536" s="79"/>
      <c r="BB536" s="1"/>
      <c r="BC536" s="1"/>
      <c r="BD536" s="1"/>
      <c r="BE536" s="1"/>
      <c r="BF536" s="1"/>
      <c r="BG536" s="1"/>
      <c r="BH536" s="1"/>
    </row>
    <row r="537" spans="1:60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79"/>
      <c r="AO537" s="79"/>
      <c r="AP537" s="79"/>
      <c r="AQ537" s="79"/>
      <c r="AR537" s="79"/>
      <c r="AS537" s="79"/>
      <c r="AT537" s="79"/>
      <c r="AU537" s="79"/>
      <c r="AV537" s="79"/>
      <c r="AW537" s="79"/>
      <c r="AX537" s="79"/>
      <c r="AY537" s="79"/>
      <c r="AZ537" s="79"/>
      <c r="BA537" s="79"/>
      <c r="BB537" s="1"/>
      <c r="BC537" s="1"/>
      <c r="BD537" s="1"/>
      <c r="BE537" s="1"/>
      <c r="BF537" s="1"/>
      <c r="BG537" s="1"/>
      <c r="BH537" s="1"/>
    </row>
    <row r="538" spans="1:60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79"/>
      <c r="AO538" s="79"/>
      <c r="AP538" s="79"/>
      <c r="AQ538" s="79"/>
      <c r="AR538" s="79"/>
      <c r="AS538" s="79"/>
      <c r="AT538" s="79"/>
      <c r="AU538" s="79"/>
      <c r="AV538" s="79"/>
      <c r="AW538" s="79"/>
      <c r="AX538" s="79"/>
      <c r="AY538" s="79"/>
      <c r="AZ538" s="79"/>
      <c r="BA538" s="79"/>
      <c r="BB538" s="1"/>
      <c r="BC538" s="1"/>
      <c r="BD538" s="1"/>
      <c r="BE538" s="1"/>
      <c r="BF538" s="1"/>
      <c r="BG538" s="1"/>
      <c r="BH538" s="1"/>
    </row>
    <row r="539" spans="1:60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79"/>
      <c r="AO539" s="79"/>
      <c r="AP539" s="79"/>
      <c r="AQ539" s="79"/>
      <c r="AR539" s="79"/>
      <c r="AS539" s="79"/>
      <c r="AT539" s="79"/>
      <c r="AU539" s="79"/>
      <c r="AV539" s="79"/>
      <c r="AW539" s="79"/>
      <c r="AX539" s="79"/>
      <c r="AY539" s="79"/>
      <c r="AZ539" s="79"/>
      <c r="BA539" s="79"/>
      <c r="BB539" s="1"/>
      <c r="BC539" s="1"/>
      <c r="BD539" s="1"/>
      <c r="BE539" s="1"/>
      <c r="BF539" s="1"/>
      <c r="BG539" s="1"/>
      <c r="BH539" s="1"/>
    </row>
    <row r="540" spans="1:60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79"/>
      <c r="AO540" s="79"/>
      <c r="AP540" s="79"/>
      <c r="AQ540" s="79"/>
      <c r="AR540" s="79"/>
      <c r="AS540" s="79"/>
      <c r="AT540" s="79"/>
      <c r="AU540" s="79"/>
      <c r="AV540" s="79"/>
      <c r="AW540" s="79"/>
      <c r="AX540" s="79"/>
      <c r="AY540" s="79"/>
      <c r="AZ540" s="79"/>
      <c r="BA540" s="79"/>
      <c r="BB540" s="1"/>
      <c r="BC540" s="1"/>
      <c r="BD540" s="1"/>
      <c r="BE540" s="1"/>
      <c r="BF540" s="1"/>
      <c r="BG540" s="1"/>
      <c r="BH540" s="1"/>
    </row>
    <row r="541" spans="1:60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79"/>
      <c r="AO541" s="79"/>
      <c r="AP541" s="79"/>
      <c r="AQ541" s="79"/>
      <c r="AR541" s="79"/>
      <c r="AS541" s="79"/>
      <c r="AT541" s="79"/>
      <c r="AU541" s="79"/>
      <c r="AV541" s="79"/>
      <c r="AW541" s="79"/>
      <c r="AX541" s="79"/>
      <c r="AY541" s="79"/>
      <c r="AZ541" s="79"/>
      <c r="BA541" s="79"/>
      <c r="BB541" s="1"/>
      <c r="BC541" s="1"/>
      <c r="BD541" s="1"/>
      <c r="BE541" s="1"/>
      <c r="BF541" s="1"/>
      <c r="BG541" s="1"/>
      <c r="BH541" s="1"/>
    </row>
    <row r="542" spans="1:60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79"/>
      <c r="AO542" s="79"/>
      <c r="AP542" s="79"/>
      <c r="AQ542" s="79"/>
      <c r="AR542" s="79"/>
      <c r="AS542" s="79"/>
      <c r="AT542" s="79"/>
      <c r="AU542" s="79"/>
      <c r="AV542" s="79"/>
      <c r="AW542" s="79"/>
      <c r="AX542" s="79"/>
      <c r="AY542" s="79"/>
      <c r="AZ542" s="79"/>
      <c r="BA542" s="79"/>
      <c r="BB542" s="1"/>
      <c r="BC542" s="1"/>
      <c r="BD542" s="1"/>
      <c r="BE542" s="1"/>
      <c r="BF542" s="1"/>
      <c r="BG542" s="1"/>
      <c r="BH542" s="1"/>
    </row>
    <row r="543" spans="1:60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79"/>
      <c r="AO543" s="79"/>
      <c r="AP543" s="79"/>
      <c r="AQ543" s="79"/>
      <c r="AR543" s="79"/>
      <c r="AS543" s="79"/>
      <c r="AT543" s="79"/>
      <c r="AU543" s="79"/>
      <c r="AV543" s="79"/>
      <c r="AW543" s="79"/>
      <c r="AX543" s="79"/>
      <c r="AY543" s="79"/>
      <c r="AZ543" s="79"/>
      <c r="BA543" s="79"/>
      <c r="BB543" s="1"/>
      <c r="BC543" s="1"/>
      <c r="BD543" s="1"/>
      <c r="BE543" s="1"/>
      <c r="BF543" s="1"/>
      <c r="BG543" s="1"/>
      <c r="BH543" s="1"/>
    </row>
    <row r="544" spans="1:60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79"/>
      <c r="AO544" s="79"/>
      <c r="AP544" s="79"/>
      <c r="AQ544" s="79"/>
      <c r="AR544" s="79"/>
      <c r="AS544" s="79"/>
      <c r="AT544" s="79"/>
      <c r="AU544" s="79"/>
      <c r="AV544" s="79"/>
      <c r="AW544" s="79"/>
      <c r="AX544" s="79"/>
      <c r="AY544" s="79"/>
      <c r="AZ544" s="79"/>
      <c r="BA544" s="79"/>
      <c r="BB544" s="1"/>
      <c r="BC544" s="1"/>
      <c r="BD544" s="1"/>
      <c r="BE544" s="1"/>
      <c r="BF544" s="1"/>
      <c r="BG544" s="1"/>
      <c r="BH544" s="1"/>
    </row>
    <row r="545" spans="1:60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79"/>
      <c r="AO545" s="79"/>
      <c r="AP545" s="79"/>
      <c r="AQ545" s="79"/>
      <c r="AR545" s="79"/>
      <c r="AS545" s="79"/>
      <c r="AT545" s="79"/>
      <c r="AU545" s="79"/>
      <c r="AV545" s="79"/>
      <c r="AW545" s="79"/>
      <c r="AX545" s="79"/>
      <c r="AY545" s="79"/>
      <c r="AZ545" s="79"/>
      <c r="BA545" s="79"/>
      <c r="BB545" s="1"/>
      <c r="BC545" s="1"/>
      <c r="BD545" s="1"/>
      <c r="BE545" s="1"/>
      <c r="BF545" s="1"/>
      <c r="BG545" s="1"/>
      <c r="BH545" s="1"/>
    </row>
    <row r="546" spans="1:60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79"/>
      <c r="AO546" s="79"/>
      <c r="AP546" s="79"/>
      <c r="AQ546" s="79"/>
      <c r="AR546" s="79"/>
      <c r="AS546" s="79"/>
      <c r="AT546" s="79"/>
      <c r="AU546" s="79"/>
      <c r="AV546" s="79"/>
      <c r="AW546" s="79"/>
      <c r="AX546" s="79"/>
      <c r="AY546" s="79"/>
      <c r="AZ546" s="79"/>
      <c r="BA546" s="79"/>
      <c r="BB546" s="1"/>
      <c r="BC546" s="1"/>
      <c r="BD546" s="1"/>
      <c r="BE546" s="1"/>
      <c r="BF546" s="1"/>
      <c r="BG546" s="1"/>
      <c r="BH546" s="1"/>
    </row>
    <row r="547" spans="1:60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79"/>
      <c r="AO547" s="79"/>
      <c r="AP547" s="79"/>
      <c r="AQ547" s="79"/>
      <c r="AR547" s="79"/>
      <c r="AS547" s="79"/>
      <c r="AT547" s="79"/>
      <c r="AU547" s="79"/>
      <c r="AV547" s="79"/>
      <c r="AW547" s="79"/>
      <c r="AX547" s="79"/>
      <c r="AY547" s="79"/>
      <c r="AZ547" s="79"/>
      <c r="BA547" s="79"/>
      <c r="BB547" s="1"/>
      <c r="BC547" s="1"/>
      <c r="BD547" s="1"/>
      <c r="BE547" s="1"/>
      <c r="BF547" s="1"/>
      <c r="BG547" s="1"/>
      <c r="BH547" s="1"/>
    </row>
    <row r="548" spans="1:60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79"/>
      <c r="AO548" s="79"/>
      <c r="AP548" s="79"/>
      <c r="AQ548" s="79"/>
      <c r="AR548" s="79"/>
      <c r="AS548" s="79"/>
      <c r="AT548" s="79"/>
      <c r="AU548" s="79"/>
      <c r="AV548" s="79"/>
      <c r="AW548" s="79"/>
      <c r="AX548" s="79"/>
      <c r="AY548" s="79"/>
      <c r="AZ548" s="79"/>
      <c r="BA548" s="79"/>
      <c r="BB548" s="1"/>
      <c r="BC548" s="1"/>
      <c r="BD548" s="1"/>
      <c r="BE548" s="1"/>
      <c r="BF548" s="1"/>
      <c r="BG548" s="1"/>
      <c r="BH548" s="1"/>
    </row>
    <row r="549" spans="1:60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79"/>
      <c r="AO549" s="79"/>
      <c r="AP549" s="79"/>
      <c r="AQ549" s="79"/>
      <c r="AR549" s="79"/>
      <c r="AS549" s="79"/>
      <c r="AT549" s="79"/>
      <c r="AU549" s="79"/>
      <c r="AV549" s="79"/>
      <c r="AW549" s="79"/>
      <c r="AX549" s="79"/>
      <c r="AY549" s="79"/>
      <c r="AZ549" s="79"/>
      <c r="BA549" s="79"/>
      <c r="BB549" s="1"/>
      <c r="BC549" s="1"/>
      <c r="BD549" s="1"/>
      <c r="BE549" s="1"/>
      <c r="BF549" s="1"/>
      <c r="BG549" s="1"/>
      <c r="BH549" s="1"/>
    </row>
    <row r="550" spans="1:60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79"/>
      <c r="AO550" s="79"/>
      <c r="AP550" s="79"/>
      <c r="AQ550" s="79"/>
      <c r="AR550" s="79"/>
      <c r="AS550" s="79"/>
      <c r="AT550" s="79"/>
      <c r="AU550" s="79"/>
      <c r="AV550" s="79"/>
      <c r="AW550" s="79"/>
      <c r="AX550" s="79"/>
      <c r="AY550" s="79"/>
      <c r="AZ550" s="79"/>
      <c r="BA550" s="79"/>
      <c r="BB550" s="1"/>
      <c r="BC550" s="1"/>
      <c r="BD550" s="1"/>
      <c r="BE550" s="1"/>
      <c r="BF550" s="1"/>
      <c r="BG550" s="1"/>
      <c r="BH550" s="1"/>
    </row>
    <row r="551" spans="1:60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79"/>
      <c r="AO551" s="79"/>
      <c r="AP551" s="79"/>
      <c r="AQ551" s="79"/>
      <c r="AR551" s="79"/>
      <c r="AS551" s="79"/>
      <c r="AT551" s="79"/>
      <c r="AU551" s="79"/>
      <c r="AV551" s="79"/>
      <c r="AW551" s="79"/>
      <c r="AX551" s="79"/>
      <c r="AY551" s="79"/>
      <c r="AZ551" s="79"/>
      <c r="BA551" s="79"/>
      <c r="BB551" s="1"/>
      <c r="BC551" s="1"/>
      <c r="BD551" s="1"/>
      <c r="BE551" s="1"/>
      <c r="BF551" s="1"/>
      <c r="BG551" s="1"/>
      <c r="BH551" s="1"/>
    </row>
    <row r="552" spans="1:60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79"/>
      <c r="AO552" s="79"/>
      <c r="AP552" s="79"/>
      <c r="AQ552" s="79"/>
      <c r="AR552" s="79"/>
      <c r="AS552" s="79"/>
      <c r="AT552" s="79"/>
      <c r="AU552" s="79"/>
      <c r="AV552" s="79"/>
      <c r="AW552" s="79"/>
      <c r="AX552" s="79"/>
      <c r="AY552" s="79"/>
      <c r="AZ552" s="79"/>
      <c r="BA552" s="79"/>
      <c r="BB552" s="1"/>
      <c r="BC552" s="1"/>
      <c r="BD552" s="1"/>
      <c r="BE552" s="1"/>
      <c r="BF552" s="1"/>
      <c r="BG552" s="1"/>
      <c r="BH552" s="1"/>
    </row>
    <row r="553" spans="1:60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79"/>
      <c r="AO553" s="79"/>
      <c r="AP553" s="79"/>
      <c r="AQ553" s="79"/>
      <c r="AR553" s="79"/>
      <c r="AS553" s="79"/>
      <c r="AT553" s="79"/>
      <c r="AU553" s="79"/>
      <c r="AV553" s="79"/>
      <c r="AW553" s="79"/>
      <c r="AX553" s="79"/>
      <c r="AY553" s="79"/>
      <c r="AZ553" s="79"/>
      <c r="BA553" s="79"/>
      <c r="BB553" s="1"/>
      <c r="BC553" s="1"/>
      <c r="BD553" s="1"/>
      <c r="BE553" s="1"/>
      <c r="BF553" s="1"/>
      <c r="BG553" s="1"/>
      <c r="BH553" s="1"/>
    </row>
    <row r="554" spans="1:60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79"/>
      <c r="AO554" s="79"/>
      <c r="AP554" s="79"/>
      <c r="AQ554" s="79"/>
      <c r="AR554" s="79"/>
      <c r="AS554" s="79"/>
      <c r="AT554" s="79"/>
      <c r="AU554" s="79"/>
      <c r="AV554" s="79"/>
      <c r="AW554" s="79"/>
      <c r="AX554" s="79"/>
      <c r="AY554" s="79"/>
      <c r="AZ554" s="79"/>
      <c r="BA554" s="79"/>
      <c r="BB554" s="1"/>
      <c r="BC554" s="1"/>
      <c r="BD554" s="1"/>
      <c r="BE554" s="1"/>
      <c r="BF554" s="1"/>
      <c r="BG554" s="1"/>
      <c r="BH554" s="1"/>
    </row>
    <row r="555" spans="1:60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79"/>
      <c r="AO555" s="79"/>
      <c r="AP555" s="79"/>
      <c r="AQ555" s="79"/>
      <c r="AR555" s="79"/>
      <c r="AS555" s="79"/>
      <c r="AT555" s="79"/>
      <c r="AU555" s="79"/>
      <c r="AV555" s="79"/>
      <c r="AW555" s="79"/>
      <c r="AX555" s="79"/>
      <c r="AY555" s="79"/>
      <c r="AZ555" s="79"/>
      <c r="BA555" s="79"/>
      <c r="BB555" s="1"/>
      <c r="BC555" s="1"/>
      <c r="BD555" s="1"/>
      <c r="BE555" s="1"/>
      <c r="BF555" s="1"/>
      <c r="BG555" s="1"/>
      <c r="BH555" s="1"/>
    </row>
    <row r="556" spans="1:60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79"/>
      <c r="AO556" s="79"/>
      <c r="AP556" s="79"/>
      <c r="AQ556" s="79"/>
      <c r="AR556" s="79"/>
      <c r="AS556" s="79"/>
      <c r="AT556" s="79"/>
      <c r="AU556" s="79"/>
      <c r="AV556" s="79"/>
      <c r="AW556" s="79"/>
      <c r="AX556" s="79"/>
      <c r="AY556" s="79"/>
      <c r="AZ556" s="79"/>
      <c r="BA556" s="79"/>
      <c r="BB556" s="1"/>
      <c r="BC556" s="1"/>
      <c r="BD556" s="1"/>
      <c r="BE556" s="1"/>
      <c r="BF556" s="1"/>
      <c r="BG556" s="1"/>
      <c r="BH556" s="1"/>
    </row>
    <row r="557" spans="1:60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79"/>
      <c r="AO557" s="79"/>
      <c r="AP557" s="79"/>
      <c r="AQ557" s="79"/>
      <c r="AR557" s="79"/>
      <c r="AS557" s="79"/>
      <c r="AT557" s="79"/>
      <c r="AU557" s="79"/>
      <c r="AV557" s="79"/>
      <c r="AW557" s="79"/>
      <c r="AX557" s="79"/>
      <c r="AY557" s="79"/>
      <c r="AZ557" s="79"/>
      <c r="BA557" s="79"/>
      <c r="BB557" s="1"/>
      <c r="BC557" s="1"/>
      <c r="BD557" s="1"/>
      <c r="BE557" s="1"/>
      <c r="BF557" s="1"/>
      <c r="BG557" s="1"/>
      <c r="BH557" s="1"/>
    </row>
    <row r="558" spans="1:60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79"/>
      <c r="AO558" s="79"/>
      <c r="AP558" s="79"/>
      <c r="AQ558" s="79"/>
      <c r="AR558" s="79"/>
      <c r="AS558" s="79"/>
      <c r="AT558" s="79"/>
      <c r="AU558" s="79"/>
      <c r="AV558" s="79"/>
      <c r="AW558" s="79"/>
      <c r="AX558" s="79"/>
      <c r="AY558" s="79"/>
      <c r="AZ558" s="79"/>
      <c r="BA558" s="79"/>
      <c r="BB558" s="1"/>
      <c r="BC558" s="1"/>
      <c r="BD558" s="1"/>
      <c r="BE558" s="1"/>
      <c r="BF558" s="1"/>
      <c r="BG558" s="1"/>
      <c r="BH558" s="1"/>
    </row>
    <row r="559" spans="1:60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79"/>
      <c r="AO559" s="79"/>
      <c r="AP559" s="79"/>
      <c r="AQ559" s="79"/>
      <c r="AR559" s="79"/>
      <c r="AS559" s="79"/>
      <c r="AT559" s="79"/>
      <c r="AU559" s="79"/>
      <c r="AV559" s="79"/>
      <c r="AW559" s="79"/>
      <c r="AX559" s="79"/>
      <c r="AY559" s="79"/>
      <c r="AZ559" s="79"/>
      <c r="BA559" s="79"/>
      <c r="BB559" s="1"/>
      <c r="BC559" s="1"/>
      <c r="BD559" s="1"/>
      <c r="BE559" s="1"/>
      <c r="BF559" s="1"/>
      <c r="BG559" s="1"/>
      <c r="BH559" s="1"/>
    </row>
    <row r="560" spans="1:60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79"/>
      <c r="AO560" s="79"/>
      <c r="AP560" s="79"/>
      <c r="AQ560" s="79"/>
      <c r="AR560" s="79"/>
      <c r="AS560" s="79"/>
      <c r="AT560" s="79"/>
      <c r="AU560" s="79"/>
      <c r="AV560" s="79"/>
      <c r="AW560" s="79"/>
      <c r="AX560" s="79"/>
      <c r="AY560" s="79"/>
      <c r="AZ560" s="79"/>
      <c r="BA560" s="79"/>
      <c r="BB560" s="1"/>
      <c r="BC560" s="1"/>
      <c r="BD560" s="1"/>
      <c r="BE560" s="1"/>
      <c r="BF560" s="1"/>
      <c r="BG560" s="1"/>
      <c r="BH560" s="1"/>
    </row>
    <row r="561" spans="1:60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79"/>
      <c r="AO561" s="79"/>
      <c r="AP561" s="79"/>
      <c r="AQ561" s="79"/>
      <c r="AR561" s="79"/>
      <c r="AS561" s="79"/>
      <c r="AT561" s="79"/>
      <c r="AU561" s="79"/>
      <c r="AV561" s="79"/>
      <c r="AW561" s="79"/>
      <c r="AX561" s="79"/>
      <c r="AY561" s="79"/>
      <c r="AZ561" s="79"/>
      <c r="BA561" s="79"/>
      <c r="BB561" s="1"/>
      <c r="BC561" s="1"/>
      <c r="BD561" s="1"/>
      <c r="BE561" s="1"/>
      <c r="BF561" s="1"/>
      <c r="BG561" s="1"/>
      <c r="BH561" s="1"/>
    </row>
    <row r="562" spans="1:60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79"/>
      <c r="AO562" s="79"/>
      <c r="AP562" s="79"/>
      <c r="AQ562" s="79"/>
      <c r="AR562" s="79"/>
      <c r="AS562" s="79"/>
      <c r="AT562" s="79"/>
      <c r="AU562" s="79"/>
      <c r="AV562" s="79"/>
      <c r="AW562" s="79"/>
      <c r="AX562" s="79"/>
      <c r="AY562" s="79"/>
      <c r="AZ562" s="79"/>
      <c r="BA562" s="79"/>
      <c r="BB562" s="1"/>
      <c r="BC562" s="1"/>
      <c r="BD562" s="1"/>
      <c r="BE562" s="1"/>
      <c r="BF562" s="1"/>
      <c r="BG562" s="1"/>
      <c r="BH562" s="1"/>
    </row>
    <row r="563" spans="1:60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79"/>
      <c r="AO563" s="79"/>
      <c r="AP563" s="79"/>
      <c r="AQ563" s="79"/>
      <c r="AR563" s="79"/>
      <c r="AS563" s="79"/>
      <c r="AT563" s="79"/>
      <c r="AU563" s="79"/>
      <c r="AV563" s="79"/>
      <c r="AW563" s="79"/>
      <c r="AX563" s="79"/>
      <c r="AY563" s="79"/>
      <c r="AZ563" s="79"/>
      <c r="BA563" s="79"/>
      <c r="BB563" s="1"/>
      <c r="BC563" s="1"/>
      <c r="BD563" s="1"/>
      <c r="BE563" s="1"/>
      <c r="BF563" s="1"/>
      <c r="BG563" s="1"/>
      <c r="BH563" s="1"/>
    </row>
    <row r="564" spans="1:60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79"/>
      <c r="AO564" s="79"/>
      <c r="AP564" s="79"/>
      <c r="AQ564" s="79"/>
      <c r="AR564" s="79"/>
      <c r="AS564" s="79"/>
      <c r="AT564" s="79"/>
      <c r="AU564" s="79"/>
      <c r="AV564" s="79"/>
      <c r="AW564" s="79"/>
      <c r="AX564" s="79"/>
      <c r="AY564" s="79"/>
      <c r="AZ564" s="79"/>
      <c r="BA564" s="79"/>
      <c r="BB564" s="1"/>
      <c r="BC564" s="1"/>
      <c r="BD564" s="1"/>
      <c r="BE564" s="1"/>
      <c r="BF564" s="1"/>
      <c r="BG564" s="1"/>
      <c r="BH564" s="1"/>
    </row>
    <row r="565" spans="1:60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79"/>
      <c r="AO565" s="79"/>
      <c r="AP565" s="79"/>
      <c r="AQ565" s="79"/>
      <c r="AR565" s="79"/>
      <c r="AS565" s="79"/>
      <c r="AT565" s="79"/>
      <c r="AU565" s="79"/>
      <c r="AV565" s="79"/>
      <c r="AW565" s="79"/>
      <c r="AX565" s="79"/>
      <c r="AY565" s="79"/>
      <c r="AZ565" s="79"/>
      <c r="BA565" s="79"/>
      <c r="BB565" s="1"/>
      <c r="BC565" s="1"/>
      <c r="BD565" s="1"/>
      <c r="BE565" s="1"/>
      <c r="BF565" s="1"/>
      <c r="BG565" s="1"/>
      <c r="BH565" s="1"/>
    </row>
    <row r="566" spans="1:60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79"/>
      <c r="AO566" s="79"/>
      <c r="AP566" s="79"/>
      <c r="AQ566" s="79"/>
      <c r="AR566" s="79"/>
      <c r="AS566" s="79"/>
      <c r="AT566" s="79"/>
      <c r="AU566" s="79"/>
      <c r="AV566" s="79"/>
      <c r="AW566" s="79"/>
      <c r="AX566" s="79"/>
      <c r="AY566" s="79"/>
      <c r="AZ566" s="79"/>
      <c r="BA566" s="79"/>
      <c r="BB566" s="1"/>
      <c r="BC566" s="1"/>
      <c r="BD566" s="1"/>
      <c r="BE566" s="1"/>
      <c r="BF566" s="1"/>
      <c r="BG566" s="1"/>
      <c r="BH566" s="1"/>
    </row>
    <row r="567" spans="1:60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79"/>
      <c r="AO567" s="79"/>
      <c r="AP567" s="79"/>
      <c r="AQ567" s="79"/>
      <c r="AR567" s="79"/>
      <c r="AS567" s="79"/>
      <c r="AT567" s="79"/>
      <c r="AU567" s="79"/>
      <c r="AV567" s="79"/>
      <c r="AW567" s="79"/>
      <c r="AX567" s="79"/>
      <c r="AY567" s="79"/>
      <c r="AZ567" s="79"/>
      <c r="BA567" s="79"/>
      <c r="BB567" s="1"/>
      <c r="BC567" s="1"/>
      <c r="BD567" s="1"/>
      <c r="BE567" s="1"/>
      <c r="BF567" s="1"/>
      <c r="BG567" s="1"/>
      <c r="BH567" s="1"/>
    </row>
    <row r="568" spans="1:60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79"/>
      <c r="AO568" s="79"/>
      <c r="AP568" s="79"/>
      <c r="AQ568" s="79"/>
      <c r="AR568" s="79"/>
      <c r="AS568" s="79"/>
      <c r="AT568" s="79"/>
      <c r="AU568" s="79"/>
      <c r="AV568" s="79"/>
      <c r="AW568" s="79"/>
      <c r="AX568" s="79"/>
      <c r="AY568" s="79"/>
      <c r="AZ568" s="79"/>
      <c r="BA568" s="79"/>
      <c r="BB568" s="1"/>
      <c r="BC568" s="1"/>
      <c r="BD568" s="1"/>
      <c r="BE568" s="1"/>
      <c r="BF568" s="1"/>
      <c r="BG568" s="1"/>
      <c r="BH568" s="1"/>
    </row>
    <row r="569" spans="1:60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79"/>
      <c r="AO569" s="79"/>
      <c r="AP569" s="79"/>
      <c r="AQ569" s="79"/>
      <c r="AR569" s="79"/>
      <c r="AS569" s="79"/>
      <c r="AT569" s="79"/>
      <c r="AU569" s="79"/>
      <c r="AV569" s="79"/>
      <c r="AW569" s="79"/>
      <c r="AX569" s="79"/>
      <c r="AY569" s="79"/>
      <c r="AZ569" s="79"/>
      <c r="BA569" s="79"/>
      <c r="BB569" s="1"/>
      <c r="BC569" s="1"/>
      <c r="BD569" s="1"/>
      <c r="BE569" s="1"/>
      <c r="BF569" s="1"/>
      <c r="BG569" s="1"/>
      <c r="BH569" s="1"/>
    </row>
    <row r="570" spans="1:60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79"/>
      <c r="AO570" s="79"/>
      <c r="AP570" s="79"/>
      <c r="AQ570" s="79"/>
      <c r="AR570" s="79"/>
      <c r="AS570" s="79"/>
      <c r="AT570" s="79"/>
      <c r="AU570" s="79"/>
      <c r="AV570" s="79"/>
      <c r="AW570" s="79"/>
      <c r="AX570" s="79"/>
      <c r="AY570" s="79"/>
      <c r="AZ570" s="79"/>
      <c r="BA570" s="79"/>
      <c r="BB570" s="1"/>
      <c r="BC570" s="1"/>
      <c r="BD570" s="1"/>
      <c r="BE570" s="1"/>
      <c r="BF570" s="1"/>
      <c r="BG570" s="1"/>
      <c r="BH570" s="1"/>
    </row>
    <row r="571" spans="1:60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79"/>
      <c r="AO571" s="79"/>
      <c r="AP571" s="79"/>
      <c r="AQ571" s="79"/>
      <c r="AR571" s="79"/>
      <c r="AS571" s="79"/>
      <c r="AT571" s="79"/>
      <c r="AU571" s="79"/>
      <c r="AV571" s="79"/>
      <c r="AW571" s="79"/>
      <c r="AX571" s="79"/>
      <c r="AY571" s="79"/>
      <c r="AZ571" s="79"/>
      <c r="BA571" s="79"/>
      <c r="BB571" s="1"/>
      <c r="BC571" s="1"/>
      <c r="BD571" s="1"/>
      <c r="BE571" s="1"/>
      <c r="BF571" s="1"/>
      <c r="BG571" s="1"/>
      <c r="BH571" s="1"/>
    </row>
    <row r="572" spans="1:60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79"/>
      <c r="AO572" s="79"/>
      <c r="AP572" s="79"/>
      <c r="AQ572" s="79"/>
      <c r="AR572" s="79"/>
      <c r="AS572" s="79"/>
      <c r="AT572" s="79"/>
      <c r="AU572" s="79"/>
      <c r="AV572" s="79"/>
      <c r="AW572" s="79"/>
      <c r="AX572" s="79"/>
      <c r="AY572" s="79"/>
      <c r="AZ572" s="79"/>
      <c r="BA572" s="79"/>
      <c r="BB572" s="1"/>
      <c r="BC572" s="1"/>
      <c r="BD572" s="1"/>
      <c r="BE572" s="1"/>
      <c r="BF572" s="1"/>
      <c r="BG572" s="1"/>
      <c r="BH572" s="1"/>
    </row>
    <row r="573" spans="1:60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79"/>
      <c r="AO573" s="79"/>
      <c r="AP573" s="79"/>
      <c r="AQ573" s="79"/>
      <c r="AR573" s="79"/>
      <c r="AS573" s="79"/>
      <c r="AT573" s="79"/>
      <c r="AU573" s="79"/>
      <c r="AV573" s="79"/>
      <c r="AW573" s="79"/>
      <c r="AX573" s="79"/>
      <c r="AY573" s="79"/>
      <c r="AZ573" s="79"/>
      <c r="BA573" s="79"/>
      <c r="BB573" s="1"/>
      <c r="BC573" s="1"/>
      <c r="BD573" s="1"/>
      <c r="BE573" s="1"/>
      <c r="BF573" s="1"/>
      <c r="BG573" s="1"/>
      <c r="BH573" s="1"/>
    </row>
    <row r="574" spans="1:60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79"/>
      <c r="AO574" s="79"/>
      <c r="AP574" s="79"/>
      <c r="AQ574" s="79"/>
      <c r="AR574" s="79"/>
      <c r="AS574" s="79"/>
      <c r="AT574" s="79"/>
      <c r="AU574" s="79"/>
      <c r="AV574" s="79"/>
      <c r="AW574" s="79"/>
      <c r="AX574" s="79"/>
      <c r="AY574" s="79"/>
      <c r="AZ574" s="79"/>
      <c r="BA574" s="79"/>
      <c r="BB574" s="1"/>
      <c r="BC574" s="1"/>
      <c r="BD574" s="1"/>
      <c r="BE574" s="1"/>
      <c r="BF574" s="1"/>
      <c r="BG574" s="1"/>
      <c r="BH574" s="1"/>
    </row>
    <row r="575" spans="1:60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79"/>
      <c r="AO575" s="79"/>
      <c r="AP575" s="79"/>
      <c r="AQ575" s="79"/>
      <c r="AR575" s="79"/>
      <c r="AS575" s="79"/>
      <c r="AT575" s="79"/>
      <c r="AU575" s="79"/>
      <c r="AV575" s="79"/>
      <c r="AW575" s="79"/>
      <c r="AX575" s="79"/>
      <c r="AY575" s="79"/>
      <c r="AZ575" s="79"/>
      <c r="BA575" s="79"/>
      <c r="BB575" s="1"/>
      <c r="BC575" s="1"/>
      <c r="BD575" s="1"/>
      <c r="BE575" s="1"/>
      <c r="BF575" s="1"/>
      <c r="BG575" s="1"/>
      <c r="BH575" s="1"/>
    </row>
    <row r="576" spans="1:60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79"/>
      <c r="AO576" s="79"/>
      <c r="AP576" s="79"/>
      <c r="AQ576" s="79"/>
      <c r="AR576" s="79"/>
      <c r="AS576" s="79"/>
      <c r="AT576" s="79"/>
      <c r="AU576" s="79"/>
      <c r="AV576" s="79"/>
      <c r="AW576" s="79"/>
      <c r="AX576" s="79"/>
      <c r="AY576" s="79"/>
      <c r="AZ576" s="79"/>
      <c r="BA576" s="79"/>
      <c r="BB576" s="1"/>
      <c r="BC576" s="1"/>
      <c r="BD576" s="1"/>
      <c r="BE576" s="1"/>
      <c r="BF576" s="1"/>
      <c r="BG576" s="1"/>
      <c r="BH576" s="1"/>
    </row>
    <row r="577" spans="1:60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79"/>
      <c r="AO577" s="79"/>
      <c r="AP577" s="79"/>
      <c r="AQ577" s="79"/>
      <c r="AR577" s="79"/>
      <c r="AS577" s="79"/>
      <c r="AT577" s="79"/>
      <c r="AU577" s="79"/>
      <c r="AV577" s="79"/>
      <c r="AW577" s="79"/>
      <c r="AX577" s="79"/>
      <c r="AY577" s="79"/>
      <c r="AZ577" s="79"/>
      <c r="BA577" s="79"/>
      <c r="BB577" s="1"/>
      <c r="BC577" s="1"/>
      <c r="BD577" s="1"/>
      <c r="BE577" s="1"/>
      <c r="BF577" s="1"/>
      <c r="BG577" s="1"/>
      <c r="BH577" s="1"/>
    </row>
    <row r="578" spans="1:60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79"/>
      <c r="AO578" s="79"/>
      <c r="AP578" s="79"/>
      <c r="AQ578" s="79"/>
      <c r="AR578" s="79"/>
      <c r="AS578" s="79"/>
      <c r="AT578" s="79"/>
      <c r="AU578" s="79"/>
      <c r="AV578" s="79"/>
      <c r="AW578" s="79"/>
      <c r="AX578" s="79"/>
      <c r="AY578" s="79"/>
      <c r="AZ578" s="79"/>
      <c r="BA578" s="79"/>
      <c r="BB578" s="1"/>
      <c r="BC578" s="1"/>
      <c r="BD578" s="1"/>
      <c r="BE578" s="1"/>
      <c r="BF578" s="1"/>
      <c r="BG578" s="1"/>
      <c r="BH578" s="1"/>
    </row>
    <row r="579" spans="1:60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79"/>
      <c r="AO579" s="79"/>
      <c r="AP579" s="79"/>
      <c r="AQ579" s="79"/>
      <c r="AR579" s="79"/>
      <c r="AS579" s="79"/>
      <c r="AT579" s="79"/>
      <c r="AU579" s="79"/>
      <c r="AV579" s="79"/>
      <c r="AW579" s="79"/>
      <c r="AX579" s="79"/>
      <c r="AY579" s="79"/>
      <c r="AZ579" s="79"/>
      <c r="BA579" s="79"/>
      <c r="BB579" s="1"/>
      <c r="BC579" s="1"/>
      <c r="BD579" s="1"/>
      <c r="BE579" s="1"/>
      <c r="BF579" s="1"/>
      <c r="BG579" s="1"/>
      <c r="BH579" s="1"/>
    </row>
    <row r="580" spans="1:60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79"/>
      <c r="AO580" s="79"/>
      <c r="AP580" s="79"/>
      <c r="AQ580" s="79"/>
      <c r="AR580" s="79"/>
      <c r="AS580" s="79"/>
      <c r="AT580" s="79"/>
      <c r="AU580" s="79"/>
      <c r="AV580" s="79"/>
      <c r="AW580" s="79"/>
      <c r="AX580" s="79"/>
      <c r="AY580" s="79"/>
      <c r="AZ580" s="79"/>
      <c r="BA580" s="79"/>
      <c r="BB580" s="1"/>
      <c r="BC580" s="1"/>
      <c r="BD580" s="1"/>
      <c r="BE580" s="1"/>
      <c r="BF580" s="1"/>
      <c r="BG580" s="1"/>
      <c r="BH580" s="1"/>
    </row>
    <row r="581" spans="1:60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79"/>
      <c r="AO581" s="79"/>
      <c r="AP581" s="79"/>
      <c r="AQ581" s="79"/>
      <c r="AR581" s="79"/>
      <c r="AS581" s="79"/>
      <c r="AT581" s="79"/>
      <c r="AU581" s="79"/>
      <c r="AV581" s="79"/>
      <c r="AW581" s="79"/>
      <c r="AX581" s="79"/>
      <c r="AY581" s="79"/>
      <c r="AZ581" s="79"/>
      <c r="BA581" s="79"/>
      <c r="BB581" s="1"/>
      <c r="BC581" s="1"/>
      <c r="BD581" s="1"/>
      <c r="BE581" s="1"/>
      <c r="BF581" s="1"/>
      <c r="BG581" s="1"/>
      <c r="BH581" s="1"/>
    </row>
    <row r="582" spans="1:60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79"/>
      <c r="AO582" s="79"/>
      <c r="AP582" s="79"/>
      <c r="AQ582" s="79"/>
      <c r="AR582" s="79"/>
      <c r="AS582" s="79"/>
      <c r="AT582" s="79"/>
      <c r="AU582" s="79"/>
      <c r="AV582" s="79"/>
      <c r="AW582" s="79"/>
      <c r="AX582" s="79"/>
      <c r="AY582" s="79"/>
      <c r="AZ582" s="79"/>
      <c r="BA582" s="79"/>
      <c r="BB582" s="1"/>
      <c r="BC582" s="1"/>
      <c r="BD582" s="1"/>
      <c r="BE582" s="1"/>
      <c r="BF582" s="1"/>
      <c r="BG582" s="1"/>
      <c r="BH582" s="1"/>
    </row>
    <row r="583" spans="1:60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79"/>
      <c r="AO583" s="79"/>
      <c r="AP583" s="79"/>
      <c r="AQ583" s="79"/>
      <c r="AR583" s="79"/>
      <c r="AS583" s="79"/>
      <c r="AT583" s="79"/>
      <c r="AU583" s="79"/>
      <c r="AV583" s="79"/>
      <c r="AW583" s="79"/>
      <c r="AX583" s="79"/>
      <c r="AY583" s="79"/>
      <c r="AZ583" s="79"/>
      <c r="BA583" s="79"/>
      <c r="BB583" s="1"/>
      <c r="BC583" s="1"/>
      <c r="BD583" s="1"/>
      <c r="BE583" s="1"/>
      <c r="BF583" s="1"/>
      <c r="BG583" s="1"/>
      <c r="BH583" s="1"/>
    </row>
    <row r="584" spans="1:60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79"/>
      <c r="AO584" s="79"/>
      <c r="AP584" s="79"/>
      <c r="AQ584" s="79"/>
      <c r="AR584" s="79"/>
      <c r="AS584" s="79"/>
      <c r="AT584" s="79"/>
      <c r="AU584" s="79"/>
      <c r="AV584" s="79"/>
      <c r="AW584" s="79"/>
      <c r="AX584" s="79"/>
      <c r="AY584" s="79"/>
      <c r="AZ584" s="79"/>
      <c r="BA584" s="79"/>
      <c r="BB584" s="1"/>
      <c r="BC584" s="1"/>
      <c r="BD584" s="1"/>
      <c r="BE584" s="1"/>
      <c r="BF584" s="1"/>
      <c r="BG584" s="1"/>
      <c r="BH584" s="1"/>
    </row>
    <row r="585" spans="1:60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79"/>
      <c r="AO585" s="79"/>
      <c r="AP585" s="79"/>
      <c r="AQ585" s="79"/>
      <c r="AR585" s="79"/>
      <c r="AS585" s="79"/>
      <c r="AT585" s="79"/>
      <c r="AU585" s="79"/>
      <c r="AV585" s="79"/>
      <c r="AW585" s="79"/>
      <c r="AX585" s="79"/>
      <c r="AY585" s="79"/>
      <c r="AZ585" s="79"/>
      <c r="BA585" s="79"/>
      <c r="BB585" s="1"/>
      <c r="BC585" s="1"/>
      <c r="BD585" s="1"/>
      <c r="BE585" s="1"/>
      <c r="BF585" s="1"/>
      <c r="BG585" s="1"/>
      <c r="BH585" s="1"/>
    </row>
    <row r="586" spans="1:60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79"/>
      <c r="AO586" s="79"/>
      <c r="AP586" s="79"/>
      <c r="AQ586" s="79"/>
      <c r="AR586" s="79"/>
      <c r="AS586" s="79"/>
      <c r="AT586" s="79"/>
      <c r="AU586" s="79"/>
      <c r="AV586" s="79"/>
      <c r="AW586" s="79"/>
      <c r="AX586" s="79"/>
      <c r="AY586" s="79"/>
      <c r="AZ586" s="79"/>
      <c r="BA586" s="79"/>
      <c r="BB586" s="1"/>
      <c r="BC586" s="1"/>
      <c r="BD586" s="1"/>
      <c r="BE586" s="1"/>
      <c r="BF586" s="1"/>
      <c r="BG586" s="1"/>
      <c r="BH586" s="1"/>
    </row>
    <row r="587" spans="1:60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79"/>
      <c r="AO587" s="79"/>
      <c r="AP587" s="79"/>
      <c r="AQ587" s="79"/>
      <c r="AR587" s="79"/>
      <c r="AS587" s="79"/>
      <c r="AT587" s="79"/>
      <c r="AU587" s="79"/>
      <c r="AV587" s="79"/>
      <c r="AW587" s="79"/>
      <c r="AX587" s="79"/>
      <c r="AY587" s="79"/>
      <c r="AZ587" s="79"/>
      <c r="BA587" s="79"/>
      <c r="BB587" s="1"/>
      <c r="BC587" s="1"/>
      <c r="BD587" s="1"/>
      <c r="BE587" s="1"/>
      <c r="BF587" s="1"/>
      <c r="BG587" s="1"/>
      <c r="BH587" s="1"/>
    </row>
    <row r="588" spans="1:60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79"/>
      <c r="AO588" s="79"/>
      <c r="AP588" s="79"/>
      <c r="AQ588" s="79"/>
      <c r="AR588" s="79"/>
      <c r="AS588" s="79"/>
      <c r="AT588" s="79"/>
      <c r="AU588" s="79"/>
      <c r="AV588" s="79"/>
      <c r="AW588" s="79"/>
      <c r="AX588" s="79"/>
      <c r="AY588" s="79"/>
      <c r="AZ588" s="79"/>
      <c r="BA588" s="79"/>
      <c r="BB588" s="1"/>
      <c r="BC588" s="1"/>
      <c r="BD588" s="1"/>
      <c r="BE588" s="1"/>
      <c r="BF588" s="1"/>
      <c r="BG588" s="1"/>
      <c r="BH588" s="1"/>
    </row>
    <row r="589" spans="1:60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79"/>
      <c r="AO589" s="79"/>
      <c r="AP589" s="79"/>
      <c r="AQ589" s="79"/>
      <c r="AR589" s="79"/>
      <c r="AS589" s="79"/>
      <c r="AT589" s="79"/>
      <c r="AU589" s="79"/>
      <c r="AV589" s="79"/>
      <c r="AW589" s="79"/>
      <c r="AX589" s="79"/>
      <c r="AY589" s="79"/>
      <c r="AZ589" s="79"/>
      <c r="BA589" s="79"/>
      <c r="BB589" s="1"/>
      <c r="BC589" s="1"/>
      <c r="BD589" s="1"/>
      <c r="BE589" s="1"/>
      <c r="BF589" s="1"/>
      <c r="BG589" s="1"/>
      <c r="BH589" s="1"/>
    </row>
    <row r="590" spans="1:60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79"/>
      <c r="AO590" s="79"/>
      <c r="AP590" s="79"/>
      <c r="AQ590" s="79"/>
      <c r="AR590" s="79"/>
      <c r="AS590" s="79"/>
      <c r="AT590" s="79"/>
      <c r="AU590" s="79"/>
      <c r="AV590" s="79"/>
      <c r="AW590" s="79"/>
      <c r="AX590" s="79"/>
      <c r="AY590" s="79"/>
      <c r="AZ590" s="79"/>
      <c r="BA590" s="79"/>
      <c r="BB590" s="1"/>
      <c r="BC590" s="1"/>
      <c r="BD590" s="1"/>
      <c r="BE590" s="1"/>
      <c r="BF590" s="1"/>
      <c r="BG590" s="1"/>
      <c r="BH590" s="1"/>
    </row>
    <row r="591" spans="1:60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79"/>
      <c r="AO591" s="79"/>
      <c r="AP591" s="79"/>
      <c r="AQ591" s="79"/>
      <c r="AR591" s="79"/>
      <c r="AS591" s="79"/>
      <c r="AT591" s="79"/>
      <c r="AU591" s="79"/>
      <c r="AV591" s="79"/>
      <c r="AW591" s="79"/>
      <c r="AX591" s="79"/>
      <c r="AY591" s="79"/>
      <c r="AZ591" s="79"/>
      <c r="BA591" s="79"/>
      <c r="BB591" s="1"/>
      <c r="BC591" s="1"/>
      <c r="BD591" s="1"/>
      <c r="BE591" s="1"/>
      <c r="BF591" s="1"/>
      <c r="BG591" s="1"/>
      <c r="BH591" s="1"/>
    </row>
    <row r="592" spans="1:60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79"/>
      <c r="AO592" s="79"/>
      <c r="AP592" s="79"/>
      <c r="AQ592" s="79"/>
      <c r="AR592" s="79"/>
      <c r="AS592" s="79"/>
      <c r="AT592" s="79"/>
      <c r="AU592" s="79"/>
      <c r="AV592" s="79"/>
      <c r="AW592" s="79"/>
      <c r="AX592" s="79"/>
      <c r="AY592" s="79"/>
      <c r="AZ592" s="79"/>
      <c r="BA592" s="79"/>
      <c r="BB592" s="1"/>
      <c r="BC592" s="1"/>
      <c r="BD592" s="1"/>
      <c r="BE592" s="1"/>
      <c r="BF592" s="1"/>
      <c r="BG592" s="1"/>
      <c r="BH592" s="1"/>
    </row>
    <row r="593" spans="1:60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79"/>
      <c r="AO593" s="79"/>
      <c r="AP593" s="79"/>
      <c r="AQ593" s="79"/>
      <c r="AR593" s="79"/>
      <c r="AS593" s="79"/>
      <c r="AT593" s="79"/>
      <c r="AU593" s="79"/>
      <c r="AV593" s="79"/>
      <c r="AW593" s="79"/>
      <c r="AX593" s="79"/>
      <c r="AY593" s="79"/>
      <c r="AZ593" s="79"/>
      <c r="BA593" s="79"/>
      <c r="BB593" s="1"/>
      <c r="BC593" s="1"/>
      <c r="BD593" s="1"/>
      <c r="BE593" s="1"/>
      <c r="BF593" s="1"/>
      <c r="BG593" s="1"/>
      <c r="BH593" s="1"/>
    </row>
    <row r="594" spans="1:60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79"/>
      <c r="AO594" s="79"/>
      <c r="AP594" s="79"/>
      <c r="AQ594" s="79"/>
      <c r="AR594" s="79"/>
      <c r="AS594" s="79"/>
      <c r="AT594" s="79"/>
      <c r="AU594" s="79"/>
      <c r="AV594" s="79"/>
      <c r="AW594" s="79"/>
      <c r="AX594" s="79"/>
      <c r="AY594" s="79"/>
      <c r="AZ594" s="79"/>
      <c r="BA594" s="79"/>
      <c r="BB594" s="1"/>
      <c r="BC594" s="1"/>
      <c r="BD594" s="1"/>
      <c r="BE594" s="1"/>
      <c r="BF594" s="1"/>
      <c r="BG594" s="1"/>
      <c r="BH594" s="1"/>
    </row>
    <row r="595" spans="1:60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79"/>
      <c r="AO595" s="79"/>
      <c r="AP595" s="79"/>
      <c r="AQ595" s="79"/>
      <c r="AR595" s="79"/>
      <c r="AS595" s="79"/>
      <c r="AT595" s="79"/>
      <c r="AU595" s="79"/>
      <c r="AV595" s="79"/>
      <c r="AW595" s="79"/>
      <c r="AX595" s="79"/>
      <c r="AY595" s="79"/>
      <c r="AZ595" s="79"/>
      <c r="BA595" s="79"/>
      <c r="BB595" s="1"/>
      <c r="BC595" s="1"/>
      <c r="BD595" s="1"/>
      <c r="BE595" s="1"/>
      <c r="BF595" s="1"/>
      <c r="BG595" s="1"/>
      <c r="BH595" s="1"/>
    </row>
    <row r="596" spans="1:60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79"/>
      <c r="AO596" s="79"/>
      <c r="AP596" s="79"/>
      <c r="AQ596" s="79"/>
      <c r="AR596" s="79"/>
      <c r="AS596" s="79"/>
      <c r="AT596" s="79"/>
      <c r="AU596" s="79"/>
      <c r="AV596" s="79"/>
      <c r="AW596" s="79"/>
      <c r="AX596" s="79"/>
      <c r="AY596" s="79"/>
      <c r="AZ596" s="79"/>
      <c r="BA596" s="79"/>
      <c r="BB596" s="1"/>
      <c r="BC596" s="1"/>
      <c r="BD596" s="1"/>
      <c r="BE596" s="1"/>
      <c r="BF596" s="1"/>
      <c r="BG596" s="1"/>
      <c r="BH596" s="1"/>
    </row>
    <row r="597" spans="1:60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79"/>
      <c r="AO597" s="79"/>
      <c r="AP597" s="79"/>
      <c r="AQ597" s="79"/>
      <c r="AR597" s="79"/>
      <c r="AS597" s="79"/>
      <c r="AT597" s="79"/>
      <c r="AU597" s="79"/>
      <c r="AV597" s="79"/>
      <c r="AW597" s="79"/>
      <c r="AX597" s="79"/>
      <c r="AY597" s="79"/>
      <c r="AZ597" s="79"/>
      <c r="BA597" s="79"/>
      <c r="BB597" s="1"/>
      <c r="BC597" s="1"/>
      <c r="BD597" s="1"/>
      <c r="BE597" s="1"/>
      <c r="BF597" s="1"/>
      <c r="BG597" s="1"/>
      <c r="BH597" s="1"/>
    </row>
    <row r="598" spans="1:60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79"/>
      <c r="AO598" s="79"/>
      <c r="AP598" s="79"/>
      <c r="AQ598" s="79"/>
      <c r="AR598" s="79"/>
      <c r="AS598" s="79"/>
      <c r="AT598" s="79"/>
      <c r="AU598" s="79"/>
      <c r="AV598" s="79"/>
      <c r="AW598" s="79"/>
      <c r="AX598" s="79"/>
      <c r="AY598" s="79"/>
      <c r="AZ598" s="79"/>
      <c r="BA598" s="79"/>
      <c r="BB598" s="1"/>
      <c r="BC598" s="1"/>
      <c r="BD598" s="1"/>
      <c r="BE598" s="1"/>
      <c r="BF598" s="1"/>
      <c r="BG598" s="1"/>
      <c r="BH598" s="1"/>
    </row>
    <row r="599" spans="1:60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79"/>
      <c r="AO599" s="79"/>
      <c r="AP599" s="79"/>
      <c r="AQ599" s="79"/>
      <c r="AR599" s="79"/>
      <c r="AS599" s="79"/>
      <c r="AT599" s="79"/>
      <c r="AU599" s="79"/>
      <c r="AV599" s="79"/>
      <c r="AW599" s="79"/>
      <c r="AX599" s="79"/>
      <c r="AY599" s="79"/>
      <c r="AZ599" s="79"/>
      <c r="BA599" s="79"/>
      <c r="BB599" s="1"/>
      <c r="BC599" s="1"/>
      <c r="BD599" s="1"/>
      <c r="BE599" s="1"/>
      <c r="BF599" s="1"/>
      <c r="BG599" s="1"/>
      <c r="BH599" s="1"/>
    </row>
    <row r="600" spans="1:60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79"/>
      <c r="AO600" s="79"/>
      <c r="AP600" s="79"/>
      <c r="AQ600" s="79"/>
      <c r="AR600" s="79"/>
      <c r="AS600" s="79"/>
      <c r="AT600" s="79"/>
      <c r="AU600" s="79"/>
      <c r="AV600" s="79"/>
      <c r="AW600" s="79"/>
      <c r="AX600" s="79"/>
      <c r="AY600" s="79"/>
      <c r="AZ600" s="79"/>
      <c r="BA600" s="79"/>
      <c r="BB600" s="1"/>
      <c r="BC600" s="1"/>
      <c r="BD600" s="1"/>
      <c r="BE600" s="1"/>
      <c r="BF600" s="1"/>
      <c r="BG600" s="1"/>
      <c r="BH600" s="1"/>
    </row>
    <row r="601" spans="1:60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79"/>
      <c r="AO601" s="79"/>
      <c r="AP601" s="79"/>
      <c r="AQ601" s="79"/>
      <c r="AR601" s="79"/>
      <c r="AS601" s="79"/>
      <c r="AT601" s="79"/>
      <c r="AU601" s="79"/>
      <c r="AV601" s="79"/>
      <c r="AW601" s="79"/>
      <c r="AX601" s="79"/>
      <c r="AY601" s="79"/>
      <c r="AZ601" s="79"/>
      <c r="BA601" s="79"/>
      <c r="BB601" s="1"/>
      <c r="BC601" s="1"/>
      <c r="BD601" s="1"/>
      <c r="BE601" s="1"/>
      <c r="BF601" s="1"/>
      <c r="BG601" s="1"/>
      <c r="BH601" s="1"/>
    </row>
    <row r="602" spans="1:60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79"/>
      <c r="AO602" s="79"/>
      <c r="AP602" s="79"/>
      <c r="AQ602" s="79"/>
      <c r="AR602" s="79"/>
      <c r="AS602" s="79"/>
      <c r="AT602" s="79"/>
      <c r="AU602" s="79"/>
      <c r="AV602" s="79"/>
      <c r="AW602" s="79"/>
      <c r="AX602" s="79"/>
      <c r="AY602" s="79"/>
      <c r="AZ602" s="79"/>
      <c r="BA602" s="79"/>
      <c r="BB602" s="1"/>
      <c r="BC602" s="1"/>
      <c r="BD602" s="1"/>
      <c r="BE602" s="1"/>
      <c r="BF602" s="1"/>
      <c r="BG602" s="1"/>
      <c r="BH602" s="1"/>
    </row>
    <row r="603" spans="1:60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79"/>
      <c r="AO603" s="79"/>
      <c r="AP603" s="79"/>
      <c r="AQ603" s="79"/>
      <c r="AR603" s="79"/>
      <c r="AS603" s="79"/>
      <c r="AT603" s="79"/>
      <c r="AU603" s="79"/>
      <c r="AV603" s="79"/>
      <c r="AW603" s="79"/>
      <c r="AX603" s="79"/>
      <c r="AY603" s="79"/>
      <c r="AZ603" s="79"/>
      <c r="BA603" s="79"/>
      <c r="BB603" s="1"/>
      <c r="BC603" s="1"/>
      <c r="BD603" s="1"/>
      <c r="BE603" s="1"/>
      <c r="BF603" s="1"/>
      <c r="BG603" s="1"/>
      <c r="BH603" s="1"/>
    </row>
    <row r="604" spans="1:60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79"/>
      <c r="AO604" s="79"/>
      <c r="AP604" s="79"/>
      <c r="AQ604" s="79"/>
      <c r="AR604" s="79"/>
      <c r="AS604" s="79"/>
      <c r="AT604" s="79"/>
      <c r="AU604" s="79"/>
      <c r="AV604" s="79"/>
      <c r="AW604" s="79"/>
      <c r="AX604" s="79"/>
      <c r="AY604" s="79"/>
      <c r="AZ604" s="79"/>
      <c r="BA604" s="79"/>
      <c r="BB604" s="1"/>
      <c r="BC604" s="1"/>
      <c r="BD604" s="1"/>
      <c r="BE604" s="1"/>
      <c r="BF604" s="1"/>
      <c r="BG604" s="1"/>
      <c r="BH604" s="1"/>
    </row>
    <row r="605" spans="1:60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79"/>
      <c r="AO605" s="79"/>
      <c r="AP605" s="79"/>
      <c r="AQ605" s="79"/>
      <c r="AR605" s="79"/>
      <c r="AS605" s="79"/>
      <c r="AT605" s="79"/>
      <c r="AU605" s="79"/>
      <c r="AV605" s="79"/>
      <c r="AW605" s="79"/>
      <c r="AX605" s="79"/>
      <c r="AY605" s="79"/>
      <c r="AZ605" s="79"/>
      <c r="BA605" s="79"/>
      <c r="BB605" s="1"/>
      <c r="BC605" s="1"/>
      <c r="BD605" s="1"/>
      <c r="BE605" s="1"/>
      <c r="BF605" s="1"/>
      <c r="BG605" s="1"/>
      <c r="BH605" s="1"/>
    </row>
    <row r="606" spans="1:60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79"/>
      <c r="AO606" s="79"/>
      <c r="AP606" s="79"/>
      <c r="AQ606" s="79"/>
      <c r="AR606" s="79"/>
      <c r="AS606" s="79"/>
      <c r="AT606" s="79"/>
      <c r="AU606" s="79"/>
      <c r="AV606" s="79"/>
      <c r="AW606" s="79"/>
      <c r="AX606" s="79"/>
      <c r="AY606" s="79"/>
      <c r="AZ606" s="79"/>
      <c r="BA606" s="79"/>
      <c r="BB606" s="1"/>
      <c r="BC606" s="1"/>
      <c r="BD606" s="1"/>
      <c r="BE606" s="1"/>
      <c r="BF606" s="1"/>
      <c r="BG606" s="1"/>
      <c r="BH606" s="1"/>
    </row>
    <row r="607" spans="1:60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79"/>
      <c r="AO607" s="79"/>
      <c r="AP607" s="79"/>
      <c r="AQ607" s="79"/>
      <c r="AR607" s="79"/>
      <c r="AS607" s="79"/>
      <c r="AT607" s="79"/>
      <c r="AU607" s="79"/>
      <c r="AV607" s="79"/>
      <c r="AW607" s="79"/>
      <c r="AX607" s="79"/>
      <c r="AY607" s="79"/>
      <c r="AZ607" s="79"/>
      <c r="BA607" s="79"/>
      <c r="BB607" s="1"/>
      <c r="BC607" s="1"/>
      <c r="BD607" s="1"/>
      <c r="BE607" s="1"/>
      <c r="BF607" s="1"/>
      <c r="BG607" s="1"/>
      <c r="BH607" s="1"/>
    </row>
    <row r="608" spans="1:60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79"/>
      <c r="AO608" s="79"/>
      <c r="AP608" s="79"/>
      <c r="AQ608" s="79"/>
      <c r="AR608" s="79"/>
      <c r="AS608" s="79"/>
      <c r="AT608" s="79"/>
      <c r="AU608" s="79"/>
      <c r="AV608" s="79"/>
      <c r="AW608" s="79"/>
      <c r="AX608" s="79"/>
      <c r="AY608" s="79"/>
      <c r="AZ608" s="79"/>
      <c r="BA608" s="79"/>
      <c r="BB608" s="1"/>
      <c r="BC608" s="1"/>
      <c r="BD608" s="1"/>
      <c r="BE608" s="1"/>
      <c r="BF608" s="1"/>
      <c r="BG608" s="1"/>
      <c r="BH608" s="1"/>
    </row>
    <row r="609" spans="1:60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79"/>
      <c r="AO609" s="79"/>
      <c r="AP609" s="79"/>
      <c r="AQ609" s="79"/>
      <c r="AR609" s="79"/>
      <c r="AS609" s="79"/>
      <c r="AT609" s="79"/>
      <c r="AU609" s="79"/>
      <c r="AV609" s="79"/>
      <c r="AW609" s="79"/>
      <c r="AX609" s="79"/>
      <c r="AY609" s="79"/>
      <c r="AZ609" s="79"/>
      <c r="BA609" s="79"/>
      <c r="BB609" s="1"/>
      <c r="BC609" s="1"/>
      <c r="BD609" s="1"/>
      <c r="BE609" s="1"/>
      <c r="BF609" s="1"/>
      <c r="BG609" s="1"/>
      <c r="BH609" s="1"/>
    </row>
    <row r="610" spans="1:60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79"/>
      <c r="AO610" s="79"/>
      <c r="AP610" s="79"/>
      <c r="AQ610" s="79"/>
      <c r="AR610" s="79"/>
      <c r="AS610" s="79"/>
      <c r="AT610" s="79"/>
      <c r="AU610" s="79"/>
      <c r="AV610" s="79"/>
      <c r="AW610" s="79"/>
      <c r="AX610" s="79"/>
      <c r="AY610" s="79"/>
      <c r="AZ610" s="79"/>
      <c r="BA610" s="79"/>
      <c r="BB610" s="1"/>
      <c r="BC610" s="1"/>
      <c r="BD610" s="1"/>
      <c r="BE610" s="1"/>
      <c r="BF610" s="1"/>
      <c r="BG610" s="1"/>
      <c r="BH610" s="1"/>
    </row>
    <row r="611" spans="1:60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79"/>
      <c r="AO611" s="79"/>
      <c r="AP611" s="79"/>
      <c r="AQ611" s="79"/>
      <c r="AR611" s="79"/>
      <c r="AS611" s="79"/>
      <c r="AT611" s="79"/>
      <c r="AU611" s="79"/>
      <c r="AV611" s="79"/>
      <c r="AW611" s="79"/>
      <c r="AX611" s="79"/>
      <c r="AY611" s="79"/>
      <c r="AZ611" s="79"/>
      <c r="BA611" s="79"/>
      <c r="BB611" s="1"/>
      <c r="BC611" s="1"/>
      <c r="BD611" s="1"/>
      <c r="BE611" s="1"/>
      <c r="BF611" s="1"/>
      <c r="BG611" s="1"/>
      <c r="BH611" s="1"/>
    </row>
    <row r="612" spans="1:60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79"/>
      <c r="AO612" s="79"/>
      <c r="AP612" s="79"/>
      <c r="AQ612" s="79"/>
      <c r="AR612" s="79"/>
      <c r="AS612" s="79"/>
      <c r="AT612" s="79"/>
      <c r="AU612" s="79"/>
      <c r="AV612" s="79"/>
      <c r="AW612" s="79"/>
      <c r="AX612" s="79"/>
      <c r="AY612" s="79"/>
      <c r="AZ612" s="79"/>
      <c r="BA612" s="79"/>
      <c r="BB612" s="1"/>
      <c r="BC612" s="1"/>
      <c r="BD612" s="1"/>
      <c r="BE612" s="1"/>
      <c r="BF612" s="1"/>
      <c r="BG612" s="1"/>
      <c r="BH612" s="1"/>
    </row>
    <row r="613" spans="1:60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79"/>
      <c r="AO613" s="79"/>
      <c r="AP613" s="79"/>
      <c r="AQ613" s="79"/>
      <c r="AR613" s="79"/>
      <c r="AS613" s="79"/>
      <c r="AT613" s="79"/>
      <c r="AU613" s="79"/>
      <c r="AV613" s="79"/>
      <c r="AW613" s="79"/>
      <c r="AX613" s="79"/>
      <c r="AY613" s="79"/>
      <c r="AZ613" s="79"/>
      <c r="BA613" s="79"/>
      <c r="BB613" s="1"/>
      <c r="BC613" s="1"/>
      <c r="BD613" s="1"/>
      <c r="BE613" s="1"/>
      <c r="BF613" s="1"/>
      <c r="BG613" s="1"/>
      <c r="BH613" s="1"/>
    </row>
    <row r="614" spans="1:60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79"/>
      <c r="AO614" s="79"/>
      <c r="AP614" s="79"/>
      <c r="AQ614" s="79"/>
      <c r="AR614" s="79"/>
      <c r="AS614" s="79"/>
      <c r="AT614" s="79"/>
      <c r="AU614" s="79"/>
      <c r="AV614" s="79"/>
      <c r="AW614" s="79"/>
      <c r="AX614" s="79"/>
      <c r="AY614" s="79"/>
      <c r="AZ614" s="79"/>
      <c r="BA614" s="79"/>
      <c r="BB614" s="1"/>
      <c r="BC614" s="1"/>
      <c r="BD614" s="1"/>
      <c r="BE614" s="1"/>
      <c r="BF614" s="1"/>
      <c r="BG614" s="1"/>
      <c r="BH614" s="1"/>
    </row>
    <row r="615" spans="1:60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79"/>
      <c r="AO615" s="79"/>
      <c r="AP615" s="79"/>
      <c r="AQ615" s="79"/>
      <c r="AR615" s="79"/>
      <c r="AS615" s="79"/>
      <c r="AT615" s="79"/>
      <c r="AU615" s="79"/>
      <c r="AV615" s="79"/>
      <c r="AW615" s="79"/>
      <c r="AX615" s="79"/>
      <c r="AY615" s="79"/>
      <c r="AZ615" s="79"/>
      <c r="BA615" s="79"/>
      <c r="BB615" s="1"/>
      <c r="BC615" s="1"/>
      <c r="BD615" s="1"/>
      <c r="BE615" s="1"/>
      <c r="BF615" s="1"/>
      <c r="BG615" s="1"/>
      <c r="BH615" s="1"/>
    </row>
    <row r="616" spans="1:60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79"/>
      <c r="AO616" s="79"/>
      <c r="AP616" s="79"/>
      <c r="AQ616" s="79"/>
      <c r="AR616" s="79"/>
      <c r="AS616" s="79"/>
      <c r="AT616" s="79"/>
      <c r="AU616" s="79"/>
      <c r="AV616" s="79"/>
      <c r="AW616" s="79"/>
      <c r="AX616" s="79"/>
      <c r="AY616" s="79"/>
      <c r="AZ616" s="79"/>
      <c r="BA616" s="79"/>
      <c r="BB616" s="1"/>
      <c r="BC616" s="1"/>
      <c r="BD616" s="1"/>
      <c r="BE616" s="1"/>
      <c r="BF616" s="1"/>
      <c r="BG616" s="1"/>
      <c r="BH616" s="1"/>
    </row>
    <row r="617" spans="1:60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79"/>
      <c r="AO617" s="79"/>
      <c r="AP617" s="79"/>
      <c r="AQ617" s="79"/>
      <c r="AR617" s="79"/>
      <c r="AS617" s="79"/>
      <c r="AT617" s="79"/>
      <c r="AU617" s="79"/>
      <c r="AV617" s="79"/>
      <c r="AW617" s="79"/>
      <c r="AX617" s="79"/>
      <c r="AY617" s="79"/>
      <c r="AZ617" s="79"/>
      <c r="BA617" s="79"/>
      <c r="BB617" s="1"/>
      <c r="BC617" s="1"/>
      <c r="BD617" s="1"/>
      <c r="BE617" s="1"/>
      <c r="BF617" s="1"/>
      <c r="BG617" s="1"/>
      <c r="BH617" s="1"/>
    </row>
    <row r="618" spans="1:60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79"/>
      <c r="AO618" s="79"/>
      <c r="AP618" s="79"/>
      <c r="AQ618" s="79"/>
      <c r="AR618" s="79"/>
      <c r="AS618" s="79"/>
      <c r="AT618" s="79"/>
      <c r="AU618" s="79"/>
      <c r="AV618" s="79"/>
      <c r="AW618" s="79"/>
      <c r="AX618" s="79"/>
      <c r="AY618" s="79"/>
      <c r="AZ618" s="79"/>
      <c r="BA618" s="79"/>
      <c r="BB618" s="1"/>
      <c r="BC618" s="1"/>
      <c r="BD618" s="1"/>
      <c r="BE618" s="1"/>
      <c r="BF618" s="1"/>
      <c r="BG618" s="1"/>
      <c r="BH618" s="1"/>
    </row>
    <row r="619" spans="1:60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79"/>
      <c r="AO619" s="79"/>
      <c r="AP619" s="79"/>
      <c r="AQ619" s="79"/>
      <c r="AR619" s="79"/>
      <c r="AS619" s="79"/>
      <c r="AT619" s="79"/>
      <c r="AU619" s="79"/>
      <c r="AV619" s="79"/>
      <c r="AW619" s="79"/>
      <c r="AX619" s="79"/>
      <c r="AY619" s="79"/>
      <c r="AZ619" s="79"/>
      <c r="BA619" s="79"/>
      <c r="BB619" s="1"/>
      <c r="BC619" s="1"/>
      <c r="BD619" s="1"/>
      <c r="BE619" s="1"/>
      <c r="BF619" s="1"/>
      <c r="BG619" s="1"/>
      <c r="BH619" s="1"/>
    </row>
    <row r="620" spans="1:60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79"/>
      <c r="AO620" s="79"/>
      <c r="AP620" s="79"/>
      <c r="AQ620" s="79"/>
      <c r="AR620" s="79"/>
      <c r="AS620" s="79"/>
      <c r="AT620" s="79"/>
      <c r="AU620" s="79"/>
      <c r="AV620" s="79"/>
      <c r="AW620" s="79"/>
      <c r="AX620" s="79"/>
      <c r="AY620" s="79"/>
      <c r="AZ620" s="79"/>
      <c r="BA620" s="79"/>
      <c r="BB620" s="1"/>
      <c r="BC620" s="1"/>
      <c r="BD620" s="1"/>
      <c r="BE620" s="1"/>
      <c r="BF620" s="1"/>
      <c r="BG620" s="1"/>
      <c r="BH620" s="1"/>
    </row>
    <row r="621" spans="1:60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79"/>
      <c r="AO621" s="79"/>
      <c r="AP621" s="79"/>
      <c r="AQ621" s="79"/>
      <c r="AR621" s="79"/>
      <c r="AS621" s="79"/>
      <c r="AT621" s="79"/>
      <c r="AU621" s="79"/>
      <c r="AV621" s="79"/>
      <c r="AW621" s="79"/>
      <c r="AX621" s="79"/>
      <c r="AY621" s="79"/>
      <c r="AZ621" s="79"/>
      <c r="BA621" s="79"/>
      <c r="BB621" s="1"/>
      <c r="BC621" s="1"/>
      <c r="BD621" s="1"/>
      <c r="BE621" s="1"/>
      <c r="BF621" s="1"/>
      <c r="BG621" s="1"/>
      <c r="BH621" s="1"/>
    </row>
    <row r="622" spans="1:60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79"/>
      <c r="AO622" s="79"/>
      <c r="AP622" s="79"/>
      <c r="AQ622" s="79"/>
      <c r="AR622" s="79"/>
      <c r="AS622" s="79"/>
      <c r="AT622" s="79"/>
      <c r="AU622" s="79"/>
      <c r="AV622" s="79"/>
      <c r="AW622" s="79"/>
      <c r="AX622" s="79"/>
      <c r="AY622" s="79"/>
      <c r="AZ622" s="79"/>
      <c r="BA622" s="79"/>
      <c r="BB622" s="1"/>
      <c r="BC622" s="1"/>
      <c r="BD622" s="1"/>
      <c r="BE622" s="1"/>
      <c r="BF622" s="1"/>
      <c r="BG622" s="1"/>
      <c r="BH622" s="1"/>
    </row>
    <row r="623" spans="1:60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79"/>
      <c r="AO623" s="79"/>
      <c r="AP623" s="79"/>
      <c r="AQ623" s="79"/>
      <c r="AR623" s="79"/>
      <c r="AS623" s="79"/>
      <c r="AT623" s="79"/>
      <c r="AU623" s="79"/>
      <c r="AV623" s="79"/>
      <c r="AW623" s="79"/>
      <c r="AX623" s="79"/>
      <c r="AY623" s="79"/>
      <c r="AZ623" s="79"/>
      <c r="BA623" s="79"/>
      <c r="BB623" s="1"/>
      <c r="BC623" s="1"/>
      <c r="BD623" s="1"/>
      <c r="BE623" s="1"/>
      <c r="BF623" s="1"/>
      <c r="BG623" s="1"/>
      <c r="BH623" s="1"/>
    </row>
    <row r="624" spans="1:60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79"/>
      <c r="AO624" s="79"/>
      <c r="AP624" s="79"/>
      <c r="AQ624" s="79"/>
      <c r="AR624" s="79"/>
      <c r="AS624" s="79"/>
      <c r="AT624" s="79"/>
      <c r="AU624" s="79"/>
      <c r="AV624" s="79"/>
      <c r="AW624" s="79"/>
      <c r="AX624" s="79"/>
      <c r="AY624" s="79"/>
      <c r="AZ624" s="79"/>
      <c r="BA624" s="79"/>
      <c r="BB624" s="1"/>
      <c r="BC624" s="1"/>
      <c r="BD624" s="1"/>
      <c r="BE624" s="1"/>
      <c r="BF624" s="1"/>
      <c r="BG624" s="1"/>
      <c r="BH624" s="1"/>
    </row>
    <row r="625" spans="1:60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79"/>
      <c r="AO625" s="79"/>
      <c r="AP625" s="79"/>
      <c r="AQ625" s="79"/>
      <c r="AR625" s="79"/>
      <c r="AS625" s="79"/>
      <c r="AT625" s="79"/>
      <c r="AU625" s="79"/>
      <c r="AV625" s="79"/>
      <c r="AW625" s="79"/>
      <c r="AX625" s="79"/>
      <c r="AY625" s="79"/>
      <c r="AZ625" s="79"/>
      <c r="BA625" s="79"/>
      <c r="BB625" s="1"/>
      <c r="BC625" s="1"/>
      <c r="BD625" s="1"/>
      <c r="BE625" s="1"/>
      <c r="BF625" s="1"/>
      <c r="BG625" s="1"/>
      <c r="BH625" s="1"/>
    </row>
    <row r="626" spans="1:60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79"/>
      <c r="AO626" s="79"/>
      <c r="AP626" s="79"/>
      <c r="AQ626" s="79"/>
      <c r="AR626" s="79"/>
      <c r="AS626" s="79"/>
      <c r="AT626" s="79"/>
      <c r="AU626" s="79"/>
      <c r="AV626" s="79"/>
      <c r="AW626" s="79"/>
      <c r="AX626" s="79"/>
      <c r="AY626" s="79"/>
      <c r="AZ626" s="79"/>
      <c r="BA626" s="79"/>
      <c r="BB626" s="1"/>
      <c r="BC626" s="1"/>
      <c r="BD626" s="1"/>
      <c r="BE626" s="1"/>
      <c r="BF626" s="1"/>
      <c r="BG626" s="1"/>
      <c r="BH626" s="1"/>
    </row>
    <row r="627" spans="1:60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79"/>
      <c r="AO627" s="79"/>
      <c r="AP627" s="79"/>
      <c r="AQ627" s="79"/>
      <c r="AR627" s="79"/>
      <c r="AS627" s="79"/>
      <c r="AT627" s="79"/>
      <c r="AU627" s="79"/>
      <c r="AV627" s="79"/>
      <c r="AW627" s="79"/>
      <c r="AX627" s="79"/>
      <c r="AY627" s="79"/>
      <c r="AZ627" s="79"/>
      <c r="BA627" s="79"/>
      <c r="BB627" s="1"/>
      <c r="BC627" s="1"/>
      <c r="BD627" s="1"/>
      <c r="BE627" s="1"/>
      <c r="BF627" s="1"/>
      <c r="BG627" s="1"/>
      <c r="BH627" s="1"/>
    </row>
    <row r="628" spans="1:60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79"/>
      <c r="AO628" s="79"/>
      <c r="AP628" s="79"/>
      <c r="AQ628" s="79"/>
      <c r="AR628" s="79"/>
      <c r="AS628" s="79"/>
      <c r="AT628" s="79"/>
      <c r="AU628" s="79"/>
      <c r="AV628" s="79"/>
      <c r="AW628" s="79"/>
      <c r="AX628" s="79"/>
      <c r="AY628" s="79"/>
      <c r="AZ628" s="79"/>
      <c r="BA628" s="79"/>
      <c r="BB628" s="1"/>
      <c r="BC628" s="1"/>
      <c r="BD628" s="1"/>
      <c r="BE628" s="1"/>
      <c r="BF628" s="1"/>
      <c r="BG628" s="1"/>
      <c r="BH628" s="1"/>
    </row>
    <row r="629" spans="1:60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79"/>
      <c r="AO629" s="79"/>
      <c r="AP629" s="79"/>
      <c r="AQ629" s="79"/>
      <c r="AR629" s="79"/>
      <c r="AS629" s="79"/>
      <c r="AT629" s="79"/>
      <c r="AU629" s="79"/>
      <c r="AV629" s="79"/>
      <c r="AW629" s="79"/>
      <c r="AX629" s="79"/>
      <c r="AY629" s="79"/>
      <c r="AZ629" s="79"/>
      <c r="BA629" s="79"/>
      <c r="BB629" s="1"/>
      <c r="BC629" s="1"/>
      <c r="BD629" s="1"/>
      <c r="BE629" s="1"/>
      <c r="BF629" s="1"/>
      <c r="BG629" s="1"/>
      <c r="BH629" s="1"/>
    </row>
    <row r="630" spans="1:60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79"/>
      <c r="AO630" s="79"/>
      <c r="AP630" s="79"/>
      <c r="AQ630" s="79"/>
      <c r="AR630" s="79"/>
      <c r="AS630" s="79"/>
      <c r="AT630" s="79"/>
      <c r="AU630" s="79"/>
      <c r="AV630" s="79"/>
      <c r="AW630" s="79"/>
      <c r="AX630" s="79"/>
      <c r="AY630" s="79"/>
      <c r="AZ630" s="79"/>
      <c r="BA630" s="79"/>
      <c r="BB630" s="1"/>
      <c r="BC630" s="1"/>
      <c r="BD630" s="1"/>
      <c r="BE630" s="1"/>
      <c r="BF630" s="1"/>
      <c r="BG630" s="1"/>
      <c r="BH630" s="1"/>
    </row>
    <row r="631" spans="1:60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79"/>
      <c r="AO631" s="79"/>
      <c r="AP631" s="79"/>
      <c r="AQ631" s="79"/>
      <c r="AR631" s="79"/>
      <c r="AS631" s="79"/>
      <c r="AT631" s="79"/>
      <c r="AU631" s="79"/>
      <c r="AV631" s="79"/>
      <c r="AW631" s="79"/>
      <c r="AX631" s="79"/>
      <c r="AY631" s="79"/>
      <c r="AZ631" s="79"/>
      <c r="BA631" s="79"/>
      <c r="BB631" s="1"/>
      <c r="BC631" s="1"/>
      <c r="BD631" s="1"/>
      <c r="BE631" s="1"/>
      <c r="BF631" s="1"/>
      <c r="BG631" s="1"/>
      <c r="BH631" s="1"/>
    </row>
    <row r="632" spans="1:60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79"/>
      <c r="AO632" s="79"/>
      <c r="AP632" s="79"/>
      <c r="AQ632" s="79"/>
      <c r="AR632" s="79"/>
      <c r="AS632" s="79"/>
      <c r="AT632" s="79"/>
      <c r="AU632" s="79"/>
      <c r="AV632" s="79"/>
      <c r="AW632" s="79"/>
      <c r="AX632" s="79"/>
      <c r="AY632" s="79"/>
      <c r="AZ632" s="79"/>
      <c r="BA632" s="79"/>
      <c r="BB632" s="1"/>
      <c r="BC632" s="1"/>
      <c r="BD632" s="1"/>
      <c r="BE632" s="1"/>
      <c r="BF632" s="1"/>
      <c r="BG632" s="1"/>
      <c r="BH632" s="1"/>
    </row>
    <row r="633" spans="1:60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79"/>
      <c r="AO633" s="79"/>
      <c r="AP633" s="79"/>
      <c r="AQ633" s="79"/>
      <c r="AR633" s="79"/>
      <c r="AS633" s="79"/>
      <c r="AT633" s="79"/>
      <c r="AU633" s="79"/>
      <c r="AV633" s="79"/>
      <c r="AW633" s="79"/>
      <c r="AX633" s="79"/>
      <c r="AY633" s="79"/>
      <c r="AZ633" s="79"/>
      <c r="BA633" s="79"/>
      <c r="BB633" s="1"/>
      <c r="BC633" s="1"/>
      <c r="BD633" s="1"/>
      <c r="BE633" s="1"/>
      <c r="BF633" s="1"/>
      <c r="BG633" s="1"/>
      <c r="BH633" s="1"/>
    </row>
    <row r="634" spans="1:60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79"/>
      <c r="AO634" s="79"/>
      <c r="AP634" s="79"/>
      <c r="AQ634" s="79"/>
      <c r="AR634" s="79"/>
      <c r="AS634" s="79"/>
      <c r="AT634" s="79"/>
      <c r="AU634" s="79"/>
      <c r="AV634" s="79"/>
      <c r="AW634" s="79"/>
      <c r="AX634" s="79"/>
      <c r="AY634" s="79"/>
      <c r="AZ634" s="79"/>
      <c r="BA634" s="79"/>
      <c r="BB634" s="1"/>
      <c r="BC634" s="1"/>
      <c r="BD634" s="1"/>
      <c r="BE634" s="1"/>
      <c r="BF634" s="1"/>
      <c r="BG634" s="1"/>
      <c r="BH634" s="1"/>
    </row>
    <row r="635" spans="1:60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79"/>
      <c r="AO635" s="79"/>
      <c r="AP635" s="79"/>
      <c r="AQ635" s="79"/>
      <c r="AR635" s="79"/>
      <c r="AS635" s="79"/>
      <c r="AT635" s="79"/>
      <c r="AU635" s="79"/>
      <c r="AV635" s="79"/>
      <c r="AW635" s="79"/>
      <c r="AX635" s="79"/>
      <c r="AY635" s="79"/>
      <c r="AZ635" s="79"/>
      <c r="BA635" s="79"/>
      <c r="BB635" s="1"/>
      <c r="BC635" s="1"/>
      <c r="BD635" s="1"/>
      <c r="BE635" s="1"/>
      <c r="BF635" s="1"/>
      <c r="BG635" s="1"/>
      <c r="BH635" s="1"/>
    </row>
    <row r="636" spans="1:60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79"/>
      <c r="AO636" s="79"/>
      <c r="AP636" s="79"/>
      <c r="AQ636" s="79"/>
      <c r="AR636" s="79"/>
      <c r="AS636" s="79"/>
      <c r="AT636" s="79"/>
      <c r="AU636" s="79"/>
      <c r="AV636" s="79"/>
      <c r="AW636" s="79"/>
      <c r="AX636" s="79"/>
      <c r="AY636" s="79"/>
      <c r="AZ636" s="79"/>
      <c r="BA636" s="79"/>
      <c r="BB636" s="1"/>
      <c r="BC636" s="1"/>
      <c r="BD636" s="1"/>
      <c r="BE636" s="1"/>
      <c r="BF636" s="1"/>
      <c r="BG636" s="1"/>
      <c r="BH636" s="1"/>
    </row>
    <row r="637" spans="1:60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79"/>
      <c r="AO637" s="79"/>
      <c r="AP637" s="79"/>
      <c r="AQ637" s="79"/>
      <c r="AR637" s="79"/>
      <c r="AS637" s="79"/>
      <c r="AT637" s="79"/>
      <c r="AU637" s="79"/>
      <c r="AV637" s="79"/>
      <c r="AW637" s="79"/>
      <c r="AX637" s="79"/>
      <c r="AY637" s="79"/>
      <c r="AZ637" s="79"/>
      <c r="BA637" s="79"/>
      <c r="BB637" s="1"/>
      <c r="BC637" s="1"/>
      <c r="BD637" s="1"/>
      <c r="BE637" s="1"/>
      <c r="BF637" s="1"/>
      <c r="BG637" s="1"/>
      <c r="BH637" s="1"/>
    </row>
    <row r="638" spans="1:60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79"/>
      <c r="AO638" s="79"/>
      <c r="AP638" s="79"/>
      <c r="AQ638" s="79"/>
      <c r="AR638" s="79"/>
      <c r="AS638" s="79"/>
      <c r="AT638" s="79"/>
      <c r="AU638" s="79"/>
      <c r="AV638" s="79"/>
      <c r="AW638" s="79"/>
      <c r="AX638" s="79"/>
      <c r="AY638" s="79"/>
      <c r="AZ638" s="79"/>
      <c r="BA638" s="79"/>
      <c r="BB638" s="1"/>
      <c r="BC638" s="1"/>
      <c r="BD638" s="1"/>
      <c r="BE638" s="1"/>
      <c r="BF638" s="1"/>
      <c r="BG638" s="1"/>
      <c r="BH638" s="1"/>
    </row>
    <row r="639" spans="1:60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79"/>
      <c r="AO639" s="79"/>
      <c r="AP639" s="79"/>
      <c r="AQ639" s="79"/>
      <c r="AR639" s="79"/>
      <c r="AS639" s="79"/>
      <c r="AT639" s="79"/>
      <c r="AU639" s="79"/>
      <c r="AV639" s="79"/>
      <c r="AW639" s="79"/>
      <c r="AX639" s="79"/>
      <c r="AY639" s="79"/>
      <c r="AZ639" s="79"/>
      <c r="BA639" s="79"/>
      <c r="BB639" s="1"/>
      <c r="BC639" s="1"/>
      <c r="BD639" s="1"/>
      <c r="BE639" s="1"/>
      <c r="BF639" s="1"/>
      <c r="BG639" s="1"/>
      <c r="BH639" s="1"/>
    </row>
    <row r="640" spans="1:60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79"/>
      <c r="AO640" s="79"/>
      <c r="AP640" s="79"/>
      <c r="AQ640" s="79"/>
      <c r="AR640" s="79"/>
      <c r="AS640" s="79"/>
      <c r="AT640" s="79"/>
      <c r="AU640" s="79"/>
      <c r="AV640" s="79"/>
      <c r="AW640" s="79"/>
      <c r="AX640" s="79"/>
      <c r="AY640" s="79"/>
      <c r="AZ640" s="79"/>
      <c r="BA640" s="79"/>
      <c r="BB640" s="1"/>
      <c r="BC640" s="1"/>
      <c r="BD640" s="1"/>
      <c r="BE640" s="1"/>
      <c r="BF640" s="1"/>
      <c r="BG640" s="1"/>
      <c r="BH640" s="1"/>
    </row>
    <row r="641" spans="1:60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79"/>
      <c r="AO641" s="79"/>
      <c r="AP641" s="79"/>
      <c r="AQ641" s="79"/>
      <c r="AR641" s="79"/>
      <c r="AS641" s="79"/>
      <c r="AT641" s="79"/>
      <c r="AU641" s="79"/>
      <c r="AV641" s="79"/>
      <c r="AW641" s="79"/>
      <c r="AX641" s="79"/>
      <c r="AY641" s="79"/>
      <c r="AZ641" s="79"/>
      <c r="BA641" s="79"/>
      <c r="BB641" s="1"/>
      <c r="BC641" s="1"/>
      <c r="BD641" s="1"/>
      <c r="BE641" s="1"/>
      <c r="BF641" s="1"/>
      <c r="BG641" s="1"/>
      <c r="BH641" s="1"/>
    </row>
    <row r="642" spans="1:60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79"/>
      <c r="AO642" s="79"/>
      <c r="AP642" s="79"/>
      <c r="AQ642" s="79"/>
      <c r="AR642" s="79"/>
      <c r="AS642" s="79"/>
      <c r="AT642" s="79"/>
      <c r="AU642" s="79"/>
      <c r="AV642" s="79"/>
      <c r="AW642" s="79"/>
      <c r="AX642" s="79"/>
      <c r="AY642" s="79"/>
      <c r="AZ642" s="79"/>
      <c r="BA642" s="79"/>
      <c r="BB642" s="1"/>
      <c r="BC642" s="1"/>
      <c r="BD642" s="1"/>
      <c r="BE642" s="1"/>
      <c r="BF642" s="1"/>
      <c r="BG642" s="1"/>
      <c r="BH642" s="1"/>
    </row>
    <row r="643" spans="1:60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79"/>
      <c r="AO643" s="79"/>
      <c r="AP643" s="79"/>
      <c r="AQ643" s="79"/>
      <c r="AR643" s="79"/>
      <c r="AS643" s="79"/>
      <c r="AT643" s="79"/>
      <c r="AU643" s="79"/>
      <c r="AV643" s="79"/>
      <c r="AW643" s="79"/>
      <c r="AX643" s="79"/>
      <c r="AY643" s="79"/>
      <c r="AZ643" s="79"/>
      <c r="BA643" s="79"/>
      <c r="BB643" s="1"/>
      <c r="BC643" s="1"/>
      <c r="BD643" s="1"/>
      <c r="BE643" s="1"/>
      <c r="BF643" s="1"/>
      <c r="BG643" s="1"/>
      <c r="BH643" s="1"/>
    </row>
    <row r="644" spans="1:60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79"/>
      <c r="AO644" s="79"/>
      <c r="AP644" s="79"/>
      <c r="AQ644" s="79"/>
      <c r="AR644" s="79"/>
      <c r="AS644" s="79"/>
      <c r="AT644" s="79"/>
      <c r="AU644" s="79"/>
      <c r="AV644" s="79"/>
      <c r="AW644" s="79"/>
      <c r="AX644" s="79"/>
      <c r="AY644" s="79"/>
      <c r="AZ644" s="79"/>
      <c r="BA644" s="79"/>
      <c r="BB644" s="1"/>
      <c r="BC644" s="1"/>
      <c r="BD644" s="1"/>
      <c r="BE644" s="1"/>
      <c r="BF644" s="1"/>
      <c r="BG644" s="1"/>
      <c r="BH644" s="1"/>
    </row>
    <row r="645" spans="1:60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79"/>
      <c r="AO645" s="79"/>
      <c r="AP645" s="79"/>
      <c r="AQ645" s="79"/>
      <c r="AR645" s="79"/>
      <c r="AS645" s="79"/>
      <c r="AT645" s="79"/>
      <c r="AU645" s="79"/>
      <c r="AV645" s="79"/>
      <c r="AW645" s="79"/>
      <c r="AX645" s="79"/>
      <c r="AY645" s="79"/>
      <c r="AZ645" s="79"/>
      <c r="BA645" s="79"/>
      <c r="BB645" s="1"/>
      <c r="BC645" s="1"/>
      <c r="BD645" s="1"/>
      <c r="BE645" s="1"/>
      <c r="BF645" s="1"/>
      <c r="BG645" s="1"/>
      <c r="BH645" s="1"/>
    </row>
    <row r="646" spans="1:60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79"/>
      <c r="AO646" s="79"/>
      <c r="AP646" s="79"/>
      <c r="AQ646" s="79"/>
      <c r="AR646" s="79"/>
      <c r="AS646" s="79"/>
      <c r="AT646" s="79"/>
      <c r="AU646" s="79"/>
      <c r="AV646" s="79"/>
      <c r="AW646" s="79"/>
      <c r="AX646" s="79"/>
      <c r="AY646" s="79"/>
      <c r="AZ646" s="79"/>
      <c r="BA646" s="79"/>
      <c r="BB646" s="1"/>
      <c r="BC646" s="1"/>
      <c r="BD646" s="1"/>
      <c r="BE646" s="1"/>
      <c r="BF646" s="1"/>
      <c r="BG646" s="1"/>
      <c r="BH646" s="1"/>
    </row>
    <row r="647" spans="1:60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79"/>
      <c r="AO647" s="79"/>
      <c r="AP647" s="79"/>
      <c r="AQ647" s="79"/>
      <c r="AR647" s="79"/>
      <c r="AS647" s="79"/>
      <c r="AT647" s="79"/>
      <c r="AU647" s="79"/>
      <c r="AV647" s="79"/>
      <c r="AW647" s="79"/>
      <c r="AX647" s="79"/>
      <c r="AY647" s="79"/>
      <c r="AZ647" s="79"/>
      <c r="BA647" s="79"/>
      <c r="BB647" s="1"/>
      <c r="BC647" s="1"/>
      <c r="BD647" s="1"/>
      <c r="BE647" s="1"/>
      <c r="BF647" s="1"/>
      <c r="BG647" s="1"/>
      <c r="BH647" s="1"/>
    </row>
    <row r="648" spans="1:60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79"/>
      <c r="AO648" s="79"/>
      <c r="AP648" s="79"/>
      <c r="AQ648" s="79"/>
      <c r="AR648" s="79"/>
      <c r="AS648" s="79"/>
      <c r="AT648" s="79"/>
      <c r="AU648" s="79"/>
      <c r="AV648" s="79"/>
      <c r="AW648" s="79"/>
      <c r="AX648" s="79"/>
      <c r="AY648" s="79"/>
      <c r="AZ648" s="79"/>
      <c r="BA648" s="79"/>
      <c r="BB648" s="1"/>
      <c r="BC648" s="1"/>
      <c r="BD648" s="1"/>
      <c r="BE648" s="1"/>
      <c r="BF648" s="1"/>
      <c r="BG648" s="1"/>
      <c r="BH648" s="1"/>
    </row>
    <row r="649" spans="1:60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79"/>
      <c r="AO649" s="79"/>
      <c r="AP649" s="79"/>
      <c r="AQ649" s="79"/>
      <c r="AR649" s="79"/>
      <c r="AS649" s="79"/>
      <c r="AT649" s="79"/>
      <c r="AU649" s="79"/>
      <c r="AV649" s="79"/>
      <c r="AW649" s="79"/>
      <c r="AX649" s="79"/>
      <c r="AY649" s="79"/>
      <c r="AZ649" s="79"/>
      <c r="BA649" s="79"/>
      <c r="BB649" s="1"/>
      <c r="BC649" s="1"/>
      <c r="BD649" s="1"/>
      <c r="BE649" s="1"/>
      <c r="BF649" s="1"/>
      <c r="BG649" s="1"/>
      <c r="BH649" s="1"/>
    </row>
    <row r="650" spans="1:60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79"/>
      <c r="AO650" s="79"/>
      <c r="AP650" s="79"/>
      <c r="AQ650" s="79"/>
      <c r="AR650" s="79"/>
      <c r="AS650" s="79"/>
      <c r="AT650" s="79"/>
      <c r="AU650" s="79"/>
      <c r="AV650" s="79"/>
      <c r="AW650" s="79"/>
      <c r="AX650" s="79"/>
      <c r="AY650" s="79"/>
      <c r="AZ650" s="79"/>
      <c r="BA650" s="79"/>
      <c r="BB650" s="1"/>
      <c r="BC650" s="1"/>
      <c r="BD650" s="1"/>
      <c r="BE650" s="1"/>
      <c r="BF650" s="1"/>
      <c r="BG650" s="1"/>
      <c r="BH650" s="1"/>
    </row>
    <row r="651" spans="1:60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79"/>
      <c r="AO651" s="79"/>
      <c r="AP651" s="79"/>
      <c r="AQ651" s="79"/>
      <c r="AR651" s="79"/>
      <c r="AS651" s="79"/>
      <c r="AT651" s="79"/>
      <c r="AU651" s="79"/>
      <c r="AV651" s="79"/>
      <c r="AW651" s="79"/>
      <c r="AX651" s="79"/>
      <c r="AY651" s="79"/>
      <c r="AZ651" s="79"/>
      <c r="BA651" s="79"/>
      <c r="BB651" s="1"/>
      <c r="BC651" s="1"/>
      <c r="BD651" s="1"/>
      <c r="BE651" s="1"/>
      <c r="BF651" s="1"/>
      <c r="BG651" s="1"/>
      <c r="BH651" s="1"/>
    </row>
    <row r="652" spans="1:60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79"/>
      <c r="AO652" s="79"/>
      <c r="AP652" s="79"/>
      <c r="AQ652" s="79"/>
      <c r="AR652" s="79"/>
      <c r="AS652" s="79"/>
      <c r="AT652" s="79"/>
      <c r="AU652" s="79"/>
      <c r="AV652" s="79"/>
      <c r="AW652" s="79"/>
      <c r="AX652" s="79"/>
      <c r="AY652" s="79"/>
      <c r="AZ652" s="79"/>
      <c r="BA652" s="79"/>
      <c r="BB652" s="1"/>
      <c r="BC652" s="1"/>
      <c r="BD652" s="1"/>
      <c r="BE652" s="1"/>
      <c r="BF652" s="1"/>
      <c r="BG652" s="1"/>
      <c r="BH652" s="1"/>
    </row>
    <row r="653" spans="1:60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79"/>
      <c r="AO653" s="79"/>
      <c r="AP653" s="79"/>
      <c r="AQ653" s="79"/>
      <c r="AR653" s="79"/>
      <c r="AS653" s="79"/>
      <c r="AT653" s="79"/>
      <c r="AU653" s="79"/>
      <c r="AV653" s="79"/>
      <c r="AW653" s="79"/>
      <c r="AX653" s="79"/>
      <c r="AY653" s="79"/>
      <c r="AZ653" s="79"/>
      <c r="BA653" s="79"/>
      <c r="BB653" s="1"/>
      <c r="BC653" s="1"/>
      <c r="BD653" s="1"/>
      <c r="BE653" s="1"/>
      <c r="BF653" s="1"/>
      <c r="BG653" s="1"/>
      <c r="BH653" s="1"/>
    </row>
    <row r="654" spans="1:60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79"/>
      <c r="AO654" s="79"/>
      <c r="AP654" s="79"/>
      <c r="AQ654" s="79"/>
      <c r="AR654" s="79"/>
      <c r="AS654" s="79"/>
      <c r="AT654" s="79"/>
      <c r="AU654" s="79"/>
      <c r="AV654" s="79"/>
      <c r="AW654" s="79"/>
      <c r="AX654" s="79"/>
      <c r="AY654" s="79"/>
      <c r="AZ654" s="79"/>
      <c r="BA654" s="79"/>
      <c r="BB654" s="1"/>
      <c r="BC654" s="1"/>
      <c r="BD654" s="1"/>
      <c r="BE654" s="1"/>
      <c r="BF654" s="1"/>
      <c r="BG654" s="1"/>
      <c r="BH654" s="1"/>
    </row>
    <row r="655" spans="1:60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79"/>
      <c r="AO655" s="79"/>
      <c r="AP655" s="79"/>
      <c r="AQ655" s="79"/>
      <c r="AR655" s="79"/>
      <c r="AS655" s="79"/>
      <c r="AT655" s="79"/>
      <c r="AU655" s="79"/>
      <c r="AV655" s="79"/>
      <c r="AW655" s="79"/>
      <c r="AX655" s="79"/>
      <c r="AY655" s="79"/>
      <c r="AZ655" s="79"/>
      <c r="BA655" s="79"/>
      <c r="BB655" s="1"/>
      <c r="BC655" s="1"/>
      <c r="BD655" s="1"/>
      <c r="BE655" s="1"/>
      <c r="BF655" s="1"/>
      <c r="BG655" s="1"/>
      <c r="BH655" s="1"/>
    </row>
    <row r="656" spans="1:60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79"/>
      <c r="AO656" s="79"/>
      <c r="AP656" s="79"/>
      <c r="AQ656" s="79"/>
      <c r="AR656" s="79"/>
      <c r="AS656" s="79"/>
      <c r="AT656" s="79"/>
      <c r="AU656" s="79"/>
      <c r="AV656" s="79"/>
      <c r="AW656" s="79"/>
      <c r="AX656" s="79"/>
      <c r="AY656" s="79"/>
      <c r="AZ656" s="79"/>
      <c r="BA656" s="79"/>
      <c r="BB656" s="1"/>
      <c r="BC656" s="1"/>
      <c r="BD656" s="1"/>
      <c r="BE656" s="1"/>
      <c r="BF656" s="1"/>
      <c r="BG656" s="1"/>
      <c r="BH656" s="1"/>
    </row>
    <row r="657" spans="1:60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79"/>
      <c r="AO657" s="79"/>
      <c r="AP657" s="79"/>
      <c r="AQ657" s="79"/>
      <c r="AR657" s="79"/>
      <c r="AS657" s="79"/>
      <c r="AT657" s="79"/>
      <c r="AU657" s="79"/>
      <c r="AV657" s="79"/>
      <c r="AW657" s="79"/>
      <c r="AX657" s="79"/>
      <c r="AY657" s="79"/>
      <c r="AZ657" s="79"/>
      <c r="BA657" s="79"/>
      <c r="BB657" s="1"/>
      <c r="BC657" s="1"/>
      <c r="BD657" s="1"/>
      <c r="BE657" s="1"/>
      <c r="BF657" s="1"/>
      <c r="BG657" s="1"/>
      <c r="BH657" s="1"/>
    </row>
    <row r="658" spans="1:60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79"/>
      <c r="AO658" s="79"/>
      <c r="AP658" s="79"/>
      <c r="AQ658" s="79"/>
      <c r="AR658" s="79"/>
      <c r="AS658" s="79"/>
      <c r="AT658" s="79"/>
      <c r="AU658" s="79"/>
      <c r="AV658" s="79"/>
      <c r="AW658" s="79"/>
      <c r="AX658" s="79"/>
      <c r="AY658" s="79"/>
      <c r="AZ658" s="79"/>
      <c r="BA658" s="79"/>
      <c r="BB658" s="1"/>
      <c r="BC658" s="1"/>
      <c r="BD658" s="1"/>
      <c r="BE658" s="1"/>
      <c r="BF658" s="1"/>
      <c r="BG658" s="1"/>
      <c r="BH658" s="1"/>
    </row>
    <row r="659" spans="1:60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79"/>
      <c r="AO659" s="79"/>
      <c r="AP659" s="79"/>
      <c r="AQ659" s="79"/>
      <c r="AR659" s="79"/>
      <c r="AS659" s="79"/>
      <c r="AT659" s="79"/>
      <c r="AU659" s="79"/>
      <c r="AV659" s="79"/>
      <c r="AW659" s="79"/>
      <c r="AX659" s="79"/>
      <c r="AY659" s="79"/>
      <c r="AZ659" s="79"/>
      <c r="BA659" s="79"/>
      <c r="BB659" s="1"/>
      <c r="BC659" s="1"/>
      <c r="BD659" s="1"/>
      <c r="BE659" s="1"/>
      <c r="BF659" s="1"/>
      <c r="BG659" s="1"/>
      <c r="BH659" s="1"/>
    </row>
    <row r="660" spans="1:60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79"/>
      <c r="AO660" s="79"/>
      <c r="AP660" s="79"/>
      <c r="AQ660" s="79"/>
      <c r="AR660" s="79"/>
      <c r="AS660" s="79"/>
      <c r="AT660" s="79"/>
      <c r="AU660" s="79"/>
      <c r="AV660" s="79"/>
      <c r="AW660" s="79"/>
      <c r="AX660" s="79"/>
      <c r="AY660" s="79"/>
      <c r="AZ660" s="79"/>
      <c r="BA660" s="79"/>
      <c r="BB660" s="1"/>
      <c r="BC660" s="1"/>
      <c r="BD660" s="1"/>
      <c r="BE660" s="1"/>
      <c r="BF660" s="1"/>
      <c r="BG660" s="1"/>
      <c r="BH660" s="1"/>
    </row>
    <row r="661" spans="1:60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79"/>
      <c r="AO661" s="79"/>
      <c r="AP661" s="79"/>
      <c r="AQ661" s="79"/>
      <c r="AR661" s="79"/>
      <c r="AS661" s="79"/>
      <c r="AT661" s="79"/>
      <c r="AU661" s="79"/>
      <c r="AV661" s="79"/>
      <c r="AW661" s="79"/>
      <c r="AX661" s="79"/>
      <c r="AY661" s="79"/>
      <c r="AZ661" s="79"/>
      <c r="BA661" s="79"/>
      <c r="BB661" s="1"/>
      <c r="BC661" s="1"/>
      <c r="BD661" s="1"/>
      <c r="BE661" s="1"/>
      <c r="BF661" s="1"/>
      <c r="BG661" s="1"/>
      <c r="BH661" s="1"/>
    </row>
    <row r="662" spans="1:60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79"/>
      <c r="AO662" s="79"/>
      <c r="AP662" s="79"/>
      <c r="AQ662" s="79"/>
      <c r="AR662" s="79"/>
      <c r="AS662" s="79"/>
      <c r="AT662" s="79"/>
      <c r="AU662" s="79"/>
      <c r="AV662" s="79"/>
      <c r="AW662" s="79"/>
      <c r="AX662" s="79"/>
      <c r="AY662" s="79"/>
      <c r="AZ662" s="79"/>
      <c r="BA662" s="79"/>
      <c r="BB662" s="1"/>
      <c r="BC662" s="1"/>
      <c r="BD662" s="1"/>
      <c r="BE662" s="1"/>
      <c r="BF662" s="1"/>
      <c r="BG662" s="1"/>
      <c r="BH662" s="1"/>
    </row>
    <row r="663" spans="1:60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79"/>
      <c r="AO663" s="79"/>
      <c r="AP663" s="79"/>
      <c r="AQ663" s="79"/>
      <c r="AR663" s="79"/>
      <c r="AS663" s="79"/>
      <c r="AT663" s="79"/>
      <c r="AU663" s="79"/>
      <c r="AV663" s="79"/>
      <c r="AW663" s="79"/>
      <c r="AX663" s="79"/>
      <c r="AY663" s="79"/>
      <c r="AZ663" s="79"/>
      <c r="BA663" s="79"/>
      <c r="BB663" s="1"/>
      <c r="BC663" s="1"/>
      <c r="BD663" s="1"/>
      <c r="BE663" s="1"/>
      <c r="BF663" s="1"/>
      <c r="BG663" s="1"/>
      <c r="BH663" s="1"/>
    </row>
    <row r="664" spans="1:60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79"/>
      <c r="AO664" s="79"/>
      <c r="AP664" s="79"/>
      <c r="AQ664" s="79"/>
      <c r="AR664" s="79"/>
      <c r="AS664" s="79"/>
      <c r="AT664" s="79"/>
      <c r="AU664" s="79"/>
      <c r="AV664" s="79"/>
      <c r="AW664" s="79"/>
      <c r="AX664" s="79"/>
      <c r="AY664" s="79"/>
      <c r="AZ664" s="79"/>
      <c r="BA664" s="79"/>
      <c r="BB664" s="1"/>
      <c r="BC664" s="1"/>
      <c r="BD664" s="1"/>
      <c r="BE664" s="1"/>
      <c r="BF664" s="1"/>
      <c r="BG664" s="1"/>
      <c r="BH664" s="1"/>
    </row>
    <row r="665" spans="1:60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79"/>
      <c r="AO665" s="79"/>
      <c r="AP665" s="79"/>
      <c r="AQ665" s="79"/>
      <c r="AR665" s="79"/>
      <c r="AS665" s="79"/>
      <c r="AT665" s="79"/>
      <c r="AU665" s="79"/>
      <c r="AV665" s="79"/>
      <c r="AW665" s="79"/>
      <c r="AX665" s="79"/>
      <c r="AY665" s="79"/>
      <c r="AZ665" s="79"/>
      <c r="BA665" s="79"/>
      <c r="BB665" s="1"/>
      <c r="BC665" s="1"/>
      <c r="BD665" s="1"/>
      <c r="BE665" s="1"/>
      <c r="BF665" s="1"/>
      <c r="BG665" s="1"/>
      <c r="BH665" s="1"/>
    </row>
    <row r="666" spans="1:60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79"/>
      <c r="AO666" s="79"/>
      <c r="AP666" s="79"/>
      <c r="AQ666" s="79"/>
      <c r="AR666" s="79"/>
      <c r="AS666" s="79"/>
      <c r="AT666" s="79"/>
      <c r="AU666" s="79"/>
      <c r="AV666" s="79"/>
      <c r="AW666" s="79"/>
      <c r="AX666" s="79"/>
      <c r="AY666" s="79"/>
      <c r="AZ666" s="79"/>
      <c r="BA666" s="79"/>
      <c r="BB666" s="1"/>
      <c r="BC666" s="1"/>
      <c r="BD666" s="1"/>
      <c r="BE666" s="1"/>
      <c r="BF666" s="1"/>
      <c r="BG666" s="1"/>
      <c r="BH666" s="1"/>
    </row>
    <row r="667" spans="1:60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79"/>
      <c r="AO667" s="79"/>
      <c r="AP667" s="79"/>
      <c r="AQ667" s="79"/>
      <c r="AR667" s="79"/>
      <c r="AS667" s="79"/>
      <c r="AT667" s="79"/>
      <c r="AU667" s="79"/>
      <c r="AV667" s="79"/>
      <c r="AW667" s="79"/>
      <c r="AX667" s="79"/>
      <c r="AY667" s="79"/>
      <c r="AZ667" s="79"/>
      <c r="BA667" s="79"/>
      <c r="BB667" s="1"/>
      <c r="BC667" s="1"/>
      <c r="BD667" s="1"/>
      <c r="BE667" s="1"/>
      <c r="BF667" s="1"/>
      <c r="BG667" s="1"/>
      <c r="BH667" s="1"/>
    </row>
    <row r="668" spans="1:60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79"/>
      <c r="AO668" s="79"/>
      <c r="AP668" s="79"/>
      <c r="AQ668" s="79"/>
      <c r="AR668" s="79"/>
      <c r="AS668" s="79"/>
      <c r="AT668" s="79"/>
      <c r="AU668" s="79"/>
      <c r="AV668" s="79"/>
      <c r="AW668" s="79"/>
      <c r="AX668" s="79"/>
      <c r="AY668" s="79"/>
      <c r="AZ668" s="79"/>
      <c r="BA668" s="79"/>
      <c r="BB668" s="1"/>
      <c r="BC668" s="1"/>
      <c r="BD668" s="1"/>
      <c r="BE668" s="1"/>
      <c r="BF668" s="1"/>
      <c r="BG668" s="1"/>
      <c r="BH668" s="1"/>
    </row>
    <row r="669" spans="1:60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79"/>
      <c r="AO669" s="79"/>
      <c r="AP669" s="79"/>
      <c r="AQ669" s="79"/>
      <c r="AR669" s="79"/>
      <c r="AS669" s="79"/>
      <c r="AT669" s="79"/>
      <c r="AU669" s="79"/>
      <c r="AV669" s="79"/>
      <c r="AW669" s="79"/>
      <c r="AX669" s="79"/>
      <c r="AY669" s="79"/>
      <c r="AZ669" s="79"/>
      <c r="BA669" s="79"/>
      <c r="BB669" s="1"/>
      <c r="BC669" s="1"/>
      <c r="BD669" s="1"/>
      <c r="BE669" s="1"/>
      <c r="BF669" s="1"/>
      <c r="BG669" s="1"/>
      <c r="BH669" s="1"/>
    </row>
    <row r="670" spans="1:60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79"/>
      <c r="AO670" s="79"/>
      <c r="AP670" s="79"/>
      <c r="AQ670" s="79"/>
      <c r="AR670" s="79"/>
      <c r="AS670" s="79"/>
      <c r="AT670" s="79"/>
      <c r="AU670" s="79"/>
      <c r="AV670" s="79"/>
      <c r="AW670" s="79"/>
      <c r="AX670" s="79"/>
      <c r="AY670" s="79"/>
      <c r="AZ670" s="79"/>
      <c r="BA670" s="79"/>
      <c r="BB670" s="1"/>
      <c r="BC670" s="1"/>
      <c r="BD670" s="1"/>
      <c r="BE670" s="1"/>
      <c r="BF670" s="1"/>
      <c r="BG670" s="1"/>
      <c r="BH670" s="1"/>
    </row>
    <row r="671" spans="1:60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79"/>
      <c r="AO671" s="79"/>
      <c r="AP671" s="79"/>
      <c r="AQ671" s="79"/>
      <c r="AR671" s="79"/>
      <c r="AS671" s="79"/>
      <c r="AT671" s="79"/>
      <c r="AU671" s="79"/>
      <c r="AV671" s="79"/>
      <c r="AW671" s="79"/>
      <c r="AX671" s="79"/>
      <c r="AY671" s="79"/>
      <c r="AZ671" s="79"/>
      <c r="BA671" s="79"/>
      <c r="BB671" s="1"/>
      <c r="BC671" s="1"/>
      <c r="BD671" s="1"/>
      <c r="BE671" s="1"/>
      <c r="BF671" s="1"/>
      <c r="BG671" s="1"/>
      <c r="BH671" s="1"/>
    </row>
    <row r="672" spans="1:60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79"/>
      <c r="AO672" s="79"/>
      <c r="AP672" s="79"/>
      <c r="AQ672" s="79"/>
      <c r="AR672" s="79"/>
      <c r="AS672" s="79"/>
      <c r="AT672" s="79"/>
      <c r="AU672" s="79"/>
      <c r="AV672" s="79"/>
      <c r="AW672" s="79"/>
      <c r="AX672" s="79"/>
      <c r="AY672" s="79"/>
      <c r="AZ672" s="79"/>
      <c r="BA672" s="79"/>
      <c r="BB672" s="1"/>
      <c r="BC672" s="1"/>
      <c r="BD672" s="1"/>
      <c r="BE672" s="1"/>
      <c r="BF672" s="1"/>
      <c r="BG672" s="1"/>
      <c r="BH672" s="1"/>
    </row>
    <row r="673" spans="1:60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79"/>
      <c r="AO673" s="79"/>
      <c r="AP673" s="79"/>
      <c r="AQ673" s="79"/>
      <c r="AR673" s="79"/>
      <c r="AS673" s="79"/>
      <c r="AT673" s="79"/>
      <c r="AU673" s="79"/>
      <c r="AV673" s="79"/>
      <c r="AW673" s="79"/>
      <c r="AX673" s="79"/>
      <c r="AY673" s="79"/>
      <c r="AZ673" s="79"/>
      <c r="BA673" s="79"/>
      <c r="BB673" s="1"/>
      <c r="BC673" s="1"/>
      <c r="BD673" s="1"/>
      <c r="BE673" s="1"/>
      <c r="BF673" s="1"/>
      <c r="BG673" s="1"/>
      <c r="BH673" s="1"/>
    </row>
    <row r="674" spans="1:60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79"/>
      <c r="AO674" s="79"/>
      <c r="AP674" s="79"/>
      <c r="AQ674" s="79"/>
      <c r="AR674" s="79"/>
      <c r="AS674" s="79"/>
      <c r="AT674" s="79"/>
      <c r="AU674" s="79"/>
      <c r="AV674" s="79"/>
      <c r="AW674" s="79"/>
      <c r="AX674" s="79"/>
      <c r="AY674" s="79"/>
      <c r="AZ674" s="79"/>
      <c r="BA674" s="79"/>
      <c r="BB674" s="1"/>
      <c r="BC674" s="1"/>
      <c r="BD674" s="1"/>
      <c r="BE674" s="1"/>
      <c r="BF674" s="1"/>
      <c r="BG674" s="1"/>
      <c r="BH674" s="1"/>
    </row>
    <row r="675" spans="1:60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79"/>
      <c r="AO675" s="79"/>
      <c r="AP675" s="79"/>
      <c r="AQ675" s="79"/>
      <c r="AR675" s="79"/>
      <c r="AS675" s="79"/>
      <c r="AT675" s="79"/>
      <c r="AU675" s="79"/>
      <c r="AV675" s="79"/>
      <c r="AW675" s="79"/>
      <c r="AX675" s="79"/>
      <c r="AY675" s="79"/>
      <c r="AZ675" s="79"/>
      <c r="BA675" s="79"/>
      <c r="BB675" s="1"/>
      <c r="BC675" s="1"/>
      <c r="BD675" s="1"/>
      <c r="BE675" s="1"/>
      <c r="BF675" s="1"/>
      <c r="BG675" s="1"/>
      <c r="BH675" s="1"/>
    </row>
    <row r="676" spans="1:60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79"/>
      <c r="AO676" s="79"/>
      <c r="AP676" s="79"/>
      <c r="AQ676" s="79"/>
      <c r="AR676" s="79"/>
      <c r="AS676" s="79"/>
      <c r="AT676" s="79"/>
      <c r="AU676" s="79"/>
      <c r="AV676" s="79"/>
      <c r="AW676" s="79"/>
      <c r="AX676" s="79"/>
      <c r="AY676" s="79"/>
      <c r="AZ676" s="79"/>
      <c r="BA676" s="79"/>
      <c r="BB676" s="1"/>
      <c r="BC676" s="1"/>
      <c r="BD676" s="1"/>
      <c r="BE676" s="1"/>
      <c r="BF676" s="1"/>
      <c r="BG676" s="1"/>
      <c r="BH676" s="1"/>
    </row>
    <row r="677" spans="1:60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79"/>
      <c r="AO677" s="79"/>
      <c r="AP677" s="79"/>
      <c r="AQ677" s="79"/>
      <c r="AR677" s="79"/>
      <c r="AS677" s="79"/>
      <c r="AT677" s="79"/>
      <c r="AU677" s="79"/>
      <c r="AV677" s="79"/>
      <c r="AW677" s="79"/>
      <c r="AX677" s="79"/>
      <c r="AY677" s="79"/>
      <c r="AZ677" s="79"/>
      <c r="BA677" s="79"/>
      <c r="BB677" s="1"/>
      <c r="BC677" s="1"/>
      <c r="BD677" s="1"/>
      <c r="BE677" s="1"/>
      <c r="BF677" s="1"/>
      <c r="BG677" s="1"/>
      <c r="BH677" s="1"/>
    </row>
    <row r="678" spans="1:60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79"/>
      <c r="AO678" s="79"/>
      <c r="AP678" s="79"/>
      <c r="AQ678" s="79"/>
      <c r="AR678" s="79"/>
      <c r="AS678" s="79"/>
      <c r="AT678" s="79"/>
      <c r="AU678" s="79"/>
      <c r="AV678" s="79"/>
      <c r="AW678" s="79"/>
      <c r="AX678" s="79"/>
      <c r="AY678" s="79"/>
      <c r="AZ678" s="79"/>
      <c r="BA678" s="79"/>
      <c r="BB678" s="1"/>
      <c r="BC678" s="1"/>
      <c r="BD678" s="1"/>
      <c r="BE678" s="1"/>
      <c r="BF678" s="1"/>
      <c r="BG678" s="1"/>
      <c r="BH678" s="1"/>
    </row>
    <row r="679" spans="1:60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79"/>
      <c r="AO679" s="79"/>
      <c r="AP679" s="79"/>
      <c r="AQ679" s="79"/>
      <c r="AR679" s="79"/>
      <c r="AS679" s="79"/>
      <c r="AT679" s="79"/>
      <c r="AU679" s="79"/>
      <c r="AV679" s="79"/>
      <c r="AW679" s="79"/>
      <c r="AX679" s="79"/>
      <c r="AY679" s="79"/>
      <c r="AZ679" s="79"/>
      <c r="BA679" s="79"/>
      <c r="BB679" s="1"/>
      <c r="BC679" s="1"/>
      <c r="BD679" s="1"/>
      <c r="BE679" s="1"/>
      <c r="BF679" s="1"/>
      <c r="BG679" s="1"/>
      <c r="BH679" s="1"/>
    </row>
    <row r="680" spans="1:60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79"/>
      <c r="AO680" s="79"/>
      <c r="AP680" s="79"/>
      <c r="AQ680" s="79"/>
      <c r="AR680" s="79"/>
      <c r="AS680" s="79"/>
      <c r="AT680" s="79"/>
      <c r="AU680" s="79"/>
      <c r="AV680" s="79"/>
      <c r="AW680" s="79"/>
      <c r="AX680" s="79"/>
      <c r="AY680" s="79"/>
      <c r="AZ680" s="79"/>
      <c r="BA680" s="79"/>
      <c r="BB680" s="1"/>
      <c r="BC680" s="1"/>
      <c r="BD680" s="1"/>
      <c r="BE680" s="1"/>
      <c r="BF680" s="1"/>
      <c r="BG680" s="1"/>
      <c r="BH680" s="1"/>
    </row>
    <row r="681" spans="1:60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79"/>
      <c r="AO681" s="79"/>
      <c r="AP681" s="79"/>
      <c r="AQ681" s="79"/>
      <c r="AR681" s="79"/>
      <c r="AS681" s="79"/>
      <c r="AT681" s="79"/>
      <c r="AU681" s="79"/>
      <c r="AV681" s="79"/>
      <c r="AW681" s="79"/>
      <c r="AX681" s="79"/>
      <c r="AY681" s="79"/>
      <c r="AZ681" s="79"/>
      <c r="BA681" s="79"/>
      <c r="BB681" s="1"/>
      <c r="BC681" s="1"/>
      <c r="BD681" s="1"/>
      <c r="BE681" s="1"/>
      <c r="BF681" s="1"/>
      <c r="BG681" s="1"/>
      <c r="BH681" s="1"/>
    </row>
    <row r="682" spans="1:60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79"/>
      <c r="AO682" s="79"/>
      <c r="AP682" s="79"/>
      <c r="AQ682" s="79"/>
      <c r="AR682" s="79"/>
      <c r="AS682" s="79"/>
      <c r="AT682" s="79"/>
      <c r="AU682" s="79"/>
      <c r="AV682" s="79"/>
      <c r="AW682" s="79"/>
      <c r="AX682" s="79"/>
      <c r="AY682" s="79"/>
      <c r="AZ682" s="79"/>
      <c r="BA682" s="79"/>
      <c r="BB682" s="1"/>
      <c r="BC682" s="1"/>
      <c r="BD682" s="1"/>
      <c r="BE682" s="1"/>
      <c r="BF682" s="1"/>
      <c r="BG682" s="1"/>
      <c r="BH682" s="1"/>
    </row>
    <row r="683" spans="1:60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79"/>
      <c r="AO683" s="79"/>
      <c r="AP683" s="79"/>
      <c r="AQ683" s="79"/>
      <c r="AR683" s="79"/>
      <c r="AS683" s="79"/>
      <c r="AT683" s="79"/>
      <c r="AU683" s="79"/>
      <c r="AV683" s="79"/>
      <c r="AW683" s="79"/>
      <c r="AX683" s="79"/>
      <c r="AY683" s="79"/>
      <c r="AZ683" s="79"/>
      <c r="BA683" s="79"/>
      <c r="BB683" s="1"/>
      <c r="BC683" s="1"/>
      <c r="BD683" s="1"/>
      <c r="BE683" s="1"/>
      <c r="BF683" s="1"/>
      <c r="BG683" s="1"/>
      <c r="BH683" s="1"/>
    </row>
    <row r="684" spans="1:60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79"/>
      <c r="AO684" s="79"/>
      <c r="AP684" s="79"/>
      <c r="AQ684" s="79"/>
      <c r="AR684" s="79"/>
      <c r="AS684" s="79"/>
      <c r="AT684" s="79"/>
      <c r="AU684" s="79"/>
      <c r="AV684" s="79"/>
      <c r="AW684" s="79"/>
      <c r="AX684" s="79"/>
      <c r="AY684" s="79"/>
      <c r="AZ684" s="79"/>
      <c r="BA684" s="79"/>
      <c r="BB684" s="1"/>
      <c r="BC684" s="1"/>
      <c r="BD684" s="1"/>
      <c r="BE684" s="1"/>
      <c r="BF684" s="1"/>
      <c r="BG684" s="1"/>
      <c r="BH684" s="1"/>
    </row>
    <row r="685" spans="1:60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79"/>
      <c r="AO685" s="79"/>
      <c r="AP685" s="79"/>
      <c r="AQ685" s="79"/>
      <c r="AR685" s="79"/>
      <c r="AS685" s="79"/>
      <c r="AT685" s="79"/>
      <c r="AU685" s="79"/>
      <c r="AV685" s="79"/>
      <c r="AW685" s="79"/>
      <c r="AX685" s="79"/>
      <c r="AY685" s="79"/>
      <c r="AZ685" s="79"/>
      <c r="BA685" s="79"/>
      <c r="BB685" s="1"/>
      <c r="BC685" s="1"/>
      <c r="BD685" s="1"/>
      <c r="BE685" s="1"/>
      <c r="BF685" s="1"/>
      <c r="BG685" s="1"/>
      <c r="BH685" s="1"/>
    </row>
    <row r="686" spans="1:60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79"/>
      <c r="AO686" s="79"/>
      <c r="AP686" s="79"/>
      <c r="AQ686" s="79"/>
      <c r="AR686" s="79"/>
      <c r="AS686" s="79"/>
      <c r="AT686" s="79"/>
      <c r="AU686" s="79"/>
      <c r="AV686" s="79"/>
      <c r="AW686" s="79"/>
      <c r="AX686" s="79"/>
      <c r="AY686" s="79"/>
      <c r="AZ686" s="79"/>
      <c r="BA686" s="79"/>
      <c r="BB686" s="1"/>
      <c r="BC686" s="1"/>
      <c r="BD686" s="1"/>
      <c r="BE686" s="1"/>
      <c r="BF686" s="1"/>
      <c r="BG686" s="1"/>
      <c r="BH686" s="1"/>
    </row>
    <row r="687" spans="1:60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79"/>
      <c r="AO687" s="79"/>
      <c r="AP687" s="79"/>
      <c r="AQ687" s="79"/>
      <c r="AR687" s="79"/>
      <c r="AS687" s="79"/>
      <c r="AT687" s="79"/>
      <c r="AU687" s="79"/>
      <c r="AV687" s="79"/>
      <c r="AW687" s="79"/>
      <c r="AX687" s="79"/>
      <c r="AY687" s="79"/>
      <c r="AZ687" s="79"/>
      <c r="BA687" s="79"/>
      <c r="BB687" s="1"/>
      <c r="BC687" s="1"/>
      <c r="BD687" s="1"/>
      <c r="BE687" s="1"/>
      <c r="BF687" s="1"/>
      <c r="BG687" s="1"/>
      <c r="BH687" s="1"/>
    </row>
    <row r="688" spans="1:60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79"/>
      <c r="AO688" s="79"/>
      <c r="AP688" s="79"/>
      <c r="AQ688" s="79"/>
      <c r="AR688" s="79"/>
      <c r="AS688" s="79"/>
      <c r="AT688" s="79"/>
      <c r="AU688" s="79"/>
      <c r="AV688" s="79"/>
      <c r="AW688" s="79"/>
      <c r="AX688" s="79"/>
      <c r="AY688" s="79"/>
      <c r="AZ688" s="79"/>
      <c r="BA688" s="79"/>
      <c r="BB688" s="1"/>
      <c r="BC688" s="1"/>
      <c r="BD688" s="1"/>
      <c r="BE688" s="1"/>
      <c r="BF688" s="1"/>
      <c r="BG688" s="1"/>
      <c r="BH688" s="1"/>
    </row>
    <row r="689" spans="1:60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79"/>
      <c r="AO689" s="79"/>
      <c r="AP689" s="79"/>
      <c r="AQ689" s="79"/>
      <c r="AR689" s="79"/>
      <c r="AS689" s="79"/>
      <c r="AT689" s="79"/>
      <c r="AU689" s="79"/>
      <c r="AV689" s="79"/>
      <c r="AW689" s="79"/>
      <c r="AX689" s="79"/>
      <c r="AY689" s="79"/>
      <c r="AZ689" s="79"/>
      <c r="BA689" s="79"/>
      <c r="BB689" s="1"/>
      <c r="BC689" s="1"/>
      <c r="BD689" s="1"/>
      <c r="BE689" s="1"/>
      <c r="BF689" s="1"/>
      <c r="BG689" s="1"/>
      <c r="BH689" s="1"/>
    </row>
    <row r="690" spans="1:60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79"/>
      <c r="AO690" s="79"/>
      <c r="AP690" s="79"/>
      <c r="AQ690" s="79"/>
      <c r="AR690" s="79"/>
      <c r="AS690" s="79"/>
      <c r="AT690" s="79"/>
      <c r="AU690" s="79"/>
      <c r="AV690" s="79"/>
      <c r="AW690" s="79"/>
      <c r="AX690" s="79"/>
      <c r="AY690" s="79"/>
      <c r="AZ690" s="79"/>
      <c r="BA690" s="79"/>
      <c r="BB690" s="1"/>
      <c r="BC690" s="1"/>
      <c r="BD690" s="1"/>
      <c r="BE690" s="1"/>
      <c r="BF690" s="1"/>
      <c r="BG690" s="1"/>
      <c r="BH690" s="1"/>
    </row>
    <row r="691" spans="1:60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79"/>
      <c r="AO691" s="79"/>
      <c r="AP691" s="79"/>
      <c r="AQ691" s="79"/>
      <c r="AR691" s="79"/>
      <c r="AS691" s="79"/>
      <c r="AT691" s="79"/>
      <c r="AU691" s="79"/>
      <c r="AV691" s="79"/>
      <c r="AW691" s="79"/>
      <c r="AX691" s="79"/>
      <c r="AY691" s="79"/>
      <c r="AZ691" s="79"/>
      <c r="BA691" s="79"/>
      <c r="BB691" s="1"/>
      <c r="BC691" s="1"/>
      <c r="BD691" s="1"/>
      <c r="BE691" s="1"/>
      <c r="BF691" s="1"/>
      <c r="BG691" s="1"/>
      <c r="BH691" s="1"/>
    </row>
    <row r="692" spans="1:60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79"/>
      <c r="AO692" s="79"/>
      <c r="AP692" s="79"/>
      <c r="AQ692" s="79"/>
      <c r="AR692" s="79"/>
      <c r="AS692" s="79"/>
      <c r="AT692" s="79"/>
      <c r="AU692" s="79"/>
      <c r="AV692" s="79"/>
      <c r="AW692" s="79"/>
      <c r="AX692" s="79"/>
      <c r="AY692" s="79"/>
      <c r="AZ692" s="79"/>
      <c r="BA692" s="79"/>
      <c r="BB692" s="1"/>
      <c r="BC692" s="1"/>
      <c r="BD692" s="1"/>
      <c r="BE692" s="1"/>
      <c r="BF692" s="1"/>
      <c r="BG692" s="1"/>
      <c r="BH692" s="1"/>
    </row>
    <row r="693" spans="1:60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79"/>
      <c r="AO693" s="79"/>
      <c r="AP693" s="79"/>
      <c r="AQ693" s="79"/>
      <c r="AR693" s="79"/>
      <c r="AS693" s="79"/>
      <c r="AT693" s="79"/>
      <c r="AU693" s="79"/>
      <c r="AV693" s="79"/>
      <c r="AW693" s="79"/>
      <c r="AX693" s="79"/>
      <c r="AY693" s="79"/>
      <c r="AZ693" s="79"/>
      <c r="BA693" s="79"/>
      <c r="BB693" s="1"/>
      <c r="BC693" s="1"/>
      <c r="BD693" s="1"/>
      <c r="BE693" s="1"/>
      <c r="BF693" s="1"/>
      <c r="BG693" s="1"/>
      <c r="BH693" s="1"/>
    </row>
    <row r="694" spans="1:60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79"/>
      <c r="AO694" s="79"/>
      <c r="AP694" s="79"/>
      <c r="AQ694" s="79"/>
      <c r="AR694" s="79"/>
      <c r="AS694" s="79"/>
      <c r="AT694" s="79"/>
      <c r="AU694" s="79"/>
      <c r="AV694" s="79"/>
      <c r="AW694" s="79"/>
      <c r="AX694" s="79"/>
      <c r="AY694" s="79"/>
      <c r="AZ694" s="79"/>
      <c r="BA694" s="79"/>
      <c r="BB694" s="1"/>
      <c r="BC694" s="1"/>
      <c r="BD694" s="1"/>
      <c r="BE694" s="1"/>
      <c r="BF694" s="1"/>
      <c r="BG694" s="1"/>
      <c r="BH694" s="1"/>
    </row>
    <row r="695" spans="1:60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79"/>
      <c r="AO695" s="79"/>
      <c r="AP695" s="79"/>
      <c r="AQ695" s="79"/>
      <c r="AR695" s="79"/>
      <c r="AS695" s="79"/>
      <c r="AT695" s="79"/>
      <c r="AU695" s="79"/>
      <c r="AV695" s="79"/>
      <c r="AW695" s="79"/>
      <c r="AX695" s="79"/>
      <c r="AY695" s="79"/>
      <c r="AZ695" s="79"/>
      <c r="BA695" s="79"/>
      <c r="BB695" s="1"/>
      <c r="BC695" s="1"/>
      <c r="BD695" s="1"/>
      <c r="BE695" s="1"/>
      <c r="BF695" s="1"/>
      <c r="BG695" s="1"/>
      <c r="BH695" s="1"/>
    </row>
    <row r="696" spans="1:60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79"/>
      <c r="AO696" s="79"/>
      <c r="AP696" s="79"/>
      <c r="AQ696" s="79"/>
      <c r="AR696" s="79"/>
      <c r="AS696" s="79"/>
      <c r="AT696" s="79"/>
      <c r="AU696" s="79"/>
      <c r="AV696" s="79"/>
      <c r="AW696" s="79"/>
      <c r="AX696" s="79"/>
      <c r="AY696" s="79"/>
      <c r="AZ696" s="79"/>
      <c r="BA696" s="79"/>
      <c r="BB696" s="1"/>
      <c r="BC696" s="1"/>
      <c r="BD696" s="1"/>
      <c r="BE696" s="1"/>
      <c r="BF696" s="1"/>
      <c r="BG696" s="1"/>
      <c r="BH696" s="1"/>
    </row>
    <row r="697" spans="1:60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79"/>
      <c r="AO697" s="79"/>
      <c r="AP697" s="79"/>
      <c r="AQ697" s="79"/>
      <c r="AR697" s="79"/>
      <c r="AS697" s="79"/>
      <c r="AT697" s="79"/>
      <c r="AU697" s="79"/>
      <c r="AV697" s="79"/>
      <c r="AW697" s="79"/>
      <c r="AX697" s="79"/>
      <c r="AY697" s="79"/>
      <c r="AZ697" s="79"/>
      <c r="BA697" s="79"/>
      <c r="BB697" s="1"/>
      <c r="BC697" s="1"/>
      <c r="BD697" s="1"/>
      <c r="BE697" s="1"/>
      <c r="BF697" s="1"/>
      <c r="BG697" s="1"/>
      <c r="BH697" s="1"/>
    </row>
    <row r="698" spans="1:60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79"/>
      <c r="AO698" s="79"/>
      <c r="AP698" s="79"/>
      <c r="AQ698" s="79"/>
      <c r="AR698" s="79"/>
      <c r="AS698" s="79"/>
      <c r="AT698" s="79"/>
      <c r="AU698" s="79"/>
      <c r="AV698" s="79"/>
      <c r="AW698" s="79"/>
      <c r="AX698" s="79"/>
      <c r="AY698" s="79"/>
      <c r="AZ698" s="79"/>
      <c r="BA698" s="79"/>
      <c r="BB698" s="1"/>
      <c r="BC698" s="1"/>
      <c r="BD698" s="1"/>
      <c r="BE698" s="1"/>
      <c r="BF698" s="1"/>
      <c r="BG698" s="1"/>
      <c r="BH698" s="1"/>
    </row>
    <row r="699" spans="1:60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79"/>
      <c r="AO699" s="79"/>
      <c r="AP699" s="79"/>
      <c r="AQ699" s="79"/>
      <c r="AR699" s="79"/>
      <c r="AS699" s="79"/>
      <c r="AT699" s="79"/>
      <c r="AU699" s="79"/>
      <c r="AV699" s="79"/>
      <c r="AW699" s="79"/>
      <c r="AX699" s="79"/>
      <c r="AY699" s="79"/>
      <c r="AZ699" s="79"/>
      <c r="BA699" s="79"/>
      <c r="BB699" s="1"/>
      <c r="BC699" s="1"/>
      <c r="BD699" s="1"/>
      <c r="BE699" s="1"/>
      <c r="BF699" s="1"/>
      <c r="BG699" s="1"/>
      <c r="BH699" s="1"/>
    </row>
    <row r="700" spans="1:60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79"/>
      <c r="AO700" s="79"/>
      <c r="AP700" s="79"/>
      <c r="AQ700" s="79"/>
      <c r="AR700" s="79"/>
      <c r="AS700" s="79"/>
      <c r="AT700" s="79"/>
      <c r="AU700" s="79"/>
      <c r="AV700" s="79"/>
      <c r="AW700" s="79"/>
      <c r="AX700" s="79"/>
      <c r="AY700" s="79"/>
      <c r="AZ700" s="79"/>
      <c r="BA700" s="79"/>
      <c r="BB700" s="1"/>
      <c r="BC700" s="1"/>
      <c r="BD700" s="1"/>
      <c r="BE700" s="1"/>
      <c r="BF700" s="1"/>
      <c r="BG700" s="1"/>
      <c r="BH700" s="1"/>
    </row>
    <row r="701" spans="1:60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79"/>
      <c r="AO701" s="79"/>
      <c r="AP701" s="79"/>
      <c r="AQ701" s="79"/>
      <c r="AR701" s="79"/>
      <c r="AS701" s="79"/>
      <c r="AT701" s="79"/>
      <c r="AU701" s="79"/>
      <c r="AV701" s="79"/>
      <c r="AW701" s="79"/>
      <c r="AX701" s="79"/>
      <c r="AY701" s="79"/>
      <c r="AZ701" s="79"/>
      <c r="BA701" s="79"/>
      <c r="BB701" s="1"/>
      <c r="BC701" s="1"/>
      <c r="BD701" s="1"/>
      <c r="BE701" s="1"/>
      <c r="BF701" s="1"/>
      <c r="BG701" s="1"/>
      <c r="BH701" s="1"/>
    </row>
    <row r="702" spans="1:60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79"/>
      <c r="AO702" s="79"/>
      <c r="AP702" s="79"/>
      <c r="AQ702" s="79"/>
      <c r="AR702" s="79"/>
      <c r="AS702" s="79"/>
      <c r="AT702" s="79"/>
      <c r="AU702" s="79"/>
      <c r="AV702" s="79"/>
      <c r="AW702" s="79"/>
      <c r="AX702" s="79"/>
      <c r="AY702" s="79"/>
      <c r="AZ702" s="79"/>
      <c r="BA702" s="79"/>
      <c r="BB702" s="1"/>
      <c r="BC702" s="1"/>
      <c r="BD702" s="1"/>
      <c r="BE702" s="1"/>
      <c r="BF702" s="1"/>
      <c r="BG702" s="1"/>
      <c r="BH702" s="1"/>
    </row>
    <row r="703" spans="1:60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79"/>
      <c r="AO703" s="79"/>
      <c r="AP703" s="79"/>
      <c r="AQ703" s="79"/>
      <c r="AR703" s="79"/>
      <c r="AS703" s="79"/>
      <c r="AT703" s="79"/>
      <c r="AU703" s="79"/>
      <c r="AV703" s="79"/>
      <c r="AW703" s="79"/>
      <c r="AX703" s="79"/>
      <c r="AY703" s="79"/>
      <c r="AZ703" s="79"/>
      <c r="BA703" s="79"/>
      <c r="BB703" s="1"/>
      <c r="BC703" s="1"/>
      <c r="BD703" s="1"/>
      <c r="BE703" s="1"/>
      <c r="BF703" s="1"/>
      <c r="BG703" s="1"/>
      <c r="BH703" s="1"/>
    </row>
    <row r="704" spans="1:60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79"/>
      <c r="AO704" s="79"/>
      <c r="AP704" s="79"/>
      <c r="AQ704" s="79"/>
      <c r="AR704" s="79"/>
      <c r="AS704" s="79"/>
      <c r="AT704" s="79"/>
      <c r="AU704" s="79"/>
      <c r="AV704" s="79"/>
      <c r="AW704" s="79"/>
      <c r="AX704" s="79"/>
      <c r="AY704" s="79"/>
      <c r="AZ704" s="79"/>
      <c r="BA704" s="79"/>
      <c r="BB704" s="1"/>
      <c r="BC704" s="1"/>
      <c r="BD704" s="1"/>
      <c r="BE704" s="1"/>
      <c r="BF704" s="1"/>
      <c r="BG704" s="1"/>
      <c r="BH704" s="1"/>
    </row>
    <row r="705" spans="1:60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79"/>
      <c r="AO705" s="79"/>
      <c r="AP705" s="79"/>
      <c r="AQ705" s="79"/>
      <c r="AR705" s="79"/>
      <c r="AS705" s="79"/>
      <c r="AT705" s="79"/>
      <c r="AU705" s="79"/>
      <c r="AV705" s="79"/>
      <c r="AW705" s="79"/>
      <c r="AX705" s="79"/>
      <c r="AY705" s="79"/>
      <c r="AZ705" s="79"/>
      <c r="BA705" s="79"/>
      <c r="BB705" s="1"/>
      <c r="BC705" s="1"/>
      <c r="BD705" s="1"/>
      <c r="BE705" s="1"/>
      <c r="BF705" s="1"/>
      <c r="BG705" s="1"/>
      <c r="BH705" s="1"/>
    </row>
    <row r="706" spans="1:60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79"/>
      <c r="AO706" s="79"/>
      <c r="AP706" s="79"/>
      <c r="AQ706" s="79"/>
      <c r="AR706" s="79"/>
      <c r="AS706" s="79"/>
      <c r="AT706" s="79"/>
      <c r="AU706" s="79"/>
      <c r="AV706" s="79"/>
      <c r="AW706" s="79"/>
      <c r="AX706" s="79"/>
      <c r="AY706" s="79"/>
      <c r="AZ706" s="79"/>
      <c r="BA706" s="79"/>
      <c r="BB706" s="1"/>
      <c r="BC706" s="1"/>
      <c r="BD706" s="1"/>
      <c r="BE706" s="1"/>
      <c r="BF706" s="1"/>
      <c r="BG706" s="1"/>
      <c r="BH706" s="1"/>
    </row>
    <row r="707" spans="1:60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79"/>
      <c r="AO707" s="79"/>
      <c r="AP707" s="79"/>
      <c r="AQ707" s="79"/>
      <c r="AR707" s="79"/>
      <c r="AS707" s="79"/>
      <c r="AT707" s="79"/>
      <c r="AU707" s="79"/>
      <c r="AV707" s="79"/>
      <c r="AW707" s="79"/>
      <c r="AX707" s="79"/>
      <c r="AY707" s="79"/>
      <c r="AZ707" s="79"/>
      <c r="BA707" s="79"/>
      <c r="BB707" s="1"/>
      <c r="BC707" s="1"/>
      <c r="BD707" s="1"/>
      <c r="BE707" s="1"/>
      <c r="BF707" s="1"/>
      <c r="BG707" s="1"/>
      <c r="BH707" s="1"/>
    </row>
    <row r="708" spans="1:60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79"/>
      <c r="AO708" s="79"/>
      <c r="AP708" s="79"/>
      <c r="AQ708" s="79"/>
      <c r="AR708" s="79"/>
      <c r="AS708" s="79"/>
      <c r="AT708" s="79"/>
      <c r="AU708" s="79"/>
      <c r="AV708" s="79"/>
      <c r="AW708" s="79"/>
      <c r="AX708" s="79"/>
      <c r="AY708" s="79"/>
      <c r="AZ708" s="79"/>
      <c r="BA708" s="79"/>
      <c r="BB708" s="1"/>
      <c r="BC708" s="1"/>
      <c r="BD708" s="1"/>
      <c r="BE708" s="1"/>
      <c r="BF708" s="1"/>
      <c r="BG708" s="1"/>
      <c r="BH708" s="1"/>
    </row>
    <row r="709" spans="1:60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79"/>
      <c r="AO709" s="79"/>
      <c r="AP709" s="79"/>
      <c r="AQ709" s="79"/>
      <c r="AR709" s="79"/>
      <c r="AS709" s="79"/>
      <c r="AT709" s="79"/>
      <c r="AU709" s="79"/>
      <c r="AV709" s="79"/>
      <c r="AW709" s="79"/>
      <c r="AX709" s="79"/>
      <c r="AY709" s="79"/>
      <c r="AZ709" s="79"/>
      <c r="BA709" s="79"/>
      <c r="BB709" s="1"/>
      <c r="BC709" s="1"/>
      <c r="BD709" s="1"/>
      <c r="BE709" s="1"/>
      <c r="BF709" s="1"/>
      <c r="BG709" s="1"/>
      <c r="BH709" s="1"/>
    </row>
    <row r="710" spans="1:60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79"/>
      <c r="AO710" s="79"/>
      <c r="AP710" s="79"/>
      <c r="AQ710" s="79"/>
      <c r="AR710" s="79"/>
      <c r="AS710" s="79"/>
      <c r="AT710" s="79"/>
      <c r="AU710" s="79"/>
      <c r="AV710" s="79"/>
      <c r="AW710" s="79"/>
      <c r="AX710" s="79"/>
      <c r="AY710" s="79"/>
      <c r="AZ710" s="79"/>
      <c r="BA710" s="79"/>
      <c r="BB710" s="1"/>
      <c r="BC710" s="1"/>
      <c r="BD710" s="1"/>
      <c r="BE710" s="1"/>
      <c r="BF710" s="1"/>
      <c r="BG710" s="1"/>
      <c r="BH710" s="1"/>
    </row>
    <row r="711" spans="1:60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79"/>
      <c r="AO711" s="79"/>
      <c r="AP711" s="79"/>
      <c r="AQ711" s="79"/>
      <c r="AR711" s="79"/>
      <c r="AS711" s="79"/>
      <c r="AT711" s="79"/>
      <c r="AU711" s="79"/>
      <c r="AV711" s="79"/>
      <c r="AW711" s="79"/>
      <c r="AX711" s="79"/>
      <c r="AY711" s="79"/>
      <c r="AZ711" s="79"/>
      <c r="BA711" s="79"/>
      <c r="BB711" s="1"/>
      <c r="BC711" s="1"/>
      <c r="BD711" s="1"/>
      <c r="BE711" s="1"/>
      <c r="BF711" s="1"/>
      <c r="BG711" s="1"/>
      <c r="BH711" s="1"/>
    </row>
    <row r="712" spans="1:60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79"/>
      <c r="AO712" s="79"/>
      <c r="AP712" s="79"/>
      <c r="AQ712" s="79"/>
      <c r="AR712" s="79"/>
      <c r="AS712" s="79"/>
      <c r="AT712" s="79"/>
      <c r="AU712" s="79"/>
      <c r="AV712" s="79"/>
      <c r="AW712" s="79"/>
      <c r="AX712" s="79"/>
      <c r="AY712" s="79"/>
      <c r="AZ712" s="79"/>
      <c r="BA712" s="79"/>
      <c r="BB712" s="1"/>
      <c r="BC712" s="1"/>
      <c r="BD712" s="1"/>
      <c r="BE712" s="1"/>
      <c r="BF712" s="1"/>
      <c r="BG712" s="1"/>
      <c r="BH712" s="1"/>
    </row>
    <row r="713" spans="1:60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79"/>
      <c r="AO713" s="79"/>
      <c r="AP713" s="79"/>
      <c r="AQ713" s="79"/>
      <c r="AR713" s="79"/>
      <c r="AS713" s="79"/>
      <c r="AT713" s="79"/>
      <c r="AU713" s="79"/>
      <c r="AV713" s="79"/>
      <c r="AW713" s="79"/>
      <c r="AX713" s="79"/>
      <c r="AY713" s="79"/>
      <c r="AZ713" s="79"/>
      <c r="BA713" s="79"/>
      <c r="BB713" s="1"/>
      <c r="BC713" s="1"/>
      <c r="BD713" s="1"/>
      <c r="BE713" s="1"/>
      <c r="BF713" s="1"/>
      <c r="BG713" s="1"/>
      <c r="BH713" s="1"/>
    </row>
    <row r="714" spans="1:60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79"/>
      <c r="AO714" s="79"/>
      <c r="AP714" s="79"/>
      <c r="AQ714" s="79"/>
      <c r="AR714" s="79"/>
      <c r="AS714" s="79"/>
      <c r="AT714" s="79"/>
      <c r="AU714" s="79"/>
      <c r="AV714" s="79"/>
      <c r="AW714" s="79"/>
      <c r="AX714" s="79"/>
      <c r="AY714" s="79"/>
      <c r="AZ714" s="79"/>
      <c r="BA714" s="79"/>
      <c r="BB714" s="1"/>
      <c r="BC714" s="1"/>
      <c r="BD714" s="1"/>
      <c r="BE714" s="1"/>
      <c r="BF714" s="1"/>
      <c r="BG714" s="1"/>
      <c r="BH714" s="1"/>
    </row>
    <row r="715" spans="1:60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79"/>
      <c r="AO715" s="79"/>
      <c r="AP715" s="79"/>
      <c r="AQ715" s="79"/>
      <c r="AR715" s="79"/>
      <c r="AS715" s="79"/>
      <c r="AT715" s="79"/>
      <c r="AU715" s="79"/>
      <c r="AV715" s="79"/>
      <c r="AW715" s="79"/>
      <c r="AX715" s="79"/>
      <c r="AY715" s="79"/>
      <c r="AZ715" s="79"/>
      <c r="BA715" s="79"/>
      <c r="BB715" s="1"/>
      <c r="BC715" s="1"/>
      <c r="BD715" s="1"/>
      <c r="BE715" s="1"/>
      <c r="BF715" s="1"/>
      <c r="BG715" s="1"/>
      <c r="BH715" s="1"/>
    </row>
    <row r="716" spans="1:60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79"/>
      <c r="AO716" s="79"/>
      <c r="AP716" s="79"/>
      <c r="AQ716" s="79"/>
      <c r="AR716" s="79"/>
      <c r="AS716" s="79"/>
      <c r="AT716" s="79"/>
      <c r="AU716" s="79"/>
      <c r="AV716" s="79"/>
      <c r="AW716" s="79"/>
      <c r="AX716" s="79"/>
      <c r="AY716" s="79"/>
      <c r="AZ716" s="79"/>
      <c r="BA716" s="79"/>
      <c r="BB716" s="1"/>
      <c r="BC716" s="1"/>
      <c r="BD716" s="1"/>
      <c r="BE716" s="1"/>
      <c r="BF716" s="1"/>
      <c r="BG716" s="1"/>
      <c r="BH716" s="1"/>
    </row>
    <row r="717" spans="1:60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79"/>
      <c r="AO717" s="79"/>
      <c r="AP717" s="79"/>
      <c r="AQ717" s="79"/>
      <c r="AR717" s="79"/>
      <c r="AS717" s="79"/>
      <c r="AT717" s="79"/>
      <c r="AU717" s="79"/>
      <c r="AV717" s="79"/>
      <c r="AW717" s="79"/>
      <c r="AX717" s="79"/>
      <c r="AY717" s="79"/>
      <c r="AZ717" s="79"/>
      <c r="BA717" s="79"/>
      <c r="BB717" s="1"/>
      <c r="BC717" s="1"/>
      <c r="BD717" s="1"/>
      <c r="BE717" s="1"/>
      <c r="BF717" s="1"/>
      <c r="BG717" s="1"/>
      <c r="BH717" s="1"/>
    </row>
    <row r="718" spans="1:60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79"/>
      <c r="AO718" s="79"/>
      <c r="AP718" s="79"/>
      <c r="AQ718" s="79"/>
      <c r="AR718" s="79"/>
      <c r="AS718" s="79"/>
      <c r="AT718" s="79"/>
      <c r="AU718" s="79"/>
      <c r="AV718" s="79"/>
      <c r="AW718" s="79"/>
      <c r="AX718" s="79"/>
      <c r="AY718" s="79"/>
      <c r="AZ718" s="79"/>
      <c r="BA718" s="79"/>
      <c r="BB718" s="1"/>
      <c r="BC718" s="1"/>
      <c r="BD718" s="1"/>
      <c r="BE718" s="1"/>
      <c r="BF718" s="1"/>
      <c r="BG718" s="1"/>
      <c r="BH718" s="1"/>
    </row>
    <row r="719" spans="1:60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79"/>
      <c r="AO719" s="79"/>
      <c r="AP719" s="79"/>
      <c r="AQ719" s="79"/>
      <c r="AR719" s="79"/>
      <c r="AS719" s="79"/>
      <c r="AT719" s="79"/>
      <c r="AU719" s="79"/>
      <c r="AV719" s="79"/>
      <c r="AW719" s="79"/>
      <c r="AX719" s="79"/>
      <c r="AY719" s="79"/>
      <c r="AZ719" s="79"/>
      <c r="BA719" s="79"/>
      <c r="BB719" s="1"/>
      <c r="BC719" s="1"/>
      <c r="BD719" s="1"/>
      <c r="BE719" s="1"/>
      <c r="BF719" s="1"/>
      <c r="BG719" s="1"/>
      <c r="BH719" s="1"/>
    </row>
    <row r="720" spans="1:60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79"/>
      <c r="AO720" s="79"/>
      <c r="AP720" s="79"/>
      <c r="AQ720" s="79"/>
      <c r="AR720" s="79"/>
      <c r="AS720" s="79"/>
      <c r="AT720" s="79"/>
      <c r="AU720" s="79"/>
      <c r="AV720" s="79"/>
      <c r="AW720" s="79"/>
      <c r="AX720" s="79"/>
      <c r="AY720" s="79"/>
      <c r="AZ720" s="79"/>
      <c r="BA720" s="79"/>
      <c r="BB720" s="1"/>
      <c r="BC720" s="1"/>
      <c r="BD720" s="1"/>
      <c r="BE720" s="1"/>
      <c r="BF720" s="1"/>
      <c r="BG720" s="1"/>
      <c r="BH720" s="1"/>
    </row>
    <row r="721" spans="1:60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79"/>
      <c r="AO721" s="79"/>
      <c r="AP721" s="79"/>
      <c r="AQ721" s="79"/>
      <c r="AR721" s="79"/>
      <c r="AS721" s="79"/>
      <c r="AT721" s="79"/>
      <c r="AU721" s="79"/>
      <c r="AV721" s="79"/>
      <c r="AW721" s="79"/>
      <c r="AX721" s="79"/>
      <c r="AY721" s="79"/>
      <c r="AZ721" s="79"/>
      <c r="BA721" s="79"/>
      <c r="BB721" s="1"/>
      <c r="BC721" s="1"/>
      <c r="BD721" s="1"/>
      <c r="BE721" s="1"/>
      <c r="BF721" s="1"/>
      <c r="BG721" s="1"/>
      <c r="BH721" s="1"/>
    </row>
    <row r="722" spans="1:60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79"/>
      <c r="AO722" s="79"/>
      <c r="AP722" s="79"/>
      <c r="AQ722" s="79"/>
      <c r="AR722" s="79"/>
      <c r="AS722" s="79"/>
      <c r="AT722" s="79"/>
      <c r="AU722" s="79"/>
      <c r="AV722" s="79"/>
      <c r="AW722" s="79"/>
      <c r="AX722" s="79"/>
      <c r="AY722" s="79"/>
      <c r="AZ722" s="79"/>
      <c r="BA722" s="79"/>
      <c r="BB722" s="1"/>
      <c r="BC722" s="1"/>
      <c r="BD722" s="1"/>
      <c r="BE722" s="1"/>
      <c r="BF722" s="1"/>
      <c r="BG722" s="1"/>
      <c r="BH722" s="1"/>
    </row>
    <row r="723" spans="1:60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79"/>
      <c r="AO723" s="79"/>
      <c r="AP723" s="79"/>
      <c r="AQ723" s="79"/>
      <c r="AR723" s="79"/>
      <c r="AS723" s="79"/>
      <c r="AT723" s="79"/>
      <c r="AU723" s="79"/>
      <c r="AV723" s="79"/>
      <c r="AW723" s="79"/>
      <c r="AX723" s="79"/>
      <c r="AY723" s="79"/>
      <c r="AZ723" s="79"/>
      <c r="BA723" s="79"/>
      <c r="BB723" s="1"/>
      <c r="BC723" s="1"/>
      <c r="BD723" s="1"/>
      <c r="BE723" s="1"/>
      <c r="BF723" s="1"/>
      <c r="BG723" s="1"/>
      <c r="BH723" s="1"/>
    </row>
    <row r="724" spans="1:60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79"/>
      <c r="AO724" s="79"/>
      <c r="AP724" s="79"/>
      <c r="AQ724" s="79"/>
      <c r="AR724" s="79"/>
      <c r="AS724" s="79"/>
      <c r="AT724" s="79"/>
      <c r="AU724" s="79"/>
      <c r="AV724" s="79"/>
      <c r="AW724" s="79"/>
      <c r="AX724" s="79"/>
      <c r="AY724" s="79"/>
      <c r="AZ724" s="79"/>
      <c r="BA724" s="79"/>
      <c r="BB724" s="1"/>
      <c r="BC724" s="1"/>
      <c r="BD724" s="1"/>
      <c r="BE724" s="1"/>
      <c r="BF724" s="1"/>
      <c r="BG724" s="1"/>
      <c r="BH724" s="1"/>
    </row>
    <row r="725" spans="1:60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79"/>
      <c r="AO725" s="79"/>
      <c r="AP725" s="79"/>
      <c r="AQ725" s="79"/>
      <c r="AR725" s="79"/>
      <c r="AS725" s="79"/>
      <c r="AT725" s="79"/>
      <c r="AU725" s="79"/>
      <c r="AV725" s="79"/>
      <c r="AW725" s="79"/>
      <c r="AX725" s="79"/>
      <c r="AY725" s="79"/>
      <c r="AZ725" s="79"/>
      <c r="BA725" s="79"/>
      <c r="BB725" s="1"/>
      <c r="BC725" s="1"/>
      <c r="BD725" s="1"/>
      <c r="BE725" s="1"/>
      <c r="BF725" s="1"/>
      <c r="BG725" s="1"/>
      <c r="BH725" s="1"/>
    </row>
    <row r="726" spans="1:60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79"/>
      <c r="AO726" s="79"/>
      <c r="AP726" s="79"/>
      <c r="AQ726" s="79"/>
      <c r="AR726" s="79"/>
      <c r="AS726" s="79"/>
      <c r="AT726" s="79"/>
      <c r="AU726" s="79"/>
      <c r="AV726" s="79"/>
      <c r="AW726" s="79"/>
      <c r="AX726" s="79"/>
      <c r="AY726" s="79"/>
      <c r="AZ726" s="79"/>
      <c r="BA726" s="79"/>
      <c r="BB726" s="1"/>
      <c r="BC726" s="1"/>
      <c r="BD726" s="1"/>
      <c r="BE726" s="1"/>
      <c r="BF726" s="1"/>
      <c r="BG726" s="1"/>
      <c r="BH726" s="1"/>
    </row>
    <row r="727" spans="1:60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79"/>
      <c r="AO727" s="79"/>
      <c r="AP727" s="79"/>
      <c r="AQ727" s="79"/>
      <c r="AR727" s="79"/>
      <c r="AS727" s="79"/>
      <c r="AT727" s="79"/>
      <c r="AU727" s="79"/>
      <c r="AV727" s="79"/>
      <c r="AW727" s="79"/>
      <c r="AX727" s="79"/>
      <c r="AY727" s="79"/>
      <c r="AZ727" s="79"/>
      <c r="BA727" s="79"/>
      <c r="BB727" s="1"/>
      <c r="BC727" s="1"/>
      <c r="BD727" s="1"/>
      <c r="BE727" s="1"/>
      <c r="BF727" s="1"/>
      <c r="BG727" s="1"/>
      <c r="BH727" s="1"/>
    </row>
    <row r="728" spans="1:60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79"/>
      <c r="AO728" s="79"/>
      <c r="AP728" s="79"/>
      <c r="AQ728" s="79"/>
      <c r="AR728" s="79"/>
      <c r="AS728" s="79"/>
      <c r="AT728" s="79"/>
      <c r="AU728" s="79"/>
      <c r="AV728" s="79"/>
      <c r="AW728" s="79"/>
      <c r="AX728" s="79"/>
      <c r="AY728" s="79"/>
      <c r="AZ728" s="79"/>
      <c r="BA728" s="79"/>
      <c r="BB728" s="1"/>
      <c r="BC728" s="1"/>
      <c r="BD728" s="1"/>
      <c r="BE728" s="1"/>
      <c r="BF728" s="1"/>
      <c r="BG728" s="1"/>
      <c r="BH728" s="1"/>
    </row>
    <row r="729" spans="1:60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79"/>
      <c r="AO729" s="79"/>
      <c r="AP729" s="79"/>
      <c r="AQ729" s="79"/>
      <c r="AR729" s="79"/>
      <c r="AS729" s="79"/>
      <c r="AT729" s="79"/>
      <c r="AU729" s="79"/>
      <c r="AV729" s="79"/>
      <c r="AW729" s="79"/>
      <c r="AX729" s="79"/>
      <c r="AY729" s="79"/>
      <c r="AZ729" s="79"/>
      <c r="BA729" s="79"/>
      <c r="BB729" s="1"/>
      <c r="BC729" s="1"/>
      <c r="BD729" s="1"/>
      <c r="BE729" s="1"/>
      <c r="BF729" s="1"/>
      <c r="BG729" s="1"/>
      <c r="BH729" s="1"/>
    </row>
    <row r="730" spans="1:60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79"/>
      <c r="AO730" s="79"/>
      <c r="AP730" s="79"/>
      <c r="AQ730" s="79"/>
      <c r="AR730" s="79"/>
      <c r="AS730" s="79"/>
      <c r="AT730" s="79"/>
      <c r="AU730" s="79"/>
      <c r="AV730" s="79"/>
      <c r="AW730" s="79"/>
      <c r="AX730" s="79"/>
      <c r="AY730" s="79"/>
      <c r="AZ730" s="79"/>
      <c r="BA730" s="79"/>
      <c r="BB730" s="1"/>
      <c r="BC730" s="1"/>
      <c r="BD730" s="1"/>
      <c r="BE730" s="1"/>
      <c r="BF730" s="1"/>
      <c r="BG730" s="1"/>
      <c r="BH730" s="1"/>
    </row>
    <row r="731" spans="1:60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79"/>
      <c r="AO731" s="79"/>
      <c r="AP731" s="79"/>
      <c r="AQ731" s="79"/>
      <c r="AR731" s="79"/>
      <c r="AS731" s="79"/>
      <c r="AT731" s="79"/>
      <c r="AU731" s="79"/>
      <c r="AV731" s="79"/>
      <c r="AW731" s="79"/>
      <c r="AX731" s="79"/>
      <c r="AY731" s="79"/>
      <c r="AZ731" s="79"/>
      <c r="BA731" s="79"/>
      <c r="BB731" s="1"/>
      <c r="BC731" s="1"/>
      <c r="BD731" s="1"/>
      <c r="BE731" s="1"/>
      <c r="BF731" s="1"/>
      <c r="BG731" s="1"/>
      <c r="BH731" s="1"/>
    </row>
    <row r="732" spans="1:60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79"/>
      <c r="AO732" s="79"/>
      <c r="AP732" s="79"/>
      <c r="AQ732" s="79"/>
      <c r="AR732" s="79"/>
      <c r="AS732" s="79"/>
      <c r="AT732" s="79"/>
      <c r="AU732" s="79"/>
      <c r="AV732" s="79"/>
      <c r="AW732" s="79"/>
      <c r="AX732" s="79"/>
      <c r="AY732" s="79"/>
      <c r="AZ732" s="79"/>
      <c r="BA732" s="79"/>
      <c r="BB732" s="1"/>
      <c r="BC732" s="1"/>
      <c r="BD732" s="1"/>
      <c r="BE732" s="1"/>
      <c r="BF732" s="1"/>
      <c r="BG732" s="1"/>
      <c r="BH732" s="1"/>
    </row>
    <row r="733" spans="1:60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79"/>
      <c r="AO733" s="79"/>
      <c r="AP733" s="79"/>
      <c r="AQ733" s="79"/>
      <c r="AR733" s="79"/>
      <c r="AS733" s="79"/>
      <c r="AT733" s="79"/>
      <c r="AU733" s="79"/>
      <c r="AV733" s="79"/>
      <c r="AW733" s="79"/>
      <c r="AX733" s="79"/>
      <c r="AY733" s="79"/>
      <c r="AZ733" s="79"/>
      <c r="BA733" s="79"/>
      <c r="BB733" s="1"/>
      <c r="BC733" s="1"/>
      <c r="BD733" s="1"/>
      <c r="BE733" s="1"/>
      <c r="BF733" s="1"/>
      <c r="BG733" s="1"/>
      <c r="BH733" s="1"/>
    </row>
    <row r="734" spans="1:60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79"/>
      <c r="AO734" s="79"/>
      <c r="AP734" s="79"/>
      <c r="AQ734" s="79"/>
      <c r="AR734" s="79"/>
      <c r="AS734" s="79"/>
      <c r="AT734" s="79"/>
      <c r="AU734" s="79"/>
      <c r="AV734" s="79"/>
      <c r="AW734" s="79"/>
      <c r="AX734" s="79"/>
      <c r="AY734" s="79"/>
      <c r="AZ734" s="79"/>
      <c r="BA734" s="79"/>
      <c r="BB734" s="1"/>
      <c r="BC734" s="1"/>
      <c r="BD734" s="1"/>
      <c r="BE734" s="1"/>
      <c r="BF734" s="1"/>
      <c r="BG734" s="1"/>
      <c r="BH734" s="1"/>
    </row>
    <row r="735" spans="1:60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79"/>
      <c r="AO735" s="79"/>
      <c r="AP735" s="79"/>
      <c r="AQ735" s="79"/>
      <c r="AR735" s="79"/>
      <c r="AS735" s="79"/>
      <c r="AT735" s="79"/>
      <c r="AU735" s="79"/>
      <c r="AV735" s="79"/>
      <c r="AW735" s="79"/>
      <c r="AX735" s="79"/>
      <c r="AY735" s="79"/>
      <c r="AZ735" s="79"/>
      <c r="BA735" s="79"/>
      <c r="BB735" s="1"/>
      <c r="BC735" s="1"/>
      <c r="BD735" s="1"/>
      <c r="BE735" s="1"/>
      <c r="BF735" s="1"/>
      <c r="BG735" s="1"/>
      <c r="BH735" s="1"/>
    </row>
    <row r="736" spans="1:60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79"/>
      <c r="AO736" s="79"/>
      <c r="AP736" s="79"/>
      <c r="AQ736" s="79"/>
      <c r="AR736" s="79"/>
      <c r="AS736" s="79"/>
      <c r="AT736" s="79"/>
      <c r="AU736" s="79"/>
      <c r="AV736" s="79"/>
      <c r="AW736" s="79"/>
      <c r="AX736" s="79"/>
      <c r="AY736" s="79"/>
      <c r="AZ736" s="79"/>
      <c r="BA736" s="79"/>
      <c r="BB736" s="1"/>
      <c r="BC736" s="1"/>
      <c r="BD736" s="1"/>
      <c r="BE736" s="1"/>
      <c r="BF736" s="1"/>
      <c r="BG736" s="1"/>
      <c r="BH736" s="1"/>
    </row>
    <row r="737" spans="1:60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79"/>
      <c r="AO737" s="79"/>
      <c r="AP737" s="79"/>
      <c r="AQ737" s="79"/>
      <c r="AR737" s="79"/>
      <c r="AS737" s="79"/>
      <c r="AT737" s="79"/>
      <c r="AU737" s="79"/>
      <c r="AV737" s="79"/>
      <c r="AW737" s="79"/>
      <c r="AX737" s="79"/>
      <c r="AY737" s="79"/>
      <c r="AZ737" s="79"/>
      <c r="BA737" s="79"/>
      <c r="BB737" s="1"/>
      <c r="BC737" s="1"/>
      <c r="BD737" s="1"/>
      <c r="BE737" s="1"/>
      <c r="BF737" s="1"/>
      <c r="BG737" s="1"/>
      <c r="BH737" s="1"/>
    </row>
    <row r="738" spans="1:60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79"/>
      <c r="AO738" s="79"/>
      <c r="AP738" s="79"/>
      <c r="AQ738" s="79"/>
      <c r="AR738" s="79"/>
      <c r="AS738" s="79"/>
      <c r="AT738" s="79"/>
      <c r="AU738" s="79"/>
      <c r="AV738" s="79"/>
      <c r="AW738" s="79"/>
      <c r="AX738" s="79"/>
      <c r="AY738" s="79"/>
      <c r="AZ738" s="79"/>
      <c r="BA738" s="79"/>
      <c r="BB738" s="1"/>
      <c r="BC738" s="1"/>
      <c r="BD738" s="1"/>
      <c r="BE738" s="1"/>
      <c r="BF738" s="1"/>
      <c r="BG738" s="1"/>
      <c r="BH738" s="1"/>
    </row>
    <row r="739" spans="1:60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79"/>
      <c r="AO739" s="79"/>
      <c r="AP739" s="79"/>
      <c r="AQ739" s="79"/>
      <c r="AR739" s="79"/>
      <c r="AS739" s="79"/>
      <c r="AT739" s="79"/>
      <c r="AU739" s="79"/>
      <c r="AV739" s="79"/>
      <c r="AW739" s="79"/>
      <c r="AX739" s="79"/>
      <c r="AY739" s="79"/>
      <c r="AZ739" s="79"/>
      <c r="BA739" s="79"/>
      <c r="BB739" s="1"/>
      <c r="BC739" s="1"/>
      <c r="BD739" s="1"/>
      <c r="BE739" s="1"/>
      <c r="BF739" s="1"/>
      <c r="BG739" s="1"/>
      <c r="BH739" s="1"/>
    </row>
    <row r="740" spans="1:60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79"/>
      <c r="AO740" s="79"/>
      <c r="AP740" s="79"/>
      <c r="AQ740" s="79"/>
      <c r="AR740" s="79"/>
      <c r="AS740" s="79"/>
      <c r="AT740" s="79"/>
      <c r="AU740" s="79"/>
      <c r="AV740" s="79"/>
      <c r="AW740" s="79"/>
      <c r="AX740" s="79"/>
      <c r="AY740" s="79"/>
      <c r="AZ740" s="79"/>
      <c r="BA740" s="79"/>
      <c r="BB740" s="1"/>
      <c r="BC740" s="1"/>
      <c r="BD740" s="1"/>
      <c r="BE740" s="1"/>
      <c r="BF740" s="1"/>
      <c r="BG740" s="1"/>
      <c r="BH740" s="1"/>
    </row>
    <row r="741" spans="1:60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79"/>
      <c r="AO741" s="79"/>
      <c r="AP741" s="79"/>
      <c r="AQ741" s="79"/>
      <c r="AR741" s="79"/>
      <c r="AS741" s="79"/>
      <c r="AT741" s="79"/>
      <c r="AU741" s="79"/>
      <c r="AV741" s="79"/>
      <c r="AW741" s="79"/>
      <c r="AX741" s="79"/>
      <c r="AY741" s="79"/>
      <c r="AZ741" s="79"/>
      <c r="BA741" s="79"/>
      <c r="BB741" s="1"/>
      <c r="BC741" s="1"/>
      <c r="BD741" s="1"/>
      <c r="BE741" s="1"/>
      <c r="BF741" s="1"/>
      <c r="BG741" s="1"/>
      <c r="BH741" s="1"/>
    </row>
    <row r="742" spans="1:60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79"/>
      <c r="AO742" s="79"/>
      <c r="AP742" s="79"/>
      <c r="AQ742" s="79"/>
      <c r="AR742" s="79"/>
      <c r="AS742" s="79"/>
      <c r="AT742" s="79"/>
      <c r="AU742" s="79"/>
      <c r="AV742" s="79"/>
      <c r="AW742" s="79"/>
      <c r="AX742" s="79"/>
      <c r="AY742" s="79"/>
      <c r="AZ742" s="79"/>
      <c r="BA742" s="79"/>
      <c r="BB742" s="1"/>
      <c r="BC742" s="1"/>
      <c r="BD742" s="1"/>
      <c r="BE742" s="1"/>
      <c r="BF742" s="1"/>
      <c r="BG742" s="1"/>
      <c r="BH742" s="1"/>
    </row>
    <row r="743" spans="1:60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79"/>
      <c r="AO743" s="79"/>
      <c r="AP743" s="79"/>
      <c r="AQ743" s="79"/>
      <c r="AR743" s="79"/>
      <c r="AS743" s="79"/>
      <c r="AT743" s="79"/>
      <c r="AU743" s="79"/>
      <c r="AV743" s="79"/>
      <c r="AW743" s="79"/>
      <c r="AX743" s="79"/>
      <c r="AY743" s="79"/>
      <c r="AZ743" s="79"/>
      <c r="BA743" s="79"/>
      <c r="BB743" s="1"/>
      <c r="BC743" s="1"/>
      <c r="BD743" s="1"/>
      <c r="BE743" s="1"/>
      <c r="BF743" s="1"/>
      <c r="BG743" s="1"/>
      <c r="BH743" s="1"/>
    </row>
    <row r="744" spans="1:60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79"/>
      <c r="AO744" s="79"/>
      <c r="AP744" s="79"/>
      <c r="AQ744" s="79"/>
      <c r="AR744" s="79"/>
      <c r="AS744" s="79"/>
      <c r="AT744" s="79"/>
      <c r="AU744" s="79"/>
      <c r="AV744" s="79"/>
      <c r="AW744" s="79"/>
      <c r="AX744" s="79"/>
      <c r="AY744" s="79"/>
      <c r="AZ744" s="79"/>
      <c r="BA744" s="79"/>
      <c r="BB744" s="1"/>
      <c r="BC744" s="1"/>
      <c r="BD744" s="1"/>
      <c r="BE744" s="1"/>
      <c r="BF744" s="1"/>
      <c r="BG744" s="1"/>
      <c r="BH744" s="1"/>
    </row>
    <row r="745" spans="1:60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79"/>
      <c r="AO745" s="79"/>
      <c r="AP745" s="79"/>
      <c r="AQ745" s="79"/>
      <c r="AR745" s="79"/>
      <c r="AS745" s="79"/>
      <c r="AT745" s="79"/>
      <c r="AU745" s="79"/>
      <c r="AV745" s="79"/>
      <c r="AW745" s="79"/>
      <c r="AX745" s="79"/>
      <c r="AY745" s="79"/>
      <c r="AZ745" s="79"/>
      <c r="BA745" s="79"/>
      <c r="BB745" s="1"/>
      <c r="BC745" s="1"/>
      <c r="BD745" s="1"/>
      <c r="BE745" s="1"/>
      <c r="BF745" s="1"/>
      <c r="BG745" s="1"/>
      <c r="BH745" s="1"/>
    </row>
    <row r="746" spans="1:60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79"/>
      <c r="AO746" s="79"/>
      <c r="AP746" s="79"/>
      <c r="AQ746" s="79"/>
      <c r="AR746" s="79"/>
      <c r="AS746" s="79"/>
      <c r="AT746" s="79"/>
      <c r="AU746" s="79"/>
      <c r="AV746" s="79"/>
      <c r="AW746" s="79"/>
      <c r="AX746" s="79"/>
      <c r="AY746" s="79"/>
      <c r="AZ746" s="79"/>
      <c r="BA746" s="79"/>
      <c r="BB746" s="1"/>
      <c r="BC746" s="1"/>
      <c r="BD746" s="1"/>
      <c r="BE746" s="1"/>
      <c r="BF746" s="1"/>
      <c r="BG746" s="1"/>
      <c r="BH746" s="1"/>
    </row>
    <row r="747" spans="1:60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79"/>
      <c r="AO747" s="79"/>
      <c r="AP747" s="79"/>
      <c r="AQ747" s="79"/>
      <c r="AR747" s="79"/>
      <c r="AS747" s="79"/>
      <c r="AT747" s="79"/>
      <c r="AU747" s="79"/>
      <c r="AV747" s="79"/>
      <c r="AW747" s="79"/>
      <c r="AX747" s="79"/>
      <c r="AY747" s="79"/>
      <c r="AZ747" s="79"/>
      <c r="BA747" s="79"/>
      <c r="BB747" s="1"/>
      <c r="BC747" s="1"/>
      <c r="BD747" s="1"/>
      <c r="BE747" s="1"/>
      <c r="BF747" s="1"/>
      <c r="BG747" s="1"/>
      <c r="BH747" s="1"/>
    </row>
    <row r="748" spans="1:60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79"/>
      <c r="AO748" s="79"/>
      <c r="AP748" s="79"/>
      <c r="AQ748" s="79"/>
      <c r="AR748" s="79"/>
      <c r="AS748" s="79"/>
      <c r="AT748" s="79"/>
      <c r="AU748" s="79"/>
      <c r="AV748" s="79"/>
      <c r="AW748" s="79"/>
      <c r="AX748" s="79"/>
      <c r="AY748" s="79"/>
      <c r="AZ748" s="79"/>
      <c r="BA748" s="79"/>
      <c r="BB748" s="1"/>
      <c r="BC748" s="1"/>
      <c r="BD748" s="1"/>
      <c r="BE748" s="1"/>
      <c r="BF748" s="1"/>
      <c r="BG748" s="1"/>
      <c r="BH748" s="1"/>
    </row>
    <row r="749" spans="1:60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79"/>
      <c r="AO749" s="79"/>
      <c r="AP749" s="79"/>
      <c r="AQ749" s="79"/>
      <c r="AR749" s="79"/>
      <c r="AS749" s="79"/>
      <c r="AT749" s="79"/>
      <c r="AU749" s="79"/>
      <c r="AV749" s="79"/>
      <c r="AW749" s="79"/>
      <c r="AX749" s="79"/>
      <c r="AY749" s="79"/>
      <c r="AZ749" s="79"/>
      <c r="BA749" s="79"/>
      <c r="BB749" s="1"/>
      <c r="BC749" s="1"/>
      <c r="BD749" s="1"/>
      <c r="BE749" s="1"/>
      <c r="BF749" s="1"/>
      <c r="BG749" s="1"/>
      <c r="BH749" s="1"/>
    </row>
    <row r="750" spans="1:60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79"/>
      <c r="AO750" s="79"/>
      <c r="AP750" s="79"/>
      <c r="AQ750" s="79"/>
      <c r="AR750" s="79"/>
      <c r="AS750" s="79"/>
      <c r="AT750" s="79"/>
      <c r="AU750" s="79"/>
      <c r="AV750" s="79"/>
      <c r="AW750" s="79"/>
      <c r="AX750" s="79"/>
      <c r="AY750" s="79"/>
      <c r="AZ750" s="79"/>
      <c r="BA750" s="79"/>
      <c r="BB750" s="1"/>
      <c r="BC750" s="1"/>
      <c r="BD750" s="1"/>
      <c r="BE750" s="1"/>
      <c r="BF750" s="1"/>
      <c r="BG750" s="1"/>
      <c r="BH750" s="1"/>
    </row>
    <row r="751" spans="1:60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79"/>
      <c r="AO751" s="79"/>
      <c r="AP751" s="79"/>
      <c r="AQ751" s="79"/>
      <c r="AR751" s="79"/>
      <c r="AS751" s="79"/>
      <c r="AT751" s="79"/>
      <c r="AU751" s="79"/>
      <c r="AV751" s="79"/>
      <c r="AW751" s="79"/>
      <c r="AX751" s="79"/>
      <c r="AY751" s="79"/>
      <c r="AZ751" s="79"/>
      <c r="BA751" s="79"/>
      <c r="BB751" s="1"/>
      <c r="BC751" s="1"/>
      <c r="BD751" s="1"/>
      <c r="BE751" s="1"/>
      <c r="BF751" s="1"/>
      <c r="BG751" s="1"/>
      <c r="BH751" s="1"/>
    </row>
    <row r="752" spans="1:60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79"/>
      <c r="AO752" s="79"/>
      <c r="AP752" s="79"/>
      <c r="AQ752" s="79"/>
      <c r="AR752" s="79"/>
      <c r="AS752" s="79"/>
      <c r="AT752" s="79"/>
      <c r="AU752" s="79"/>
      <c r="AV752" s="79"/>
      <c r="AW752" s="79"/>
      <c r="AX752" s="79"/>
      <c r="AY752" s="79"/>
      <c r="AZ752" s="79"/>
      <c r="BA752" s="79"/>
      <c r="BB752" s="1"/>
      <c r="BC752" s="1"/>
      <c r="BD752" s="1"/>
      <c r="BE752" s="1"/>
      <c r="BF752" s="1"/>
      <c r="BG752" s="1"/>
      <c r="BH752" s="1"/>
    </row>
    <row r="753" spans="1:60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79"/>
      <c r="AO753" s="79"/>
      <c r="AP753" s="79"/>
      <c r="AQ753" s="79"/>
      <c r="AR753" s="79"/>
      <c r="AS753" s="79"/>
      <c r="AT753" s="79"/>
      <c r="AU753" s="79"/>
      <c r="AV753" s="79"/>
      <c r="AW753" s="79"/>
      <c r="AX753" s="79"/>
      <c r="AY753" s="79"/>
      <c r="AZ753" s="79"/>
      <c r="BA753" s="79"/>
      <c r="BB753" s="1"/>
      <c r="BC753" s="1"/>
      <c r="BD753" s="1"/>
      <c r="BE753" s="1"/>
      <c r="BF753" s="1"/>
      <c r="BG753" s="1"/>
      <c r="BH753" s="1"/>
    </row>
    <row r="754" spans="1:60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79"/>
      <c r="AO754" s="79"/>
      <c r="AP754" s="79"/>
      <c r="AQ754" s="79"/>
      <c r="AR754" s="79"/>
      <c r="AS754" s="79"/>
      <c r="AT754" s="79"/>
      <c r="AU754" s="79"/>
      <c r="AV754" s="79"/>
      <c r="AW754" s="79"/>
      <c r="AX754" s="79"/>
      <c r="AY754" s="79"/>
      <c r="AZ754" s="79"/>
      <c r="BA754" s="79"/>
      <c r="BB754" s="1"/>
      <c r="BC754" s="1"/>
      <c r="BD754" s="1"/>
      <c r="BE754" s="1"/>
      <c r="BF754" s="1"/>
      <c r="BG754" s="1"/>
      <c r="BH754" s="1"/>
    </row>
    <row r="755" spans="1:60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79"/>
      <c r="AO755" s="79"/>
      <c r="AP755" s="79"/>
      <c r="AQ755" s="79"/>
      <c r="AR755" s="79"/>
      <c r="AS755" s="79"/>
      <c r="AT755" s="79"/>
      <c r="AU755" s="79"/>
      <c r="AV755" s="79"/>
      <c r="AW755" s="79"/>
      <c r="AX755" s="79"/>
      <c r="AY755" s="79"/>
      <c r="AZ755" s="79"/>
      <c r="BA755" s="79"/>
      <c r="BB755" s="1"/>
      <c r="BC755" s="1"/>
      <c r="BD755" s="1"/>
      <c r="BE755" s="1"/>
      <c r="BF755" s="1"/>
      <c r="BG755" s="1"/>
      <c r="BH755" s="1"/>
    </row>
    <row r="756" spans="1:60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79"/>
      <c r="AO756" s="79"/>
      <c r="AP756" s="79"/>
      <c r="AQ756" s="79"/>
      <c r="AR756" s="79"/>
      <c r="AS756" s="79"/>
      <c r="AT756" s="79"/>
      <c r="AU756" s="79"/>
      <c r="AV756" s="79"/>
      <c r="AW756" s="79"/>
      <c r="AX756" s="79"/>
      <c r="AY756" s="79"/>
      <c r="AZ756" s="79"/>
      <c r="BA756" s="79"/>
      <c r="BB756" s="1"/>
      <c r="BC756" s="1"/>
      <c r="BD756" s="1"/>
      <c r="BE756" s="1"/>
      <c r="BF756" s="1"/>
      <c r="BG756" s="1"/>
      <c r="BH756" s="1"/>
    </row>
    <row r="757" spans="1:60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79"/>
      <c r="AO757" s="79"/>
      <c r="AP757" s="79"/>
      <c r="AQ757" s="79"/>
      <c r="AR757" s="79"/>
      <c r="AS757" s="79"/>
      <c r="AT757" s="79"/>
      <c r="AU757" s="79"/>
      <c r="AV757" s="79"/>
      <c r="AW757" s="79"/>
      <c r="AX757" s="79"/>
      <c r="AY757" s="79"/>
      <c r="AZ757" s="79"/>
      <c r="BA757" s="79"/>
      <c r="BB757" s="1"/>
      <c r="BC757" s="1"/>
      <c r="BD757" s="1"/>
      <c r="BE757" s="1"/>
      <c r="BF757" s="1"/>
      <c r="BG757" s="1"/>
      <c r="BH757" s="1"/>
    </row>
    <row r="758" spans="1:60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79"/>
      <c r="AO758" s="79"/>
      <c r="AP758" s="79"/>
      <c r="AQ758" s="79"/>
      <c r="AR758" s="79"/>
      <c r="AS758" s="79"/>
      <c r="AT758" s="79"/>
      <c r="AU758" s="79"/>
      <c r="AV758" s="79"/>
      <c r="AW758" s="79"/>
      <c r="AX758" s="79"/>
      <c r="AY758" s="79"/>
      <c r="AZ758" s="79"/>
      <c r="BA758" s="79"/>
      <c r="BB758" s="1"/>
      <c r="BC758" s="1"/>
      <c r="BD758" s="1"/>
      <c r="BE758" s="1"/>
      <c r="BF758" s="1"/>
      <c r="BG758" s="1"/>
      <c r="BH758" s="1"/>
    </row>
    <row r="759" spans="1:60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79"/>
      <c r="AO759" s="79"/>
      <c r="AP759" s="79"/>
      <c r="AQ759" s="79"/>
      <c r="AR759" s="79"/>
      <c r="AS759" s="79"/>
      <c r="AT759" s="79"/>
      <c r="AU759" s="79"/>
      <c r="AV759" s="79"/>
      <c r="AW759" s="79"/>
      <c r="AX759" s="79"/>
      <c r="AY759" s="79"/>
      <c r="AZ759" s="79"/>
      <c r="BA759" s="79"/>
      <c r="BB759" s="1"/>
      <c r="BC759" s="1"/>
      <c r="BD759" s="1"/>
      <c r="BE759" s="1"/>
      <c r="BF759" s="1"/>
      <c r="BG759" s="1"/>
      <c r="BH759" s="1"/>
    </row>
    <row r="760" spans="1:60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79"/>
      <c r="AO760" s="79"/>
      <c r="AP760" s="79"/>
      <c r="AQ760" s="79"/>
      <c r="AR760" s="79"/>
      <c r="AS760" s="79"/>
      <c r="AT760" s="79"/>
      <c r="AU760" s="79"/>
      <c r="AV760" s="79"/>
      <c r="AW760" s="79"/>
      <c r="AX760" s="79"/>
      <c r="AY760" s="79"/>
      <c r="AZ760" s="79"/>
      <c r="BA760" s="79"/>
      <c r="BB760" s="1"/>
      <c r="BC760" s="1"/>
      <c r="BD760" s="1"/>
      <c r="BE760" s="1"/>
      <c r="BF760" s="1"/>
      <c r="BG760" s="1"/>
      <c r="BH760" s="1"/>
    </row>
    <row r="761" spans="1:60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79"/>
      <c r="AO761" s="79"/>
      <c r="AP761" s="79"/>
      <c r="AQ761" s="79"/>
      <c r="AR761" s="79"/>
      <c r="AS761" s="79"/>
      <c r="AT761" s="79"/>
      <c r="AU761" s="79"/>
      <c r="AV761" s="79"/>
      <c r="AW761" s="79"/>
      <c r="AX761" s="79"/>
      <c r="AY761" s="79"/>
      <c r="AZ761" s="79"/>
      <c r="BA761" s="79"/>
      <c r="BB761" s="1"/>
      <c r="BC761" s="1"/>
      <c r="BD761" s="1"/>
      <c r="BE761" s="1"/>
      <c r="BF761" s="1"/>
      <c r="BG761" s="1"/>
      <c r="BH761" s="1"/>
    </row>
    <row r="762" spans="1:60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79"/>
      <c r="AO762" s="79"/>
      <c r="AP762" s="79"/>
      <c r="AQ762" s="79"/>
      <c r="AR762" s="79"/>
      <c r="AS762" s="79"/>
      <c r="AT762" s="79"/>
      <c r="AU762" s="79"/>
      <c r="AV762" s="79"/>
      <c r="AW762" s="79"/>
      <c r="AX762" s="79"/>
      <c r="AY762" s="79"/>
      <c r="AZ762" s="79"/>
      <c r="BA762" s="79"/>
      <c r="BB762" s="1"/>
      <c r="BC762" s="1"/>
      <c r="BD762" s="1"/>
      <c r="BE762" s="1"/>
      <c r="BF762" s="1"/>
      <c r="BG762" s="1"/>
      <c r="BH762" s="1"/>
    </row>
    <row r="763" spans="1:60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79"/>
      <c r="AO763" s="79"/>
      <c r="AP763" s="79"/>
      <c r="AQ763" s="79"/>
      <c r="AR763" s="79"/>
      <c r="AS763" s="79"/>
      <c r="AT763" s="79"/>
      <c r="AU763" s="79"/>
      <c r="AV763" s="79"/>
      <c r="AW763" s="79"/>
      <c r="AX763" s="79"/>
      <c r="AY763" s="79"/>
      <c r="AZ763" s="79"/>
      <c r="BA763" s="79"/>
      <c r="BB763" s="1"/>
      <c r="BC763" s="1"/>
      <c r="BD763" s="1"/>
      <c r="BE763" s="1"/>
      <c r="BF763" s="1"/>
      <c r="BG763" s="1"/>
      <c r="BH763" s="1"/>
    </row>
    <row r="764" spans="1:60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79"/>
      <c r="AO764" s="79"/>
      <c r="AP764" s="79"/>
      <c r="AQ764" s="79"/>
      <c r="AR764" s="79"/>
      <c r="AS764" s="79"/>
      <c r="AT764" s="79"/>
      <c r="AU764" s="79"/>
      <c r="AV764" s="79"/>
      <c r="AW764" s="79"/>
      <c r="AX764" s="79"/>
      <c r="AY764" s="79"/>
      <c r="AZ764" s="79"/>
      <c r="BA764" s="79"/>
      <c r="BB764" s="1"/>
      <c r="BC764" s="1"/>
      <c r="BD764" s="1"/>
      <c r="BE764" s="1"/>
      <c r="BF764" s="1"/>
      <c r="BG764" s="1"/>
      <c r="BH764" s="1"/>
    </row>
    <row r="765" spans="1:60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79"/>
      <c r="AO765" s="79"/>
      <c r="AP765" s="79"/>
      <c r="AQ765" s="79"/>
      <c r="AR765" s="79"/>
      <c r="AS765" s="79"/>
      <c r="AT765" s="79"/>
      <c r="AU765" s="79"/>
      <c r="AV765" s="79"/>
      <c r="AW765" s="79"/>
      <c r="AX765" s="79"/>
      <c r="AY765" s="79"/>
      <c r="AZ765" s="79"/>
      <c r="BA765" s="79"/>
      <c r="BB765" s="1"/>
      <c r="BC765" s="1"/>
      <c r="BD765" s="1"/>
      <c r="BE765" s="1"/>
      <c r="BF765" s="1"/>
      <c r="BG765" s="1"/>
      <c r="BH765" s="1"/>
    </row>
    <row r="766" spans="1:60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79"/>
      <c r="AO766" s="79"/>
      <c r="AP766" s="79"/>
      <c r="AQ766" s="79"/>
      <c r="AR766" s="79"/>
      <c r="AS766" s="79"/>
      <c r="AT766" s="79"/>
      <c r="AU766" s="79"/>
      <c r="AV766" s="79"/>
      <c r="AW766" s="79"/>
      <c r="AX766" s="79"/>
      <c r="AY766" s="79"/>
      <c r="AZ766" s="79"/>
      <c r="BA766" s="79"/>
      <c r="BB766" s="1"/>
      <c r="BC766" s="1"/>
      <c r="BD766" s="1"/>
      <c r="BE766" s="1"/>
      <c r="BF766" s="1"/>
      <c r="BG766" s="1"/>
      <c r="BH766" s="1"/>
    </row>
    <row r="767" spans="1:60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79"/>
      <c r="AO767" s="79"/>
      <c r="AP767" s="79"/>
      <c r="AQ767" s="79"/>
      <c r="AR767" s="79"/>
      <c r="AS767" s="79"/>
      <c r="AT767" s="79"/>
      <c r="AU767" s="79"/>
      <c r="AV767" s="79"/>
      <c r="AW767" s="79"/>
      <c r="AX767" s="79"/>
      <c r="AY767" s="79"/>
      <c r="AZ767" s="79"/>
      <c r="BA767" s="79"/>
      <c r="BB767" s="1"/>
      <c r="BC767" s="1"/>
      <c r="BD767" s="1"/>
      <c r="BE767" s="1"/>
      <c r="BF767" s="1"/>
      <c r="BG767" s="1"/>
      <c r="BH767" s="1"/>
    </row>
    <row r="768" spans="1:60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79"/>
      <c r="AO768" s="79"/>
      <c r="AP768" s="79"/>
      <c r="AQ768" s="79"/>
      <c r="AR768" s="79"/>
      <c r="AS768" s="79"/>
      <c r="AT768" s="79"/>
      <c r="AU768" s="79"/>
      <c r="AV768" s="79"/>
      <c r="AW768" s="79"/>
      <c r="AX768" s="79"/>
      <c r="AY768" s="79"/>
      <c r="AZ768" s="79"/>
      <c r="BA768" s="79"/>
      <c r="BB768" s="1"/>
      <c r="BC768" s="1"/>
      <c r="BD768" s="1"/>
      <c r="BE768" s="1"/>
      <c r="BF768" s="1"/>
      <c r="BG768" s="1"/>
      <c r="BH768" s="1"/>
    </row>
    <row r="769" spans="1:60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79"/>
      <c r="AO769" s="79"/>
      <c r="AP769" s="79"/>
      <c r="AQ769" s="79"/>
      <c r="AR769" s="79"/>
      <c r="AS769" s="79"/>
      <c r="AT769" s="79"/>
      <c r="AU769" s="79"/>
      <c r="AV769" s="79"/>
      <c r="AW769" s="79"/>
      <c r="AX769" s="79"/>
      <c r="AY769" s="79"/>
      <c r="AZ769" s="79"/>
      <c r="BA769" s="79"/>
      <c r="BB769" s="1"/>
      <c r="BC769" s="1"/>
      <c r="BD769" s="1"/>
      <c r="BE769" s="1"/>
      <c r="BF769" s="1"/>
      <c r="BG769" s="1"/>
      <c r="BH769" s="1"/>
    </row>
    <row r="770" spans="1:60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79"/>
      <c r="AO770" s="79"/>
      <c r="AP770" s="79"/>
      <c r="AQ770" s="79"/>
      <c r="AR770" s="79"/>
      <c r="AS770" s="79"/>
      <c r="AT770" s="79"/>
      <c r="AU770" s="79"/>
      <c r="AV770" s="79"/>
      <c r="AW770" s="79"/>
      <c r="AX770" s="79"/>
      <c r="AY770" s="79"/>
      <c r="AZ770" s="79"/>
      <c r="BA770" s="79"/>
      <c r="BB770" s="1"/>
      <c r="BC770" s="1"/>
      <c r="BD770" s="1"/>
      <c r="BE770" s="1"/>
      <c r="BF770" s="1"/>
      <c r="BG770" s="1"/>
      <c r="BH770" s="1"/>
    </row>
    <row r="771" spans="1:60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79"/>
      <c r="AO771" s="79"/>
      <c r="AP771" s="79"/>
      <c r="AQ771" s="79"/>
      <c r="AR771" s="79"/>
      <c r="AS771" s="79"/>
      <c r="AT771" s="79"/>
      <c r="AU771" s="79"/>
      <c r="AV771" s="79"/>
      <c r="AW771" s="79"/>
      <c r="AX771" s="79"/>
      <c r="AY771" s="79"/>
      <c r="AZ771" s="79"/>
      <c r="BA771" s="79"/>
      <c r="BB771" s="1"/>
      <c r="BC771" s="1"/>
      <c r="BD771" s="1"/>
      <c r="BE771" s="1"/>
      <c r="BF771" s="1"/>
      <c r="BG771" s="1"/>
      <c r="BH771" s="1"/>
    </row>
    <row r="772" spans="1:60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79"/>
      <c r="AO772" s="79"/>
      <c r="AP772" s="79"/>
      <c r="AQ772" s="79"/>
      <c r="AR772" s="79"/>
      <c r="AS772" s="79"/>
      <c r="AT772" s="79"/>
      <c r="AU772" s="79"/>
      <c r="AV772" s="79"/>
      <c r="AW772" s="79"/>
      <c r="AX772" s="79"/>
      <c r="AY772" s="79"/>
      <c r="AZ772" s="79"/>
      <c r="BA772" s="79"/>
      <c r="BB772" s="1"/>
      <c r="BC772" s="1"/>
      <c r="BD772" s="1"/>
      <c r="BE772" s="1"/>
      <c r="BF772" s="1"/>
      <c r="BG772" s="1"/>
      <c r="BH772" s="1"/>
    </row>
    <row r="773" spans="1:60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79"/>
      <c r="AO773" s="79"/>
      <c r="AP773" s="79"/>
      <c r="AQ773" s="79"/>
      <c r="AR773" s="79"/>
      <c r="AS773" s="79"/>
      <c r="AT773" s="79"/>
      <c r="AU773" s="79"/>
      <c r="AV773" s="79"/>
      <c r="AW773" s="79"/>
      <c r="AX773" s="79"/>
      <c r="AY773" s="79"/>
      <c r="AZ773" s="79"/>
      <c r="BA773" s="79"/>
      <c r="BB773" s="1"/>
      <c r="BC773" s="1"/>
      <c r="BD773" s="1"/>
      <c r="BE773" s="1"/>
      <c r="BF773" s="1"/>
      <c r="BG773" s="1"/>
      <c r="BH773" s="1"/>
    </row>
    <row r="774" spans="1:60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79"/>
      <c r="AO774" s="79"/>
      <c r="AP774" s="79"/>
      <c r="AQ774" s="79"/>
      <c r="AR774" s="79"/>
      <c r="AS774" s="79"/>
      <c r="AT774" s="79"/>
      <c r="AU774" s="79"/>
      <c r="AV774" s="79"/>
      <c r="AW774" s="79"/>
      <c r="AX774" s="79"/>
      <c r="AY774" s="79"/>
      <c r="AZ774" s="79"/>
      <c r="BA774" s="79"/>
      <c r="BB774" s="1"/>
      <c r="BC774" s="1"/>
      <c r="BD774" s="1"/>
      <c r="BE774" s="1"/>
      <c r="BF774" s="1"/>
      <c r="BG774" s="1"/>
      <c r="BH774" s="1"/>
    </row>
    <row r="775" spans="1:60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79"/>
      <c r="AO775" s="79"/>
      <c r="AP775" s="79"/>
      <c r="AQ775" s="79"/>
      <c r="AR775" s="79"/>
      <c r="AS775" s="79"/>
      <c r="AT775" s="79"/>
      <c r="AU775" s="79"/>
      <c r="AV775" s="79"/>
      <c r="AW775" s="79"/>
      <c r="AX775" s="79"/>
      <c r="AY775" s="79"/>
      <c r="AZ775" s="79"/>
      <c r="BA775" s="79"/>
      <c r="BB775" s="1"/>
      <c r="BC775" s="1"/>
      <c r="BD775" s="1"/>
      <c r="BE775" s="1"/>
      <c r="BF775" s="1"/>
      <c r="BG775" s="1"/>
      <c r="BH775" s="1"/>
    </row>
    <row r="776" spans="1:60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79"/>
      <c r="AO776" s="79"/>
      <c r="AP776" s="79"/>
      <c r="AQ776" s="79"/>
      <c r="AR776" s="79"/>
      <c r="AS776" s="79"/>
      <c r="AT776" s="79"/>
      <c r="AU776" s="79"/>
      <c r="AV776" s="79"/>
      <c r="AW776" s="79"/>
      <c r="AX776" s="79"/>
      <c r="AY776" s="79"/>
      <c r="AZ776" s="79"/>
      <c r="BA776" s="79"/>
      <c r="BB776" s="1"/>
      <c r="BC776" s="1"/>
      <c r="BD776" s="1"/>
      <c r="BE776" s="1"/>
      <c r="BF776" s="1"/>
      <c r="BG776" s="1"/>
      <c r="BH776" s="1"/>
    </row>
    <row r="777" spans="1:60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79"/>
      <c r="AO777" s="79"/>
      <c r="AP777" s="79"/>
      <c r="AQ777" s="79"/>
      <c r="AR777" s="79"/>
      <c r="AS777" s="79"/>
      <c r="AT777" s="79"/>
      <c r="AU777" s="79"/>
      <c r="AV777" s="79"/>
      <c r="AW777" s="79"/>
      <c r="AX777" s="79"/>
      <c r="AY777" s="79"/>
      <c r="AZ777" s="79"/>
      <c r="BA777" s="79"/>
      <c r="BB777" s="1"/>
      <c r="BC777" s="1"/>
      <c r="BD777" s="1"/>
      <c r="BE777" s="1"/>
      <c r="BF777" s="1"/>
      <c r="BG777" s="1"/>
      <c r="BH777" s="1"/>
    </row>
    <row r="778" spans="1:60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79"/>
      <c r="AO778" s="79"/>
      <c r="AP778" s="79"/>
      <c r="AQ778" s="79"/>
      <c r="AR778" s="79"/>
      <c r="AS778" s="79"/>
      <c r="AT778" s="79"/>
      <c r="AU778" s="79"/>
      <c r="AV778" s="79"/>
      <c r="AW778" s="79"/>
      <c r="AX778" s="79"/>
      <c r="AY778" s="79"/>
      <c r="AZ778" s="79"/>
      <c r="BA778" s="79"/>
      <c r="BB778" s="1"/>
      <c r="BC778" s="1"/>
      <c r="BD778" s="1"/>
      <c r="BE778" s="1"/>
      <c r="BF778" s="1"/>
      <c r="BG778" s="1"/>
      <c r="BH778" s="1"/>
    </row>
    <row r="779" spans="1:60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79"/>
      <c r="AO779" s="79"/>
      <c r="AP779" s="79"/>
      <c r="AQ779" s="79"/>
      <c r="AR779" s="79"/>
      <c r="AS779" s="79"/>
      <c r="AT779" s="79"/>
      <c r="AU779" s="79"/>
      <c r="AV779" s="79"/>
      <c r="AW779" s="79"/>
      <c r="AX779" s="79"/>
      <c r="AY779" s="79"/>
      <c r="AZ779" s="79"/>
      <c r="BA779" s="79"/>
      <c r="BB779" s="1"/>
      <c r="BC779" s="1"/>
      <c r="BD779" s="1"/>
      <c r="BE779" s="1"/>
      <c r="BF779" s="1"/>
      <c r="BG779" s="1"/>
      <c r="BH779" s="1"/>
    </row>
    <row r="780" spans="1:60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79"/>
      <c r="AO780" s="79"/>
      <c r="AP780" s="79"/>
      <c r="AQ780" s="79"/>
      <c r="AR780" s="79"/>
      <c r="AS780" s="79"/>
      <c r="AT780" s="79"/>
      <c r="AU780" s="79"/>
      <c r="AV780" s="79"/>
      <c r="AW780" s="79"/>
      <c r="AX780" s="79"/>
      <c r="AY780" s="79"/>
      <c r="AZ780" s="79"/>
      <c r="BA780" s="79"/>
      <c r="BB780" s="1"/>
      <c r="BC780" s="1"/>
      <c r="BD780" s="1"/>
      <c r="BE780" s="1"/>
      <c r="BF780" s="1"/>
      <c r="BG780" s="1"/>
      <c r="BH780" s="1"/>
    </row>
    <row r="781" spans="1:60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79"/>
      <c r="AO781" s="79"/>
      <c r="AP781" s="79"/>
      <c r="AQ781" s="79"/>
      <c r="AR781" s="79"/>
      <c r="AS781" s="79"/>
      <c r="AT781" s="79"/>
      <c r="AU781" s="79"/>
      <c r="AV781" s="79"/>
      <c r="AW781" s="79"/>
      <c r="AX781" s="79"/>
      <c r="AY781" s="79"/>
      <c r="AZ781" s="79"/>
      <c r="BA781" s="79"/>
      <c r="BB781" s="1"/>
      <c r="BC781" s="1"/>
      <c r="BD781" s="1"/>
      <c r="BE781" s="1"/>
      <c r="BF781" s="1"/>
      <c r="BG781" s="1"/>
      <c r="BH781" s="1"/>
    </row>
    <row r="782" spans="1:60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79"/>
      <c r="AO782" s="79"/>
      <c r="AP782" s="79"/>
      <c r="AQ782" s="79"/>
      <c r="AR782" s="79"/>
      <c r="AS782" s="79"/>
      <c r="AT782" s="79"/>
      <c r="AU782" s="79"/>
      <c r="AV782" s="79"/>
      <c r="AW782" s="79"/>
      <c r="AX782" s="79"/>
      <c r="AY782" s="79"/>
      <c r="AZ782" s="79"/>
      <c r="BA782" s="79"/>
      <c r="BB782" s="1"/>
      <c r="BC782" s="1"/>
      <c r="BD782" s="1"/>
      <c r="BE782" s="1"/>
      <c r="BF782" s="1"/>
      <c r="BG782" s="1"/>
      <c r="BH782" s="1"/>
    </row>
    <row r="783" spans="1:60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79"/>
      <c r="AO783" s="79"/>
      <c r="AP783" s="79"/>
      <c r="AQ783" s="79"/>
      <c r="AR783" s="79"/>
      <c r="AS783" s="79"/>
      <c r="AT783" s="79"/>
      <c r="AU783" s="79"/>
      <c r="AV783" s="79"/>
      <c r="AW783" s="79"/>
      <c r="AX783" s="79"/>
      <c r="AY783" s="79"/>
      <c r="AZ783" s="79"/>
      <c r="BA783" s="79"/>
      <c r="BB783" s="1"/>
      <c r="BC783" s="1"/>
      <c r="BD783" s="1"/>
      <c r="BE783" s="1"/>
      <c r="BF783" s="1"/>
      <c r="BG783" s="1"/>
      <c r="BH783" s="1"/>
    </row>
    <row r="784" spans="1:60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79"/>
      <c r="AO784" s="79"/>
      <c r="AP784" s="79"/>
      <c r="AQ784" s="79"/>
      <c r="AR784" s="79"/>
      <c r="AS784" s="79"/>
      <c r="AT784" s="79"/>
      <c r="AU784" s="79"/>
      <c r="AV784" s="79"/>
      <c r="AW784" s="79"/>
      <c r="AX784" s="79"/>
      <c r="AY784" s="79"/>
      <c r="AZ784" s="79"/>
      <c r="BA784" s="79"/>
      <c r="BB784" s="1"/>
      <c r="BC784" s="1"/>
      <c r="BD784" s="1"/>
      <c r="BE784" s="1"/>
      <c r="BF784" s="1"/>
      <c r="BG784" s="1"/>
      <c r="BH784" s="1"/>
    </row>
    <row r="785" spans="1:60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79"/>
      <c r="AO785" s="79"/>
      <c r="AP785" s="79"/>
      <c r="AQ785" s="79"/>
      <c r="AR785" s="79"/>
      <c r="AS785" s="79"/>
      <c r="AT785" s="79"/>
      <c r="AU785" s="79"/>
      <c r="AV785" s="79"/>
      <c r="AW785" s="79"/>
      <c r="AX785" s="79"/>
      <c r="AY785" s="79"/>
      <c r="AZ785" s="79"/>
      <c r="BA785" s="79"/>
      <c r="BB785" s="1"/>
      <c r="BC785" s="1"/>
      <c r="BD785" s="1"/>
      <c r="BE785" s="1"/>
      <c r="BF785" s="1"/>
      <c r="BG785" s="1"/>
      <c r="BH785" s="1"/>
    </row>
    <row r="786" spans="1:60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79"/>
      <c r="AO786" s="79"/>
      <c r="AP786" s="79"/>
      <c r="AQ786" s="79"/>
      <c r="AR786" s="79"/>
      <c r="AS786" s="79"/>
      <c r="AT786" s="79"/>
      <c r="AU786" s="79"/>
      <c r="AV786" s="79"/>
      <c r="AW786" s="79"/>
      <c r="AX786" s="79"/>
      <c r="AY786" s="79"/>
      <c r="AZ786" s="79"/>
      <c r="BA786" s="79"/>
      <c r="BB786" s="1"/>
      <c r="BC786" s="1"/>
      <c r="BD786" s="1"/>
      <c r="BE786" s="1"/>
      <c r="BF786" s="1"/>
      <c r="BG786" s="1"/>
      <c r="BH786" s="1"/>
    </row>
    <row r="787" spans="1:60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79"/>
      <c r="AO787" s="79"/>
      <c r="AP787" s="79"/>
      <c r="AQ787" s="79"/>
      <c r="AR787" s="79"/>
      <c r="AS787" s="79"/>
      <c r="AT787" s="79"/>
      <c r="AU787" s="79"/>
      <c r="AV787" s="79"/>
      <c r="AW787" s="79"/>
      <c r="AX787" s="79"/>
      <c r="AY787" s="79"/>
      <c r="AZ787" s="79"/>
      <c r="BA787" s="79"/>
      <c r="BB787" s="1"/>
      <c r="BC787" s="1"/>
      <c r="BD787" s="1"/>
      <c r="BE787" s="1"/>
      <c r="BF787" s="1"/>
      <c r="BG787" s="1"/>
      <c r="BH787" s="1"/>
    </row>
    <row r="788" spans="1:60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79"/>
      <c r="AO788" s="79"/>
      <c r="AP788" s="79"/>
      <c r="AQ788" s="79"/>
      <c r="AR788" s="79"/>
      <c r="AS788" s="79"/>
      <c r="AT788" s="79"/>
      <c r="AU788" s="79"/>
      <c r="AV788" s="79"/>
      <c r="AW788" s="79"/>
      <c r="AX788" s="79"/>
      <c r="AY788" s="79"/>
      <c r="AZ788" s="79"/>
      <c r="BA788" s="79"/>
      <c r="BB788" s="1"/>
      <c r="BC788" s="1"/>
      <c r="BD788" s="1"/>
      <c r="BE788" s="1"/>
      <c r="BF788" s="1"/>
      <c r="BG788" s="1"/>
      <c r="BH788" s="1"/>
    </row>
    <row r="789" spans="1:60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79"/>
      <c r="AO789" s="79"/>
      <c r="AP789" s="79"/>
      <c r="AQ789" s="79"/>
      <c r="AR789" s="79"/>
      <c r="AS789" s="79"/>
      <c r="AT789" s="79"/>
      <c r="AU789" s="79"/>
      <c r="AV789" s="79"/>
      <c r="AW789" s="79"/>
      <c r="AX789" s="79"/>
      <c r="AY789" s="79"/>
      <c r="AZ789" s="79"/>
      <c r="BA789" s="79"/>
      <c r="BB789" s="1"/>
      <c r="BC789" s="1"/>
      <c r="BD789" s="1"/>
      <c r="BE789" s="1"/>
      <c r="BF789" s="1"/>
      <c r="BG789" s="1"/>
      <c r="BH789" s="1"/>
    </row>
    <row r="790" spans="1:60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79"/>
      <c r="AO790" s="79"/>
      <c r="AP790" s="79"/>
      <c r="AQ790" s="79"/>
      <c r="AR790" s="79"/>
      <c r="AS790" s="79"/>
      <c r="AT790" s="79"/>
      <c r="AU790" s="79"/>
      <c r="AV790" s="79"/>
      <c r="AW790" s="79"/>
      <c r="AX790" s="79"/>
      <c r="AY790" s="79"/>
      <c r="AZ790" s="79"/>
      <c r="BA790" s="79"/>
      <c r="BB790" s="1"/>
      <c r="BC790" s="1"/>
      <c r="BD790" s="1"/>
      <c r="BE790" s="1"/>
      <c r="BF790" s="1"/>
      <c r="BG790" s="1"/>
      <c r="BH790" s="1"/>
    </row>
    <row r="791" spans="1:60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79"/>
      <c r="AO791" s="79"/>
      <c r="AP791" s="79"/>
      <c r="AQ791" s="79"/>
      <c r="AR791" s="79"/>
      <c r="AS791" s="79"/>
      <c r="AT791" s="79"/>
      <c r="AU791" s="79"/>
      <c r="AV791" s="79"/>
      <c r="AW791" s="79"/>
      <c r="AX791" s="79"/>
      <c r="AY791" s="79"/>
      <c r="AZ791" s="79"/>
      <c r="BA791" s="79"/>
      <c r="BB791" s="1"/>
      <c r="BC791" s="1"/>
      <c r="BD791" s="1"/>
      <c r="BE791" s="1"/>
      <c r="BF791" s="1"/>
      <c r="BG791" s="1"/>
      <c r="BH791" s="1"/>
    </row>
    <row r="792" spans="1:60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79"/>
      <c r="AO792" s="79"/>
      <c r="AP792" s="79"/>
      <c r="AQ792" s="79"/>
      <c r="AR792" s="79"/>
      <c r="AS792" s="79"/>
      <c r="AT792" s="79"/>
      <c r="AU792" s="79"/>
      <c r="AV792" s="79"/>
      <c r="AW792" s="79"/>
      <c r="AX792" s="79"/>
      <c r="AY792" s="79"/>
      <c r="AZ792" s="79"/>
      <c r="BA792" s="79"/>
      <c r="BB792" s="1"/>
      <c r="BC792" s="1"/>
      <c r="BD792" s="1"/>
      <c r="BE792" s="1"/>
      <c r="BF792" s="1"/>
      <c r="BG792" s="1"/>
      <c r="BH792" s="1"/>
    </row>
    <row r="793" spans="1:60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79"/>
      <c r="AO793" s="79"/>
      <c r="AP793" s="79"/>
      <c r="AQ793" s="79"/>
      <c r="AR793" s="79"/>
      <c r="AS793" s="79"/>
      <c r="AT793" s="79"/>
      <c r="AU793" s="79"/>
      <c r="AV793" s="79"/>
      <c r="AW793" s="79"/>
      <c r="AX793" s="79"/>
      <c r="AY793" s="79"/>
      <c r="AZ793" s="79"/>
      <c r="BA793" s="79"/>
      <c r="BB793" s="1"/>
      <c r="BC793" s="1"/>
      <c r="BD793" s="1"/>
      <c r="BE793" s="1"/>
      <c r="BF793" s="1"/>
      <c r="BG793" s="1"/>
      <c r="BH793" s="1"/>
    </row>
    <row r="794" spans="1:60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79"/>
      <c r="BB794" s="1"/>
      <c r="BC794" s="1"/>
      <c r="BD794" s="1"/>
      <c r="BE794" s="1"/>
      <c r="BF794" s="1"/>
      <c r="BG794" s="1"/>
      <c r="BH794" s="1"/>
    </row>
    <row r="795" spans="1:60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79"/>
      <c r="AO795" s="79"/>
      <c r="AP795" s="79"/>
      <c r="AQ795" s="79"/>
      <c r="AR795" s="79"/>
      <c r="AS795" s="79"/>
      <c r="AT795" s="79"/>
      <c r="AU795" s="79"/>
      <c r="AV795" s="79"/>
      <c r="AW795" s="79"/>
      <c r="AX795" s="79"/>
      <c r="AY795" s="79"/>
      <c r="AZ795" s="79"/>
      <c r="BA795" s="79"/>
      <c r="BB795" s="1"/>
      <c r="BC795" s="1"/>
      <c r="BD795" s="1"/>
      <c r="BE795" s="1"/>
      <c r="BF795" s="1"/>
      <c r="BG795" s="1"/>
      <c r="BH795" s="1"/>
    </row>
    <row r="796" spans="1:60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79"/>
      <c r="AO796" s="79"/>
      <c r="AP796" s="79"/>
      <c r="AQ796" s="79"/>
      <c r="AR796" s="79"/>
      <c r="AS796" s="79"/>
      <c r="AT796" s="79"/>
      <c r="AU796" s="79"/>
      <c r="AV796" s="79"/>
      <c r="AW796" s="79"/>
      <c r="AX796" s="79"/>
      <c r="AY796" s="79"/>
      <c r="AZ796" s="79"/>
      <c r="BA796" s="79"/>
      <c r="BB796" s="1"/>
      <c r="BC796" s="1"/>
      <c r="BD796" s="1"/>
      <c r="BE796" s="1"/>
      <c r="BF796" s="1"/>
      <c r="BG796" s="1"/>
      <c r="BH796" s="1"/>
    </row>
    <row r="797" spans="1:60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79"/>
      <c r="AO797" s="79"/>
      <c r="AP797" s="79"/>
      <c r="AQ797" s="79"/>
      <c r="AR797" s="79"/>
      <c r="AS797" s="79"/>
      <c r="AT797" s="79"/>
      <c r="AU797" s="79"/>
      <c r="AV797" s="79"/>
      <c r="AW797" s="79"/>
      <c r="AX797" s="79"/>
      <c r="AY797" s="79"/>
      <c r="AZ797" s="79"/>
      <c r="BA797" s="79"/>
      <c r="BB797" s="1"/>
      <c r="BC797" s="1"/>
      <c r="BD797" s="1"/>
      <c r="BE797" s="1"/>
      <c r="BF797" s="1"/>
      <c r="BG797" s="1"/>
      <c r="BH797" s="1"/>
    </row>
    <row r="798" spans="1:60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79"/>
      <c r="AO798" s="79"/>
      <c r="AP798" s="79"/>
      <c r="AQ798" s="79"/>
      <c r="AR798" s="79"/>
      <c r="AS798" s="79"/>
      <c r="AT798" s="79"/>
      <c r="AU798" s="79"/>
      <c r="AV798" s="79"/>
      <c r="AW798" s="79"/>
      <c r="AX798" s="79"/>
      <c r="AY798" s="79"/>
      <c r="AZ798" s="79"/>
      <c r="BA798" s="79"/>
      <c r="BB798" s="1"/>
      <c r="BC798" s="1"/>
      <c r="BD798" s="1"/>
      <c r="BE798" s="1"/>
      <c r="BF798" s="1"/>
      <c r="BG798" s="1"/>
      <c r="BH798" s="1"/>
    </row>
    <row r="799" spans="1:60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79"/>
      <c r="AO799" s="79"/>
      <c r="AP799" s="79"/>
      <c r="AQ799" s="79"/>
      <c r="AR799" s="79"/>
      <c r="AS799" s="79"/>
      <c r="AT799" s="79"/>
      <c r="AU799" s="79"/>
      <c r="AV799" s="79"/>
      <c r="AW799" s="79"/>
      <c r="AX799" s="79"/>
      <c r="AY799" s="79"/>
      <c r="AZ799" s="79"/>
      <c r="BA799" s="79"/>
      <c r="BB799" s="1"/>
      <c r="BC799" s="1"/>
      <c r="BD799" s="1"/>
      <c r="BE799" s="1"/>
      <c r="BF799" s="1"/>
      <c r="BG799" s="1"/>
      <c r="BH799" s="1"/>
    </row>
    <row r="800" spans="1:60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79"/>
      <c r="AO800" s="79"/>
      <c r="AP800" s="79"/>
      <c r="AQ800" s="79"/>
      <c r="AR800" s="79"/>
      <c r="AS800" s="79"/>
      <c r="AT800" s="79"/>
      <c r="AU800" s="79"/>
      <c r="AV800" s="79"/>
      <c r="AW800" s="79"/>
      <c r="AX800" s="79"/>
      <c r="AY800" s="79"/>
      <c r="AZ800" s="79"/>
      <c r="BA800" s="79"/>
      <c r="BB800" s="1"/>
      <c r="BC800" s="1"/>
      <c r="BD800" s="1"/>
      <c r="BE800" s="1"/>
      <c r="BF800" s="1"/>
      <c r="BG800" s="1"/>
      <c r="BH800" s="1"/>
    </row>
    <row r="801" spans="1:60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79"/>
      <c r="AO801" s="79"/>
      <c r="AP801" s="79"/>
      <c r="AQ801" s="79"/>
      <c r="AR801" s="79"/>
      <c r="AS801" s="79"/>
      <c r="AT801" s="79"/>
      <c r="AU801" s="79"/>
      <c r="AV801" s="79"/>
      <c r="AW801" s="79"/>
      <c r="AX801" s="79"/>
      <c r="AY801" s="79"/>
      <c r="AZ801" s="79"/>
      <c r="BA801" s="79"/>
      <c r="BB801" s="1"/>
      <c r="BC801" s="1"/>
      <c r="BD801" s="1"/>
      <c r="BE801" s="1"/>
      <c r="BF801" s="1"/>
      <c r="BG801" s="1"/>
      <c r="BH801" s="1"/>
    </row>
    <row r="802" spans="1:60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79"/>
      <c r="AO802" s="79"/>
      <c r="AP802" s="79"/>
      <c r="AQ802" s="79"/>
      <c r="AR802" s="79"/>
      <c r="AS802" s="79"/>
      <c r="AT802" s="79"/>
      <c r="AU802" s="79"/>
      <c r="AV802" s="79"/>
      <c r="AW802" s="79"/>
      <c r="AX802" s="79"/>
      <c r="AY802" s="79"/>
      <c r="AZ802" s="79"/>
      <c r="BA802" s="79"/>
      <c r="BB802" s="1"/>
      <c r="BC802" s="1"/>
      <c r="BD802" s="1"/>
      <c r="BE802" s="1"/>
      <c r="BF802" s="1"/>
      <c r="BG802" s="1"/>
      <c r="BH802" s="1"/>
    </row>
    <row r="803" spans="1:60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79"/>
      <c r="AO803" s="79"/>
      <c r="AP803" s="79"/>
      <c r="AQ803" s="79"/>
      <c r="AR803" s="79"/>
      <c r="AS803" s="79"/>
      <c r="AT803" s="79"/>
      <c r="AU803" s="79"/>
      <c r="AV803" s="79"/>
      <c r="AW803" s="79"/>
      <c r="AX803" s="79"/>
      <c r="AY803" s="79"/>
      <c r="AZ803" s="79"/>
      <c r="BA803" s="79"/>
      <c r="BB803" s="1"/>
      <c r="BC803" s="1"/>
      <c r="BD803" s="1"/>
      <c r="BE803" s="1"/>
      <c r="BF803" s="1"/>
      <c r="BG803" s="1"/>
      <c r="BH803" s="1"/>
    </row>
    <row r="804" spans="1:60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79"/>
      <c r="AO804" s="79"/>
      <c r="AP804" s="79"/>
      <c r="AQ804" s="79"/>
      <c r="AR804" s="79"/>
      <c r="AS804" s="79"/>
      <c r="AT804" s="79"/>
      <c r="AU804" s="79"/>
      <c r="AV804" s="79"/>
      <c r="AW804" s="79"/>
      <c r="AX804" s="79"/>
      <c r="AY804" s="79"/>
      <c r="AZ804" s="79"/>
      <c r="BA804" s="79"/>
      <c r="BB804" s="1"/>
      <c r="BC804" s="1"/>
      <c r="BD804" s="1"/>
      <c r="BE804" s="1"/>
      <c r="BF804" s="1"/>
      <c r="BG804" s="1"/>
      <c r="BH804" s="1"/>
    </row>
    <row r="805" spans="1:60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79"/>
      <c r="AO805" s="79"/>
      <c r="AP805" s="79"/>
      <c r="AQ805" s="79"/>
      <c r="AR805" s="79"/>
      <c r="AS805" s="79"/>
      <c r="AT805" s="79"/>
      <c r="AU805" s="79"/>
      <c r="AV805" s="79"/>
      <c r="AW805" s="79"/>
      <c r="AX805" s="79"/>
      <c r="AY805" s="79"/>
      <c r="AZ805" s="79"/>
      <c r="BA805" s="79"/>
      <c r="BB805" s="1"/>
      <c r="BC805" s="1"/>
      <c r="BD805" s="1"/>
      <c r="BE805" s="1"/>
      <c r="BF805" s="1"/>
      <c r="BG805" s="1"/>
      <c r="BH805" s="1"/>
    </row>
    <row r="806" spans="1:60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79"/>
      <c r="AO806" s="79"/>
      <c r="AP806" s="79"/>
      <c r="AQ806" s="79"/>
      <c r="AR806" s="79"/>
      <c r="AS806" s="79"/>
      <c r="AT806" s="79"/>
      <c r="AU806" s="79"/>
      <c r="AV806" s="79"/>
      <c r="AW806" s="79"/>
      <c r="AX806" s="79"/>
      <c r="AY806" s="79"/>
      <c r="AZ806" s="79"/>
      <c r="BA806" s="79"/>
      <c r="BB806" s="1"/>
      <c r="BC806" s="1"/>
      <c r="BD806" s="1"/>
      <c r="BE806" s="1"/>
      <c r="BF806" s="1"/>
      <c r="BG806" s="1"/>
      <c r="BH806" s="1"/>
    </row>
    <row r="807" spans="1:60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79"/>
      <c r="AO807" s="79"/>
      <c r="AP807" s="79"/>
      <c r="AQ807" s="79"/>
      <c r="AR807" s="79"/>
      <c r="AS807" s="79"/>
      <c r="AT807" s="79"/>
      <c r="AU807" s="79"/>
      <c r="AV807" s="79"/>
      <c r="AW807" s="79"/>
      <c r="AX807" s="79"/>
      <c r="AY807" s="79"/>
      <c r="AZ807" s="79"/>
      <c r="BA807" s="79"/>
      <c r="BB807" s="1"/>
      <c r="BC807" s="1"/>
      <c r="BD807" s="1"/>
      <c r="BE807" s="1"/>
      <c r="BF807" s="1"/>
      <c r="BG807" s="1"/>
      <c r="BH807" s="1"/>
    </row>
    <row r="808" spans="1:60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79"/>
      <c r="AO808" s="79"/>
      <c r="AP808" s="79"/>
      <c r="AQ808" s="79"/>
      <c r="AR808" s="79"/>
      <c r="AS808" s="79"/>
      <c r="AT808" s="79"/>
      <c r="AU808" s="79"/>
      <c r="AV808" s="79"/>
      <c r="AW808" s="79"/>
      <c r="AX808" s="79"/>
      <c r="AY808" s="79"/>
      <c r="AZ808" s="79"/>
      <c r="BA808" s="79"/>
      <c r="BB808" s="1"/>
      <c r="BC808" s="1"/>
      <c r="BD808" s="1"/>
      <c r="BE808" s="1"/>
      <c r="BF808" s="1"/>
      <c r="BG808" s="1"/>
      <c r="BH808" s="1"/>
    </row>
    <row r="809" spans="1:60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79"/>
      <c r="AO809" s="79"/>
      <c r="AP809" s="79"/>
      <c r="AQ809" s="79"/>
      <c r="AR809" s="79"/>
      <c r="AS809" s="79"/>
      <c r="AT809" s="79"/>
      <c r="AU809" s="79"/>
      <c r="AV809" s="79"/>
      <c r="AW809" s="79"/>
      <c r="AX809" s="79"/>
      <c r="AY809" s="79"/>
      <c r="AZ809" s="79"/>
      <c r="BA809" s="79"/>
      <c r="BB809" s="1"/>
      <c r="BC809" s="1"/>
      <c r="BD809" s="1"/>
      <c r="BE809" s="1"/>
      <c r="BF809" s="1"/>
      <c r="BG809" s="1"/>
      <c r="BH809" s="1"/>
    </row>
    <row r="810" spans="1:60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79"/>
      <c r="AO810" s="79"/>
      <c r="AP810" s="79"/>
      <c r="AQ810" s="79"/>
      <c r="AR810" s="79"/>
      <c r="AS810" s="79"/>
      <c r="AT810" s="79"/>
      <c r="AU810" s="79"/>
      <c r="AV810" s="79"/>
      <c r="AW810" s="79"/>
      <c r="AX810" s="79"/>
      <c r="AY810" s="79"/>
      <c r="AZ810" s="79"/>
      <c r="BA810" s="79"/>
      <c r="BB810" s="1"/>
      <c r="BC810" s="1"/>
      <c r="BD810" s="1"/>
      <c r="BE810" s="1"/>
      <c r="BF810" s="1"/>
      <c r="BG810" s="1"/>
      <c r="BH810" s="1"/>
    </row>
    <row r="811" spans="1:60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79"/>
      <c r="AO811" s="79"/>
      <c r="AP811" s="79"/>
      <c r="AQ811" s="79"/>
      <c r="AR811" s="79"/>
      <c r="AS811" s="79"/>
      <c r="AT811" s="79"/>
      <c r="AU811" s="79"/>
      <c r="AV811" s="79"/>
      <c r="AW811" s="79"/>
      <c r="AX811" s="79"/>
      <c r="AY811" s="79"/>
      <c r="AZ811" s="79"/>
      <c r="BA811" s="79"/>
      <c r="BB811" s="1"/>
      <c r="BC811" s="1"/>
      <c r="BD811" s="1"/>
      <c r="BE811" s="1"/>
      <c r="BF811" s="1"/>
      <c r="BG811" s="1"/>
      <c r="BH811" s="1"/>
    </row>
    <row r="812" spans="1:60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79"/>
      <c r="AO812" s="79"/>
      <c r="AP812" s="79"/>
      <c r="AQ812" s="79"/>
      <c r="AR812" s="79"/>
      <c r="AS812" s="79"/>
      <c r="AT812" s="79"/>
      <c r="AU812" s="79"/>
      <c r="AV812" s="79"/>
      <c r="AW812" s="79"/>
      <c r="AX812" s="79"/>
      <c r="AY812" s="79"/>
      <c r="AZ812" s="79"/>
      <c r="BA812" s="79"/>
      <c r="BB812" s="1"/>
      <c r="BC812" s="1"/>
      <c r="BD812" s="1"/>
      <c r="BE812" s="1"/>
      <c r="BF812" s="1"/>
      <c r="BG812" s="1"/>
      <c r="BH812" s="1"/>
    </row>
    <row r="813" spans="1:60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79"/>
      <c r="AO813" s="79"/>
      <c r="AP813" s="79"/>
      <c r="AQ813" s="79"/>
      <c r="AR813" s="79"/>
      <c r="AS813" s="79"/>
      <c r="AT813" s="79"/>
      <c r="AU813" s="79"/>
      <c r="AV813" s="79"/>
      <c r="AW813" s="79"/>
      <c r="AX813" s="79"/>
      <c r="AY813" s="79"/>
      <c r="AZ813" s="79"/>
      <c r="BA813" s="79"/>
      <c r="BB813" s="1"/>
      <c r="BC813" s="1"/>
      <c r="BD813" s="1"/>
      <c r="BE813" s="1"/>
      <c r="BF813" s="1"/>
      <c r="BG813" s="1"/>
      <c r="BH813" s="1"/>
    </row>
    <row r="814" spans="1:60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79"/>
      <c r="AO814" s="79"/>
      <c r="AP814" s="79"/>
      <c r="AQ814" s="79"/>
      <c r="AR814" s="79"/>
      <c r="AS814" s="79"/>
      <c r="AT814" s="79"/>
      <c r="AU814" s="79"/>
      <c r="AV814" s="79"/>
      <c r="AW814" s="79"/>
      <c r="AX814" s="79"/>
      <c r="AY814" s="79"/>
      <c r="AZ814" s="79"/>
      <c r="BA814" s="79"/>
      <c r="BB814" s="1"/>
      <c r="BC814" s="1"/>
      <c r="BD814" s="1"/>
      <c r="BE814" s="1"/>
      <c r="BF814" s="1"/>
      <c r="BG814" s="1"/>
      <c r="BH814" s="1"/>
    </row>
    <row r="815" spans="1:60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79"/>
      <c r="AO815" s="79"/>
      <c r="AP815" s="79"/>
      <c r="AQ815" s="79"/>
      <c r="AR815" s="79"/>
      <c r="AS815" s="79"/>
      <c r="AT815" s="79"/>
      <c r="AU815" s="79"/>
      <c r="AV815" s="79"/>
      <c r="AW815" s="79"/>
      <c r="AX815" s="79"/>
      <c r="AY815" s="79"/>
      <c r="AZ815" s="79"/>
      <c r="BA815" s="79"/>
      <c r="BB815" s="1"/>
      <c r="BC815" s="1"/>
      <c r="BD815" s="1"/>
      <c r="BE815" s="1"/>
      <c r="BF815" s="1"/>
      <c r="BG815" s="1"/>
      <c r="BH815" s="1"/>
    </row>
    <row r="816" spans="1:60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79"/>
      <c r="AO816" s="79"/>
      <c r="AP816" s="79"/>
      <c r="AQ816" s="79"/>
      <c r="AR816" s="79"/>
      <c r="AS816" s="79"/>
      <c r="AT816" s="79"/>
      <c r="AU816" s="79"/>
      <c r="AV816" s="79"/>
      <c r="AW816" s="79"/>
      <c r="AX816" s="79"/>
      <c r="AY816" s="79"/>
      <c r="AZ816" s="79"/>
      <c r="BA816" s="79"/>
      <c r="BB816" s="1"/>
      <c r="BC816" s="1"/>
      <c r="BD816" s="1"/>
      <c r="BE816" s="1"/>
      <c r="BF816" s="1"/>
      <c r="BG816" s="1"/>
      <c r="BH816" s="1"/>
    </row>
    <row r="817" spans="1:60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79"/>
      <c r="AO817" s="79"/>
      <c r="AP817" s="79"/>
      <c r="AQ817" s="79"/>
      <c r="AR817" s="79"/>
      <c r="AS817" s="79"/>
      <c r="AT817" s="79"/>
      <c r="AU817" s="79"/>
      <c r="AV817" s="79"/>
      <c r="AW817" s="79"/>
      <c r="AX817" s="79"/>
      <c r="AY817" s="79"/>
      <c r="AZ817" s="79"/>
      <c r="BA817" s="79"/>
      <c r="BB817" s="1"/>
      <c r="BC817" s="1"/>
      <c r="BD817" s="1"/>
      <c r="BE817" s="1"/>
      <c r="BF817" s="1"/>
      <c r="BG817" s="1"/>
      <c r="BH817" s="1"/>
    </row>
    <row r="818" spans="1:60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79"/>
      <c r="AO818" s="79"/>
      <c r="AP818" s="79"/>
      <c r="AQ818" s="79"/>
      <c r="AR818" s="79"/>
      <c r="AS818" s="79"/>
      <c r="AT818" s="79"/>
      <c r="AU818" s="79"/>
      <c r="AV818" s="79"/>
      <c r="AW818" s="79"/>
      <c r="AX818" s="79"/>
      <c r="AY818" s="79"/>
      <c r="AZ818" s="79"/>
      <c r="BA818" s="79"/>
      <c r="BB818" s="1"/>
      <c r="BC818" s="1"/>
      <c r="BD818" s="1"/>
      <c r="BE818" s="1"/>
      <c r="BF818" s="1"/>
      <c r="BG818" s="1"/>
      <c r="BH818" s="1"/>
    </row>
    <row r="819" spans="1:60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79"/>
      <c r="AO819" s="79"/>
      <c r="AP819" s="79"/>
      <c r="AQ819" s="79"/>
      <c r="AR819" s="79"/>
      <c r="AS819" s="79"/>
      <c r="AT819" s="79"/>
      <c r="AU819" s="79"/>
      <c r="AV819" s="79"/>
      <c r="AW819" s="79"/>
      <c r="AX819" s="79"/>
      <c r="AY819" s="79"/>
      <c r="AZ819" s="79"/>
      <c r="BA819" s="79"/>
      <c r="BB819" s="1"/>
      <c r="BC819" s="1"/>
      <c r="BD819" s="1"/>
      <c r="BE819" s="1"/>
      <c r="BF819" s="1"/>
      <c r="BG819" s="1"/>
      <c r="BH819" s="1"/>
    </row>
    <row r="820" spans="1:60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79"/>
      <c r="AO820" s="79"/>
      <c r="AP820" s="79"/>
      <c r="AQ820" s="79"/>
      <c r="AR820" s="79"/>
      <c r="AS820" s="79"/>
      <c r="AT820" s="79"/>
      <c r="AU820" s="79"/>
      <c r="AV820" s="79"/>
      <c r="AW820" s="79"/>
      <c r="AX820" s="79"/>
      <c r="AY820" s="79"/>
      <c r="AZ820" s="79"/>
      <c r="BA820" s="79"/>
      <c r="BB820" s="1"/>
      <c r="BC820" s="1"/>
      <c r="BD820" s="1"/>
      <c r="BE820" s="1"/>
      <c r="BF820" s="1"/>
      <c r="BG820" s="1"/>
      <c r="BH820" s="1"/>
    </row>
    <row r="821" spans="1:60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79"/>
      <c r="AO821" s="79"/>
      <c r="AP821" s="79"/>
      <c r="AQ821" s="79"/>
      <c r="AR821" s="79"/>
      <c r="AS821" s="79"/>
      <c r="AT821" s="79"/>
      <c r="AU821" s="79"/>
      <c r="AV821" s="79"/>
      <c r="AW821" s="79"/>
      <c r="AX821" s="79"/>
      <c r="AY821" s="79"/>
      <c r="AZ821" s="79"/>
      <c r="BA821" s="79"/>
      <c r="BB821" s="1"/>
      <c r="BC821" s="1"/>
      <c r="BD821" s="1"/>
      <c r="BE821" s="1"/>
      <c r="BF821" s="1"/>
      <c r="BG821" s="1"/>
      <c r="BH821" s="1"/>
    </row>
    <row r="822" spans="1:60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79"/>
      <c r="AO822" s="79"/>
      <c r="AP822" s="79"/>
      <c r="AQ822" s="79"/>
      <c r="AR822" s="79"/>
      <c r="AS822" s="79"/>
      <c r="AT822" s="79"/>
      <c r="AU822" s="79"/>
      <c r="AV822" s="79"/>
      <c r="AW822" s="79"/>
      <c r="AX822" s="79"/>
      <c r="AY822" s="79"/>
      <c r="AZ822" s="79"/>
      <c r="BA822" s="79"/>
      <c r="BB822" s="1"/>
      <c r="BC822" s="1"/>
      <c r="BD822" s="1"/>
      <c r="BE822" s="1"/>
      <c r="BF822" s="1"/>
      <c r="BG822" s="1"/>
      <c r="BH822" s="1"/>
    </row>
    <row r="823" spans="1:60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79"/>
      <c r="AO823" s="79"/>
      <c r="AP823" s="79"/>
      <c r="AQ823" s="79"/>
      <c r="AR823" s="79"/>
      <c r="AS823" s="79"/>
      <c r="AT823" s="79"/>
      <c r="AU823" s="79"/>
      <c r="AV823" s="79"/>
      <c r="AW823" s="79"/>
      <c r="AX823" s="79"/>
      <c r="AY823" s="79"/>
      <c r="AZ823" s="79"/>
      <c r="BA823" s="79"/>
      <c r="BB823" s="1"/>
      <c r="BC823" s="1"/>
      <c r="BD823" s="1"/>
      <c r="BE823" s="1"/>
      <c r="BF823" s="1"/>
      <c r="BG823" s="1"/>
      <c r="BH823" s="1"/>
    </row>
    <row r="824" spans="1:60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79"/>
      <c r="AO824" s="79"/>
      <c r="AP824" s="79"/>
      <c r="AQ824" s="79"/>
      <c r="AR824" s="79"/>
      <c r="AS824" s="79"/>
      <c r="AT824" s="79"/>
      <c r="AU824" s="79"/>
      <c r="AV824" s="79"/>
      <c r="AW824" s="79"/>
      <c r="AX824" s="79"/>
      <c r="AY824" s="79"/>
      <c r="AZ824" s="79"/>
      <c r="BA824" s="79"/>
      <c r="BB824" s="1"/>
      <c r="BC824" s="1"/>
      <c r="BD824" s="1"/>
      <c r="BE824" s="1"/>
      <c r="BF824" s="1"/>
      <c r="BG824" s="1"/>
      <c r="BH824" s="1"/>
    </row>
    <row r="825" spans="1:60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79"/>
      <c r="AO825" s="79"/>
      <c r="AP825" s="79"/>
      <c r="AQ825" s="79"/>
      <c r="AR825" s="79"/>
      <c r="AS825" s="79"/>
      <c r="AT825" s="79"/>
      <c r="AU825" s="79"/>
      <c r="AV825" s="79"/>
      <c r="AW825" s="79"/>
      <c r="AX825" s="79"/>
      <c r="AY825" s="79"/>
      <c r="AZ825" s="79"/>
      <c r="BA825" s="79"/>
      <c r="BB825" s="1"/>
      <c r="BC825" s="1"/>
      <c r="BD825" s="1"/>
      <c r="BE825" s="1"/>
      <c r="BF825" s="1"/>
      <c r="BG825" s="1"/>
      <c r="BH825" s="1"/>
    </row>
    <row r="826" spans="1:60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79"/>
      <c r="AO826" s="79"/>
      <c r="AP826" s="79"/>
      <c r="AQ826" s="79"/>
      <c r="AR826" s="79"/>
      <c r="AS826" s="79"/>
      <c r="AT826" s="79"/>
      <c r="AU826" s="79"/>
      <c r="AV826" s="79"/>
      <c r="AW826" s="79"/>
      <c r="AX826" s="79"/>
      <c r="AY826" s="79"/>
      <c r="AZ826" s="79"/>
      <c r="BA826" s="79"/>
      <c r="BB826" s="1"/>
      <c r="BC826" s="1"/>
      <c r="BD826" s="1"/>
      <c r="BE826" s="1"/>
      <c r="BF826" s="1"/>
      <c r="BG826" s="1"/>
      <c r="BH826" s="1"/>
    </row>
    <row r="827" spans="1:60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79"/>
      <c r="AO827" s="79"/>
      <c r="AP827" s="79"/>
      <c r="AQ827" s="79"/>
      <c r="AR827" s="79"/>
      <c r="AS827" s="79"/>
      <c r="AT827" s="79"/>
      <c r="AU827" s="79"/>
      <c r="AV827" s="79"/>
      <c r="AW827" s="79"/>
      <c r="AX827" s="79"/>
      <c r="AY827" s="79"/>
      <c r="AZ827" s="79"/>
      <c r="BA827" s="79"/>
      <c r="BB827" s="1"/>
      <c r="BC827" s="1"/>
      <c r="BD827" s="1"/>
      <c r="BE827" s="1"/>
      <c r="BF827" s="1"/>
      <c r="BG827" s="1"/>
      <c r="BH827" s="1"/>
    </row>
    <row r="828" spans="1:60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79"/>
      <c r="AO828" s="79"/>
      <c r="AP828" s="79"/>
      <c r="AQ828" s="79"/>
      <c r="AR828" s="79"/>
      <c r="AS828" s="79"/>
      <c r="AT828" s="79"/>
      <c r="AU828" s="79"/>
      <c r="AV828" s="79"/>
      <c r="AW828" s="79"/>
      <c r="AX828" s="79"/>
      <c r="AY828" s="79"/>
      <c r="AZ828" s="79"/>
      <c r="BA828" s="79"/>
      <c r="BB828" s="1"/>
      <c r="BC828" s="1"/>
      <c r="BD828" s="1"/>
      <c r="BE828" s="1"/>
      <c r="BF828" s="1"/>
      <c r="BG828" s="1"/>
      <c r="BH828" s="1"/>
    </row>
    <row r="829" spans="1:60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79"/>
      <c r="AO829" s="79"/>
      <c r="AP829" s="79"/>
      <c r="AQ829" s="79"/>
      <c r="AR829" s="79"/>
      <c r="AS829" s="79"/>
      <c r="AT829" s="79"/>
      <c r="AU829" s="79"/>
      <c r="AV829" s="79"/>
      <c r="AW829" s="79"/>
      <c r="AX829" s="79"/>
      <c r="AY829" s="79"/>
      <c r="AZ829" s="79"/>
      <c r="BA829" s="79"/>
      <c r="BB829" s="1"/>
      <c r="BC829" s="1"/>
      <c r="BD829" s="1"/>
      <c r="BE829" s="1"/>
      <c r="BF829" s="1"/>
      <c r="BG829" s="1"/>
      <c r="BH829" s="1"/>
    </row>
    <row r="830" spans="1:60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79"/>
      <c r="AO830" s="79"/>
      <c r="AP830" s="79"/>
      <c r="AQ830" s="79"/>
      <c r="AR830" s="79"/>
      <c r="AS830" s="79"/>
      <c r="AT830" s="79"/>
      <c r="AU830" s="79"/>
      <c r="AV830" s="79"/>
      <c r="AW830" s="79"/>
      <c r="AX830" s="79"/>
      <c r="AY830" s="79"/>
      <c r="AZ830" s="79"/>
      <c r="BA830" s="79"/>
      <c r="BB830" s="1"/>
      <c r="BC830" s="1"/>
      <c r="BD830" s="1"/>
      <c r="BE830" s="1"/>
      <c r="BF830" s="1"/>
      <c r="BG830" s="1"/>
      <c r="BH830" s="1"/>
    </row>
    <row r="831" spans="1:60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79"/>
      <c r="AO831" s="79"/>
      <c r="AP831" s="79"/>
      <c r="AQ831" s="79"/>
      <c r="AR831" s="79"/>
      <c r="AS831" s="79"/>
      <c r="AT831" s="79"/>
      <c r="AU831" s="79"/>
      <c r="AV831" s="79"/>
      <c r="AW831" s="79"/>
      <c r="AX831" s="79"/>
      <c r="AY831" s="79"/>
      <c r="AZ831" s="79"/>
      <c r="BA831" s="79"/>
      <c r="BB831" s="1"/>
      <c r="BC831" s="1"/>
      <c r="BD831" s="1"/>
      <c r="BE831" s="1"/>
      <c r="BF831" s="1"/>
      <c r="BG831" s="1"/>
      <c r="BH831" s="1"/>
    </row>
    <row r="832" spans="1:60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79"/>
      <c r="AO832" s="79"/>
      <c r="AP832" s="79"/>
      <c r="AQ832" s="79"/>
      <c r="AR832" s="79"/>
      <c r="AS832" s="79"/>
      <c r="AT832" s="79"/>
      <c r="AU832" s="79"/>
      <c r="AV832" s="79"/>
      <c r="AW832" s="79"/>
      <c r="AX832" s="79"/>
      <c r="AY832" s="79"/>
      <c r="AZ832" s="79"/>
      <c r="BA832" s="79"/>
      <c r="BB832" s="1"/>
      <c r="BC832" s="1"/>
      <c r="BD832" s="1"/>
      <c r="BE832" s="1"/>
      <c r="BF832" s="1"/>
      <c r="BG832" s="1"/>
      <c r="BH832" s="1"/>
    </row>
    <row r="833" spans="1:60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79"/>
      <c r="AO833" s="79"/>
      <c r="AP833" s="79"/>
      <c r="AQ833" s="79"/>
      <c r="AR833" s="79"/>
      <c r="AS833" s="79"/>
      <c r="AT833" s="79"/>
      <c r="AU833" s="79"/>
      <c r="AV833" s="79"/>
      <c r="AW833" s="79"/>
      <c r="AX833" s="79"/>
      <c r="AY833" s="79"/>
      <c r="AZ833" s="79"/>
      <c r="BA833" s="79"/>
      <c r="BB833" s="1"/>
      <c r="BC833" s="1"/>
      <c r="BD833" s="1"/>
      <c r="BE833" s="1"/>
      <c r="BF833" s="1"/>
      <c r="BG833" s="1"/>
      <c r="BH833" s="1"/>
    </row>
    <row r="834" spans="1:60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79"/>
      <c r="AO834" s="79"/>
      <c r="AP834" s="79"/>
      <c r="AQ834" s="79"/>
      <c r="AR834" s="79"/>
      <c r="AS834" s="79"/>
      <c r="AT834" s="79"/>
      <c r="AU834" s="79"/>
      <c r="AV834" s="79"/>
      <c r="AW834" s="79"/>
      <c r="AX834" s="79"/>
      <c r="AY834" s="79"/>
      <c r="AZ834" s="79"/>
      <c r="BA834" s="79"/>
      <c r="BB834" s="1"/>
      <c r="BC834" s="1"/>
      <c r="BD834" s="1"/>
      <c r="BE834" s="1"/>
      <c r="BF834" s="1"/>
      <c r="BG834" s="1"/>
      <c r="BH834" s="1"/>
    </row>
    <row r="835" spans="1:60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79"/>
      <c r="AO835" s="79"/>
      <c r="AP835" s="79"/>
      <c r="AQ835" s="79"/>
      <c r="AR835" s="79"/>
      <c r="AS835" s="79"/>
      <c r="AT835" s="79"/>
      <c r="AU835" s="79"/>
      <c r="AV835" s="79"/>
      <c r="AW835" s="79"/>
      <c r="AX835" s="79"/>
      <c r="AY835" s="79"/>
      <c r="AZ835" s="79"/>
      <c r="BA835" s="79"/>
      <c r="BB835" s="1"/>
      <c r="BC835" s="1"/>
      <c r="BD835" s="1"/>
      <c r="BE835" s="1"/>
      <c r="BF835" s="1"/>
      <c r="BG835" s="1"/>
      <c r="BH835" s="1"/>
    </row>
    <row r="836" spans="1:60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79"/>
      <c r="AO836" s="79"/>
      <c r="AP836" s="79"/>
      <c r="AQ836" s="79"/>
      <c r="AR836" s="79"/>
      <c r="AS836" s="79"/>
      <c r="AT836" s="79"/>
      <c r="AU836" s="79"/>
      <c r="AV836" s="79"/>
      <c r="AW836" s="79"/>
      <c r="AX836" s="79"/>
      <c r="AY836" s="79"/>
      <c r="AZ836" s="79"/>
      <c r="BA836" s="79"/>
      <c r="BB836" s="1"/>
      <c r="BC836" s="1"/>
      <c r="BD836" s="1"/>
      <c r="BE836" s="1"/>
      <c r="BF836" s="1"/>
      <c r="BG836" s="1"/>
      <c r="BH836" s="1"/>
    </row>
    <row r="837" spans="1:60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79"/>
      <c r="AO837" s="79"/>
      <c r="AP837" s="79"/>
      <c r="AQ837" s="79"/>
      <c r="AR837" s="79"/>
      <c r="AS837" s="79"/>
      <c r="AT837" s="79"/>
      <c r="AU837" s="79"/>
      <c r="AV837" s="79"/>
      <c r="AW837" s="79"/>
      <c r="AX837" s="79"/>
      <c r="AY837" s="79"/>
      <c r="AZ837" s="79"/>
      <c r="BA837" s="79"/>
      <c r="BB837" s="1"/>
      <c r="BC837" s="1"/>
      <c r="BD837" s="1"/>
      <c r="BE837" s="1"/>
      <c r="BF837" s="1"/>
      <c r="BG837" s="1"/>
      <c r="BH837" s="1"/>
    </row>
    <row r="838" spans="1:60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79"/>
      <c r="AO838" s="79"/>
      <c r="AP838" s="79"/>
      <c r="AQ838" s="79"/>
      <c r="AR838" s="79"/>
      <c r="AS838" s="79"/>
      <c r="AT838" s="79"/>
      <c r="AU838" s="79"/>
      <c r="AV838" s="79"/>
      <c r="AW838" s="79"/>
      <c r="AX838" s="79"/>
      <c r="AY838" s="79"/>
      <c r="AZ838" s="79"/>
      <c r="BA838" s="79"/>
      <c r="BB838" s="1"/>
      <c r="BC838" s="1"/>
      <c r="BD838" s="1"/>
      <c r="BE838" s="1"/>
      <c r="BF838" s="1"/>
      <c r="BG838" s="1"/>
      <c r="BH838" s="1"/>
    </row>
    <row r="839" spans="1:60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79"/>
      <c r="AO839" s="79"/>
      <c r="AP839" s="79"/>
      <c r="AQ839" s="79"/>
      <c r="AR839" s="79"/>
      <c r="AS839" s="79"/>
      <c r="AT839" s="79"/>
      <c r="AU839" s="79"/>
      <c r="AV839" s="79"/>
      <c r="AW839" s="79"/>
      <c r="AX839" s="79"/>
      <c r="AY839" s="79"/>
      <c r="AZ839" s="79"/>
      <c r="BA839" s="79"/>
      <c r="BB839" s="1"/>
      <c r="BC839" s="1"/>
      <c r="BD839" s="1"/>
      <c r="BE839" s="1"/>
      <c r="BF839" s="1"/>
      <c r="BG839" s="1"/>
      <c r="BH839" s="1"/>
    </row>
    <row r="840" spans="1:60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79"/>
      <c r="AO840" s="79"/>
      <c r="AP840" s="79"/>
      <c r="AQ840" s="79"/>
      <c r="AR840" s="79"/>
      <c r="AS840" s="79"/>
      <c r="AT840" s="79"/>
      <c r="AU840" s="79"/>
      <c r="AV840" s="79"/>
      <c r="AW840" s="79"/>
      <c r="AX840" s="79"/>
      <c r="AY840" s="79"/>
      <c r="AZ840" s="79"/>
      <c r="BA840" s="79"/>
      <c r="BB840" s="1"/>
      <c r="BC840" s="1"/>
      <c r="BD840" s="1"/>
      <c r="BE840" s="1"/>
      <c r="BF840" s="1"/>
      <c r="BG840" s="1"/>
      <c r="BH840" s="1"/>
    </row>
    <row r="841" spans="1:60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79"/>
      <c r="AO841" s="79"/>
      <c r="AP841" s="79"/>
      <c r="AQ841" s="79"/>
      <c r="AR841" s="79"/>
      <c r="AS841" s="79"/>
      <c r="AT841" s="79"/>
      <c r="AU841" s="79"/>
      <c r="AV841" s="79"/>
      <c r="AW841" s="79"/>
      <c r="AX841" s="79"/>
      <c r="AY841" s="79"/>
      <c r="AZ841" s="79"/>
      <c r="BA841" s="79"/>
      <c r="BB841" s="1"/>
      <c r="BC841" s="1"/>
      <c r="BD841" s="1"/>
      <c r="BE841" s="1"/>
      <c r="BF841" s="1"/>
      <c r="BG841" s="1"/>
      <c r="BH841" s="1"/>
    </row>
    <row r="842" spans="1:60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79"/>
      <c r="AO842" s="79"/>
      <c r="AP842" s="79"/>
      <c r="AQ842" s="79"/>
      <c r="AR842" s="79"/>
      <c r="AS842" s="79"/>
      <c r="AT842" s="79"/>
      <c r="AU842" s="79"/>
      <c r="AV842" s="79"/>
      <c r="AW842" s="79"/>
      <c r="AX842" s="79"/>
      <c r="AY842" s="79"/>
      <c r="AZ842" s="79"/>
      <c r="BA842" s="79"/>
      <c r="BB842" s="1"/>
      <c r="BC842" s="1"/>
      <c r="BD842" s="1"/>
      <c r="BE842" s="1"/>
      <c r="BF842" s="1"/>
      <c r="BG842" s="1"/>
      <c r="BH842" s="1"/>
    </row>
    <row r="843" spans="1:60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79"/>
      <c r="AO843" s="79"/>
      <c r="AP843" s="79"/>
      <c r="AQ843" s="79"/>
      <c r="AR843" s="79"/>
      <c r="AS843" s="79"/>
      <c r="AT843" s="79"/>
      <c r="AU843" s="79"/>
      <c r="AV843" s="79"/>
      <c r="AW843" s="79"/>
      <c r="AX843" s="79"/>
      <c r="AY843" s="79"/>
      <c r="AZ843" s="79"/>
      <c r="BA843" s="79"/>
      <c r="BB843" s="1"/>
      <c r="BC843" s="1"/>
      <c r="BD843" s="1"/>
      <c r="BE843" s="1"/>
      <c r="BF843" s="1"/>
      <c r="BG843" s="1"/>
      <c r="BH843" s="1"/>
    </row>
    <row r="844" spans="1:60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79"/>
      <c r="AO844" s="79"/>
      <c r="AP844" s="79"/>
      <c r="AQ844" s="79"/>
      <c r="AR844" s="79"/>
      <c r="AS844" s="79"/>
      <c r="AT844" s="79"/>
      <c r="AU844" s="79"/>
      <c r="AV844" s="79"/>
      <c r="AW844" s="79"/>
      <c r="AX844" s="79"/>
      <c r="AY844" s="79"/>
      <c r="AZ844" s="79"/>
      <c r="BA844" s="79"/>
      <c r="BB844" s="1"/>
      <c r="BC844" s="1"/>
      <c r="BD844" s="1"/>
      <c r="BE844" s="1"/>
      <c r="BF844" s="1"/>
      <c r="BG844" s="1"/>
      <c r="BH844" s="1"/>
    </row>
    <row r="845" spans="1:60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79"/>
      <c r="AO845" s="79"/>
      <c r="AP845" s="79"/>
      <c r="AQ845" s="79"/>
      <c r="AR845" s="79"/>
      <c r="AS845" s="79"/>
      <c r="AT845" s="79"/>
      <c r="AU845" s="79"/>
      <c r="AV845" s="79"/>
      <c r="AW845" s="79"/>
      <c r="AX845" s="79"/>
      <c r="AY845" s="79"/>
      <c r="AZ845" s="79"/>
      <c r="BA845" s="79"/>
      <c r="BB845" s="1"/>
      <c r="BC845" s="1"/>
      <c r="BD845" s="1"/>
      <c r="BE845" s="1"/>
      <c r="BF845" s="1"/>
      <c r="BG845" s="1"/>
      <c r="BH845" s="1"/>
    </row>
    <row r="846" spans="1:60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79"/>
      <c r="AO846" s="79"/>
      <c r="AP846" s="79"/>
      <c r="AQ846" s="79"/>
      <c r="AR846" s="79"/>
      <c r="AS846" s="79"/>
      <c r="AT846" s="79"/>
      <c r="AU846" s="79"/>
      <c r="AV846" s="79"/>
      <c r="AW846" s="79"/>
      <c r="AX846" s="79"/>
      <c r="AY846" s="79"/>
      <c r="AZ846" s="79"/>
      <c r="BA846" s="79"/>
      <c r="BB846" s="1"/>
      <c r="BC846" s="1"/>
      <c r="BD846" s="1"/>
      <c r="BE846" s="1"/>
      <c r="BF846" s="1"/>
      <c r="BG846" s="1"/>
      <c r="BH846" s="1"/>
    </row>
    <row r="847" spans="1:60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79"/>
      <c r="AO847" s="79"/>
      <c r="AP847" s="79"/>
      <c r="AQ847" s="79"/>
      <c r="AR847" s="79"/>
      <c r="AS847" s="79"/>
      <c r="AT847" s="79"/>
      <c r="AU847" s="79"/>
      <c r="AV847" s="79"/>
      <c r="AW847" s="79"/>
      <c r="AX847" s="79"/>
      <c r="AY847" s="79"/>
      <c r="AZ847" s="79"/>
      <c r="BA847" s="79"/>
      <c r="BB847" s="1"/>
      <c r="BC847" s="1"/>
      <c r="BD847" s="1"/>
      <c r="BE847" s="1"/>
      <c r="BF847" s="1"/>
      <c r="BG847" s="1"/>
      <c r="BH847" s="1"/>
    </row>
    <row r="848" spans="1:60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79"/>
      <c r="AO848" s="79"/>
      <c r="AP848" s="79"/>
      <c r="AQ848" s="79"/>
      <c r="AR848" s="79"/>
      <c r="AS848" s="79"/>
      <c r="AT848" s="79"/>
      <c r="AU848" s="79"/>
      <c r="AV848" s="79"/>
      <c r="AW848" s="79"/>
      <c r="AX848" s="79"/>
      <c r="AY848" s="79"/>
      <c r="AZ848" s="79"/>
      <c r="BA848" s="79"/>
      <c r="BB848" s="1"/>
      <c r="BC848" s="1"/>
      <c r="BD848" s="1"/>
      <c r="BE848" s="1"/>
      <c r="BF848" s="1"/>
      <c r="BG848" s="1"/>
      <c r="BH848" s="1"/>
    </row>
    <row r="849" spans="1:60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79"/>
      <c r="AO849" s="79"/>
      <c r="AP849" s="79"/>
      <c r="AQ849" s="79"/>
      <c r="AR849" s="79"/>
      <c r="AS849" s="79"/>
      <c r="AT849" s="79"/>
      <c r="AU849" s="79"/>
      <c r="AV849" s="79"/>
      <c r="AW849" s="79"/>
      <c r="AX849" s="79"/>
      <c r="AY849" s="79"/>
      <c r="AZ849" s="79"/>
      <c r="BA849" s="79"/>
      <c r="BB849" s="1"/>
      <c r="BC849" s="1"/>
      <c r="BD849" s="1"/>
      <c r="BE849" s="1"/>
      <c r="BF849" s="1"/>
      <c r="BG849" s="1"/>
      <c r="BH849" s="1"/>
    </row>
    <row r="850" spans="1:60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79"/>
      <c r="AO850" s="79"/>
      <c r="AP850" s="79"/>
      <c r="AQ850" s="79"/>
      <c r="AR850" s="79"/>
      <c r="AS850" s="79"/>
      <c r="AT850" s="79"/>
      <c r="AU850" s="79"/>
      <c r="AV850" s="79"/>
      <c r="AW850" s="79"/>
      <c r="AX850" s="79"/>
      <c r="AY850" s="79"/>
      <c r="AZ850" s="79"/>
      <c r="BA850" s="79"/>
      <c r="BB850" s="1"/>
      <c r="BC850" s="1"/>
      <c r="BD850" s="1"/>
      <c r="BE850" s="1"/>
      <c r="BF850" s="1"/>
      <c r="BG850" s="1"/>
      <c r="BH850" s="1"/>
    </row>
    <row r="851" spans="1:60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79"/>
      <c r="AO851" s="79"/>
      <c r="AP851" s="79"/>
      <c r="AQ851" s="79"/>
      <c r="AR851" s="79"/>
      <c r="AS851" s="79"/>
      <c r="AT851" s="79"/>
      <c r="AU851" s="79"/>
      <c r="AV851" s="79"/>
      <c r="AW851" s="79"/>
      <c r="AX851" s="79"/>
      <c r="AY851" s="79"/>
      <c r="AZ851" s="79"/>
      <c r="BA851" s="79"/>
      <c r="BB851" s="1"/>
      <c r="BC851" s="1"/>
      <c r="BD851" s="1"/>
      <c r="BE851" s="1"/>
      <c r="BF851" s="1"/>
      <c r="BG851" s="1"/>
      <c r="BH851" s="1"/>
    </row>
    <row r="852" spans="1:60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79"/>
      <c r="AO852" s="79"/>
      <c r="AP852" s="79"/>
      <c r="AQ852" s="79"/>
      <c r="AR852" s="79"/>
      <c r="AS852" s="79"/>
      <c r="AT852" s="79"/>
      <c r="AU852" s="79"/>
      <c r="AV852" s="79"/>
      <c r="AW852" s="79"/>
      <c r="AX852" s="79"/>
      <c r="AY852" s="79"/>
      <c r="AZ852" s="79"/>
      <c r="BA852" s="79"/>
      <c r="BB852" s="1"/>
      <c r="BC852" s="1"/>
      <c r="BD852" s="1"/>
      <c r="BE852" s="1"/>
      <c r="BF852" s="1"/>
      <c r="BG852" s="1"/>
      <c r="BH852" s="1"/>
    </row>
    <row r="853" spans="1:60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79"/>
      <c r="AO853" s="79"/>
      <c r="AP853" s="79"/>
      <c r="AQ853" s="79"/>
      <c r="AR853" s="79"/>
      <c r="AS853" s="79"/>
      <c r="AT853" s="79"/>
      <c r="AU853" s="79"/>
      <c r="AV853" s="79"/>
      <c r="AW853" s="79"/>
      <c r="AX853" s="79"/>
      <c r="AY853" s="79"/>
      <c r="AZ853" s="79"/>
      <c r="BA853" s="79"/>
      <c r="BB853" s="1"/>
      <c r="BC853" s="1"/>
      <c r="BD853" s="1"/>
      <c r="BE853" s="1"/>
      <c r="BF853" s="1"/>
      <c r="BG853" s="1"/>
      <c r="BH853" s="1"/>
    </row>
    <row r="854" spans="1:60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79"/>
      <c r="AO854" s="79"/>
      <c r="AP854" s="79"/>
      <c r="AQ854" s="79"/>
      <c r="AR854" s="79"/>
      <c r="AS854" s="79"/>
      <c r="AT854" s="79"/>
      <c r="AU854" s="79"/>
      <c r="AV854" s="79"/>
      <c r="AW854" s="79"/>
      <c r="AX854" s="79"/>
      <c r="AY854" s="79"/>
      <c r="AZ854" s="79"/>
      <c r="BA854" s="79"/>
      <c r="BB854" s="1"/>
      <c r="BC854" s="1"/>
      <c r="BD854" s="1"/>
      <c r="BE854" s="1"/>
      <c r="BF854" s="1"/>
      <c r="BG854" s="1"/>
      <c r="BH854" s="1"/>
    </row>
    <row r="855" spans="1:60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79"/>
      <c r="AO855" s="79"/>
      <c r="AP855" s="79"/>
      <c r="AQ855" s="79"/>
      <c r="AR855" s="79"/>
      <c r="AS855" s="79"/>
      <c r="AT855" s="79"/>
      <c r="AU855" s="79"/>
      <c r="AV855" s="79"/>
      <c r="AW855" s="79"/>
      <c r="AX855" s="79"/>
      <c r="AY855" s="79"/>
      <c r="AZ855" s="79"/>
      <c r="BA855" s="79"/>
      <c r="BB855" s="1"/>
      <c r="BC855" s="1"/>
      <c r="BD855" s="1"/>
      <c r="BE855" s="1"/>
      <c r="BF855" s="1"/>
      <c r="BG855" s="1"/>
      <c r="BH855" s="1"/>
    </row>
    <row r="856" spans="1:60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79"/>
      <c r="AO856" s="79"/>
      <c r="AP856" s="79"/>
      <c r="AQ856" s="79"/>
      <c r="AR856" s="79"/>
      <c r="AS856" s="79"/>
      <c r="AT856" s="79"/>
      <c r="AU856" s="79"/>
      <c r="AV856" s="79"/>
      <c r="AW856" s="79"/>
      <c r="AX856" s="79"/>
      <c r="AY856" s="79"/>
      <c r="AZ856" s="79"/>
      <c r="BA856" s="79"/>
      <c r="BB856" s="1"/>
      <c r="BC856" s="1"/>
      <c r="BD856" s="1"/>
      <c r="BE856" s="1"/>
      <c r="BF856" s="1"/>
      <c r="BG856" s="1"/>
      <c r="BH856" s="1"/>
    </row>
    <row r="857" spans="1:60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79"/>
      <c r="AO857" s="79"/>
      <c r="AP857" s="79"/>
      <c r="AQ857" s="79"/>
      <c r="AR857" s="79"/>
      <c r="AS857" s="79"/>
      <c r="AT857" s="79"/>
      <c r="AU857" s="79"/>
      <c r="AV857" s="79"/>
      <c r="AW857" s="79"/>
      <c r="AX857" s="79"/>
      <c r="AY857" s="79"/>
      <c r="AZ857" s="79"/>
      <c r="BA857" s="79"/>
      <c r="BB857" s="1"/>
      <c r="BC857" s="1"/>
      <c r="BD857" s="1"/>
      <c r="BE857" s="1"/>
      <c r="BF857" s="1"/>
      <c r="BG857" s="1"/>
      <c r="BH857" s="1"/>
    </row>
    <row r="858" spans="1:60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79"/>
      <c r="AO858" s="79"/>
      <c r="AP858" s="79"/>
      <c r="AQ858" s="79"/>
      <c r="AR858" s="79"/>
      <c r="AS858" s="79"/>
      <c r="AT858" s="79"/>
      <c r="AU858" s="79"/>
      <c r="AV858" s="79"/>
      <c r="AW858" s="79"/>
      <c r="AX858" s="79"/>
      <c r="AY858" s="79"/>
      <c r="AZ858" s="79"/>
      <c r="BA858" s="79"/>
      <c r="BB858" s="1"/>
      <c r="BC858" s="1"/>
      <c r="BD858" s="1"/>
      <c r="BE858" s="1"/>
      <c r="BF858" s="1"/>
      <c r="BG858" s="1"/>
      <c r="BH858" s="1"/>
    </row>
    <row r="859" spans="1:60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79"/>
      <c r="AO859" s="79"/>
      <c r="AP859" s="79"/>
      <c r="AQ859" s="79"/>
      <c r="AR859" s="79"/>
      <c r="AS859" s="79"/>
      <c r="AT859" s="79"/>
      <c r="AU859" s="79"/>
      <c r="AV859" s="79"/>
      <c r="AW859" s="79"/>
      <c r="AX859" s="79"/>
      <c r="AY859" s="79"/>
      <c r="AZ859" s="79"/>
      <c r="BA859" s="79"/>
      <c r="BB859" s="1"/>
      <c r="BC859" s="1"/>
      <c r="BD859" s="1"/>
      <c r="BE859" s="1"/>
      <c r="BF859" s="1"/>
      <c r="BG859" s="1"/>
      <c r="BH859" s="1"/>
    </row>
    <row r="860" spans="1:60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79"/>
      <c r="AO860" s="79"/>
      <c r="AP860" s="79"/>
      <c r="AQ860" s="79"/>
      <c r="AR860" s="79"/>
      <c r="AS860" s="79"/>
      <c r="AT860" s="79"/>
      <c r="AU860" s="79"/>
      <c r="AV860" s="79"/>
      <c r="AW860" s="79"/>
      <c r="AX860" s="79"/>
      <c r="AY860" s="79"/>
      <c r="AZ860" s="79"/>
      <c r="BA860" s="79"/>
      <c r="BB860" s="1"/>
      <c r="BC860" s="1"/>
      <c r="BD860" s="1"/>
      <c r="BE860" s="1"/>
      <c r="BF860" s="1"/>
      <c r="BG860" s="1"/>
      <c r="BH860" s="1"/>
    </row>
    <row r="861" spans="1:60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79"/>
      <c r="AO861" s="79"/>
      <c r="AP861" s="79"/>
      <c r="AQ861" s="79"/>
      <c r="AR861" s="79"/>
      <c r="AS861" s="79"/>
      <c r="AT861" s="79"/>
      <c r="AU861" s="79"/>
      <c r="AV861" s="79"/>
      <c r="AW861" s="79"/>
      <c r="AX861" s="79"/>
      <c r="AY861" s="79"/>
      <c r="AZ861" s="79"/>
      <c r="BA861" s="79"/>
      <c r="BB861" s="1"/>
      <c r="BC861" s="1"/>
      <c r="BD861" s="1"/>
      <c r="BE861" s="1"/>
      <c r="BF861" s="1"/>
      <c r="BG861" s="1"/>
      <c r="BH861" s="1"/>
    </row>
    <row r="862" spans="1:60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79"/>
      <c r="AO862" s="79"/>
      <c r="AP862" s="79"/>
      <c r="AQ862" s="79"/>
      <c r="AR862" s="79"/>
      <c r="AS862" s="79"/>
      <c r="AT862" s="79"/>
      <c r="AU862" s="79"/>
      <c r="AV862" s="79"/>
      <c r="AW862" s="79"/>
      <c r="AX862" s="79"/>
      <c r="AY862" s="79"/>
      <c r="AZ862" s="79"/>
      <c r="BA862" s="79"/>
      <c r="BB862" s="1"/>
      <c r="BC862" s="1"/>
      <c r="BD862" s="1"/>
      <c r="BE862" s="1"/>
      <c r="BF862" s="1"/>
      <c r="BG862" s="1"/>
      <c r="BH862" s="1"/>
    </row>
    <row r="863" spans="1:60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79"/>
      <c r="AO863" s="79"/>
      <c r="AP863" s="79"/>
      <c r="AQ863" s="79"/>
      <c r="AR863" s="79"/>
      <c r="AS863" s="79"/>
      <c r="AT863" s="79"/>
      <c r="AU863" s="79"/>
      <c r="AV863" s="79"/>
      <c r="AW863" s="79"/>
      <c r="AX863" s="79"/>
      <c r="AY863" s="79"/>
      <c r="AZ863" s="79"/>
      <c r="BA863" s="79"/>
      <c r="BB863" s="1"/>
      <c r="BC863" s="1"/>
      <c r="BD863" s="1"/>
      <c r="BE863" s="1"/>
      <c r="BF863" s="1"/>
      <c r="BG863" s="1"/>
      <c r="BH863" s="1"/>
    </row>
    <row r="864" spans="1:60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79"/>
      <c r="AO864" s="79"/>
      <c r="AP864" s="79"/>
      <c r="AQ864" s="79"/>
      <c r="AR864" s="79"/>
      <c r="AS864" s="79"/>
      <c r="AT864" s="79"/>
      <c r="AU864" s="79"/>
      <c r="AV864" s="79"/>
      <c r="AW864" s="79"/>
      <c r="AX864" s="79"/>
      <c r="AY864" s="79"/>
      <c r="AZ864" s="79"/>
      <c r="BA864" s="79"/>
      <c r="BB864" s="1"/>
      <c r="BC864" s="1"/>
      <c r="BD864" s="1"/>
      <c r="BE864" s="1"/>
      <c r="BF864" s="1"/>
      <c r="BG864" s="1"/>
      <c r="BH864" s="1"/>
    </row>
    <row r="865" spans="1:60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79"/>
      <c r="AO865" s="79"/>
      <c r="AP865" s="79"/>
      <c r="AQ865" s="79"/>
      <c r="AR865" s="79"/>
      <c r="AS865" s="79"/>
      <c r="AT865" s="79"/>
      <c r="AU865" s="79"/>
      <c r="AV865" s="79"/>
      <c r="AW865" s="79"/>
      <c r="AX865" s="79"/>
      <c r="AY865" s="79"/>
      <c r="AZ865" s="79"/>
      <c r="BA865" s="79"/>
      <c r="BB865" s="1"/>
      <c r="BC865" s="1"/>
      <c r="BD865" s="1"/>
      <c r="BE865" s="1"/>
      <c r="BF865" s="1"/>
      <c r="BG865" s="1"/>
      <c r="BH865" s="1"/>
    </row>
    <row r="866" spans="1:60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79"/>
      <c r="AO866" s="79"/>
      <c r="AP866" s="79"/>
      <c r="AQ866" s="79"/>
      <c r="AR866" s="79"/>
      <c r="AS866" s="79"/>
      <c r="AT866" s="79"/>
      <c r="AU866" s="79"/>
      <c r="AV866" s="79"/>
      <c r="AW866" s="79"/>
      <c r="AX866" s="79"/>
      <c r="AY866" s="79"/>
      <c r="AZ866" s="79"/>
      <c r="BA866" s="79"/>
      <c r="BB866" s="1"/>
      <c r="BC866" s="1"/>
      <c r="BD866" s="1"/>
      <c r="BE866" s="1"/>
      <c r="BF866" s="1"/>
      <c r="BG866" s="1"/>
      <c r="BH866" s="1"/>
    </row>
    <row r="867" spans="1:60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79"/>
      <c r="AO867" s="79"/>
      <c r="AP867" s="79"/>
      <c r="AQ867" s="79"/>
      <c r="AR867" s="79"/>
      <c r="AS867" s="79"/>
      <c r="AT867" s="79"/>
      <c r="AU867" s="79"/>
      <c r="AV867" s="79"/>
      <c r="AW867" s="79"/>
      <c r="AX867" s="79"/>
      <c r="AY867" s="79"/>
      <c r="AZ867" s="79"/>
      <c r="BA867" s="79"/>
      <c r="BB867" s="1"/>
      <c r="BC867" s="1"/>
      <c r="BD867" s="1"/>
      <c r="BE867" s="1"/>
      <c r="BF867" s="1"/>
      <c r="BG867" s="1"/>
      <c r="BH867" s="1"/>
    </row>
    <row r="868" spans="1:60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79"/>
      <c r="AO868" s="79"/>
      <c r="AP868" s="79"/>
      <c r="AQ868" s="79"/>
      <c r="AR868" s="79"/>
      <c r="AS868" s="79"/>
      <c r="AT868" s="79"/>
      <c r="AU868" s="79"/>
      <c r="AV868" s="79"/>
      <c r="AW868" s="79"/>
      <c r="AX868" s="79"/>
      <c r="AY868" s="79"/>
      <c r="AZ868" s="79"/>
      <c r="BA868" s="79"/>
      <c r="BB868" s="1"/>
      <c r="BC868" s="1"/>
      <c r="BD868" s="1"/>
      <c r="BE868" s="1"/>
      <c r="BF868" s="1"/>
      <c r="BG868" s="1"/>
      <c r="BH868" s="1"/>
    </row>
    <row r="869" spans="1:60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79"/>
      <c r="AO869" s="79"/>
      <c r="AP869" s="79"/>
      <c r="AQ869" s="79"/>
      <c r="AR869" s="79"/>
      <c r="AS869" s="79"/>
      <c r="AT869" s="79"/>
      <c r="AU869" s="79"/>
      <c r="AV869" s="79"/>
      <c r="AW869" s="79"/>
      <c r="AX869" s="79"/>
      <c r="AY869" s="79"/>
      <c r="AZ869" s="79"/>
      <c r="BA869" s="79"/>
      <c r="BB869" s="1"/>
      <c r="BC869" s="1"/>
      <c r="BD869" s="1"/>
      <c r="BE869" s="1"/>
      <c r="BF869" s="1"/>
      <c r="BG869" s="1"/>
      <c r="BH869" s="1"/>
    </row>
    <row r="870" spans="1:60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79"/>
      <c r="AO870" s="79"/>
      <c r="AP870" s="79"/>
      <c r="AQ870" s="79"/>
      <c r="AR870" s="79"/>
      <c r="AS870" s="79"/>
      <c r="AT870" s="79"/>
      <c r="AU870" s="79"/>
      <c r="AV870" s="79"/>
      <c r="AW870" s="79"/>
      <c r="AX870" s="79"/>
      <c r="AY870" s="79"/>
      <c r="AZ870" s="79"/>
      <c r="BA870" s="79"/>
      <c r="BB870" s="1"/>
      <c r="BC870" s="1"/>
      <c r="BD870" s="1"/>
      <c r="BE870" s="1"/>
      <c r="BF870" s="1"/>
      <c r="BG870" s="1"/>
      <c r="BH870" s="1"/>
    </row>
    <row r="871" spans="1:60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79"/>
      <c r="AO871" s="79"/>
      <c r="AP871" s="79"/>
      <c r="AQ871" s="79"/>
      <c r="AR871" s="79"/>
      <c r="AS871" s="79"/>
      <c r="AT871" s="79"/>
      <c r="AU871" s="79"/>
      <c r="AV871" s="79"/>
      <c r="AW871" s="79"/>
      <c r="AX871" s="79"/>
      <c r="AY871" s="79"/>
      <c r="AZ871" s="79"/>
      <c r="BA871" s="79"/>
      <c r="BB871" s="1"/>
      <c r="BC871" s="1"/>
      <c r="BD871" s="1"/>
      <c r="BE871" s="1"/>
      <c r="BF871" s="1"/>
      <c r="BG871" s="1"/>
      <c r="BH871" s="1"/>
    </row>
    <row r="872" spans="1:60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79"/>
      <c r="AO872" s="79"/>
      <c r="AP872" s="79"/>
      <c r="AQ872" s="79"/>
      <c r="AR872" s="79"/>
      <c r="AS872" s="79"/>
      <c r="AT872" s="79"/>
      <c r="AU872" s="79"/>
      <c r="AV872" s="79"/>
      <c r="AW872" s="79"/>
      <c r="AX872" s="79"/>
      <c r="AY872" s="79"/>
      <c r="AZ872" s="79"/>
      <c r="BA872" s="79"/>
      <c r="BB872" s="1"/>
      <c r="BC872" s="1"/>
      <c r="BD872" s="1"/>
      <c r="BE872" s="1"/>
      <c r="BF872" s="1"/>
      <c r="BG872" s="1"/>
      <c r="BH872" s="1"/>
    </row>
    <row r="873" spans="1:60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79"/>
      <c r="AO873" s="79"/>
      <c r="AP873" s="79"/>
      <c r="AQ873" s="79"/>
      <c r="AR873" s="79"/>
      <c r="AS873" s="79"/>
      <c r="AT873" s="79"/>
      <c r="AU873" s="79"/>
      <c r="AV873" s="79"/>
      <c r="AW873" s="79"/>
      <c r="AX873" s="79"/>
      <c r="AY873" s="79"/>
      <c r="AZ873" s="79"/>
      <c r="BA873" s="79"/>
      <c r="BB873" s="1"/>
      <c r="BC873" s="1"/>
      <c r="BD873" s="1"/>
      <c r="BE873" s="1"/>
      <c r="BF873" s="1"/>
      <c r="BG873" s="1"/>
      <c r="BH873" s="1"/>
    </row>
    <row r="874" spans="1:60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79"/>
      <c r="AO874" s="79"/>
      <c r="AP874" s="79"/>
      <c r="AQ874" s="79"/>
      <c r="AR874" s="79"/>
      <c r="AS874" s="79"/>
      <c r="AT874" s="79"/>
      <c r="AU874" s="79"/>
      <c r="AV874" s="79"/>
      <c r="AW874" s="79"/>
      <c r="AX874" s="79"/>
      <c r="AY874" s="79"/>
      <c r="AZ874" s="79"/>
      <c r="BA874" s="79"/>
      <c r="BB874" s="1"/>
      <c r="BC874" s="1"/>
      <c r="BD874" s="1"/>
      <c r="BE874" s="1"/>
      <c r="BF874" s="1"/>
      <c r="BG874" s="1"/>
      <c r="BH874" s="1"/>
    </row>
    <row r="875" spans="1:60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79"/>
      <c r="AO875" s="79"/>
      <c r="AP875" s="79"/>
      <c r="AQ875" s="79"/>
      <c r="AR875" s="79"/>
      <c r="AS875" s="79"/>
      <c r="AT875" s="79"/>
      <c r="AU875" s="79"/>
      <c r="AV875" s="79"/>
      <c r="AW875" s="79"/>
      <c r="AX875" s="79"/>
      <c r="AY875" s="79"/>
      <c r="AZ875" s="79"/>
      <c r="BA875" s="79"/>
      <c r="BB875" s="1"/>
      <c r="BC875" s="1"/>
      <c r="BD875" s="1"/>
      <c r="BE875" s="1"/>
      <c r="BF875" s="1"/>
      <c r="BG875" s="1"/>
      <c r="BH875" s="1"/>
    </row>
    <row r="876" spans="1:60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79"/>
      <c r="AO876" s="79"/>
      <c r="AP876" s="79"/>
      <c r="AQ876" s="79"/>
      <c r="AR876" s="79"/>
      <c r="AS876" s="79"/>
      <c r="AT876" s="79"/>
      <c r="AU876" s="79"/>
      <c r="AV876" s="79"/>
      <c r="AW876" s="79"/>
      <c r="AX876" s="79"/>
      <c r="AY876" s="79"/>
      <c r="AZ876" s="79"/>
      <c r="BA876" s="79"/>
      <c r="BB876" s="1"/>
      <c r="BC876" s="1"/>
      <c r="BD876" s="1"/>
      <c r="BE876" s="1"/>
      <c r="BF876" s="1"/>
      <c r="BG876" s="1"/>
      <c r="BH876" s="1"/>
    </row>
    <row r="877" spans="1:60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79"/>
      <c r="AO877" s="79"/>
      <c r="AP877" s="79"/>
      <c r="AQ877" s="79"/>
      <c r="AR877" s="79"/>
      <c r="AS877" s="79"/>
      <c r="AT877" s="79"/>
      <c r="AU877" s="79"/>
      <c r="AV877" s="79"/>
      <c r="AW877" s="79"/>
      <c r="AX877" s="79"/>
      <c r="AY877" s="79"/>
      <c r="AZ877" s="79"/>
      <c r="BA877" s="79"/>
      <c r="BB877" s="1"/>
      <c r="BC877" s="1"/>
      <c r="BD877" s="1"/>
      <c r="BE877" s="1"/>
      <c r="BF877" s="1"/>
      <c r="BG877" s="1"/>
      <c r="BH877" s="1"/>
    </row>
    <row r="878" spans="1:60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79"/>
      <c r="AO878" s="79"/>
      <c r="AP878" s="79"/>
      <c r="AQ878" s="79"/>
      <c r="AR878" s="79"/>
      <c r="AS878" s="79"/>
      <c r="AT878" s="79"/>
      <c r="AU878" s="79"/>
      <c r="AV878" s="79"/>
      <c r="AW878" s="79"/>
      <c r="AX878" s="79"/>
      <c r="AY878" s="79"/>
      <c r="AZ878" s="79"/>
      <c r="BA878" s="79"/>
      <c r="BB878" s="1"/>
      <c r="BC878" s="1"/>
      <c r="BD878" s="1"/>
      <c r="BE878" s="1"/>
      <c r="BF878" s="1"/>
      <c r="BG878" s="1"/>
      <c r="BH878" s="1"/>
    </row>
    <row r="879" spans="1:60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79"/>
      <c r="AO879" s="79"/>
      <c r="AP879" s="79"/>
      <c r="AQ879" s="79"/>
      <c r="AR879" s="79"/>
      <c r="AS879" s="79"/>
      <c r="AT879" s="79"/>
      <c r="AU879" s="79"/>
      <c r="AV879" s="79"/>
      <c r="AW879" s="79"/>
      <c r="AX879" s="79"/>
      <c r="AY879" s="79"/>
      <c r="AZ879" s="79"/>
      <c r="BA879" s="79"/>
      <c r="BB879" s="1"/>
      <c r="BC879" s="1"/>
      <c r="BD879" s="1"/>
      <c r="BE879" s="1"/>
      <c r="BF879" s="1"/>
      <c r="BG879" s="1"/>
      <c r="BH879" s="1"/>
    </row>
    <row r="880" spans="1:60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79"/>
      <c r="AO880" s="79"/>
      <c r="AP880" s="79"/>
      <c r="AQ880" s="79"/>
      <c r="AR880" s="79"/>
      <c r="AS880" s="79"/>
      <c r="AT880" s="79"/>
      <c r="AU880" s="79"/>
      <c r="AV880" s="79"/>
      <c r="AW880" s="79"/>
      <c r="AX880" s="79"/>
      <c r="AY880" s="79"/>
      <c r="AZ880" s="79"/>
      <c r="BA880" s="79"/>
      <c r="BB880" s="1"/>
      <c r="BC880" s="1"/>
      <c r="BD880" s="1"/>
      <c r="BE880" s="1"/>
      <c r="BF880" s="1"/>
      <c r="BG880" s="1"/>
      <c r="BH880" s="1"/>
    </row>
    <row r="881" spans="1:60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79"/>
      <c r="AO881" s="79"/>
      <c r="AP881" s="79"/>
      <c r="AQ881" s="79"/>
      <c r="AR881" s="79"/>
      <c r="AS881" s="79"/>
      <c r="AT881" s="79"/>
      <c r="AU881" s="79"/>
      <c r="AV881" s="79"/>
      <c r="AW881" s="79"/>
      <c r="AX881" s="79"/>
      <c r="AY881" s="79"/>
      <c r="AZ881" s="79"/>
      <c r="BA881" s="79"/>
      <c r="BB881" s="1"/>
      <c r="BC881" s="1"/>
      <c r="BD881" s="1"/>
      <c r="BE881" s="1"/>
      <c r="BF881" s="1"/>
      <c r="BG881" s="1"/>
      <c r="BH881" s="1"/>
    </row>
    <row r="882" spans="1:60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79"/>
      <c r="AO882" s="79"/>
      <c r="AP882" s="79"/>
      <c r="AQ882" s="79"/>
      <c r="AR882" s="79"/>
      <c r="AS882" s="79"/>
      <c r="AT882" s="79"/>
      <c r="AU882" s="79"/>
      <c r="AV882" s="79"/>
      <c r="AW882" s="79"/>
      <c r="AX882" s="79"/>
      <c r="AY882" s="79"/>
      <c r="AZ882" s="79"/>
      <c r="BA882" s="79"/>
      <c r="BB882" s="1"/>
      <c r="BC882" s="1"/>
      <c r="BD882" s="1"/>
      <c r="BE882" s="1"/>
      <c r="BF882" s="1"/>
      <c r="BG882" s="1"/>
      <c r="BH882" s="1"/>
    </row>
    <row r="883" spans="1:60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79"/>
      <c r="AO883" s="79"/>
      <c r="AP883" s="79"/>
      <c r="AQ883" s="79"/>
      <c r="AR883" s="79"/>
      <c r="AS883" s="79"/>
      <c r="AT883" s="79"/>
      <c r="AU883" s="79"/>
      <c r="AV883" s="79"/>
      <c r="AW883" s="79"/>
      <c r="AX883" s="79"/>
      <c r="AY883" s="79"/>
      <c r="AZ883" s="79"/>
      <c r="BA883" s="79"/>
      <c r="BB883" s="1"/>
      <c r="BC883" s="1"/>
      <c r="BD883" s="1"/>
      <c r="BE883" s="1"/>
      <c r="BF883" s="1"/>
      <c r="BG883" s="1"/>
      <c r="BH883" s="1"/>
    </row>
    <row r="884" spans="1:60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79"/>
      <c r="AO884" s="79"/>
      <c r="AP884" s="79"/>
      <c r="AQ884" s="79"/>
      <c r="AR884" s="79"/>
      <c r="AS884" s="79"/>
      <c r="AT884" s="79"/>
      <c r="AU884" s="79"/>
      <c r="AV884" s="79"/>
      <c r="AW884" s="79"/>
      <c r="AX884" s="79"/>
      <c r="AY884" s="79"/>
      <c r="AZ884" s="79"/>
      <c r="BA884" s="79"/>
      <c r="BB884" s="1"/>
      <c r="BC884" s="1"/>
      <c r="BD884" s="1"/>
      <c r="BE884" s="1"/>
      <c r="BF884" s="1"/>
      <c r="BG884" s="1"/>
      <c r="BH884" s="1"/>
    </row>
    <row r="885" spans="1:60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79"/>
      <c r="AO885" s="79"/>
      <c r="AP885" s="79"/>
      <c r="AQ885" s="79"/>
      <c r="AR885" s="79"/>
      <c r="AS885" s="79"/>
      <c r="AT885" s="79"/>
      <c r="AU885" s="79"/>
      <c r="AV885" s="79"/>
      <c r="AW885" s="79"/>
      <c r="AX885" s="79"/>
      <c r="AY885" s="79"/>
      <c r="AZ885" s="79"/>
      <c r="BA885" s="79"/>
      <c r="BB885" s="1"/>
      <c r="BC885" s="1"/>
      <c r="BD885" s="1"/>
      <c r="BE885" s="1"/>
      <c r="BF885" s="1"/>
      <c r="BG885" s="1"/>
      <c r="BH885" s="1"/>
    </row>
    <row r="886" spans="1:60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79"/>
      <c r="AO886" s="79"/>
      <c r="AP886" s="79"/>
      <c r="AQ886" s="79"/>
      <c r="AR886" s="79"/>
      <c r="AS886" s="79"/>
      <c r="AT886" s="79"/>
      <c r="AU886" s="79"/>
      <c r="AV886" s="79"/>
      <c r="AW886" s="79"/>
      <c r="AX886" s="79"/>
      <c r="AY886" s="79"/>
      <c r="AZ886" s="79"/>
      <c r="BA886" s="79"/>
      <c r="BB886" s="1"/>
      <c r="BC886" s="1"/>
      <c r="BD886" s="1"/>
      <c r="BE886" s="1"/>
      <c r="BF886" s="1"/>
      <c r="BG886" s="1"/>
      <c r="BH886" s="1"/>
    </row>
    <row r="887" spans="1:60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79"/>
      <c r="AO887" s="79"/>
      <c r="AP887" s="79"/>
      <c r="AQ887" s="79"/>
      <c r="AR887" s="79"/>
      <c r="AS887" s="79"/>
      <c r="AT887" s="79"/>
      <c r="AU887" s="79"/>
      <c r="AV887" s="79"/>
      <c r="AW887" s="79"/>
      <c r="AX887" s="79"/>
      <c r="AY887" s="79"/>
      <c r="AZ887" s="79"/>
      <c r="BA887" s="79"/>
      <c r="BB887" s="1"/>
      <c r="BC887" s="1"/>
      <c r="BD887" s="1"/>
      <c r="BE887" s="1"/>
      <c r="BF887" s="1"/>
      <c r="BG887" s="1"/>
      <c r="BH887" s="1"/>
    </row>
    <row r="888" spans="1:60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79"/>
      <c r="AO888" s="79"/>
      <c r="AP888" s="79"/>
      <c r="AQ888" s="79"/>
      <c r="AR888" s="79"/>
      <c r="AS888" s="79"/>
      <c r="AT888" s="79"/>
      <c r="AU888" s="79"/>
      <c r="AV888" s="79"/>
      <c r="AW888" s="79"/>
      <c r="AX888" s="79"/>
      <c r="AY888" s="79"/>
      <c r="AZ888" s="79"/>
      <c r="BA888" s="79"/>
      <c r="BB888" s="1"/>
      <c r="BC888" s="1"/>
      <c r="BD888" s="1"/>
      <c r="BE888" s="1"/>
      <c r="BF888" s="1"/>
      <c r="BG888" s="1"/>
      <c r="BH888" s="1"/>
    </row>
    <row r="889" spans="1:60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79"/>
      <c r="AO889" s="79"/>
      <c r="AP889" s="79"/>
      <c r="AQ889" s="79"/>
      <c r="AR889" s="79"/>
      <c r="AS889" s="79"/>
      <c r="AT889" s="79"/>
      <c r="AU889" s="79"/>
      <c r="AV889" s="79"/>
      <c r="AW889" s="79"/>
      <c r="AX889" s="79"/>
      <c r="AY889" s="79"/>
      <c r="AZ889" s="79"/>
      <c r="BA889" s="79"/>
      <c r="BB889" s="1"/>
      <c r="BC889" s="1"/>
      <c r="BD889" s="1"/>
      <c r="BE889" s="1"/>
      <c r="BF889" s="1"/>
      <c r="BG889" s="1"/>
      <c r="BH889" s="1"/>
    </row>
    <row r="890" spans="1:60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79"/>
      <c r="AO890" s="79"/>
      <c r="AP890" s="79"/>
      <c r="AQ890" s="79"/>
      <c r="AR890" s="79"/>
      <c r="AS890" s="79"/>
      <c r="AT890" s="79"/>
      <c r="AU890" s="79"/>
      <c r="AV890" s="79"/>
      <c r="AW890" s="79"/>
      <c r="AX890" s="79"/>
      <c r="AY890" s="79"/>
      <c r="AZ890" s="79"/>
      <c r="BA890" s="79"/>
      <c r="BB890" s="1"/>
      <c r="BC890" s="1"/>
      <c r="BD890" s="1"/>
      <c r="BE890" s="1"/>
      <c r="BF890" s="1"/>
      <c r="BG890" s="1"/>
      <c r="BH890" s="1"/>
    </row>
    <row r="891" spans="1:60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79"/>
      <c r="AO891" s="79"/>
      <c r="AP891" s="79"/>
      <c r="AQ891" s="79"/>
      <c r="AR891" s="79"/>
      <c r="AS891" s="79"/>
      <c r="AT891" s="79"/>
      <c r="AU891" s="79"/>
      <c r="AV891" s="79"/>
      <c r="AW891" s="79"/>
      <c r="AX891" s="79"/>
      <c r="AY891" s="79"/>
      <c r="AZ891" s="79"/>
      <c r="BA891" s="79"/>
      <c r="BB891" s="1"/>
      <c r="BC891" s="1"/>
      <c r="BD891" s="1"/>
      <c r="BE891" s="1"/>
      <c r="BF891" s="1"/>
      <c r="BG891" s="1"/>
      <c r="BH891" s="1"/>
    </row>
    <row r="892" spans="1:60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79"/>
      <c r="AO892" s="79"/>
      <c r="AP892" s="79"/>
      <c r="AQ892" s="79"/>
      <c r="AR892" s="79"/>
      <c r="AS892" s="79"/>
      <c r="AT892" s="79"/>
      <c r="AU892" s="79"/>
      <c r="AV892" s="79"/>
      <c r="AW892" s="79"/>
      <c r="AX892" s="79"/>
      <c r="AY892" s="79"/>
      <c r="AZ892" s="79"/>
      <c r="BA892" s="79"/>
      <c r="BB892" s="1"/>
      <c r="BC892" s="1"/>
      <c r="BD892" s="1"/>
      <c r="BE892" s="1"/>
      <c r="BF892" s="1"/>
      <c r="BG892" s="1"/>
      <c r="BH892" s="1"/>
    </row>
    <row r="893" spans="1:60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79"/>
      <c r="AO893" s="79"/>
      <c r="AP893" s="79"/>
      <c r="AQ893" s="79"/>
      <c r="AR893" s="79"/>
      <c r="AS893" s="79"/>
      <c r="AT893" s="79"/>
      <c r="AU893" s="79"/>
      <c r="AV893" s="79"/>
      <c r="AW893" s="79"/>
      <c r="AX893" s="79"/>
      <c r="AY893" s="79"/>
      <c r="AZ893" s="79"/>
      <c r="BA893" s="79"/>
      <c r="BB893" s="1"/>
      <c r="BC893" s="1"/>
      <c r="BD893" s="1"/>
      <c r="BE893" s="1"/>
      <c r="BF893" s="1"/>
      <c r="BG893" s="1"/>
      <c r="BH893" s="1"/>
    </row>
    <row r="894" spans="1:60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79"/>
      <c r="AO894" s="79"/>
      <c r="AP894" s="79"/>
      <c r="AQ894" s="79"/>
      <c r="AR894" s="79"/>
      <c r="AS894" s="79"/>
      <c r="AT894" s="79"/>
      <c r="AU894" s="79"/>
      <c r="AV894" s="79"/>
      <c r="AW894" s="79"/>
      <c r="AX894" s="79"/>
      <c r="AY894" s="79"/>
      <c r="AZ894" s="79"/>
      <c r="BA894" s="79"/>
      <c r="BB894" s="1"/>
      <c r="BC894" s="1"/>
      <c r="BD894" s="1"/>
      <c r="BE894" s="1"/>
      <c r="BF894" s="1"/>
      <c r="BG894" s="1"/>
      <c r="BH894" s="1"/>
    </row>
    <row r="895" spans="1:60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79"/>
      <c r="AO895" s="79"/>
      <c r="AP895" s="79"/>
      <c r="AQ895" s="79"/>
      <c r="AR895" s="79"/>
      <c r="AS895" s="79"/>
      <c r="AT895" s="79"/>
      <c r="AU895" s="79"/>
      <c r="AV895" s="79"/>
      <c r="AW895" s="79"/>
      <c r="AX895" s="79"/>
      <c r="AY895" s="79"/>
      <c r="AZ895" s="79"/>
      <c r="BA895" s="79"/>
      <c r="BB895" s="1"/>
      <c r="BC895" s="1"/>
      <c r="BD895" s="1"/>
      <c r="BE895" s="1"/>
      <c r="BF895" s="1"/>
      <c r="BG895" s="1"/>
      <c r="BH895" s="1"/>
    </row>
    <row r="896" spans="1:60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79"/>
      <c r="AO896" s="79"/>
      <c r="AP896" s="79"/>
      <c r="AQ896" s="79"/>
      <c r="AR896" s="79"/>
      <c r="AS896" s="79"/>
      <c r="AT896" s="79"/>
      <c r="AU896" s="79"/>
      <c r="AV896" s="79"/>
      <c r="AW896" s="79"/>
      <c r="AX896" s="79"/>
      <c r="AY896" s="79"/>
      <c r="AZ896" s="79"/>
      <c r="BA896" s="79"/>
      <c r="BB896" s="1"/>
      <c r="BC896" s="1"/>
      <c r="BD896" s="1"/>
      <c r="BE896" s="1"/>
      <c r="BF896" s="1"/>
      <c r="BG896" s="1"/>
      <c r="BH896" s="1"/>
    </row>
    <row r="897" spans="1:60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79"/>
      <c r="AO897" s="79"/>
      <c r="AP897" s="79"/>
      <c r="AQ897" s="79"/>
      <c r="AR897" s="79"/>
      <c r="AS897" s="79"/>
      <c r="AT897" s="79"/>
      <c r="AU897" s="79"/>
      <c r="AV897" s="79"/>
      <c r="AW897" s="79"/>
      <c r="AX897" s="79"/>
      <c r="AY897" s="79"/>
      <c r="AZ897" s="79"/>
      <c r="BA897" s="79"/>
      <c r="BB897" s="1"/>
      <c r="BC897" s="1"/>
      <c r="BD897" s="1"/>
      <c r="BE897" s="1"/>
      <c r="BF897" s="1"/>
      <c r="BG897" s="1"/>
      <c r="BH897" s="1"/>
    </row>
    <row r="898" spans="1:60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79"/>
      <c r="AO898" s="79"/>
      <c r="AP898" s="79"/>
      <c r="AQ898" s="79"/>
      <c r="AR898" s="79"/>
      <c r="AS898" s="79"/>
      <c r="AT898" s="79"/>
      <c r="AU898" s="79"/>
      <c r="AV898" s="79"/>
      <c r="AW898" s="79"/>
      <c r="AX898" s="79"/>
      <c r="AY898" s="79"/>
      <c r="AZ898" s="79"/>
      <c r="BA898" s="79"/>
      <c r="BB898" s="1"/>
      <c r="BC898" s="1"/>
      <c r="BD898" s="1"/>
      <c r="BE898" s="1"/>
      <c r="BF898" s="1"/>
      <c r="BG898" s="1"/>
      <c r="BH898" s="1"/>
    </row>
    <row r="899" spans="1:60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79"/>
      <c r="AO899" s="79"/>
      <c r="AP899" s="79"/>
      <c r="AQ899" s="79"/>
      <c r="AR899" s="79"/>
      <c r="AS899" s="79"/>
      <c r="AT899" s="79"/>
      <c r="AU899" s="79"/>
      <c r="AV899" s="79"/>
      <c r="AW899" s="79"/>
      <c r="AX899" s="79"/>
      <c r="AY899" s="79"/>
      <c r="AZ899" s="79"/>
      <c r="BA899" s="79"/>
      <c r="BB899" s="1"/>
      <c r="BC899" s="1"/>
      <c r="BD899" s="1"/>
      <c r="BE899" s="1"/>
      <c r="BF899" s="1"/>
      <c r="BG899" s="1"/>
      <c r="BH899" s="1"/>
    </row>
    <row r="900" spans="1:60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79"/>
      <c r="AO900" s="79"/>
      <c r="AP900" s="79"/>
      <c r="AQ900" s="79"/>
      <c r="AR900" s="79"/>
      <c r="AS900" s="79"/>
      <c r="AT900" s="79"/>
      <c r="AU900" s="79"/>
      <c r="AV900" s="79"/>
      <c r="AW900" s="79"/>
      <c r="AX900" s="79"/>
      <c r="AY900" s="79"/>
      <c r="AZ900" s="79"/>
      <c r="BA900" s="79"/>
      <c r="BB900" s="1"/>
      <c r="BC900" s="1"/>
      <c r="BD900" s="1"/>
      <c r="BE900" s="1"/>
      <c r="BF900" s="1"/>
      <c r="BG900" s="1"/>
      <c r="BH900" s="1"/>
    </row>
    <row r="901" spans="1:60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79"/>
      <c r="AO901" s="79"/>
      <c r="AP901" s="79"/>
      <c r="AQ901" s="79"/>
      <c r="AR901" s="79"/>
      <c r="AS901" s="79"/>
      <c r="AT901" s="79"/>
      <c r="AU901" s="79"/>
      <c r="AV901" s="79"/>
      <c r="AW901" s="79"/>
      <c r="AX901" s="79"/>
      <c r="AY901" s="79"/>
      <c r="AZ901" s="79"/>
      <c r="BA901" s="79"/>
      <c r="BB901" s="1"/>
      <c r="BC901" s="1"/>
      <c r="BD901" s="1"/>
      <c r="BE901" s="1"/>
      <c r="BF901" s="1"/>
      <c r="BG901" s="1"/>
      <c r="BH901" s="1"/>
    </row>
    <row r="902" spans="1:60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79"/>
      <c r="AO902" s="79"/>
      <c r="AP902" s="79"/>
      <c r="AQ902" s="79"/>
      <c r="AR902" s="79"/>
      <c r="AS902" s="79"/>
      <c r="AT902" s="79"/>
      <c r="AU902" s="79"/>
      <c r="AV902" s="79"/>
      <c r="AW902" s="79"/>
      <c r="AX902" s="79"/>
      <c r="AY902" s="79"/>
      <c r="AZ902" s="79"/>
      <c r="BA902" s="79"/>
      <c r="BB902" s="1"/>
      <c r="BC902" s="1"/>
      <c r="BD902" s="1"/>
      <c r="BE902" s="1"/>
      <c r="BF902" s="1"/>
      <c r="BG902" s="1"/>
      <c r="BH902" s="1"/>
    </row>
    <row r="903" spans="1:60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79"/>
      <c r="AO903" s="79"/>
      <c r="AP903" s="79"/>
      <c r="AQ903" s="79"/>
      <c r="AR903" s="79"/>
      <c r="AS903" s="79"/>
      <c r="AT903" s="79"/>
      <c r="AU903" s="79"/>
      <c r="AV903" s="79"/>
      <c r="AW903" s="79"/>
      <c r="AX903" s="79"/>
      <c r="AY903" s="79"/>
      <c r="AZ903" s="79"/>
      <c r="BA903" s="79"/>
      <c r="BB903" s="1"/>
      <c r="BC903" s="1"/>
      <c r="BD903" s="1"/>
      <c r="BE903" s="1"/>
      <c r="BF903" s="1"/>
      <c r="BG903" s="1"/>
      <c r="BH903" s="1"/>
    </row>
    <row r="904" spans="1:60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79"/>
      <c r="AO904" s="79"/>
      <c r="AP904" s="79"/>
      <c r="AQ904" s="79"/>
      <c r="AR904" s="79"/>
      <c r="AS904" s="79"/>
      <c r="AT904" s="79"/>
      <c r="AU904" s="79"/>
      <c r="AV904" s="79"/>
      <c r="AW904" s="79"/>
      <c r="AX904" s="79"/>
      <c r="AY904" s="79"/>
      <c r="AZ904" s="79"/>
      <c r="BA904" s="79"/>
      <c r="BB904" s="1"/>
      <c r="BC904" s="1"/>
      <c r="BD904" s="1"/>
      <c r="BE904" s="1"/>
      <c r="BF904" s="1"/>
      <c r="BG904" s="1"/>
      <c r="BH904" s="1"/>
    </row>
    <row r="905" spans="1:60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79"/>
      <c r="AO905" s="79"/>
      <c r="AP905" s="79"/>
      <c r="AQ905" s="79"/>
      <c r="AR905" s="79"/>
      <c r="AS905" s="79"/>
      <c r="AT905" s="79"/>
      <c r="AU905" s="79"/>
      <c r="AV905" s="79"/>
      <c r="AW905" s="79"/>
      <c r="AX905" s="79"/>
      <c r="AY905" s="79"/>
      <c r="AZ905" s="79"/>
      <c r="BA905" s="79"/>
      <c r="BB905" s="1"/>
      <c r="BC905" s="1"/>
      <c r="BD905" s="1"/>
      <c r="BE905" s="1"/>
      <c r="BF905" s="1"/>
      <c r="BG905" s="1"/>
      <c r="BH905" s="1"/>
    </row>
    <row r="906" spans="1:60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79"/>
      <c r="AO906" s="79"/>
      <c r="AP906" s="79"/>
      <c r="AQ906" s="79"/>
      <c r="AR906" s="79"/>
      <c r="AS906" s="79"/>
      <c r="AT906" s="79"/>
      <c r="AU906" s="79"/>
      <c r="AV906" s="79"/>
      <c r="AW906" s="79"/>
      <c r="AX906" s="79"/>
      <c r="AY906" s="79"/>
      <c r="AZ906" s="79"/>
      <c r="BA906" s="79"/>
      <c r="BB906" s="1"/>
      <c r="BC906" s="1"/>
      <c r="BD906" s="1"/>
      <c r="BE906" s="1"/>
      <c r="BF906" s="1"/>
      <c r="BG906" s="1"/>
      <c r="BH906" s="1"/>
    </row>
    <row r="907" spans="1:60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79"/>
      <c r="AO907" s="79"/>
      <c r="AP907" s="79"/>
      <c r="AQ907" s="79"/>
      <c r="AR907" s="79"/>
      <c r="AS907" s="79"/>
      <c r="AT907" s="79"/>
      <c r="AU907" s="79"/>
      <c r="AV907" s="79"/>
      <c r="AW907" s="79"/>
      <c r="AX907" s="79"/>
      <c r="AY907" s="79"/>
      <c r="AZ907" s="79"/>
      <c r="BA907" s="79"/>
      <c r="BB907" s="1"/>
      <c r="BC907" s="1"/>
      <c r="BD907" s="1"/>
      <c r="BE907" s="1"/>
      <c r="BF907" s="1"/>
      <c r="BG907" s="1"/>
      <c r="BH907" s="1"/>
    </row>
    <row r="908" spans="1:60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79"/>
      <c r="AO908" s="79"/>
      <c r="AP908" s="79"/>
      <c r="AQ908" s="79"/>
      <c r="AR908" s="79"/>
      <c r="AS908" s="79"/>
      <c r="AT908" s="79"/>
      <c r="AU908" s="79"/>
      <c r="AV908" s="79"/>
      <c r="AW908" s="79"/>
      <c r="AX908" s="79"/>
      <c r="AY908" s="79"/>
      <c r="AZ908" s="79"/>
      <c r="BA908" s="79"/>
      <c r="BB908" s="1"/>
      <c r="BC908" s="1"/>
      <c r="BD908" s="1"/>
      <c r="BE908" s="1"/>
      <c r="BF908" s="1"/>
      <c r="BG908" s="1"/>
      <c r="BH908" s="1"/>
    </row>
    <row r="909" spans="1:60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79"/>
      <c r="AO909" s="79"/>
      <c r="AP909" s="79"/>
      <c r="AQ909" s="79"/>
      <c r="AR909" s="79"/>
      <c r="AS909" s="79"/>
      <c r="AT909" s="79"/>
      <c r="AU909" s="79"/>
      <c r="AV909" s="79"/>
      <c r="AW909" s="79"/>
      <c r="AX909" s="79"/>
      <c r="AY909" s="79"/>
      <c r="AZ909" s="79"/>
      <c r="BA909" s="79"/>
      <c r="BB909" s="1"/>
      <c r="BC909" s="1"/>
      <c r="BD909" s="1"/>
      <c r="BE909" s="1"/>
      <c r="BF909" s="1"/>
      <c r="BG909" s="1"/>
      <c r="BH909" s="1"/>
    </row>
    <row r="910" spans="1:60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79"/>
      <c r="AO910" s="79"/>
      <c r="AP910" s="79"/>
      <c r="AQ910" s="79"/>
      <c r="AR910" s="79"/>
      <c r="AS910" s="79"/>
      <c r="AT910" s="79"/>
      <c r="AU910" s="79"/>
      <c r="AV910" s="79"/>
      <c r="AW910" s="79"/>
      <c r="AX910" s="79"/>
      <c r="AY910" s="79"/>
      <c r="AZ910" s="79"/>
      <c r="BA910" s="79"/>
      <c r="BB910" s="1"/>
      <c r="BC910" s="1"/>
      <c r="BD910" s="1"/>
      <c r="BE910" s="1"/>
      <c r="BF910" s="1"/>
      <c r="BG910" s="1"/>
      <c r="BH910" s="1"/>
    </row>
    <row r="911" spans="1:60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79"/>
      <c r="AO911" s="79"/>
      <c r="AP911" s="79"/>
      <c r="AQ911" s="79"/>
      <c r="AR911" s="79"/>
      <c r="AS911" s="79"/>
      <c r="AT911" s="79"/>
      <c r="AU911" s="79"/>
      <c r="AV911" s="79"/>
      <c r="AW911" s="79"/>
      <c r="AX911" s="79"/>
      <c r="AY911" s="79"/>
      <c r="AZ911" s="79"/>
      <c r="BA911" s="79"/>
      <c r="BB911" s="1"/>
      <c r="BC911" s="1"/>
      <c r="BD911" s="1"/>
      <c r="BE911" s="1"/>
      <c r="BF911" s="1"/>
      <c r="BG911" s="1"/>
      <c r="BH911" s="1"/>
    </row>
    <row r="912" spans="1:60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79"/>
      <c r="AO912" s="79"/>
      <c r="AP912" s="79"/>
      <c r="AQ912" s="79"/>
      <c r="AR912" s="79"/>
      <c r="AS912" s="79"/>
      <c r="AT912" s="79"/>
      <c r="AU912" s="79"/>
      <c r="AV912" s="79"/>
      <c r="AW912" s="79"/>
      <c r="AX912" s="79"/>
      <c r="AY912" s="79"/>
      <c r="AZ912" s="79"/>
      <c r="BA912" s="79"/>
      <c r="BB912" s="1"/>
      <c r="BC912" s="1"/>
      <c r="BD912" s="1"/>
      <c r="BE912" s="1"/>
      <c r="BF912" s="1"/>
      <c r="BG912" s="1"/>
      <c r="BH912" s="1"/>
    </row>
    <row r="913" spans="1:60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79"/>
      <c r="AO913" s="79"/>
      <c r="AP913" s="79"/>
      <c r="AQ913" s="79"/>
      <c r="AR913" s="79"/>
      <c r="AS913" s="79"/>
      <c r="AT913" s="79"/>
      <c r="AU913" s="79"/>
      <c r="AV913" s="79"/>
      <c r="AW913" s="79"/>
      <c r="AX913" s="79"/>
      <c r="AY913" s="79"/>
      <c r="AZ913" s="79"/>
      <c r="BA913" s="79"/>
      <c r="BB913" s="1"/>
      <c r="BC913" s="1"/>
      <c r="BD913" s="1"/>
      <c r="BE913" s="1"/>
      <c r="BF913" s="1"/>
      <c r="BG913" s="1"/>
      <c r="BH913" s="1"/>
    </row>
    <row r="914" spans="1:60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79"/>
      <c r="AO914" s="79"/>
      <c r="AP914" s="79"/>
      <c r="AQ914" s="79"/>
      <c r="AR914" s="79"/>
      <c r="AS914" s="79"/>
      <c r="AT914" s="79"/>
      <c r="AU914" s="79"/>
      <c r="AV914" s="79"/>
      <c r="AW914" s="79"/>
      <c r="AX914" s="79"/>
      <c r="AY914" s="79"/>
      <c r="AZ914" s="79"/>
      <c r="BA914" s="79"/>
      <c r="BB914" s="1"/>
      <c r="BC914" s="1"/>
      <c r="BD914" s="1"/>
      <c r="BE914" s="1"/>
      <c r="BF914" s="1"/>
      <c r="BG914" s="1"/>
      <c r="BH914" s="1"/>
    </row>
    <row r="915" spans="1:60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79"/>
      <c r="AO915" s="79"/>
      <c r="AP915" s="79"/>
      <c r="AQ915" s="79"/>
      <c r="AR915" s="79"/>
      <c r="AS915" s="79"/>
      <c r="AT915" s="79"/>
      <c r="AU915" s="79"/>
      <c r="AV915" s="79"/>
      <c r="AW915" s="79"/>
      <c r="AX915" s="79"/>
      <c r="AY915" s="79"/>
      <c r="AZ915" s="79"/>
      <c r="BA915" s="79"/>
      <c r="BB915" s="1"/>
      <c r="BC915" s="1"/>
      <c r="BD915" s="1"/>
      <c r="BE915" s="1"/>
      <c r="BF915" s="1"/>
      <c r="BG915" s="1"/>
      <c r="BH915" s="1"/>
    </row>
    <row r="916" spans="1:60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79"/>
      <c r="AO916" s="79"/>
      <c r="AP916" s="79"/>
      <c r="AQ916" s="79"/>
      <c r="AR916" s="79"/>
      <c r="AS916" s="79"/>
      <c r="AT916" s="79"/>
      <c r="AU916" s="79"/>
      <c r="AV916" s="79"/>
      <c r="AW916" s="79"/>
      <c r="AX916" s="79"/>
      <c r="AY916" s="79"/>
      <c r="AZ916" s="79"/>
      <c r="BA916" s="79"/>
      <c r="BB916" s="1"/>
      <c r="BC916" s="1"/>
      <c r="BD916" s="1"/>
      <c r="BE916" s="1"/>
      <c r="BF916" s="1"/>
      <c r="BG916" s="1"/>
      <c r="BH916" s="1"/>
    </row>
    <row r="917" spans="1:60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79"/>
      <c r="AO917" s="79"/>
      <c r="AP917" s="79"/>
      <c r="AQ917" s="79"/>
      <c r="AR917" s="79"/>
      <c r="AS917" s="79"/>
      <c r="AT917" s="79"/>
      <c r="AU917" s="79"/>
      <c r="AV917" s="79"/>
      <c r="AW917" s="79"/>
      <c r="AX917" s="79"/>
      <c r="AY917" s="79"/>
      <c r="AZ917" s="79"/>
      <c r="BA917" s="79"/>
      <c r="BB917" s="1"/>
      <c r="BC917" s="1"/>
      <c r="BD917" s="1"/>
      <c r="BE917" s="1"/>
      <c r="BF917" s="1"/>
      <c r="BG917" s="1"/>
      <c r="BH917" s="1"/>
    </row>
    <row r="918" spans="1:60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79"/>
      <c r="AO918" s="79"/>
      <c r="AP918" s="79"/>
      <c r="AQ918" s="79"/>
      <c r="AR918" s="79"/>
      <c r="AS918" s="79"/>
      <c r="AT918" s="79"/>
      <c r="AU918" s="79"/>
      <c r="AV918" s="79"/>
      <c r="AW918" s="79"/>
      <c r="AX918" s="79"/>
      <c r="AY918" s="79"/>
      <c r="AZ918" s="79"/>
      <c r="BA918" s="79"/>
      <c r="BB918" s="1"/>
      <c r="BC918" s="1"/>
      <c r="BD918" s="1"/>
      <c r="BE918" s="1"/>
      <c r="BF918" s="1"/>
      <c r="BG918" s="1"/>
      <c r="BH918" s="1"/>
    </row>
    <row r="919" spans="1:60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79"/>
      <c r="AO919" s="79"/>
      <c r="AP919" s="79"/>
      <c r="AQ919" s="79"/>
      <c r="AR919" s="79"/>
      <c r="AS919" s="79"/>
      <c r="AT919" s="79"/>
      <c r="AU919" s="79"/>
      <c r="AV919" s="79"/>
      <c r="AW919" s="79"/>
      <c r="AX919" s="79"/>
      <c r="AY919" s="79"/>
      <c r="AZ919" s="79"/>
      <c r="BA919" s="79"/>
      <c r="BB919" s="1"/>
      <c r="BC919" s="1"/>
      <c r="BD919" s="1"/>
      <c r="BE919" s="1"/>
      <c r="BF919" s="1"/>
      <c r="BG919" s="1"/>
      <c r="BH919" s="1"/>
    </row>
    <row r="920" spans="1:60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79"/>
      <c r="AO920" s="79"/>
      <c r="AP920" s="79"/>
      <c r="AQ920" s="79"/>
      <c r="AR920" s="79"/>
      <c r="AS920" s="79"/>
      <c r="AT920" s="79"/>
      <c r="AU920" s="79"/>
      <c r="AV920" s="79"/>
      <c r="AW920" s="79"/>
      <c r="AX920" s="79"/>
      <c r="AY920" s="79"/>
      <c r="AZ920" s="79"/>
      <c r="BA920" s="79"/>
      <c r="BB920" s="1"/>
      <c r="BC920" s="1"/>
      <c r="BD920" s="1"/>
      <c r="BE920" s="1"/>
      <c r="BF920" s="1"/>
      <c r="BG920" s="1"/>
      <c r="BH920" s="1"/>
    </row>
    <row r="921" spans="1:60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79"/>
      <c r="AO921" s="79"/>
      <c r="AP921" s="79"/>
      <c r="AQ921" s="79"/>
      <c r="AR921" s="79"/>
      <c r="AS921" s="79"/>
      <c r="AT921" s="79"/>
      <c r="AU921" s="79"/>
      <c r="AV921" s="79"/>
      <c r="AW921" s="79"/>
      <c r="AX921" s="79"/>
      <c r="AY921" s="79"/>
      <c r="AZ921" s="79"/>
      <c r="BA921" s="79"/>
      <c r="BB921" s="1"/>
      <c r="BC921" s="1"/>
      <c r="BD921" s="1"/>
      <c r="BE921" s="1"/>
      <c r="BF921" s="1"/>
      <c r="BG921" s="1"/>
      <c r="BH921" s="1"/>
    </row>
    <row r="922" spans="1:60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79"/>
      <c r="AO922" s="79"/>
      <c r="AP922" s="79"/>
      <c r="AQ922" s="79"/>
      <c r="AR922" s="79"/>
      <c r="AS922" s="79"/>
      <c r="AT922" s="79"/>
      <c r="AU922" s="79"/>
      <c r="AV922" s="79"/>
      <c r="AW922" s="79"/>
      <c r="AX922" s="79"/>
      <c r="AY922" s="79"/>
      <c r="AZ922" s="79"/>
      <c r="BA922" s="79"/>
      <c r="BB922" s="1"/>
      <c r="BC922" s="1"/>
      <c r="BD922" s="1"/>
      <c r="BE922" s="1"/>
      <c r="BF922" s="1"/>
      <c r="BG922" s="1"/>
      <c r="BH922" s="1"/>
    </row>
    <row r="923" spans="1:60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79"/>
      <c r="AO923" s="79"/>
      <c r="AP923" s="79"/>
      <c r="AQ923" s="79"/>
      <c r="AR923" s="79"/>
      <c r="AS923" s="79"/>
      <c r="AT923" s="79"/>
      <c r="AU923" s="79"/>
      <c r="AV923" s="79"/>
      <c r="AW923" s="79"/>
      <c r="AX923" s="79"/>
      <c r="AY923" s="79"/>
      <c r="AZ923" s="79"/>
      <c r="BA923" s="79"/>
      <c r="BB923" s="1"/>
      <c r="BC923" s="1"/>
      <c r="BD923" s="1"/>
      <c r="BE923" s="1"/>
      <c r="BF923" s="1"/>
      <c r="BG923" s="1"/>
      <c r="BH923" s="1"/>
    </row>
    <row r="924" spans="1:60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79"/>
      <c r="AO924" s="79"/>
      <c r="AP924" s="79"/>
      <c r="AQ924" s="79"/>
      <c r="AR924" s="79"/>
      <c r="AS924" s="79"/>
      <c r="AT924" s="79"/>
      <c r="AU924" s="79"/>
      <c r="AV924" s="79"/>
      <c r="AW924" s="79"/>
      <c r="AX924" s="79"/>
      <c r="AY924" s="79"/>
      <c r="AZ924" s="79"/>
      <c r="BA924" s="79"/>
      <c r="BB924" s="1"/>
      <c r="BC924" s="1"/>
      <c r="BD924" s="1"/>
      <c r="BE924" s="1"/>
      <c r="BF924" s="1"/>
      <c r="BG924" s="1"/>
      <c r="BH924" s="1"/>
    </row>
    <row r="925" spans="1:60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79"/>
      <c r="AO925" s="79"/>
      <c r="AP925" s="79"/>
      <c r="AQ925" s="79"/>
      <c r="AR925" s="79"/>
      <c r="AS925" s="79"/>
      <c r="AT925" s="79"/>
      <c r="AU925" s="79"/>
      <c r="AV925" s="79"/>
      <c r="AW925" s="79"/>
      <c r="AX925" s="79"/>
      <c r="AY925" s="79"/>
      <c r="AZ925" s="79"/>
      <c r="BA925" s="79"/>
      <c r="BB925" s="1"/>
      <c r="BC925" s="1"/>
      <c r="BD925" s="1"/>
      <c r="BE925" s="1"/>
      <c r="BF925" s="1"/>
      <c r="BG925" s="1"/>
      <c r="BH925" s="1"/>
    </row>
    <row r="926" spans="1:60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79"/>
      <c r="AO926" s="79"/>
      <c r="AP926" s="79"/>
      <c r="AQ926" s="79"/>
      <c r="AR926" s="79"/>
      <c r="AS926" s="79"/>
      <c r="AT926" s="79"/>
      <c r="AU926" s="79"/>
      <c r="AV926" s="79"/>
      <c r="AW926" s="79"/>
      <c r="AX926" s="79"/>
      <c r="AY926" s="79"/>
      <c r="AZ926" s="79"/>
      <c r="BA926" s="79"/>
      <c r="BB926" s="1"/>
      <c r="BC926" s="1"/>
      <c r="BD926" s="1"/>
      <c r="BE926" s="1"/>
      <c r="BF926" s="1"/>
      <c r="BG926" s="1"/>
      <c r="BH926" s="1"/>
    </row>
    <row r="927" spans="1:60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79"/>
      <c r="AO927" s="79"/>
      <c r="AP927" s="79"/>
      <c r="AQ927" s="79"/>
      <c r="AR927" s="79"/>
      <c r="AS927" s="79"/>
      <c r="AT927" s="79"/>
      <c r="AU927" s="79"/>
      <c r="AV927" s="79"/>
      <c r="AW927" s="79"/>
      <c r="AX927" s="79"/>
      <c r="AY927" s="79"/>
      <c r="AZ927" s="79"/>
      <c r="BA927" s="79"/>
      <c r="BB927" s="1"/>
      <c r="BC927" s="1"/>
      <c r="BD927" s="1"/>
      <c r="BE927" s="1"/>
      <c r="BF927" s="1"/>
      <c r="BG927" s="1"/>
      <c r="BH927" s="1"/>
    </row>
    <row r="928" spans="1:60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79"/>
      <c r="AO928" s="79"/>
      <c r="AP928" s="79"/>
      <c r="AQ928" s="79"/>
      <c r="AR928" s="79"/>
      <c r="AS928" s="79"/>
      <c r="AT928" s="79"/>
      <c r="AU928" s="79"/>
      <c r="AV928" s="79"/>
      <c r="AW928" s="79"/>
      <c r="AX928" s="79"/>
      <c r="AY928" s="79"/>
      <c r="AZ928" s="79"/>
      <c r="BA928" s="79"/>
      <c r="BB928" s="1"/>
      <c r="BC928" s="1"/>
      <c r="BD928" s="1"/>
      <c r="BE928" s="1"/>
      <c r="BF928" s="1"/>
      <c r="BG928" s="1"/>
      <c r="BH928" s="1"/>
    </row>
    <row r="929" spans="1:60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79"/>
      <c r="AO929" s="79"/>
      <c r="AP929" s="79"/>
      <c r="AQ929" s="79"/>
      <c r="AR929" s="79"/>
      <c r="AS929" s="79"/>
      <c r="AT929" s="79"/>
      <c r="AU929" s="79"/>
      <c r="AV929" s="79"/>
      <c r="AW929" s="79"/>
      <c r="AX929" s="79"/>
      <c r="AY929" s="79"/>
      <c r="AZ929" s="79"/>
      <c r="BA929" s="79"/>
      <c r="BB929" s="1"/>
      <c r="BC929" s="1"/>
      <c r="BD929" s="1"/>
      <c r="BE929" s="1"/>
      <c r="BF929" s="1"/>
      <c r="BG929" s="1"/>
      <c r="BH929" s="1"/>
    </row>
    <row r="930" spans="1:60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79"/>
      <c r="AO930" s="79"/>
      <c r="AP930" s="79"/>
      <c r="AQ930" s="79"/>
      <c r="AR930" s="79"/>
      <c r="AS930" s="79"/>
      <c r="AT930" s="79"/>
      <c r="AU930" s="79"/>
      <c r="AV930" s="79"/>
      <c r="AW930" s="79"/>
      <c r="AX930" s="79"/>
      <c r="AY930" s="79"/>
      <c r="AZ930" s="79"/>
      <c r="BA930" s="79"/>
      <c r="BB930" s="1"/>
      <c r="BC930" s="1"/>
      <c r="BD930" s="1"/>
      <c r="BE930" s="1"/>
      <c r="BF930" s="1"/>
      <c r="BG930" s="1"/>
      <c r="BH930" s="1"/>
    </row>
    <row r="931" spans="1:60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79"/>
      <c r="AO931" s="79"/>
      <c r="AP931" s="79"/>
      <c r="AQ931" s="79"/>
      <c r="AR931" s="79"/>
      <c r="AS931" s="79"/>
      <c r="AT931" s="79"/>
      <c r="AU931" s="79"/>
      <c r="AV931" s="79"/>
      <c r="AW931" s="79"/>
      <c r="AX931" s="79"/>
      <c r="AY931" s="79"/>
      <c r="AZ931" s="79"/>
      <c r="BA931" s="79"/>
      <c r="BB931" s="1"/>
      <c r="BC931" s="1"/>
      <c r="BD931" s="1"/>
      <c r="BE931" s="1"/>
      <c r="BF931" s="1"/>
      <c r="BG931" s="1"/>
      <c r="BH931" s="1"/>
    </row>
    <row r="932" spans="1:60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79"/>
      <c r="AO932" s="79"/>
      <c r="AP932" s="79"/>
      <c r="AQ932" s="79"/>
      <c r="AR932" s="79"/>
      <c r="AS932" s="79"/>
      <c r="AT932" s="79"/>
      <c r="AU932" s="79"/>
      <c r="AV932" s="79"/>
      <c r="AW932" s="79"/>
      <c r="AX932" s="79"/>
      <c r="AY932" s="79"/>
      <c r="AZ932" s="79"/>
      <c r="BA932" s="79"/>
      <c r="BB932" s="1"/>
      <c r="BC932" s="1"/>
      <c r="BD932" s="1"/>
      <c r="BE932" s="1"/>
      <c r="BF932" s="1"/>
      <c r="BG932" s="1"/>
      <c r="BH932" s="1"/>
    </row>
    <row r="933" spans="1:60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79"/>
      <c r="AO933" s="79"/>
      <c r="AP933" s="79"/>
      <c r="AQ933" s="79"/>
      <c r="AR933" s="79"/>
      <c r="AS933" s="79"/>
      <c r="AT933" s="79"/>
      <c r="AU933" s="79"/>
      <c r="AV933" s="79"/>
      <c r="AW933" s="79"/>
      <c r="AX933" s="79"/>
      <c r="AY933" s="79"/>
      <c r="AZ933" s="79"/>
      <c r="BA933" s="79"/>
      <c r="BB933" s="1"/>
      <c r="BC933" s="1"/>
      <c r="BD933" s="1"/>
      <c r="BE933" s="1"/>
      <c r="BF933" s="1"/>
      <c r="BG933" s="1"/>
      <c r="BH933" s="1"/>
    </row>
    <row r="934" spans="1:60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79"/>
      <c r="AO934" s="79"/>
      <c r="AP934" s="79"/>
      <c r="AQ934" s="79"/>
      <c r="AR934" s="79"/>
      <c r="AS934" s="79"/>
      <c r="AT934" s="79"/>
      <c r="AU934" s="79"/>
      <c r="AV934" s="79"/>
      <c r="AW934" s="79"/>
      <c r="AX934" s="79"/>
      <c r="AY934" s="79"/>
      <c r="AZ934" s="79"/>
      <c r="BA934" s="79"/>
      <c r="BB934" s="1"/>
      <c r="BC934" s="1"/>
      <c r="BD934" s="1"/>
      <c r="BE934" s="1"/>
      <c r="BF934" s="1"/>
      <c r="BG934" s="1"/>
      <c r="BH934" s="1"/>
    </row>
    <row r="935" spans="1:60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79"/>
      <c r="AO935" s="79"/>
      <c r="AP935" s="79"/>
      <c r="AQ935" s="79"/>
      <c r="AR935" s="79"/>
      <c r="AS935" s="79"/>
      <c r="AT935" s="79"/>
      <c r="AU935" s="79"/>
      <c r="AV935" s="79"/>
      <c r="AW935" s="79"/>
      <c r="AX935" s="79"/>
      <c r="AY935" s="79"/>
      <c r="AZ935" s="79"/>
      <c r="BA935" s="79"/>
      <c r="BB935" s="1"/>
      <c r="BC935" s="1"/>
      <c r="BD935" s="1"/>
      <c r="BE935" s="1"/>
      <c r="BF935" s="1"/>
      <c r="BG935" s="1"/>
      <c r="BH935" s="1"/>
    </row>
    <row r="936" spans="1:60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79"/>
      <c r="AO936" s="79"/>
      <c r="AP936" s="79"/>
      <c r="AQ936" s="79"/>
      <c r="AR936" s="79"/>
      <c r="AS936" s="79"/>
      <c r="AT936" s="79"/>
      <c r="AU936" s="79"/>
      <c r="AV936" s="79"/>
      <c r="AW936" s="79"/>
      <c r="AX936" s="79"/>
      <c r="AY936" s="79"/>
      <c r="AZ936" s="79"/>
      <c r="BA936" s="79"/>
      <c r="BB936" s="1"/>
      <c r="BC936" s="1"/>
      <c r="BD936" s="1"/>
      <c r="BE936" s="1"/>
      <c r="BF936" s="1"/>
      <c r="BG936" s="1"/>
      <c r="BH936" s="1"/>
    </row>
    <row r="937" spans="1:60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79"/>
      <c r="AO937" s="79"/>
      <c r="AP937" s="79"/>
      <c r="AQ937" s="79"/>
      <c r="AR937" s="79"/>
      <c r="AS937" s="79"/>
      <c r="AT937" s="79"/>
      <c r="AU937" s="79"/>
      <c r="AV937" s="79"/>
      <c r="AW937" s="79"/>
      <c r="AX937" s="79"/>
      <c r="AY937" s="79"/>
      <c r="AZ937" s="79"/>
      <c r="BA937" s="79"/>
      <c r="BB937" s="1"/>
      <c r="BC937" s="1"/>
      <c r="BD937" s="1"/>
      <c r="BE937" s="1"/>
      <c r="BF937" s="1"/>
      <c r="BG937" s="1"/>
      <c r="BH937" s="1"/>
    </row>
    <row r="938" spans="1:60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79"/>
      <c r="AO938" s="79"/>
      <c r="AP938" s="79"/>
      <c r="AQ938" s="79"/>
      <c r="AR938" s="79"/>
      <c r="AS938" s="79"/>
      <c r="AT938" s="79"/>
      <c r="AU938" s="79"/>
      <c r="AV938" s="79"/>
      <c r="AW938" s="79"/>
      <c r="AX938" s="79"/>
      <c r="AY938" s="79"/>
      <c r="AZ938" s="79"/>
      <c r="BA938" s="79"/>
      <c r="BB938" s="1"/>
      <c r="BC938" s="1"/>
      <c r="BD938" s="1"/>
      <c r="BE938" s="1"/>
      <c r="BF938" s="1"/>
      <c r="BG938" s="1"/>
      <c r="BH938" s="1"/>
    </row>
    <row r="939" spans="1:60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79"/>
      <c r="AO939" s="79"/>
      <c r="AP939" s="79"/>
      <c r="AQ939" s="79"/>
      <c r="AR939" s="79"/>
      <c r="AS939" s="79"/>
      <c r="AT939" s="79"/>
      <c r="AU939" s="79"/>
      <c r="AV939" s="79"/>
      <c r="AW939" s="79"/>
      <c r="AX939" s="79"/>
      <c r="AY939" s="79"/>
      <c r="AZ939" s="79"/>
      <c r="BA939" s="79"/>
      <c r="BB939" s="1"/>
      <c r="BC939" s="1"/>
      <c r="BD939" s="1"/>
      <c r="BE939" s="1"/>
      <c r="BF939" s="1"/>
      <c r="BG939" s="1"/>
      <c r="BH939" s="1"/>
    </row>
    <row r="940" spans="1:60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79"/>
      <c r="AO940" s="79"/>
      <c r="AP940" s="79"/>
      <c r="AQ940" s="79"/>
      <c r="AR940" s="79"/>
      <c r="AS940" s="79"/>
      <c r="AT940" s="79"/>
      <c r="AU940" s="79"/>
      <c r="AV940" s="79"/>
      <c r="AW940" s="79"/>
      <c r="AX940" s="79"/>
      <c r="AY940" s="79"/>
      <c r="AZ940" s="79"/>
      <c r="BA940" s="79"/>
      <c r="BB940" s="1"/>
      <c r="BC940" s="1"/>
      <c r="BD940" s="1"/>
      <c r="BE940" s="1"/>
      <c r="BF940" s="1"/>
      <c r="BG940" s="1"/>
      <c r="BH940" s="1"/>
    </row>
    <row r="941" spans="1:60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79"/>
      <c r="AO941" s="79"/>
      <c r="AP941" s="79"/>
      <c r="AQ941" s="79"/>
      <c r="AR941" s="79"/>
      <c r="AS941" s="79"/>
      <c r="AT941" s="79"/>
      <c r="AU941" s="79"/>
      <c r="AV941" s="79"/>
      <c r="AW941" s="79"/>
      <c r="AX941" s="79"/>
      <c r="AY941" s="79"/>
      <c r="AZ941" s="79"/>
      <c r="BA941" s="79"/>
      <c r="BB941" s="1"/>
      <c r="BC941" s="1"/>
      <c r="BD941" s="1"/>
      <c r="BE941" s="1"/>
      <c r="BF941" s="1"/>
      <c r="BG941" s="1"/>
      <c r="BH941" s="1"/>
    </row>
    <row r="942" spans="1:60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79"/>
      <c r="AO942" s="79"/>
      <c r="AP942" s="79"/>
      <c r="AQ942" s="79"/>
      <c r="AR942" s="79"/>
      <c r="AS942" s="79"/>
      <c r="AT942" s="79"/>
      <c r="AU942" s="79"/>
      <c r="AV942" s="79"/>
      <c r="AW942" s="79"/>
      <c r="AX942" s="79"/>
      <c r="AY942" s="79"/>
      <c r="AZ942" s="79"/>
      <c r="BA942" s="79"/>
      <c r="BB942" s="1"/>
      <c r="BC942" s="1"/>
      <c r="BD942" s="1"/>
      <c r="BE942" s="1"/>
      <c r="BF942" s="1"/>
      <c r="BG942" s="1"/>
      <c r="BH942" s="1"/>
    </row>
    <row r="943" spans="1:60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79"/>
      <c r="AO943" s="79"/>
      <c r="AP943" s="79"/>
      <c r="AQ943" s="79"/>
      <c r="AR943" s="79"/>
      <c r="AS943" s="79"/>
      <c r="AT943" s="79"/>
      <c r="AU943" s="79"/>
      <c r="AV943" s="79"/>
      <c r="AW943" s="79"/>
      <c r="AX943" s="79"/>
      <c r="AY943" s="79"/>
      <c r="AZ943" s="79"/>
      <c r="BA943" s="79"/>
      <c r="BB943" s="1"/>
      <c r="BC943" s="1"/>
      <c r="BD943" s="1"/>
      <c r="BE943" s="1"/>
      <c r="BF943" s="1"/>
      <c r="BG943" s="1"/>
      <c r="BH943" s="1"/>
    </row>
    <row r="944" spans="1:60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79"/>
      <c r="AO944" s="79"/>
      <c r="AP944" s="79"/>
      <c r="AQ944" s="79"/>
      <c r="AR944" s="79"/>
      <c r="AS944" s="79"/>
      <c r="AT944" s="79"/>
      <c r="AU944" s="79"/>
      <c r="AV944" s="79"/>
      <c r="AW944" s="79"/>
      <c r="AX944" s="79"/>
      <c r="AY944" s="79"/>
      <c r="AZ944" s="79"/>
      <c r="BA944" s="79"/>
      <c r="BB944" s="1"/>
      <c r="BC944" s="1"/>
      <c r="BD944" s="1"/>
      <c r="BE944" s="1"/>
      <c r="BF944" s="1"/>
      <c r="BG944" s="1"/>
      <c r="BH944" s="1"/>
    </row>
    <row r="945" spans="1:60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79"/>
      <c r="AO945" s="79"/>
      <c r="AP945" s="79"/>
      <c r="AQ945" s="79"/>
      <c r="AR945" s="79"/>
      <c r="AS945" s="79"/>
      <c r="AT945" s="79"/>
      <c r="AU945" s="79"/>
      <c r="AV945" s="79"/>
      <c r="AW945" s="79"/>
      <c r="AX945" s="79"/>
      <c r="AY945" s="79"/>
      <c r="AZ945" s="79"/>
      <c r="BA945" s="79"/>
      <c r="BB945" s="1"/>
      <c r="BC945" s="1"/>
      <c r="BD945" s="1"/>
      <c r="BE945" s="1"/>
      <c r="BF945" s="1"/>
      <c r="BG945" s="1"/>
      <c r="BH945" s="1"/>
    </row>
    <row r="946" spans="1:60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79"/>
      <c r="AO946" s="79"/>
      <c r="AP946" s="79"/>
      <c r="AQ946" s="79"/>
      <c r="AR946" s="79"/>
      <c r="AS946" s="79"/>
      <c r="AT946" s="79"/>
      <c r="AU946" s="79"/>
      <c r="AV946" s="79"/>
      <c r="AW946" s="79"/>
      <c r="AX946" s="79"/>
      <c r="AY946" s="79"/>
      <c r="AZ946" s="79"/>
      <c r="BA946" s="79"/>
      <c r="BB946" s="1"/>
      <c r="BC946" s="1"/>
      <c r="BD946" s="1"/>
      <c r="BE946" s="1"/>
      <c r="BF946" s="1"/>
      <c r="BG946" s="1"/>
      <c r="BH946" s="1"/>
    </row>
    <row r="947" spans="1:60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79"/>
      <c r="AO947" s="79"/>
      <c r="AP947" s="79"/>
      <c r="AQ947" s="79"/>
      <c r="AR947" s="79"/>
      <c r="AS947" s="79"/>
      <c r="AT947" s="79"/>
      <c r="AU947" s="79"/>
      <c r="AV947" s="79"/>
      <c r="AW947" s="79"/>
      <c r="AX947" s="79"/>
      <c r="AY947" s="79"/>
      <c r="AZ947" s="79"/>
      <c r="BA947" s="79"/>
      <c r="BB947" s="1"/>
      <c r="BC947" s="1"/>
      <c r="BD947" s="1"/>
      <c r="BE947" s="1"/>
      <c r="BF947" s="1"/>
      <c r="BG947" s="1"/>
      <c r="BH947" s="1"/>
    </row>
    <row r="948" spans="1:60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79"/>
      <c r="AO948" s="79"/>
      <c r="AP948" s="79"/>
      <c r="AQ948" s="79"/>
      <c r="AR948" s="79"/>
      <c r="AS948" s="79"/>
      <c r="AT948" s="79"/>
      <c r="AU948" s="79"/>
      <c r="AV948" s="79"/>
      <c r="AW948" s="79"/>
      <c r="AX948" s="79"/>
      <c r="AY948" s="79"/>
      <c r="AZ948" s="79"/>
      <c r="BA948" s="79"/>
      <c r="BB948" s="1"/>
      <c r="BC948" s="1"/>
      <c r="BD948" s="1"/>
      <c r="BE948" s="1"/>
      <c r="BF948" s="1"/>
      <c r="BG948" s="1"/>
      <c r="BH948" s="1"/>
    </row>
    <row r="949" spans="1:60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79"/>
      <c r="AO949" s="79"/>
      <c r="AP949" s="79"/>
      <c r="AQ949" s="79"/>
      <c r="AR949" s="79"/>
      <c r="AS949" s="79"/>
      <c r="AT949" s="79"/>
      <c r="AU949" s="79"/>
      <c r="AV949" s="79"/>
      <c r="AW949" s="79"/>
      <c r="AX949" s="79"/>
      <c r="AY949" s="79"/>
      <c r="AZ949" s="79"/>
      <c r="BA949" s="79"/>
      <c r="BB949" s="1"/>
      <c r="BC949" s="1"/>
      <c r="BD949" s="1"/>
      <c r="BE949" s="1"/>
      <c r="BF949" s="1"/>
      <c r="BG949" s="1"/>
      <c r="BH949" s="1"/>
    </row>
    <row r="950" spans="1:60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79"/>
      <c r="AO950" s="79"/>
      <c r="AP950" s="79"/>
      <c r="AQ950" s="79"/>
      <c r="AR950" s="79"/>
      <c r="AS950" s="79"/>
      <c r="AT950" s="79"/>
      <c r="AU950" s="79"/>
      <c r="AV950" s="79"/>
      <c r="AW950" s="79"/>
      <c r="AX950" s="79"/>
      <c r="AY950" s="79"/>
      <c r="AZ950" s="79"/>
      <c r="BA950" s="79"/>
      <c r="BB950" s="1"/>
      <c r="BC950" s="1"/>
      <c r="BD950" s="1"/>
      <c r="BE950" s="1"/>
      <c r="BF950" s="1"/>
      <c r="BG950" s="1"/>
      <c r="BH950" s="1"/>
    </row>
    <row r="951" spans="1:60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79"/>
      <c r="AO951" s="79"/>
      <c r="AP951" s="79"/>
      <c r="AQ951" s="79"/>
      <c r="AR951" s="79"/>
      <c r="AS951" s="79"/>
      <c r="AT951" s="79"/>
      <c r="AU951" s="79"/>
      <c r="AV951" s="79"/>
      <c r="AW951" s="79"/>
      <c r="AX951" s="79"/>
      <c r="AY951" s="79"/>
      <c r="AZ951" s="79"/>
      <c r="BA951" s="79"/>
      <c r="BB951" s="1"/>
      <c r="BC951" s="1"/>
      <c r="BD951" s="1"/>
      <c r="BE951" s="1"/>
      <c r="BF951" s="1"/>
      <c r="BG951" s="1"/>
      <c r="BH951" s="1"/>
    </row>
    <row r="952" spans="1:60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79"/>
      <c r="AO952" s="79"/>
      <c r="AP952" s="79"/>
      <c r="AQ952" s="79"/>
      <c r="AR952" s="79"/>
      <c r="AS952" s="79"/>
      <c r="AT952" s="79"/>
      <c r="AU952" s="79"/>
      <c r="AV952" s="79"/>
      <c r="AW952" s="79"/>
      <c r="AX952" s="79"/>
      <c r="AY952" s="79"/>
      <c r="AZ952" s="79"/>
      <c r="BA952" s="79"/>
      <c r="BB952" s="1"/>
      <c r="BC952" s="1"/>
      <c r="BD952" s="1"/>
      <c r="BE952" s="1"/>
      <c r="BF952" s="1"/>
      <c r="BG952" s="1"/>
      <c r="BH952" s="1"/>
    </row>
    <row r="953" spans="1:60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79"/>
      <c r="AO953" s="79"/>
      <c r="AP953" s="79"/>
      <c r="AQ953" s="79"/>
      <c r="AR953" s="79"/>
      <c r="AS953" s="79"/>
      <c r="AT953" s="79"/>
      <c r="AU953" s="79"/>
      <c r="AV953" s="79"/>
      <c r="AW953" s="79"/>
      <c r="AX953" s="79"/>
      <c r="AY953" s="79"/>
      <c r="AZ953" s="79"/>
      <c r="BA953" s="79"/>
      <c r="BB953" s="1"/>
      <c r="BC953" s="1"/>
      <c r="BD953" s="1"/>
      <c r="BE953" s="1"/>
      <c r="BF953" s="1"/>
      <c r="BG953" s="1"/>
      <c r="BH953" s="1"/>
    </row>
    <row r="954" spans="1:60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79"/>
      <c r="AO954" s="79"/>
      <c r="AP954" s="79"/>
      <c r="AQ954" s="79"/>
      <c r="AR954" s="79"/>
      <c r="AS954" s="79"/>
      <c r="AT954" s="79"/>
      <c r="AU954" s="79"/>
      <c r="AV954" s="79"/>
      <c r="AW954" s="79"/>
      <c r="AX954" s="79"/>
      <c r="AY954" s="79"/>
      <c r="AZ954" s="79"/>
      <c r="BA954" s="79"/>
      <c r="BB954" s="1"/>
      <c r="BC954" s="1"/>
      <c r="BD954" s="1"/>
      <c r="BE954" s="1"/>
      <c r="BF954" s="1"/>
      <c r="BG954" s="1"/>
      <c r="BH954" s="1"/>
    </row>
    <row r="955" spans="1:60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79"/>
      <c r="AO955" s="79"/>
      <c r="AP955" s="79"/>
      <c r="AQ955" s="79"/>
      <c r="AR955" s="79"/>
      <c r="AS955" s="79"/>
      <c r="AT955" s="79"/>
      <c r="AU955" s="79"/>
      <c r="AV955" s="79"/>
      <c r="AW955" s="79"/>
      <c r="AX955" s="79"/>
      <c r="AY955" s="79"/>
      <c r="AZ955" s="79"/>
      <c r="BA955" s="79"/>
      <c r="BB955" s="1"/>
      <c r="BC955" s="1"/>
      <c r="BD955" s="1"/>
      <c r="BE955" s="1"/>
      <c r="BF955" s="1"/>
      <c r="BG955" s="1"/>
      <c r="BH955" s="1"/>
    </row>
    <row r="956" spans="1:60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79"/>
      <c r="AO956" s="79"/>
      <c r="AP956" s="79"/>
      <c r="AQ956" s="79"/>
      <c r="AR956" s="79"/>
      <c r="AS956" s="79"/>
      <c r="AT956" s="79"/>
      <c r="AU956" s="79"/>
      <c r="AV956" s="79"/>
      <c r="AW956" s="79"/>
      <c r="AX956" s="79"/>
      <c r="AY956" s="79"/>
      <c r="AZ956" s="79"/>
      <c r="BA956" s="79"/>
      <c r="BB956" s="1"/>
      <c r="BC956" s="1"/>
      <c r="BD956" s="1"/>
      <c r="BE956" s="1"/>
      <c r="BF956" s="1"/>
      <c r="BG956" s="1"/>
      <c r="BH956" s="1"/>
    </row>
    <row r="957" spans="1:60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79"/>
      <c r="AO957" s="79"/>
      <c r="AP957" s="79"/>
      <c r="AQ957" s="79"/>
      <c r="AR957" s="79"/>
      <c r="AS957" s="79"/>
      <c r="AT957" s="79"/>
      <c r="AU957" s="79"/>
      <c r="AV957" s="79"/>
      <c r="AW957" s="79"/>
      <c r="AX957" s="79"/>
      <c r="AY957" s="79"/>
      <c r="AZ957" s="79"/>
      <c r="BA957" s="79"/>
      <c r="BB957" s="1"/>
      <c r="BC957" s="1"/>
      <c r="BD957" s="1"/>
      <c r="BE957" s="1"/>
      <c r="BF957" s="1"/>
      <c r="BG957" s="1"/>
      <c r="BH957" s="1"/>
    </row>
    <row r="958" spans="1:60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79"/>
      <c r="AO958" s="79"/>
      <c r="AP958" s="79"/>
      <c r="AQ958" s="79"/>
      <c r="AR958" s="79"/>
      <c r="AS958" s="79"/>
      <c r="AT958" s="79"/>
      <c r="AU958" s="79"/>
      <c r="AV958" s="79"/>
      <c r="AW958" s="79"/>
      <c r="AX958" s="79"/>
      <c r="AY958" s="79"/>
      <c r="AZ958" s="79"/>
      <c r="BA958" s="79"/>
      <c r="BB958" s="1"/>
      <c r="BC958" s="1"/>
      <c r="BD958" s="1"/>
      <c r="BE958" s="1"/>
      <c r="BF958" s="1"/>
      <c r="BG958" s="1"/>
      <c r="BH958" s="1"/>
    </row>
    <row r="959" spans="1:60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79"/>
      <c r="AO959" s="79"/>
      <c r="AP959" s="79"/>
      <c r="AQ959" s="79"/>
      <c r="AR959" s="79"/>
      <c r="AS959" s="79"/>
      <c r="AT959" s="79"/>
      <c r="AU959" s="79"/>
      <c r="AV959" s="79"/>
      <c r="AW959" s="79"/>
      <c r="AX959" s="79"/>
      <c r="AY959" s="79"/>
      <c r="AZ959" s="79"/>
      <c r="BA959" s="79"/>
      <c r="BB959" s="1"/>
      <c r="BC959" s="1"/>
      <c r="BD959" s="1"/>
      <c r="BE959" s="1"/>
      <c r="BF959" s="1"/>
      <c r="BG959" s="1"/>
      <c r="BH959" s="1"/>
    </row>
    <row r="960" spans="1:60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79"/>
      <c r="AO960" s="79"/>
      <c r="AP960" s="79"/>
      <c r="AQ960" s="79"/>
      <c r="AR960" s="79"/>
      <c r="AS960" s="79"/>
      <c r="AT960" s="79"/>
      <c r="AU960" s="79"/>
      <c r="AV960" s="79"/>
      <c r="AW960" s="79"/>
      <c r="AX960" s="79"/>
      <c r="AY960" s="79"/>
      <c r="AZ960" s="79"/>
      <c r="BA960" s="79"/>
      <c r="BB960" s="1"/>
      <c r="BC960" s="1"/>
      <c r="BD960" s="1"/>
      <c r="BE960" s="1"/>
      <c r="BF960" s="1"/>
      <c r="BG960" s="1"/>
      <c r="BH960" s="1"/>
    </row>
    <row r="961" spans="1:60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79"/>
      <c r="AO961" s="79"/>
      <c r="AP961" s="79"/>
      <c r="AQ961" s="79"/>
      <c r="AR961" s="79"/>
      <c r="AS961" s="79"/>
      <c r="AT961" s="79"/>
      <c r="AU961" s="79"/>
      <c r="AV961" s="79"/>
      <c r="AW961" s="79"/>
      <c r="AX961" s="79"/>
      <c r="AY961" s="79"/>
      <c r="AZ961" s="79"/>
      <c r="BA961" s="79"/>
      <c r="BB961" s="1"/>
      <c r="BC961" s="1"/>
      <c r="BD961" s="1"/>
      <c r="BE961" s="1"/>
      <c r="BF961" s="1"/>
      <c r="BG961" s="1"/>
      <c r="BH961" s="1"/>
    </row>
    <row r="962" spans="1:60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79"/>
      <c r="AO962" s="79"/>
      <c r="AP962" s="79"/>
      <c r="AQ962" s="79"/>
      <c r="AR962" s="79"/>
      <c r="AS962" s="79"/>
      <c r="AT962" s="79"/>
      <c r="AU962" s="79"/>
      <c r="AV962" s="79"/>
      <c r="AW962" s="79"/>
      <c r="AX962" s="79"/>
      <c r="AY962" s="79"/>
      <c r="AZ962" s="79"/>
      <c r="BA962" s="79"/>
      <c r="BB962" s="1"/>
      <c r="BC962" s="1"/>
      <c r="BD962" s="1"/>
      <c r="BE962" s="1"/>
      <c r="BF962" s="1"/>
      <c r="BG962" s="1"/>
      <c r="BH962" s="1"/>
    </row>
    <row r="963" spans="1:60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79"/>
      <c r="AO963" s="79"/>
      <c r="AP963" s="79"/>
      <c r="AQ963" s="79"/>
      <c r="AR963" s="79"/>
      <c r="AS963" s="79"/>
      <c r="AT963" s="79"/>
      <c r="AU963" s="79"/>
      <c r="AV963" s="79"/>
      <c r="AW963" s="79"/>
      <c r="AX963" s="79"/>
      <c r="AY963" s="79"/>
      <c r="AZ963" s="79"/>
      <c r="BA963" s="79"/>
      <c r="BB963" s="1"/>
      <c r="BC963" s="1"/>
      <c r="BD963" s="1"/>
      <c r="BE963" s="1"/>
      <c r="BF963" s="1"/>
      <c r="BG963" s="1"/>
      <c r="BH963" s="1"/>
    </row>
    <row r="964" spans="1:60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79"/>
      <c r="AO964" s="79"/>
      <c r="AP964" s="79"/>
      <c r="AQ964" s="79"/>
      <c r="AR964" s="79"/>
      <c r="AS964" s="79"/>
      <c r="AT964" s="79"/>
      <c r="AU964" s="79"/>
      <c r="AV964" s="79"/>
      <c r="AW964" s="79"/>
      <c r="AX964" s="79"/>
      <c r="AY964" s="79"/>
      <c r="AZ964" s="79"/>
      <c r="BA964" s="79"/>
      <c r="BB964" s="1"/>
      <c r="BC964" s="1"/>
      <c r="BD964" s="1"/>
      <c r="BE964" s="1"/>
      <c r="BF964" s="1"/>
      <c r="BG964" s="1"/>
      <c r="BH964" s="1"/>
    </row>
    <row r="965" spans="1:60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79"/>
      <c r="AO965" s="79"/>
      <c r="AP965" s="79"/>
      <c r="AQ965" s="79"/>
      <c r="AR965" s="79"/>
      <c r="AS965" s="79"/>
      <c r="AT965" s="79"/>
      <c r="AU965" s="79"/>
      <c r="AV965" s="79"/>
      <c r="AW965" s="79"/>
      <c r="AX965" s="79"/>
      <c r="AY965" s="79"/>
      <c r="AZ965" s="79"/>
      <c r="BA965" s="79"/>
      <c r="BB965" s="1"/>
      <c r="BC965" s="1"/>
      <c r="BD965" s="1"/>
      <c r="BE965" s="1"/>
      <c r="BF965" s="1"/>
      <c r="BG965" s="1"/>
      <c r="BH965" s="1"/>
    </row>
    <row r="966" spans="1:60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79"/>
      <c r="AO966" s="79"/>
      <c r="AP966" s="79"/>
      <c r="AQ966" s="79"/>
      <c r="AR966" s="79"/>
      <c r="AS966" s="79"/>
      <c r="AT966" s="79"/>
      <c r="AU966" s="79"/>
      <c r="AV966" s="79"/>
      <c r="AW966" s="79"/>
      <c r="AX966" s="79"/>
      <c r="AY966" s="79"/>
      <c r="AZ966" s="79"/>
      <c r="BA966" s="79"/>
      <c r="BB966" s="1"/>
      <c r="BC966" s="1"/>
      <c r="BD966" s="1"/>
      <c r="BE966" s="1"/>
      <c r="BF966" s="1"/>
      <c r="BG966" s="1"/>
      <c r="BH966" s="1"/>
    </row>
    <row r="967" spans="1:60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79"/>
      <c r="AO967" s="79"/>
      <c r="AP967" s="79"/>
      <c r="AQ967" s="79"/>
      <c r="AR967" s="79"/>
      <c r="AS967" s="79"/>
      <c r="AT967" s="79"/>
      <c r="AU967" s="79"/>
      <c r="AV967" s="79"/>
      <c r="AW967" s="79"/>
      <c r="AX967" s="79"/>
      <c r="AY967" s="79"/>
      <c r="AZ967" s="79"/>
      <c r="BA967" s="79"/>
      <c r="BB967" s="1"/>
      <c r="BC967" s="1"/>
      <c r="BD967" s="1"/>
      <c r="BE967" s="1"/>
      <c r="BF967" s="1"/>
      <c r="BG967" s="1"/>
      <c r="BH967" s="1"/>
    </row>
    <row r="968" spans="1:60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79"/>
      <c r="AO968" s="79"/>
      <c r="AP968" s="79"/>
      <c r="AQ968" s="79"/>
      <c r="AR968" s="79"/>
      <c r="AS968" s="79"/>
      <c r="AT968" s="79"/>
      <c r="AU968" s="79"/>
      <c r="AV968" s="79"/>
      <c r="AW968" s="79"/>
      <c r="AX968" s="79"/>
      <c r="AY968" s="79"/>
      <c r="AZ968" s="79"/>
      <c r="BA968" s="79"/>
      <c r="BB968" s="1"/>
      <c r="BC968" s="1"/>
      <c r="BD968" s="1"/>
      <c r="BE968" s="1"/>
      <c r="BF968" s="1"/>
      <c r="BG968" s="1"/>
      <c r="BH968" s="1"/>
    </row>
    <row r="969" spans="1:60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79"/>
      <c r="AO969" s="79"/>
      <c r="AP969" s="79"/>
      <c r="AQ969" s="79"/>
      <c r="AR969" s="79"/>
      <c r="AS969" s="79"/>
      <c r="AT969" s="79"/>
      <c r="AU969" s="79"/>
      <c r="AV969" s="79"/>
      <c r="AW969" s="79"/>
      <c r="AX969" s="79"/>
      <c r="AY969" s="79"/>
      <c r="AZ969" s="79"/>
      <c r="BA969" s="79"/>
      <c r="BB969" s="1"/>
      <c r="BC969" s="1"/>
      <c r="BD969" s="1"/>
      <c r="BE969" s="1"/>
      <c r="BF969" s="1"/>
      <c r="BG969" s="1"/>
      <c r="BH969" s="1"/>
    </row>
    <row r="970" spans="1:60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79"/>
      <c r="AO970" s="79"/>
      <c r="AP970" s="79"/>
      <c r="AQ970" s="79"/>
      <c r="AR970" s="79"/>
      <c r="AS970" s="79"/>
      <c r="AT970" s="79"/>
      <c r="AU970" s="79"/>
      <c r="AV970" s="79"/>
      <c r="AW970" s="79"/>
      <c r="AX970" s="79"/>
      <c r="AY970" s="79"/>
      <c r="AZ970" s="79"/>
      <c r="BA970" s="79"/>
      <c r="BB970" s="1"/>
      <c r="BC970" s="1"/>
      <c r="BD970" s="1"/>
      <c r="BE970" s="1"/>
      <c r="BF970" s="1"/>
      <c r="BG970" s="1"/>
      <c r="BH970" s="1"/>
    </row>
    <row r="971" spans="1:60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79"/>
      <c r="AO971" s="79"/>
      <c r="AP971" s="79"/>
      <c r="AQ971" s="79"/>
      <c r="AR971" s="79"/>
      <c r="AS971" s="79"/>
      <c r="AT971" s="79"/>
      <c r="AU971" s="79"/>
      <c r="AV971" s="79"/>
      <c r="AW971" s="79"/>
      <c r="AX971" s="79"/>
      <c r="AY971" s="79"/>
      <c r="AZ971" s="79"/>
      <c r="BA971" s="79"/>
      <c r="BB971" s="1"/>
      <c r="BC971" s="1"/>
      <c r="BD971" s="1"/>
      <c r="BE971" s="1"/>
      <c r="BF971" s="1"/>
      <c r="BG971" s="1"/>
      <c r="BH971" s="1"/>
    </row>
    <row r="972" spans="1:60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79"/>
      <c r="AO972" s="79"/>
      <c r="AP972" s="79"/>
      <c r="AQ972" s="79"/>
      <c r="AR972" s="79"/>
      <c r="AS972" s="79"/>
      <c r="AT972" s="79"/>
      <c r="AU972" s="79"/>
      <c r="AV972" s="79"/>
      <c r="AW972" s="79"/>
      <c r="AX972" s="79"/>
      <c r="AY972" s="79"/>
      <c r="AZ972" s="79"/>
      <c r="BA972" s="79"/>
      <c r="BB972" s="1"/>
      <c r="BC972" s="1"/>
      <c r="BD972" s="1"/>
      <c r="BE972" s="1"/>
      <c r="BF972" s="1"/>
      <c r="BG972" s="1"/>
      <c r="BH972" s="1"/>
    </row>
    <row r="973" spans="1:60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79"/>
      <c r="AO973" s="79"/>
      <c r="AP973" s="79"/>
      <c r="AQ973" s="79"/>
      <c r="AR973" s="79"/>
      <c r="AS973" s="79"/>
      <c r="AT973" s="79"/>
      <c r="AU973" s="79"/>
      <c r="AV973" s="79"/>
      <c r="AW973" s="79"/>
      <c r="AX973" s="79"/>
      <c r="AY973" s="79"/>
      <c r="AZ973" s="79"/>
      <c r="BA973" s="79"/>
      <c r="BB973" s="1"/>
      <c r="BC973" s="1"/>
      <c r="BD973" s="1"/>
      <c r="BE973" s="1"/>
      <c r="BF973" s="1"/>
      <c r="BG973" s="1"/>
      <c r="BH973" s="1"/>
    </row>
    <row r="974" spans="1:60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79"/>
      <c r="AO974" s="79"/>
      <c r="AP974" s="79"/>
      <c r="AQ974" s="79"/>
      <c r="AR974" s="79"/>
      <c r="AS974" s="79"/>
      <c r="AT974" s="79"/>
      <c r="AU974" s="79"/>
      <c r="AV974" s="79"/>
      <c r="AW974" s="79"/>
      <c r="AX974" s="79"/>
      <c r="AY974" s="79"/>
      <c r="AZ974" s="79"/>
      <c r="BA974" s="79"/>
      <c r="BB974" s="1"/>
      <c r="BC974" s="1"/>
      <c r="BD974" s="1"/>
      <c r="BE974" s="1"/>
      <c r="BF974" s="1"/>
      <c r="BG974" s="1"/>
      <c r="BH974" s="1"/>
    </row>
    <row r="975" spans="1:60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79"/>
      <c r="AO975" s="79"/>
      <c r="AP975" s="79"/>
      <c r="AQ975" s="79"/>
      <c r="AR975" s="79"/>
      <c r="AS975" s="79"/>
      <c r="AT975" s="79"/>
      <c r="AU975" s="79"/>
      <c r="AV975" s="79"/>
      <c r="AW975" s="79"/>
      <c r="AX975" s="79"/>
      <c r="AY975" s="79"/>
      <c r="AZ975" s="79"/>
      <c r="BA975" s="79"/>
      <c r="BB975" s="1"/>
      <c r="BC975" s="1"/>
      <c r="BD975" s="1"/>
      <c r="BE975" s="1"/>
      <c r="BF975" s="1"/>
      <c r="BG975" s="1"/>
      <c r="BH975" s="1"/>
    </row>
    <row r="976" spans="1:60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79"/>
      <c r="AO976" s="79"/>
      <c r="AP976" s="79"/>
      <c r="AQ976" s="79"/>
      <c r="AR976" s="79"/>
      <c r="AS976" s="79"/>
      <c r="AT976" s="79"/>
      <c r="AU976" s="79"/>
      <c r="AV976" s="79"/>
      <c r="AW976" s="79"/>
      <c r="AX976" s="79"/>
      <c r="AY976" s="79"/>
      <c r="AZ976" s="79"/>
      <c r="BA976" s="79"/>
      <c r="BB976" s="1"/>
      <c r="BC976" s="1"/>
      <c r="BD976" s="1"/>
      <c r="BE976" s="1"/>
      <c r="BF976" s="1"/>
      <c r="BG976" s="1"/>
      <c r="BH976" s="1"/>
    </row>
    <row r="977" spans="1:60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79"/>
      <c r="AO977" s="79"/>
      <c r="AP977" s="79"/>
      <c r="AQ977" s="79"/>
      <c r="AR977" s="79"/>
      <c r="AS977" s="79"/>
      <c r="AT977" s="79"/>
      <c r="AU977" s="79"/>
      <c r="AV977" s="79"/>
      <c r="AW977" s="79"/>
      <c r="AX977" s="79"/>
      <c r="AY977" s="79"/>
      <c r="AZ977" s="79"/>
      <c r="BA977" s="79"/>
      <c r="BB977" s="1"/>
      <c r="BC977" s="1"/>
      <c r="BD977" s="1"/>
      <c r="BE977" s="1"/>
      <c r="BF977" s="1"/>
      <c r="BG977" s="1"/>
      <c r="BH977" s="1"/>
    </row>
    <row r="978" spans="1:60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79"/>
      <c r="AO978" s="79"/>
      <c r="AP978" s="79"/>
      <c r="AQ978" s="79"/>
      <c r="AR978" s="79"/>
      <c r="AS978" s="79"/>
      <c r="AT978" s="79"/>
      <c r="AU978" s="79"/>
      <c r="AV978" s="79"/>
      <c r="AW978" s="79"/>
      <c r="AX978" s="79"/>
      <c r="AY978" s="79"/>
      <c r="AZ978" s="79"/>
      <c r="BA978" s="79"/>
      <c r="BB978" s="1"/>
      <c r="BC978" s="1"/>
      <c r="BD978" s="1"/>
      <c r="BE978" s="1"/>
      <c r="BF978" s="1"/>
      <c r="BG978" s="1"/>
      <c r="BH978" s="1"/>
    </row>
    <row r="979" spans="1:60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79"/>
      <c r="AO979" s="79"/>
      <c r="AP979" s="79"/>
      <c r="AQ979" s="79"/>
      <c r="AR979" s="79"/>
      <c r="AS979" s="79"/>
      <c r="AT979" s="79"/>
      <c r="AU979" s="79"/>
      <c r="AV979" s="79"/>
      <c r="AW979" s="79"/>
      <c r="AX979" s="79"/>
      <c r="AY979" s="79"/>
      <c r="AZ979" s="79"/>
      <c r="BA979" s="79"/>
      <c r="BB979" s="1"/>
      <c r="BC979" s="1"/>
      <c r="BD979" s="1"/>
      <c r="BE979" s="1"/>
      <c r="BF979" s="1"/>
      <c r="BG979" s="1"/>
      <c r="BH979" s="1"/>
    </row>
    <row r="980" spans="1:60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79"/>
      <c r="AO980" s="79"/>
      <c r="AP980" s="79"/>
      <c r="AQ980" s="79"/>
      <c r="AR980" s="79"/>
      <c r="AS980" s="79"/>
      <c r="AT980" s="79"/>
      <c r="AU980" s="79"/>
      <c r="AV980" s="79"/>
      <c r="AW980" s="79"/>
      <c r="AX980" s="79"/>
      <c r="AY980" s="79"/>
      <c r="AZ980" s="79"/>
      <c r="BA980" s="79"/>
      <c r="BB980" s="1"/>
      <c r="BC980" s="1"/>
      <c r="BD980" s="1"/>
      <c r="BE980" s="1"/>
      <c r="BF980" s="1"/>
      <c r="BG980" s="1"/>
      <c r="BH980" s="1"/>
    </row>
    <row r="981" spans="1:60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79"/>
      <c r="AO981" s="79"/>
      <c r="AP981" s="79"/>
      <c r="AQ981" s="79"/>
      <c r="AR981" s="79"/>
      <c r="AS981" s="79"/>
      <c r="AT981" s="79"/>
      <c r="AU981" s="79"/>
      <c r="AV981" s="79"/>
      <c r="AW981" s="79"/>
      <c r="AX981" s="79"/>
      <c r="AY981" s="79"/>
      <c r="AZ981" s="79"/>
      <c r="BA981" s="79"/>
      <c r="BB981" s="1"/>
      <c r="BC981" s="1"/>
      <c r="BD981" s="1"/>
      <c r="BE981" s="1"/>
      <c r="BF981" s="1"/>
      <c r="BG981" s="1"/>
      <c r="BH981" s="1"/>
    </row>
    <row r="982" spans="1:60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79"/>
      <c r="AO982" s="79"/>
      <c r="AP982" s="79"/>
      <c r="AQ982" s="79"/>
      <c r="AR982" s="79"/>
      <c r="AS982" s="79"/>
      <c r="AT982" s="79"/>
      <c r="AU982" s="79"/>
      <c r="AV982" s="79"/>
      <c r="AW982" s="79"/>
      <c r="AX982" s="79"/>
      <c r="AY982" s="79"/>
      <c r="AZ982" s="79"/>
      <c r="BA982" s="79"/>
      <c r="BB982" s="1"/>
      <c r="BC982" s="1"/>
      <c r="BD982" s="1"/>
      <c r="BE982" s="1"/>
      <c r="BF982" s="1"/>
      <c r="BG982" s="1"/>
      <c r="BH982" s="1"/>
    </row>
    <row r="983" spans="1:60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79"/>
      <c r="AO983" s="79"/>
      <c r="AP983" s="79"/>
      <c r="AQ983" s="79"/>
      <c r="AR983" s="79"/>
      <c r="AS983" s="79"/>
      <c r="AT983" s="79"/>
      <c r="AU983" s="79"/>
      <c r="AV983" s="79"/>
      <c r="AW983" s="79"/>
      <c r="AX983" s="79"/>
      <c r="AY983" s="79"/>
      <c r="AZ983" s="79"/>
      <c r="BA983" s="79"/>
      <c r="BB983" s="1"/>
      <c r="BC983" s="1"/>
      <c r="BD983" s="1"/>
      <c r="BE983" s="1"/>
      <c r="BF983" s="1"/>
      <c r="BG983" s="1"/>
      <c r="BH983" s="1"/>
    </row>
    <row r="984" spans="1:60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79"/>
      <c r="AO984" s="79"/>
      <c r="AP984" s="79"/>
      <c r="AQ984" s="79"/>
      <c r="AR984" s="79"/>
      <c r="AS984" s="79"/>
      <c r="AT984" s="79"/>
      <c r="AU984" s="79"/>
      <c r="AV984" s="79"/>
      <c r="AW984" s="79"/>
      <c r="AX984" s="79"/>
      <c r="AY984" s="79"/>
      <c r="AZ984" s="79"/>
      <c r="BA984" s="79"/>
      <c r="BB984" s="1"/>
      <c r="BC984" s="1"/>
      <c r="BD984" s="1"/>
      <c r="BE984" s="1"/>
      <c r="BF984" s="1"/>
      <c r="BG984" s="1"/>
      <c r="BH984" s="1"/>
    </row>
    <row r="985" spans="1:60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79"/>
      <c r="BB985" s="1"/>
      <c r="BC985" s="1"/>
      <c r="BD985" s="1"/>
      <c r="BE985" s="1"/>
      <c r="BF985" s="1"/>
      <c r="BG985" s="1"/>
      <c r="BH985" s="1"/>
    </row>
    <row r="986" spans="1:60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79"/>
      <c r="AO986" s="79"/>
      <c r="AP986" s="79"/>
      <c r="AQ986" s="79"/>
      <c r="AR986" s="79"/>
      <c r="AS986" s="79"/>
      <c r="AT986" s="79"/>
      <c r="AU986" s="79"/>
      <c r="AV986" s="79"/>
      <c r="AW986" s="79"/>
      <c r="AX986" s="79"/>
      <c r="AY986" s="79"/>
      <c r="AZ986" s="79"/>
      <c r="BA986" s="79"/>
      <c r="BB986" s="1"/>
      <c r="BC986" s="1"/>
      <c r="BD986" s="1"/>
      <c r="BE986" s="1"/>
      <c r="BF986" s="1"/>
      <c r="BG986" s="1"/>
      <c r="BH986" s="1"/>
    </row>
    <row r="987" spans="1:60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79"/>
      <c r="AO987" s="79"/>
      <c r="AP987" s="79"/>
      <c r="AQ987" s="79"/>
      <c r="AR987" s="79"/>
      <c r="AS987" s="79"/>
      <c r="AT987" s="79"/>
      <c r="AU987" s="79"/>
      <c r="AV987" s="79"/>
      <c r="AW987" s="79"/>
      <c r="AX987" s="79"/>
      <c r="AY987" s="79"/>
      <c r="AZ987" s="79"/>
      <c r="BA987" s="79"/>
      <c r="BB987" s="1"/>
      <c r="BC987" s="1"/>
      <c r="BD987" s="1"/>
      <c r="BE987" s="1"/>
      <c r="BF987" s="1"/>
      <c r="BG987" s="1"/>
      <c r="BH987" s="1"/>
    </row>
    <row r="988" spans="1:60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79"/>
      <c r="AO988" s="79"/>
      <c r="AP988" s="79"/>
      <c r="AQ988" s="79"/>
      <c r="AR988" s="79"/>
      <c r="AS988" s="79"/>
      <c r="AT988" s="79"/>
      <c r="AU988" s="79"/>
      <c r="AV988" s="79"/>
      <c r="AW988" s="79"/>
      <c r="AX988" s="79"/>
      <c r="AY988" s="79"/>
      <c r="AZ988" s="79"/>
      <c r="BA988" s="79"/>
      <c r="BB988" s="1"/>
      <c r="BC988" s="1"/>
      <c r="BD988" s="1"/>
      <c r="BE988" s="1"/>
      <c r="BF988" s="1"/>
      <c r="BG988" s="1"/>
      <c r="BH988" s="1"/>
    </row>
    <row r="989" spans="1:60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79"/>
      <c r="AO989" s="79"/>
      <c r="AP989" s="79"/>
      <c r="AQ989" s="79"/>
      <c r="AR989" s="79"/>
      <c r="AS989" s="79"/>
      <c r="AT989" s="79"/>
      <c r="AU989" s="79"/>
      <c r="AV989" s="79"/>
      <c r="AW989" s="79"/>
      <c r="AX989" s="79"/>
      <c r="AY989" s="79"/>
      <c r="AZ989" s="79"/>
      <c r="BA989" s="79"/>
      <c r="BB989" s="1"/>
      <c r="BC989" s="1"/>
      <c r="BD989" s="1"/>
      <c r="BE989" s="1"/>
      <c r="BF989" s="1"/>
      <c r="BG989" s="1"/>
      <c r="BH989" s="1"/>
    </row>
    <row r="990" spans="1:60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79"/>
      <c r="AO990" s="79"/>
      <c r="AP990" s="79"/>
      <c r="AQ990" s="79"/>
      <c r="AR990" s="79"/>
      <c r="AS990" s="79"/>
      <c r="AT990" s="79"/>
      <c r="AU990" s="79"/>
      <c r="AV990" s="79"/>
      <c r="AW990" s="79"/>
      <c r="AX990" s="79"/>
      <c r="AY990" s="79"/>
      <c r="AZ990" s="79"/>
      <c r="BA990" s="79"/>
      <c r="BB990" s="1"/>
      <c r="BC990" s="1"/>
      <c r="BD990" s="1"/>
      <c r="BE990" s="1"/>
      <c r="BF990" s="1"/>
      <c r="BG990" s="1"/>
      <c r="BH990" s="1"/>
    </row>
    <row r="991" spans="1:60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79"/>
      <c r="AO991" s="79"/>
      <c r="AP991" s="79"/>
      <c r="AQ991" s="79"/>
      <c r="AR991" s="79"/>
      <c r="AS991" s="79"/>
      <c r="AT991" s="79"/>
      <c r="AU991" s="79"/>
      <c r="AV991" s="79"/>
      <c r="AW991" s="79"/>
      <c r="AX991" s="79"/>
      <c r="AY991" s="79"/>
      <c r="AZ991" s="79"/>
      <c r="BA991" s="79"/>
      <c r="BB991" s="1"/>
      <c r="BC991" s="1"/>
      <c r="BD991" s="1"/>
      <c r="BE991" s="1"/>
      <c r="BF991" s="1"/>
      <c r="BG991" s="1"/>
      <c r="BH991" s="1"/>
    </row>
    <row r="992" spans="1:60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79"/>
      <c r="AO992" s="79"/>
      <c r="AP992" s="79"/>
      <c r="AQ992" s="79"/>
      <c r="AR992" s="79"/>
      <c r="AS992" s="79"/>
      <c r="AT992" s="79"/>
      <c r="AU992" s="79"/>
      <c r="AV992" s="79"/>
      <c r="AW992" s="79"/>
      <c r="AX992" s="79"/>
      <c r="AY992" s="79"/>
      <c r="AZ992" s="79"/>
      <c r="BA992" s="79"/>
      <c r="BB992" s="1"/>
      <c r="BC992" s="1"/>
      <c r="BD992" s="1"/>
      <c r="BE992" s="1"/>
      <c r="BF992" s="1"/>
      <c r="BG992" s="1"/>
      <c r="BH992" s="1"/>
    </row>
    <row r="993" spans="1:60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79"/>
      <c r="AO993" s="79"/>
      <c r="AP993" s="79"/>
      <c r="AQ993" s="79"/>
      <c r="AR993" s="79"/>
      <c r="AS993" s="79"/>
      <c r="AT993" s="79"/>
      <c r="AU993" s="79"/>
      <c r="AV993" s="79"/>
      <c r="AW993" s="79"/>
      <c r="AX993" s="79"/>
      <c r="AY993" s="79"/>
      <c r="AZ993" s="79"/>
      <c r="BA993" s="79"/>
      <c r="BB993" s="1"/>
      <c r="BC993" s="1"/>
      <c r="BD993" s="1"/>
      <c r="BE993" s="1"/>
      <c r="BF993" s="1"/>
      <c r="BG993" s="1"/>
      <c r="BH993" s="1"/>
    </row>
    <row r="994" spans="1:60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79"/>
      <c r="AO994" s="79"/>
      <c r="AP994" s="79"/>
      <c r="AQ994" s="79"/>
      <c r="AR994" s="79"/>
      <c r="AS994" s="79"/>
      <c r="AT994" s="79"/>
      <c r="AU994" s="79"/>
      <c r="AV994" s="79"/>
      <c r="AW994" s="79"/>
      <c r="AX994" s="79"/>
      <c r="AY994" s="79"/>
      <c r="AZ994" s="79"/>
      <c r="BA994" s="79"/>
      <c r="BB994" s="1"/>
      <c r="BC994" s="1"/>
      <c r="BD994" s="1"/>
      <c r="BE994" s="1"/>
      <c r="BF994" s="1"/>
      <c r="BG994" s="1"/>
      <c r="BH994" s="1"/>
    </row>
    <row r="995" spans="1:60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79"/>
      <c r="AO995" s="79"/>
      <c r="AP995" s="79"/>
      <c r="AQ995" s="79"/>
      <c r="AR995" s="79"/>
      <c r="AS995" s="79"/>
      <c r="AT995" s="79"/>
      <c r="AU995" s="79"/>
      <c r="AV995" s="79"/>
      <c r="AW995" s="79"/>
      <c r="AX995" s="79"/>
      <c r="AY995" s="79"/>
      <c r="AZ995" s="79"/>
      <c r="BA995" s="79"/>
      <c r="BB995" s="1"/>
      <c r="BC995" s="1"/>
      <c r="BD995" s="1"/>
      <c r="BE995" s="1"/>
      <c r="BF995" s="1"/>
      <c r="BG995" s="1"/>
      <c r="BH995" s="1"/>
    </row>
    <row r="996" spans="1:60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79"/>
      <c r="AO996" s="79"/>
      <c r="AP996" s="79"/>
      <c r="AQ996" s="79"/>
      <c r="AR996" s="79"/>
      <c r="AS996" s="79"/>
      <c r="AT996" s="79"/>
      <c r="AU996" s="79"/>
      <c r="AV996" s="79"/>
      <c r="AW996" s="79"/>
      <c r="AX996" s="79"/>
      <c r="AY996" s="79"/>
      <c r="AZ996" s="79"/>
      <c r="BA996" s="79"/>
      <c r="BB996" s="1"/>
      <c r="BC996" s="1"/>
      <c r="BD996" s="1"/>
      <c r="BE996" s="1"/>
      <c r="BF996" s="1"/>
      <c r="BG996" s="1"/>
      <c r="BH996" s="1"/>
    </row>
    <row r="997" spans="1:60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79"/>
      <c r="AO997" s="79"/>
      <c r="AP997" s="79"/>
      <c r="AQ997" s="79"/>
      <c r="AR997" s="79"/>
      <c r="AS997" s="79"/>
      <c r="AT997" s="79"/>
      <c r="AU997" s="79"/>
      <c r="AV997" s="79"/>
      <c r="AW997" s="79"/>
      <c r="AX997" s="79"/>
      <c r="AY997" s="79"/>
      <c r="AZ997" s="79"/>
      <c r="BA997" s="79"/>
      <c r="BB997" s="1"/>
      <c r="BC997" s="1"/>
      <c r="BD997" s="1"/>
      <c r="BE997" s="1"/>
      <c r="BF997" s="1"/>
      <c r="BG997" s="1"/>
      <c r="BH997" s="1"/>
    </row>
    <row r="998" spans="1:60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79"/>
      <c r="AO998" s="79"/>
      <c r="AP998" s="79"/>
      <c r="AQ998" s="79"/>
      <c r="AR998" s="79"/>
      <c r="AS998" s="79"/>
      <c r="AT998" s="79"/>
      <c r="AU998" s="79"/>
      <c r="AV998" s="79"/>
      <c r="AW998" s="79"/>
      <c r="AX998" s="79"/>
      <c r="AY998" s="79"/>
      <c r="AZ998" s="79"/>
      <c r="BA998" s="79"/>
      <c r="BB998" s="1"/>
      <c r="BC998" s="1"/>
      <c r="BD998" s="1"/>
      <c r="BE998" s="1"/>
      <c r="BF998" s="1"/>
      <c r="BG998" s="1"/>
      <c r="BH998" s="1"/>
    </row>
    <row r="999" spans="1:60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79"/>
      <c r="AO999" s="79"/>
      <c r="AP999" s="79"/>
      <c r="AQ999" s="79"/>
      <c r="AR999" s="79"/>
      <c r="AS999" s="79"/>
      <c r="AT999" s="79"/>
      <c r="AU999" s="79"/>
      <c r="AV999" s="79"/>
      <c r="AW999" s="79"/>
      <c r="AX999" s="79"/>
      <c r="AY999" s="79"/>
      <c r="AZ999" s="79"/>
      <c r="BA999" s="79"/>
      <c r="BB999" s="1"/>
      <c r="BC999" s="1"/>
      <c r="BD999" s="1"/>
      <c r="BE999" s="1"/>
      <c r="BF999" s="1"/>
      <c r="BG999" s="1"/>
      <c r="BH999" s="1"/>
    </row>
    <row r="1000" spans="1:60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79"/>
      <c r="AO1000" s="79"/>
      <c r="AP1000" s="79"/>
      <c r="AQ1000" s="79"/>
      <c r="AR1000" s="79"/>
      <c r="AS1000" s="79"/>
      <c r="AT1000" s="79"/>
      <c r="AU1000" s="79"/>
      <c r="AV1000" s="79"/>
      <c r="AW1000" s="79"/>
      <c r="AX1000" s="79"/>
      <c r="AY1000" s="79"/>
      <c r="AZ1000" s="79"/>
      <c r="BA1000" s="79"/>
      <c r="BB1000" s="1"/>
      <c r="BC1000" s="1"/>
      <c r="BD1000" s="1"/>
      <c r="BE1000" s="1"/>
      <c r="BF1000" s="1"/>
      <c r="BG1000" s="1"/>
      <c r="BH1000" s="1"/>
    </row>
  </sheetData>
  <mergeCells count="96">
    <mergeCell ref="C26:J26"/>
    <mergeCell ref="K26:S26"/>
    <mergeCell ref="B2:B26"/>
    <mergeCell ref="D2:J2"/>
    <mergeCell ref="K2:R2"/>
    <mergeCell ref="E5:F5"/>
    <mergeCell ref="E6:F6"/>
    <mergeCell ref="L5:M5"/>
    <mergeCell ref="L6:M6"/>
    <mergeCell ref="L7:M7"/>
    <mergeCell ref="J6:K6"/>
    <mergeCell ref="F7:H7"/>
    <mergeCell ref="E16:E17"/>
    <mergeCell ref="O17:R17"/>
    <mergeCell ref="O22:R22"/>
    <mergeCell ref="O23:P24"/>
    <mergeCell ref="AO2:AZ3"/>
    <mergeCell ref="S3:S25"/>
    <mergeCell ref="AE3:AF3"/>
    <mergeCell ref="Q5:R7"/>
    <mergeCell ref="O12:R12"/>
    <mergeCell ref="O13:P14"/>
    <mergeCell ref="Q13:R14"/>
    <mergeCell ref="O5:P7"/>
    <mergeCell ref="X6:Y6"/>
    <mergeCell ref="X7:Y7"/>
    <mergeCell ref="AE10:AE11"/>
    <mergeCell ref="AF10:AF11"/>
    <mergeCell ref="Q23:R24"/>
    <mergeCell ref="J62:K62"/>
    <mergeCell ref="L62:M62"/>
    <mergeCell ref="N46:O46"/>
    <mergeCell ref="N48:O48"/>
    <mergeCell ref="N52:N53"/>
    <mergeCell ref="O52:O53"/>
    <mergeCell ref="N62:O62"/>
    <mergeCell ref="K46:L46"/>
    <mergeCell ref="K48:L48"/>
    <mergeCell ref="K52:K53"/>
    <mergeCell ref="L52:L53"/>
    <mergeCell ref="P62:Q62"/>
    <mergeCell ref="O75:P75"/>
    <mergeCell ref="O76:P76"/>
    <mergeCell ref="K40:L40"/>
    <mergeCell ref="N40:O40"/>
    <mergeCell ref="K42:L42"/>
    <mergeCell ref="N42:O42"/>
    <mergeCell ref="K43:L43"/>
    <mergeCell ref="N43:O43"/>
    <mergeCell ref="N45:O45"/>
    <mergeCell ref="Q46:R46"/>
    <mergeCell ref="Q48:R48"/>
    <mergeCell ref="Q52:Q53"/>
    <mergeCell ref="R52:R53"/>
    <mergeCell ref="K55:S55"/>
    <mergeCell ref="D56:R56"/>
    <mergeCell ref="D57:E57"/>
    <mergeCell ref="I57:L57"/>
    <mergeCell ref="N57:Q57"/>
    <mergeCell ref="O18:P19"/>
    <mergeCell ref="Q18:R19"/>
    <mergeCell ref="F45:H45"/>
    <mergeCell ref="F46:H46"/>
    <mergeCell ref="F48:H48"/>
    <mergeCell ref="F52:H53"/>
    <mergeCell ref="C54:J55"/>
    <mergeCell ref="N36:O36"/>
    <mergeCell ref="Q45:R45"/>
    <mergeCell ref="K45:L45"/>
    <mergeCell ref="K28:L28"/>
    <mergeCell ref="N28:O28"/>
    <mergeCell ref="Q28:R28"/>
    <mergeCell ref="Q43:R43"/>
    <mergeCell ref="T40:T41"/>
    <mergeCell ref="T42:T43"/>
    <mergeCell ref="B27:B53"/>
    <mergeCell ref="F36:H36"/>
    <mergeCell ref="F37:H37"/>
    <mergeCell ref="F39:H39"/>
    <mergeCell ref="F40:H40"/>
    <mergeCell ref="AA47:AB47"/>
    <mergeCell ref="F42:H42"/>
    <mergeCell ref="F43:H43"/>
    <mergeCell ref="Z36:AB37"/>
    <mergeCell ref="AC36:AC37"/>
    <mergeCell ref="K37:L37"/>
    <mergeCell ref="N37:O37"/>
    <mergeCell ref="K39:L39"/>
    <mergeCell ref="N39:O39"/>
    <mergeCell ref="S27:S54"/>
    <mergeCell ref="Q37:R37"/>
    <mergeCell ref="Q39:R39"/>
    <mergeCell ref="Q40:R40"/>
    <mergeCell ref="Q42:R42"/>
    <mergeCell ref="Q36:R36"/>
    <mergeCell ref="K36:L36"/>
  </mergeCells>
  <conditionalFormatting sqref="AE10">
    <cfRule type="containsText" dxfId="43" priority="1" operator="containsText" text="Superavit">
      <formula>NOT(ISERROR(SEARCH(("Superavit"),(AE10))))</formula>
    </cfRule>
  </conditionalFormatting>
  <conditionalFormatting sqref="AE10">
    <cfRule type="containsText" dxfId="42" priority="2" operator="containsText" text="deficit">
      <formula>NOT(ISERROR(SEARCH(("deficit"),(AE10))))</formula>
    </cfRule>
  </conditionalFormatting>
  <conditionalFormatting sqref="K52">
    <cfRule type="containsText" dxfId="41" priority="3" operator="containsText" text="Dentro do perfil">
      <formula>NOT(ISERROR(SEARCH(("Dentro do perfil"),(K52))))</formula>
    </cfRule>
  </conditionalFormatting>
  <conditionalFormatting sqref="K52">
    <cfRule type="containsText" dxfId="40" priority="4" operator="containsText" text="Fora do perfil">
      <formula>NOT(ISERROR(SEARCH(("Fora do perfil"),(K52))))</formula>
    </cfRule>
  </conditionalFormatting>
  <conditionalFormatting sqref="F52">
    <cfRule type="containsText" dxfId="39" priority="5" operator="containsText" text="Dentro do perfil">
      <formula>NOT(ISERROR(SEARCH(("Dentro do perfil"),(F52))))</formula>
    </cfRule>
  </conditionalFormatting>
  <conditionalFormatting sqref="F52">
    <cfRule type="containsText" dxfId="38" priority="6" operator="containsText" text="Fora do perfil">
      <formula>NOT(ISERROR(SEARCH(("Fora do perfil"),(F52))))</formula>
    </cfRule>
  </conditionalFormatting>
  <conditionalFormatting sqref="E16 T42">
    <cfRule type="colorScale" priority="7">
      <colorScale>
        <cfvo type="formula" val="0"/>
        <cfvo type="formula" val="5"/>
        <cfvo type="formula" val="10"/>
        <color rgb="FFFF0000"/>
        <color rgb="FFFFFF00"/>
        <color rgb="FF279D27"/>
      </colorScale>
    </cfRule>
  </conditionalFormatting>
  <conditionalFormatting sqref="F43:H43">
    <cfRule type="cellIs" dxfId="37" priority="8" operator="lessThan">
      <formula>0</formula>
    </cfRule>
  </conditionalFormatting>
  <conditionalFormatting sqref="L52">
    <cfRule type="colorScale" priority="9">
      <colorScale>
        <cfvo type="formula" val="0"/>
        <cfvo type="formula" val="5"/>
        <cfvo type="formula" val="10"/>
        <color rgb="FFFF0000"/>
        <color rgb="FFFFFF00"/>
        <color rgb="FF006600"/>
      </colorScale>
    </cfRule>
  </conditionalFormatting>
  <conditionalFormatting sqref="N52">
    <cfRule type="containsText" dxfId="36" priority="10" operator="containsText" text="Dentro do perfil">
      <formula>NOT(ISERROR(SEARCH(("Dentro do perfil"),(N52))))</formula>
    </cfRule>
  </conditionalFormatting>
  <conditionalFormatting sqref="N52">
    <cfRule type="containsText" dxfId="35" priority="11" operator="containsText" text="Fora do perfil">
      <formula>NOT(ISERROR(SEARCH(("Fora do perfil"),(N52))))</formula>
    </cfRule>
  </conditionalFormatting>
  <conditionalFormatting sqref="Q52">
    <cfRule type="containsText" dxfId="34" priority="12" operator="containsText" text="Dentro do perfil">
      <formula>NOT(ISERROR(SEARCH(("Dentro do perfil"),(Q52))))</formula>
    </cfRule>
  </conditionalFormatting>
  <conditionalFormatting sqref="Q52">
    <cfRule type="containsText" dxfId="33" priority="13" operator="containsText" text="Fora do perfil">
      <formula>NOT(ISERROR(SEARCH(("Fora do perfil"),(Q52))))</formula>
    </cfRule>
  </conditionalFormatting>
  <conditionalFormatting sqref="L52:L53">
    <cfRule type="containsText" dxfId="32" priority="14" operator="containsText" text="N/A">
      <formula>NOT(ISERROR(SEARCH(("N/A"),(L52))))</formula>
    </cfRule>
  </conditionalFormatting>
  <conditionalFormatting sqref="O52">
    <cfRule type="colorScale" priority="15">
      <colorScale>
        <cfvo type="formula" val="0"/>
        <cfvo type="formula" val="5"/>
        <cfvo type="formula" val="10"/>
        <color rgb="FFFF0000"/>
        <color rgb="FFFFFF00"/>
        <color rgb="FF006600"/>
      </colorScale>
    </cfRule>
  </conditionalFormatting>
  <conditionalFormatting sqref="O52:O53">
    <cfRule type="containsText" dxfId="31" priority="16" operator="containsText" text="N/A">
      <formula>NOT(ISERROR(SEARCH(("N/A"),(O52))))</formula>
    </cfRule>
  </conditionalFormatting>
  <conditionalFormatting sqref="R52">
    <cfRule type="colorScale" priority="17">
      <colorScale>
        <cfvo type="formula" val="0"/>
        <cfvo type="formula" val="5"/>
        <cfvo type="formula" val="10"/>
        <color rgb="FFFF0000"/>
        <color rgb="FFFFFF00"/>
        <color rgb="FF006600"/>
      </colorScale>
    </cfRule>
  </conditionalFormatting>
  <conditionalFormatting sqref="R52:R53">
    <cfRule type="containsText" dxfId="30" priority="18" operator="containsText" text="N/A">
      <formula>NOT(ISERROR(SEARCH(("N/A"),(R52))))</formula>
    </cfRule>
  </conditionalFormatting>
  <dataValidations count="1">
    <dataValidation type="list" allowBlank="1" showErrorMessage="1" sqref="AO6" xr:uid="{00000000-0002-0000-0200-000000000000}">
      <formula1>$BH$3:$BH$6</formula1>
    </dataValidation>
  </dataValidations>
  <pageMargins left="0.25" right="0.25" top="0.75" bottom="0.75" header="0" footer="0"/>
  <pageSetup paperSize="9" orientation="landscape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1F497D"/>
    <pageSetUpPr fitToPage="1"/>
  </sheetPr>
  <dimension ref="A1:BI1000"/>
  <sheetViews>
    <sheetView showGridLines="0" topLeftCell="D1" zoomScaleNormal="100" workbookViewId="0">
      <selection activeCell="L6" sqref="L6"/>
    </sheetView>
  </sheetViews>
  <sheetFormatPr defaultColWidth="12.625" defaultRowHeight="15" customHeight="1" x14ac:dyDescent="0.2"/>
  <cols>
    <col min="1" max="1" width="5.375" customWidth="1"/>
    <col min="2" max="2" width="2.5" customWidth="1"/>
    <col min="3" max="3" width="3" customWidth="1"/>
    <col min="4" max="4" width="8" customWidth="1"/>
    <col min="5" max="5" width="21.375" customWidth="1"/>
    <col min="6" max="6" width="13.375" customWidth="1"/>
    <col min="7" max="7" width="13.5" customWidth="1"/>
    <col min="8" max="8" width="21.625" customWidth="1"/>
    <col min="9" max="9" width="18.375" customWidth="1"/>
    <col min="10" max="10" width="5.625" customWidth="1"/>
    <col min="11" max="11" width="25.75" customWidth="1"/>
    <col min="12" max="12" width="15.25" customWidth="1"/>
    <col min="13" max="13" width="16.75" customWidth="1"/>
    <col min="14" max="14" width="15.875" customWidth="1"/>
    <col min="15" max="15" width="15.25" customWidth="1"/>
    <col min="16" max="16" width="22.625" customWidth="1"/>
    <col min="17" max="17" width="6.875" customWidth="1"/>
    <col min="18" max="18" width="10" customWidth="1"/>
    <col min="19" max="19" width="12.875" customWidth="1"/>
    <col min="20" max="20" width="26" customWidth="1"/>
    <col min="21" max="21" width="11.625" customWidth="1"/>
    <col min="22" max="22" width="5.625" customWidth="1"/>
    <col min="23" max="23" width="3.625" customWidth="1"/>
    <col min="24" max="25" width="5.5" customWidth="1"/>
    <col min="26" max="26" width="17.875" customWidth="1"/>
    <col min="27" max="27" width="5.5" customWidth="1"/>
    <col min="28" max="28" width="12.25" customWidth="1"/>
    <col min="29" max="30" width="5.5" customWidth="1"/>
    <col min="31" max="31" width="8.125" customWidth="1"/>
    <col min="32" max="39" width="5.5" customWidth="1"/>
    <col min="40" max="40" width="8.75" customWidth="1"/>
    <col min="41" max="41" width="10.75" customWidth="1"/>
    <col min="42" max="42" width="8.75" customWidth="1"/>
    <col min="43" max="43" width="8.5" customWidth="1"/>
    <col min="44" max="44" width="14.375" customWidth="1"/>
    <col min="45" max="45" width="5.5" customWidth="1"/>
    <col min="46" max="46" width="5.875" customWidth="1"/>
    <col min="47" max="47" width="8" customWidth="1"/>
    <col min="48" max="48" width="5.875" customWidth="1"/>
    <col min="49" max="49" width="12.625" customWidth="1"/>
    <col min="50" max="50" width="19.625" customWidth="1"/>
    <col min="51" max="51" width="24.375" customWidth="1"/>
    <col min="52" max="52" width="42.375" customWidth="1"/>
    <col min="53" max="53" width="35.375" customWidth="1"/>
    <col min="54" max="61" width="8" customWidth="1"/>
  </cols>
  <sheetData>
    <row r="1" spans="1:6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9"/>
      <c r="AN1" s="716" t="s">
        <v>127</v>
      </c>
      <c r="AO1" s="717"/>
      <c r="AP1" s="718">
        <f>renda_extra_necessaria</f>
        <v>40000</v>
      </c>
      <c r="AQ1" s="719"/>
      <c r="AR1" s="9"/>
      <c r="AS1" s="9"/>
      <c r="AT1" s="9"/>
      <c r="AU1" s="1"/>
      <c r="AV1" s="1"/>
      <c r="AW1" s="1"/>
      <c r="AX1" s="1"/>
      <c r="AY1" s="1" t="s">
        <v>128</v>
      </c>
      <c r="AZ1" s="1"/>
      <c r="BA1" s="1"/>
      <c r="BB1" s="1"/>
      <c r="BC1" s="1"/>
      <c r="BD1" s="1"/>
      <c r="BE1" s="1"/>
      <c r="BF1" s="1"/>
      <c r="BG1" s="1"/>
      <c r="BH1" s="1"/>
      <c r="BI1" s="1"/>
    </row>
    <row r="2" spans="1:61" x14ac:dyDescent="0.25">
      <c r="A2" s="1"/>
      <c r="B2" s="79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9"/>
      <c r="AN2" s="9"/>
      <c r="AO2" s="9"/>
      <c r="AP2" s="9"/>
      <c r="AQ2" s="9"/>
      <c r="AR2" s="9"/>
      <c r="AS2" s="9"/>
      <c r="AT2" s="9"/>
      <c r="AU2" s="243" t="s">
        <v>129</v>
      </c>
      <c r="AV2" s="1"/>
      <c r="AW2" s="244" t="s">
        <v>9</v>
      </c>
      <c r="AX2" s="245" t="s">
        <v>130</v>
      </c>
      <c r="AY2" s="244" t="s">
        <v>131</v>
      </c>
      <c r="AZ2" s="244" t="s">
        <v>132</v>
      </c>
      <c r="BA2" s="244" t="s">
        <v>133</v>
      </c>
      <c r="BB2" s="1"/>
      <c r="BC2" s="1"/>
      <c r="BD2" s="1"/>
      <c r="BE2" s="1"/>
      <c r="BF2" s="1"/>
      <c r="BG2" s="1"/>
      <c r="BH2" s="1"/>
      <c r="BI2" s="1"/>
    </row>
    <row r="3" spans="1:61" ht="23.25" x14ac:dyDescent="0.35">
      <c r="A3" s="1"/>
      <c r="B3" s="79"/>
      <c r="C3" s="35"/>
      <c r="D3" s="35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35"/>
      <c r="S3" s="35"/>
      <c r="T3" s="35"/>
      <c r="U3" s="35"/>
      <c r="V3" s="35"/>
      <c r="W3" s="17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9"/>
      <c r="AN3" s="246" t="s">
        <v>134</v>
      </c>
      <c r="AO3" s="27"/>
      <c r="AP3" s="27"/>
      <c r="AQ3" s="27"/>
      <c r="AR3" s="247">
        <f>(L5*AN63)/12</f>
        <v>69138.486312399356</v>
      </c>
      <c r="AS3" s="248"/>
      <c r="AT3" s="9"/>
      <c r="AU3" s="249">
        <f>'Resumo das informações'!I8-'Resumo das informações'!I6</f>
        <v>56</v>
      </c>
      <c r="AV3" s="1"/>
      <c r="AW3" s="15">
        <f>F6</f>
        <v>42</v>
      </c>
      <c r="AX3" s="141">
        <f>PV</f>
        <v>1000000</v>
      </c>
      <c r="AY3" s="250">
        <f>PV</f>
        <v>1000000</v>
      </c>
      <c r="AZ3" s="250">
        <f>PV</f>
        <v>1000000</v>
      </c>
      <c r="BA3" s="250">
        <f>L7</f>
        <v>13850000</v>
      </c>
      <c r="BB3" s="1"/>
      <c r="BC3" s="1"/>
      <c r="BD3" s="1"/>
      <c r="BE3" s="1"/>
      <c r="BF3" s="1"/>
      <c r="BG3" s="1"/>
      <c r="BH3" s="1"/>
      <c r="BI3" s="1"/>
    </row>
    <row r="4" spans="1:61" x14ac:dyDescent="0.25">
      <c r="A4" s="1"/>
      <c r="B4" s="79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17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9"/>
      <c r="AN4" s="9"/>
      <c r="AO4" s="9"/>
      <c r="AP4" s="9"/>
      <c r="AQ4" s="9"/>
      <c r="AR4" s="9"/>
      <c r="AS4" s="9"/>
      <c r="AT4" s="9"/>
      <c r="AU4" s="1"/>
      <c r="AV4" s="1"/>
      <c r="AW4" s="15">
        <f t="shared" ref="AW4:AW44" si="0">AW3+1</f>
        <v>43</v>
      </c>
      <c r="AX4" s="141">
        <f t="shared" ref="AX4:AX44" si="1">(AX3*(1+i_real_atual)-(renda_extra_necessaria*12))</f>
        <v>579903.38164251205</v>
      </c>
      <c r="AY4" s="250">
        <f t="shared" ref="AY4:AY44" si="2">AY3*((1+$M$43))-(renda_extra_necessaria*12)</f>
        <v>1000000</v>
      </c>
      <c r="AZ4" s="250">
        <f t="shared" ref="AZ4:AZ44" si="3">(AZ3*(1+$P$43))-(renda_extra_necessaria*12)</f>
        <v>1000000.001541622</v>
      </c>
      <c r="BA4" s="251">
        <f t="shared" ref="BA4:BA44" si="4">(BA3*(1+$T$43))-($AP$1*12)</f>
        <v>14690907.841847796</v>
      </c>
      <c r="BB4" s="1"/>
      <c r="BC4" s="1"/>
      <c r="BD4" s="1"/>
      <c r="BE4" s="1"/>
      <c r="BF4" s="1"/>
      <c r="BG4" s="1"/>
      <c r="BH4" s="1"/>
      <c r="BI4" s="1"/>
    </row>
    <row r="5" spans="1:61" ht="15" customHeight="1" x14ac:dyDescent="0.25">
      <c r="A5" s="1"/>
      <c r="B5" s="79"/>
      <c r="C5" s="35"/>
      <c r="D5" s="35"/>
      <c r="E5" s="252" t="s">
        <v>8</v>
      </c>
      <c r="F5" s="720" t="s">
        <v>250</v>
      </c>
      <c r="G5" s="607"/>
      <c r="H5" s="608"/>
      <c r="I5" s="35"/>
      <c r="J5" s="721" t="s">
        <v>135</v>
      </c>
      <c r="K5" s="607"/>
      <c r="L5" s="253">
        <v>13850000</v>
      </c>
      <c r="M5" s="35"/>
      <c r="N5" s="721" t="s">
        <v>136</v>
      </c>
      <c r="O5" s="607"/>
      <c r="P5" s="253">
        <f>Dados_rendaaposentadoria</f>
        <v>40000</v>
      </c>
      <c r="Q5" s="254"/>
      <c r="R5" s="686" t="s">
        <v>79</v>
      </c>
      <c r="S5" s="687"/>
      <c r="T5" s="722" t="str">
        <f>perfil</f>
        <v>Agressivo</v>
      </c>
      <c r="U5" s="723"/>
      <c r="V5" s="680"/>
      <c r="W5" s="17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02"/>
      <c r="AL5" s="102"/>
      <c r="AM5" s="9"/>
      <c r="AN5" s="9"/>
      <c r="AO5" s="9"/>
      <c r="AP5" s="9"/>
      <c r="AQ5" s="9"/>
      <c r="AR5" s="9"/>
      <c r="AS5" s="255"/>
      <c r="AT5" s="9"/>
      <c r="AU5" s="1"/>
      <c r="AV5" s="1"/>
      <c r="AW5" s="15">
        <f t="shared" si="0"/>
        <v>44</v>
      </c>
      <c r="AX5" s="141">
        <f t="shared" si="1"/>
        <v>134641.55522882682</v>
      </c>
      <c r="AY5" s="250">
        <f t="shared" si="2"/>
        <v>1000000</v>
      </c>
      <c r="AZ5" s="250">
        <f t="shared" si="3"/>
        <v>1000000.0038232224</v>
      </c>
      <c r="BA5" s="251">
        <f t="shared" si="4"/>
        <v>15612015.088935163</v>
      </c>
      <c r="BB5" s="1"/>
      <c r="BC5" s="1"/>
      <c r="BD5" s="1"/>
      <c r="BE5" s="1"/>
      <c r="BF5" s="1"/>
      <c r="BG5" s="1"/>
      <c r="BH5" s="1"/>
      <c r="BI5" s="1"/>
    </row>
    <row r="6" spans="1:61" ht="15" customHeight="1" x14ac:dyDescent="0.25">
      <c r="A6" s="1"/>
      <c r="B6" s="79"/>
      <c r="C6" s="35"/>
      <c r="D6" s="35"/>
      <c r="E6" s="256" t="s">
        <v>9</v>
      </c>
      <c r="F6" s="257">
        <v>42</v>
      </c>
      <c r="G6" s="258" t="s">
        <v>18</v>
      </c>
      <c r="H6" s="259">
        <f>Dados_vida</f>
        <v>80</v>
      </c>
      <c r="I6" s="35"/>
      <c r="J6" s="728" t="s">
        <v>137</v>
      </c>
      <c r="K6" s="592"/>
      <c r="L6" s="260">
        <v>0</v>
      </c>
      <c r="M6" s="35"/>
      <c r="N6" s="728" t="s">
        <v>138</v>
      </c>
      <c r="O6" s="592"/>
      <c r="P6" s="260">
        <f>dados_receitaaposentadoria+SUM('Resumo das informações'!$I$27:$I$31)</f>
        <v>0</v>
      </c>
      <c r="Q6" s="254"/>
      <c r="R6" s="688"/>
      <c r="S6" s="579"/>
      <c r="T6" s="688"/>
      <c r="U6" s="583"/>
      <c r="V6" s="682"/>
      <c r="W6" s="17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5">
        <f t="shared" si="0"/>
        <v>45</v>
      </c>
      <c r="AX6" s="141">
        <f t="shared" si="1"/>
        <v>-337292.96030335943</v>
      </c>
      <c r="AY6" s="250">
        <f t="shared" si="2"/>
        <v>1000000</v>
      </c>
      <c r="AZ6" s="250">
        <f t="shared" si="3"/>
        <v>1000000.007199991</v>
      </c>
      <c r="BA6" s="251">
        <f t="shared" si="4"/>
        <v>16620970.55160813</v>
      </c>
      <c r="BB6" s="1"/>
      <c r="BC6" s="1"/>
      <c r="BD6" s="1"/>
      <c r="BE6" s="1"/>
      <c r="BF6" s="1"/>
      <c r="BG6" s="1"/>
      <c r="BH6" s="1"/>
      <c r="BI6" s="1"/>
    </row>
    <row r="7" spans="1:61" ht="15" customHeight="1" x14ac:dyDescent="0.25">
      <c r="A7" s="1"/>
      <c r="B7" s="79"/>
      <c r="C7" s="35"/>
      <c r="D7" s="35"/>
      <c r="E7" s="261" t="s">
        <v>89</v>
      </c>
      <c r="F7" s="725" t="str">
        <f>dados_objetivo</f>
        <v>Acumular Recursos</v>
      </c>
      <c r="G7" s="724"/>
      <c r="H7" s="651"/>
      <c r="I7" s="35"/>
      <c r="J7" s="726" t="s">
        <v>139</v>
      </c>
      <c r="K7" s="727"/>
      <c r="L7" s="262">
        <f>SUM(L5:L6)</f>
        <v>13850000</v>
      </c>
      <c r="M7" s="35"/>
      <c r="N7" s="726" t="s">
        <v>140</v>
      </c>
      <c r="O7" s="727"/>
      <c r="P7" s="262">
        <f>P5-P6</f>
        <v>40000</v>
      </c>
      <c r="Q7" s="263"/>
      <c r="R7" s="646"/>
      <c r="S7" s="647"/>
      <c r="T7" s="646"/>
      <c r="U7" s="724"/>
      <c r="V7" s="651"/>
      <c r="W7" s="17"/>
      <c r="X7" s="1"/>
      <c r="Y7" s="1"/>
      <c r="Z7" s="1"/>
      <c r="AA7" s="1"/>
      <c r="AB7" s="1"/>
      <c r="AC7" s="1"/>
      <c r="AD7" s="1"/>
      <c r="AE7" s="568" t="s">
        <v>0</v>
      </c>
      <c r="AF7" s="569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5">
        <f t="shared" si="0"/>
        <v>46</v>
      </c>
      <c r="AX7" s="141">
        <f t="shared" si="1"/>
        <v>-837497.94922974426</v>
      </c>
      <c r="AY7" s="250">
        <f t="shared" si="2"/>
        <v>1000000</v>
      </c>
      <c r="AZ7" s="250">
        <f t="shared" si="3"/>
        <v>1000000.0121976086</v>
      </c>
      <c r="BA7" s="251">
        <f t="shared" si="4"/>
        <v>17726152.525668815</v>
      </c>
      <c r="BB7" s="1"/>
      <c r="BC7" s="1"/>
      <c r="BD7" s="1"/>
      <c r="BE7" s="1"/>
      <c r="BF7" s="1"/>
      <c r="BG7" s="1"/>
      <c r="BH7" s="1"/>
      <c r="BI7" s="1"/>
    </row>
    <row r="8" spans="1:61" x14ac:dyDescent="0.25">
      <c r="A8" s="1"/>
      <c r="B8" s="79"/>
      <c r="C8" s="669"/>
      <c r="D8" s="583"/>
      <c r="E8" s="583"/>
      <c r="F8" s="583"/>
      <c r="G8" s="583"/>
      <c r="H8" s="583"/>
      <c r="I8" s="583"/>
      <c r="J8" s="583"/>
      <c r="K8" s="583"/>
      <c r="L8" s="669"/>
      <c r="M8" s="583"/>
      <c r="N8" s="583"/>
      <c r="O8" s="583"/>
      <c r="P8" s="583"/>
      <c r="Q8" s="583"/>
      <c r="R8" s="583"/>
      <c r="S8" s="583"/>
      <c r="T8" s="583"/>
      <c r="U8" s="583"/>
      <c r="V8" s="583"/>
      <c r="W8" s="627"/>
      <c r="X8" s="1"/>
      <c r="Y8" s="1"/>
      <c r="Z8" s="1"/>
      <c r="AA8" s="1"/>
      <c r="AB8" s="1"/>
      <c r="AC8" s="1"/>
      <c r="AD8" s="1"/>
      <c r="AE8" s="570" t="str">
        <f>Dados_Nome</f>
        <v>Marcos</v>
      </c>
      <c r="AF8" s="569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5">
        <f t="shared" si="0"/>
        <v>47</v>
      </c>
      <c r="AX8" s="141">
        <f t="shared" si="1"/>
        <v>-1367666.9085072749</v>
      </c>
      <c r="AY8" s="250">
        <f t="shared" si="2"/>
        <v>1000000</v>
      </c>
      <c r="AZ8" s="250">
        <f t="shared" si="3"/>
        <v>1000000.0195940826</v>
      </c>
      <c r="BA8" s="251">
        <f t="shared" si="4"/>
        <v>18936738.365159504</v>
      </c>
      <c r="BB8" s="1"/>
      <c r="BC8" s="1"/>
      <c r="BD8" s="1"/>
      <c r="BE8" s="1"/>
      <c r="BF8" s="1"/>
      <c r="BG8" s="1"/>
      <c r="BH8" s="1"/>
      <c r="BI8" s="1"/>
    </row>
    <row r="9" spans="1:61" x14ac:dyDescent="0.25">
      <c r="A9" s="1"/>
      <c r="B9" s="79"/>
      <c r="C9" s="35"/>
      <c r="D9" s="35"/>
      <c r="E9" s="19"/>
      <c r="F9" s="19"/>
      <c r="G9" s="100"/>
      <c r="H9" s="35"/>
      <c r="I9" s="35"/>
      <c r="J9" s="35"/>
      <c r="K9" s="35"/>
      <c r="L9" s="35"/>
      <c r="M9" s="35"/>
      <c r="N9" s="35"/>
      <c r="O9" s="35"/>
      <c r="P9" s="100"/>
      <c r="Q9" s="100"/>
      <c r="R9" s="35"/>
      <c r="S9" s="35"/>
      <c r="T9" s="35"/>
      <c r="U9" s="35"/>
      <c r="V9" s="35"/>
      <c r="W9" s="17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5">
        <f t="shared" si="0"/>
        <v>48</v>
      </c>
      <c r="AX9" s="141">
        <f t="shared" si="1"/>
        <v>-1929594.7812874208</v>
      </c>
      <c r="AY9" s="250">
        <f t="shared" si="2"/>
        <v>1000000</v>
      </c>
      <c r="AZ9" s="250">
        <f t="shared" si="3"/>
        <v>1000000.0305408642</v>
      </c>
      <c r="BA9" s="251">
        <f t="shared" si="4"/>
        <v>20262780.69047064</v>
      </c>
      <c r="BB9" s="1"/>
      <c r="BC9" s="1"/>
      <c r="BD9" s="1"/>
      <c r="BE9" s="1"/>
      <c r="BF9" s="1"/>
      <c r="BG9" s="1"/>
      <c r="BH9" s="1"/>
      <c r="BI9" s="1"/>
    </row>
    <row r="10" spans="1:61" ht="18.75" customHeight="1" x14ac:dyDescent="0.25">
      <c r="A10" s="1"/>
      <c r="B10" s="79"/>
      <c r="C10" s="35"/>
      <c r="D10" s="729" t="s">
        <v>141</v>
      </c>
      <c r="E10" s="577"/>
      <c r="F10" s="19"/>
      <c r="G10" s="100"/>
      <c r="H10" s="35"/>
      <c r="I10" s="35"/>
      <c r="J10" s="35"/>
      <c r="K10" s="35"/>
      <c r="L10" s="35"/>
      <c r="M10" s="35"/>
      <c r="N10" s="35"/>
      <c r="O10" s="35"/>
      <c r="P10" s="100"/>
      <c r="Q10" s="100"/>
      <c r="R10" s="35"/>
      <c r="S10" s="711" t="s">
        <v>142</v>
      </c>
      <c r="T10" s="712"/>
      <c r="U10" s="712"/>
      <c r="V10" s="713"/>
      <c r="W10" s="17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5">
        <f t="shared" si="0"/>
        <v>49</v>
      </c>
      <c r="AX10" s="141">
        <f t="shared" si="1"/>
        <v>-2525184.0338862808</v>
      </c>
      <c r="AY10" s="250">
        <f t="shared" si="2"/>
        <v>1000000</v>
      </c>
      <c r="AZ10" s="250">
        <f t="shared" si="3"/>
        <v>1000000.046742101</v>
      </c>
      <c r="BA10" s="251">
        <f t="shared" si="4"/>
        <v>21715290.864599504</v>
      </c>
      <c r="BB10" s="1"/>
      <c r="BC10" s="1"/>
      <c r="BD10" s="1"/>
      <c r="BE10" s="1"/>
      <c r="BF10" s="1"/>
      <c r="BG10" s="1"/>
      <c r="BH10" s="1"/>
      <c r="BI10" s="1"/>
    </row>
    <row r="11" spans="1:61" ht="15" customHeight="1" x14ac:dyDescent="0.25">
      <c r="A11" s="1"/>
      <c r="B11" s="79"/>
      <c r="C11" s="35"/>
      <c r="D11" s="578"/>
      <c r="E11" s="579"/>
      <c r="F11" s="19"/>
      <c r="G11" s="100"/>
      <c r="H11" s="35"/>
      <c r="I11" s="35"/>
      <c r="J11" s="35"/>
      <c r="K11" s="35"/>
      <c r="L11" s="19"/>
      <c r="M11" s="19"/>
      <c r="N11" s="264"/>
      <c r="O11" s="264"/>
      <c r="P11" s="100"/>
      <c r="Q11" s="100"/>
      <c r="R11" s="35"/>
      <c r="S11" s="265" t="str">
        <f t="shared" ref="S11:U11" si="5">Y31</f>
        <v>#</v>
      </c>
      <c r="T11" s="266" t="str">
        <f t="shared" si="5"/>
        <v>Bens Móveis/Imóveis</v>
      </c>
      <c r="U11" s="714">
        <f t="shared" si="5"/>
        <v>0</v>
      </c>
      <c r="V11" s="627"/>
      <c r="W11" s="17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5">
        <f t="shared" si="0"/>
        <v>50</v>
      </c>
      <c r="AX11" s="141">
        <f t="shared" si="1"/>
        <v>-3156451.0967857488</v>
      </c>
      <c r="AY11" s="250">
        <f t="shared" si="2"/>
        <v>1000000</v>
      </c>
      <c r="AZ11" s="250">
        <f t="shared" si="3"/>
        <v>1000000.0707199315</v>
      </c>
      <c r="BA11" s="251">
        <f t="shared" si="4"/>
        <v>23306330.430740681</v>
      </c>
      <c r="BB11" s="1"/>
      <c r="BC11" s="1"/>
      <c r="BD11" s="1"/>
      <c r="BE11" s="1"/>
      <c r="BF11" s="1"/>
      <c r="BG11" s="1"/>
      <c r="BH11" s="1"/>
      <c r="BI11" s="1"/>
    </row>
    <row r="12" spans="1:61" ht="15" customHeight="1" x14ac:dyDescent="0.25">
      <c r="A12" s="1"/>
      <c r="B12" s="79"/>
      <c r="C12" s="35"/>
      <c r="D12" s="578"/>
      <c r="E12" s="579"/>
      <c r="F12" s="158"/>
      <c r="G12" s="158"/>
      <c r="H12" s="158"/>
      <c r="I12" s="158"/>
      <c r="J12" s="158"/>
      <c r="K12" s="19"/>
      <c r="L12" s="147"/>
      <c r="M12" s="58"/>
      <c r="N12" s="58"/>
      <c r="O12" s="146"/>
      <c r="P12" s="146"/>
      <c r="Q12" s="146"/>
      <c r="R12" s="35"/>
      <c r="S12" s="267" t="str">
        <f t="shared" ref="S12:S16" si="6">IF(T12="","",Y32)</f>
        <v/>
      </c>
      <c r="T12" s="268" t="str">
        <f t="shared" ref="T12:T16" si="7">IF(U12=0,"",Z32)</f>
        <v/>
      </c>
      <c r="U12" s="715">
        <f t="shared" ref="U12:U16" si="8">AC32</f>
        <v>0</v>
      </c>
      <c r="V12" s="627"/>
      <c r="W12" s="17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5">
        <f t="shared" si="0"/>
        <v>51</v>
      </c>
      <c r="AX12" s="141">
        <f t="shared" si="1"/>
        <v>-3825533.1914724312</v>
      </c>
      <c r="AY12" s="250">
        <f t="shared" si="2"/>
        <v>1000000</v>
      </c>
      <c r="AZ12" s="250">
        <f t="shared" si="3"/>
        <v>1000000.1062071207</v>
      </c>
      <c r="BA12" s="251">
        <f t="shared" si="4"/>
        <v>25049111.270499621</v>
      </c>
      <c r="BB12" s="1"/>
      <c r="BC12" s="1"/>
      <c r="BD12" s="1"/>
      <c r="BE12" s="1"/>
      <c r="BF12" s="1"/>
      <c r="BG12" s="1"/>
      <c r="BH12" s="1"/>
      <c r="BI12" s="1"/>
    </row>
    <row r="13" spans="1:61" ht="15" customHeight="1" x14ac:dyDescent="0.25">
      <c r="A13" s="1"/>
      <c r="B13" s="79"/>
      <c r="C13" s="35"/>
      <c r="D13" s="578"/>
      <c r="E13" s="579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267" t="str">
        <f t="shared" si="6"/>
        <v/>
      </c>
      <c r="T13" s="269" t="str">
        <f t="shared" si="7"/>
        <v/>
      </c>
      <c r="U13" s="715">
        <f t="shared" si="8"/>
        <v>0</v>
      </c>
      <c r="V13" s="627"/>
      <c r="W13" s="17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5">
        <f t="shared" si="0"/>
        <v>52</v>
      </c>
      <c r="AX13" s="141">
        <f t="shared" si="1"/>
        <v>-4534695.566227302</v>
      </c>
      <c r="AY13" s="250">
        <f t="shared" si="2"/>
        <v>1000000</v>
      </c>
      <c r="AZ13" s="250">
        <f t="shared" si="3"/>
        <v>1000000.1587281607</v>
      </c>
      <c r="BA13" s="251">
        <f t="shared" si="4"/>
        <v>26958105.314436153</v>
      </c>
      <c r="BB13" s="1"/>
      <c r="BC13" s="1"/>
      <c r="BD13" s="1"/>
      <c r="BE13" s="1"/>
      <c r="BF13" s="1"/>
      <c r="BG13" s="1"/>
      <c r="BH13" s="1"/>
      <c r="BI13" s="1"/>
    </row>
    <row r="14" spans="1:61" ht="15" customHeight="1" x14ac:dyDescent="0.25">
      <c r="A14" s="1"/>
      <c r="B14" s="79"/>
      <c r="C14" s="35"/>
      <c r="D14" s="580"/>
      <c r="E14" s="581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267" t="str">
        <f t="shared" si="6"/>
        <v/>
      </c>
      <c r="T14" s="268" t="str">
        <f t="shared" si="7"/>
        <v/>
      </c>
      <c r="U14" s="715" t="str">
        <f t="shared" si="8"/>
        <v/>
      </c>
      <c r="V14" s="627"/>
      <c r="W14" s="17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5">
        <f t="shared" si="0"/>
        <v>53</v>
      </c>
      <c r="AX14" s="141">
        <f t="shared" si="1"/>
        <v>-5286339.1653636238</v>
      </c>
      <c r="AY14" s="250">
        <f t="shared" si="2"/>
        <v>1000000</v>
      </c>
      <c r="AZ14" s="250">
        <f t="shared" si="3"/>
        <v>1000000.2364592999</v>
      </c>
      <c r="BA14" s="251">
        <f t="shared" si="4"/>
        <v>29049164.715966657</v>
      </c>
      <c r="BB14" s="1"/>
      <c r="BC14" s="1"/>
      <c r="BD14" s="1"/>
      <c r="BE14" s="1"/>
      <c r="BF14" s="1"/>
      <c r="BG14" s="1"/>
      <c r="BH14" s="1"/>
      <c r="BI14" s="1"/>
    </row>
    <row r="15" spans="1:61" ht="15" customHeight="1" x14ac:dyDescent="0.25">
      <c r="A15" s="1"/>
      <c r="B15" s="79"/>
      <c r="C15" s="35"/>
      <c r="D15" s="730">
        <f>IFERROR(NPER(i_real_atual,-(AP1*12),PV,0,0)+F6,"Renda Vitalicia")</f>
        <v>44.2912774194237</v>
      </c>
      <c r="E15" s="577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267" t="str">
        <f t="shared" si="6"/>
        <v/>
      </c>
      <c r="T15" s="268" t="str">
        <f t="shared" si="7"/>
        <v/>
      </c>
      <c r="U15" s="715" t="str">
        <f t="shared" si="8"/>
        <v/>
      </c>
      <c r="V15" s="627"/>
      <c r="W15" s="17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5">
        <f t="shared" si="0"/>
        <v>54</v>
      </c>
      <c r="AX15" s="141">
        <f t="shared" si="1"/>
        <v>-6083008.7578781601</v>
      </c>
      <c r="AY15" s="250">
        <f t="shared" si="2"/>
        <v>1000000</v>
      </c>
      <c r="AZ15" s="250">
        <f t="shared" si="3"/>
        <v>1000000.3515013861</v>
      </c>
      <c r="BA15" s="251">
        <f t="shared" si="4"/>
        <v>31339653.486540567</v>
      </c>
      <c r="BB15" s="1"/>
      <c r="BC15" s="1"/>
      <c r="BD15" s="1"/>
      <c r="BE15" s="1"/>
      <c r="BF15" s="1"/>
      <c r="BG15" s="1"/>
      <c r="BH15" s="1"/>
      <c r="BI15" s="1"/>
    </row>
    <row r="16" spans="1:61" ht="15" customHeight="1" x14ac:dyDescent="0.25">
      <c r="A16" s="1"/>
      <c r="B16" s="79"/>
      <c r="C16" s="35"/>
      <c r="D16" s="578"/>
      <c r="E16" s="579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270" t="str">
        <f t="shared" si="6"/>
        <v/>
      </c>
      <c r="T16" s="271" t="str">
        <f t="shared" si="7"/>
        <v/>
      </c>
      <c r="U16" s="271" t="str">
        <f t="shared" si="8"/>
        <v/>
      </c>
      <c r="V16" s="272"/>
      <c r="W16" s="17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41"/>
      <c r="AS16" s="1"/>
      <c r="AT16" s="1"/>
      <c r="AU16" s="1"/>
      <c r="AV16" s="1"/>
      <c r="AW16" s="15">
        <f t="shared" si="0"/>
        <v>55</v>
      </c>
      <c r="AX16" s="141">
        <f t="shared" si="1"/>
        <v>-6927401.5530360788</v>
      </c>
      <c r="AY16" s="250">
        <f t="shared" si="2"/>
        <v>1000000</v>
      </c>
      <c r="AZ16" s="250">
        <f t="shared" si="3"/>
        <v>1000000.521763674</v>
      </c>
      <c r="BA16" s="251">
        <f t="shared" si="4"/>
        <v>33848591.685180575</v>
      </c>
      <c r="BB16" s="1"/>
      <c r="BC16" s="1"/>
      <c r="BD16" s="1"/>
      <c r="BE16" s="1"/>
      <c r="BF16" s="1"/>
      <c r="BG16" s="1"/>
      <c r="BH16" s="1"/>
      <c r="BI16" s="1"/>
    </row>
    <row r="17" spans="1:61" ht="15" customHeight="1" x14ac:dyDescent="0.25">
      <c r="A17" s="1"/>
      <c r="B17" s="79"/>
      <c r="C17" s="35"/>
      <c r="D17" s="578"/>
      <c r="E17" s="579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79"/>
      <c r="T17" s="79"/>
      <c r="U17" s="79"/>
      <c r="V17" s="79"/>
      <c r="W17" s="17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41"/>
      <c r="AS17" s="1"/>
      <c r="AT17" s="1"/>
      <c r="AU17" s="1"/>
      <c r="AV17" s="1"/>
      <c r="AW17" s="15">
        <f t="shared" si="0"/>
        <v>56</v>
      </c>
      <c r="AX17" s="141">
        <f t="shared" si="1"/>
        <v>-7822376.3320585303</v>
      </c>
      <c r="AY17" s="250">
        <f t="shared" si="2"/>
        <v>1000000</v>
      </c>
      <c r="AZ17" s="250">
        <f t="shared" si="3"/>
        <v>1000000.7737518603</v>
      </c>
      <c r="BA17" s="251">
        <f t="shared" si="4"/>
        <v>36596813.359726362</v>
      </c>
      <c r="BB17" s="1"/>
      <c r="BC17" s="1"/>
      <c r="BD17" s="1"/>
      <c r="BE17" s="1"/>
      <c r="BF17" s="1"/>
      <c r="BG17" s="1"/>
      <c r="BH17" s="1"/>
      <c r="BI17" s="1"/>
    </row>
    <row r="18" spans="1:61" ht="15" customHeight="1" x14ac:dyDescent="0.25">
      <c r="A18" s="1"/>
      <c r="B18" s="79"/>
      <c r="C18" s="35"/>
      <c r="D18" s="578"/>
      <c r="E18" s="579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711" t="s">
        <v>143</v>
      </c>
      <c r="T18" s="712"/>
      <c r="U18" s="712"/>
      <c r="V18" s="713"/>
      <c r="W18" s="17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41"/>
      <c r="AS18" s="1"/>
      <c r="AT18" s="1"/>
      <c r="AU18" s="1"/>
      <c r="AV18" s="1"/>
      <c r="AW18" s="15">
        <f t="shared" si="0"/>
        <v>57</v>
      </c>
      <c r="AX18" s="141">
        <f t="shared" si="1"/>
        <v>-8770963.1268291865</v>
      </c>
      <c r="AY18" s="250">
        <f t="shared" si="2"/>
        <v>1000000</v>
      </c>
      <c r="AZ18" s="250">
        <f t="shared" si="3"/>
        <v>1000001.1466943764</v>
      </c>
      <c r="BA18" s="251">
        <f t="shared" si="4"/>
        <v>39607139.55131501</v>
      </c>
      <c r="BB18" s="1"/>
      <c r="BC18" s="1"/>
      <c r="BD18" s="1"/>
      <c r="BE18" s="1"/>
      <c r="BF18" s="1"/>
      <c r="BG18" s="1"/>
      <c r="BH18" s="1"/>
      <c r="BI18" s="1"/>
    </row>
    <row r="19" spans="1:61" ht="15.75" customHeight="1" x14ac:dyDescent="0.25">
      <c r="A19" s="1"/>
      <c r="B19" s="79"/>
      <c r="C19" s="35"/>
      <c r="D19" s="578"/>
      <c r="E19" s="579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270" t="s">
        <v>144</v>
      </c>
      <c r="T19" s="273"/>
      <c r="U19" s="274">
        <f>L5</f>
        <v>13850000</v>
      </c>
      <c r="V19" s="275"/>
      <c r="W19" s="1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41"/>
      <c r="AS19" s="1"/>
      <c r="AT19" s="1"/>
      <c r="AU19" s="1"/>
      <c r="AV19" s="1"/>
      <c r="AW19" s="15">
        <f t="shared" si="0"/>
        <v>58</v>
      </c>
      <c r="AX19" s="141">
        <f t="shared" si="1"/>
        <v>-9776373.4783880357</v>
      </c>
      <c r="AY19" s="250">
        <f t="shared" si="2"/>
        <v>1000000</v>
      </c>
      <c r="AZ19" s="250">
        <f t="shared" si="3"/>
        <v>1000001.6986493007</v>
      </c>
      <c r="BA19" s="251">
        <f t="shared" si="4"/>
        <v>42904567.798715152</v>
      </c>
      <c r="BB19" s="1"/>
      <c r="BC19" s="1"/>
      <c r="BD19" s="1"/>
      <c r="BE19" s="1"/>
      <c r="BF19" s="1"/>
      <c r="BG19" s="1"/>
      <c r="BH19" s="1"/>
      <c r="BI19" s="1"/>
    </row>
    <row r="20" spans="1:61" ht="15.75" customHeight="1" x14ac:dyDescent="0.25">
      <c r="A20" s="1"/>
      <c r="B20" s="79"/>
      <c r="C20" s="35"/>
      <c r="D20" s="578"/>
      <c r="E20" s="579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79"/>
      <c r="T20" s="79"/>
      <c r="U20" s="79"/>
      <c r="V20" s="79"/>
      <c r="W20" s="17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41"/>
      <c r="AS20" s="1"/>
      <c r="AT20" s="1"/>
      <c r="AU20" s="1"/>
      <c r="AV20" s="1"/>
      <c r="AW20" s="15">
        <f t="shared" si="0"/>
        <v>59</v>
      </c>
      <c r="AX20" s="141">
        <f t="shared" si="1"/>
        <v>-10842011.309943648</v>
      </c>
      <c r="AY20" s="250">
        <f t="shared" si="2"/>
        <v>1000000</v>
      </c>
      <c r="AZ20" s="250">
        <f t="shared" si="3"/>
        <v>1000002.5155425896</v>
      </c>
      <c r="BA20" s="251">
        <f t="shared" si="4"/>
        <v>46516479.716145717</v>
      </c>
      <c r="BB20" s="1"/>
      <c r="BC20" s="1"/>
      <c r="BD20" s="1"/>
      <c r="BE20" s="1"/>
      <c r="BF20" s="1"/>
      <c r="BG20" s="1"/>
      <c r="BH20" s="1"/>
      <c r="BI20" s="1"/>
    </row>
    <row r="21" spans="1:61" ht="15" customHeight="1" x14ac:dyDescent="0.25">
      <c r="A21" s="1"/>
      <c r="B21" s="79"/>
      <c r="C21" s="35"/>
      <c r="D21" s="580"/>
      <c r="E21" s="581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731" t="s">
        <v>145</v>
      </c>
      <c r="T21" s="732"/>
      <c r="U21" s="732"/>
      <c r="V21" s="733"/>
      <c r="W21" s="17"/>
      <c r="X21" s="1"/>
      <c r="Y21" s="1"/>
      <c r="Z21" s="1">
        <v>0</v>
      </c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41"/>
      <c r="AS21" s="1"/>
      <c r="AT21" s="1"/>
      <c r="AU21" s="1"/>
      <c r="AV21" s="1"/>
      <c r="AW21" s="15">
        <f t="shared" si="0"/>
        <v>60</v>
      </c>
      <c r="AX21" s="141">
        <f t="shared" si="1"/>
        <v>-11971484.451215634</v>
      </c>
      <c r="AY21" s="250">
        <f t="shared" si="2"/>
        <v>1000000</v>
      </c>
      <c r="AZ21" s="250">
        <f t="shared" si="3"/>
        <v>1000003.7245446583</v>
      </c>
      <c r="BA21" s="251">
        <f t="shared" si="4"/>
        <v>50472868.368290901</v>
      </c>
      <c r="BB21" s="1"/>
      <c r="BC21" s="1"/>
      <c r="BD21" s="1"/>
      <c r="BE21" s="1"/>
      <c r="BF21" s="1"/>
      <c r="BG21" s="1"/>
      <c r="BH21" s="1"/>
      <c r="BI21" s="1"/>
    </row>
    <row r="22" spans="1:61" ht="15.75" customHeight="1" x14ac:dyDescent="0.25">
      <c r="A22" s="1"/>
      <c r="B22" s="79"/>
      <c r="C22" s="35"/>
      <c r="D22" s="35"/>
      <c r="E22" s="35"/>
      <c r="F22" s="35"/>
      <c r="G22" s="35"/>
      <c r="H22" s="35"/>
      <c r="I22" s="35"/>
      <c r="J22" s="146"/>
      <c r="K22" s="19"/>
      <c r="L22" s="147"/>
      <c r="M22" s="58"/>
      <c r="N22" s="58"/>
      <c r="O22" s="146"/>
      <c r="P22" s="146"/>
      <c r="Q22" s="146"/>
      <c r="R22" s="35"/>
      <c r="S22" s="734">
        <f>'Proteção Familiar'!P28</f>
        <v>200000</v>
      </c>
      <c r="T22" s="735"/>
      <c r="U22" s="735"/>
      <c r="V22" s="736"/>
      <c r="W22" s="17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41"/>
      <c r="AS22" s="1"/>
      <c r="AT22" s="1"/>
      <c r="AU22" s="1"/>
      <c r="AV22" s="1"/>
      <c r="AW22" s="15">
        <f t="shared" si="0"/>
        <v>61</v>
      </c>
      <c r="AX22" s="141">
        <f t="shared" si="1"/>
        <v>-13168616.853124203</v>
      </c>
      <c r="AY22" s="250">
        <f t="shared" si="2"/>
        <v>1000000</v>
      </c>
      <c r="AZ22" s="250">
        <f t="shared" si="3"/>
        <v>1000005.5138677219</v>
      </c>
      <c r="BA22" s="251">
        <f t="shared" si="4"/>
        <v>54806587.330617763</v>
      </c>
      <c r="BB22" s="1"/>
      <c r="BC22" s="1"/>
      <c r="BD22" s="1"/>
      <c r="BE22" s="1"/>
      <c r="BF22" s="1"/>
      <c r="BG22" s="1"/>
      <c r="BH22" s="1"/>
      <c r="BI22" s="1"/>
    </row>
    <row r="23" spans="1:61" ht="15.75" customHeight="1" x14ac:dyDescent="0.25">
      <c r="A23" s="1"/>
      <c r="B23" s="79"/>
      <c r="C23" s="35"/>
      <c r="D23" s="35"/>
      <c r="E23" s="35"/>
      <c r="F23" s="146"/>
      <c r="G23" s="146"/>
      <c r="H23" s="146"/>
      <c r="I23" s="146"/>
      <c r="J23" s="146"/>
      <c r="K23" s="19"/>
      <c r="L23" s="147"/>
      <c r="M23" s="58"/>
      <c r="N23" s="58"/>
      <c r="O23" s="146"/>
      <c r="P23" s="146"/>
      <c r="Q23" s="146"/>
      <c r="R23" s="35"/>
      <c r="S23" s="35"/>
      <c r="T23" s="35"/>
      <c r="U23" s="35"/>
      <c r="V23" s="35"/>
      <c r="W23" s="17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41"/>
      <c r="AS23" s="1"/>
      <c r="AT23" s="1"/>
      <c r="AU23" s="1"/>
      <c r="AV23" s="1"/>
      <c r="AW23" s="15">
        <f t="shared" si="0"/>
        <v>62</v>
      </c>
      <c r="AX23" s="141">
        <f t="shared" si="1"/>
        <v>-14437461.534180919</v>
      </c>
      <c r="AY23" s="250">
        <f t="shared" si="2"/>
        <v>1000000</v>
      </c>
      <c r="AZ23" s="250">
        <f t="shared" si="3"/>
        <v>1000008.1620658587</v>
      </c>
      <c r="BA23" s="251">
        <f t="shared" si="4"/>
        <v>59553623.503175817</v>
      </c>
      <c r="BB23" s="1"/>
      <c r="BC23" s="1"/>
      <c r="BD23" s="1"/>
      <c r="BE23" s="1"/>
      <c r="BF23" s="1"/>
      <c r="BG23" s="1"/>
      <c r="BH23" s="1"/>
      <c r="BI23" s="1"/>
    </row>
    <row r="24" spans="1:61" ht="15" customHeight="1" x14ac:dyDescent="0.25">
      <c r="A24" s="1"/>
      <c r="B24" s="79"/>
      <c r="C24" s="35"/>
      <c r="D24" s="35"/>
      <c r="E24" s="276"/>
      <c r="F24" s="35"/>
      <c r="G24" s="35"/>
      <c r="H24" s="79"/>
      <c r="I24" s="277"/>
      <c r="J24" s="277"/>
      <c r="K24" s="277"/>
      <c r="L24" s="35"/>
      <c r="M24" s="278"/>
      <c r="N24" s="279"/>
      <c r="O24" s="279"/>
      <c r="P24" s="280"/>
      <c r="Q24" s="35"/>
      <c r="R24" s="35"/>
      <c r="S24" s="35"/>
      <c r="T24" s="35"/>
      <c r="U24" s="35"/>
      <c r="V24" s="35"/>
      <c r="W24" s="17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41"/>
      <c r="AS24" s="1"/>
      <c r="AT24" s="1"/>
      <c r="AU24" s="1"/>
      <c r="AV24" s="1"/>
      <c r="AW24" s="15">
        <f t="shared" si="0"/>
        <v>63</v>
      </c>
      <c r="AX24" s="141">
        <f t="shared" si="1"/>
        <v>-15782314.302412046</v>
      </c>
      <c r="AY24" s="250">
        <f t="shared" si="2"/>
        <v>1000000</v>
      </c>
      <c r="AZ24" s="250">
        <f t="shared" si="3"/>
        <v>1000012.0813991055</v>
      </c>
      <c r="BA24" s="251">
        <f t="shared" si="4"/>
        <v>64753395.943305507</v>
      </c>
      <c r="BB24" s="1"/>
      <c r="BC24" s="1"/>
      <c r="BD24" s="1"/>
      <c r="BE24" s="1"/>
      <c r="BF24" s="1"/>
      <c r="BG24" s="1"/>
      <c r="BH24" s="1"/>
      <c r="BI24" s="1"/>
    </row>
    <row r="25" spans="1:61" ht="16.5" customHeight="1" x14ac:dyDescent="0.3">
      <c r="A25" s="1"/>
      <c r="B25" s="79"/>
      <c r="C25" s="35"/>
      <c r="D25" s="35"/>
      <c r="E25" s="35"/>
      <c r="F25" s="35"/>
      <c r="G25" s="35"/>
      <c r="H25" s="277"/>
      <c r="I25" s="277"/>
      <c r="J25" s="277"/>
      <c r="K25" s="277"/>
      <c r="L25" s="657" t="s">
        <v>110</v>
      </c>
      <c r="M25" s="583"/>
      <c r="N25" s="35"/>
      <c r="O25" s="657" t="s">
        <v>111</v>
      </c>
      <c r="P25" s="583"/>
      <c r="Q25" s="35"/>
      <c r="R25" s="35"/>
      <c r="S25" s="657" t="s">
        <v>112</v>
      </c>
      <c r="T25" s="583"/>
      <c r="U25" s="35"/>
      <c r="V25" s="35"/>
      <c r="W25" s="17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5">
        <f t="shared" si="0"/>
        <v>64</v>
      </c>
      <c r="AX25" s="141">
        <f t="shared" si="1"/>
        <v>-17207728.299271509</v>
      </c>
      <c r="AY25" s="250">
        <f t="shared" si="2"/>
        <v>1000000</v>
      </c>
      <c r="AZ25" s="250">
        <f t="shared" si="3"/>
        <v>1000017.8820123167</v>
      </c>
      <c r="BA25" s="251">
        <f t="shared" si="4"/>
        <v>70449083.198741436</v>
      </c>
      <c r="BB25" s="1"/>
      <c r="BC25" s="1"/>
      <c r="BD25" s="1"/>
      <c r="BE25" s="1"/>
      <c r="BF25" s="1"/>
      <c r="BG25" s="1"/>
      <c r="BH25" s="1"/>
      <c r="BI25" s="1"/>
    </row>
    <row r="26" spans="1:61" ht="15.75" customHeight="1" x14ac:dyDescent="0.3">
      <c r="A26" s="1"/>
      <c r="B26" s="79"/>
      <c r="C26" s="35"/>
      <c r="D26" s="35"/>
      <c r="E26" s="281" t="s">
        <v>31</v>
      </c>
      <c r="F26" s="282" t="s">
        <v>32</v>
      </c>
      <c r="G26" s="282" t="s">
        <v>107</v>
      </c>
      <c r="H26" s="282" t="s">
        <v>108</v>
      </c>
      <c r="I26" s="283" t="s">
        <v>109</v>
      </c>
      <c r="J26" s="35"/>
      <c r="K26" s="35"/>
      <c r="L26" s="79"/>
      <c r="M26" s="79"/>
      <c r="N26" s="79"/>
      <c r="O26" s="79"/>
      <c r="P26" s="79"/>
      <c r="Q26" s="79"/>
      <c r="R26" s="79"/>
      <c r="S26" s="79"/>
      <c r="T26" s="284"/>
      <c r="U26" s="284"/>
      <c r="V26" s="284"/>
      <c r="W26" s="17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5">
        <f t="shared" si="0"/>
        <v>65</v>
      </c>
      <c r="AX26" s="141">
        <f t="shared" si="1"/>
        <v>-18718529.414783426</v>
      </c>
      <c r="AY26" s="250">
        <f t="shared" si="2"/>
        <v>1000000</v>
      </c>
      <c r="AZ26" s="250">
        <f t="shared" si="3"/>
        <v>1000026.4669198783</v>
      </c>
      <c r="BA26" s="251">
        <f t="shared" si="4"/>
        <v>76687981.859261677</v>
      </c>
      <c r="BB26" s="1"/>
      <c r="BC26" s="1"/>
      <c r="BD26" s="1"/>
      <c r="BE26" s="1"/>
      <c r="BF26" s="1"/>
      <c r="BG26" s="1"/>
      <c r="BH26" s="1"/>
      <c r="BI26" s="1"/>
    </row>
    <row r="27" spans="1:61" ht="15.75" customHeight="1" x14ac:dyDescent="0.25">
      <c r="A27" s="1"/>
      <c r="B27" s="79"/>
      <c r="C27" s="35"/>
      <c r="D27" s="35"/>
      <c r="E27" s="285" t="str">
        <f>'Resumo das informações'!E18</f>
        <v>Carteira</v>
      </c>
      <c r="F27" s="286">
        <v>1400000</v>
      </c>
      <c r="G27" s="287">
        <f>'Resumo das informações'!G18</f>
        <v>1</v>
      </c>
      <c r="H27" s="288">
        <f t="shared" ref="H27:H31" si="9">I27*$G$52</f>
        <v>9.7000000000000003E-2</v>
      </c>
      <c r="I27" s="289">
        <f>'Resumo das informações'!H18</f>
        <v>1</v>
      </c>
      <c r="J27" s="35"/>
      <c r="K27" s="290"/>
      <c r="L27" s="291"/>
      <c r="M27" s="292"/>
      <c r="N27" s="292"/>
      <c r="O27" s="292"/>
      <c r="P27" s="293"/>
      <c r="Q27" s="35"/>
      <c r="R27" s="35"/>
      <c r="S27" s="35"/>
      <c r="T27" s="35"/>
      <c r="U27" s="35"/>
      <c r="V27" s="35"/>
      <c r="W27" s="17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5">
        <f t="shared" si="0"/>
        <v>66</v>
      </c>
      <c r="AX27" s="141">
        <f t="shared" si="1"/>
        <v>-20319832.626103785</v>
      </c>
      <c r="AY27" s="250">
        <f t="shared" si="2"/>
        <v>1000000</v>
      </c>
      <c r="AZ27" s="250">
        <f t="shared" si="3"/>
        <v>1000039.1725830825</v>
      </c>
      <c r="BA27" s="251">
        <f t="shared" si="4"/>
        <v>83521899.304271087</v>
      </c>
      <c r="BB27" s="1"/>
      <c r="BC27" s="1"/>
      <c r="BD27" s="1"/>
      <c r="BE27" s="1"/>
      <c r="BF27" s="1"/>
      <c r="BG27" s="1"/>
      <c r="BH27" s="1"/>
      <c r="BI27" s="1"/>
    </row>
    <row r="28" spans="1:61" ht="15.75" customHeight="1" x14ac:dyDescent="0.25">
      <c r="A28" s="1"/>
      <c r="B28" s="79"/>
      <c r="C28" s="35"/>
      <c r="D28" s="35"/>
      <c r="E28" s="294">
        <f>'Resumo das informações'!E19</f>
        <v>0</v>
      </c>
      <c r="F28" s="295">
        <f>'Resumo das informações'!F19</f>
        <v>0</v>
      </c>
      <c r="G28" s="296">
        <f>'Resumo das informações'!G19</f>
        <v>0</v>
      </c>
      <c r="H28" s="297">
        <f t="shared" si="9"/>
        <v>0</v>
      </c>
      <c r="I28" s="298">
        <f>'Resumo das informações'!H19</f>
        <v>0</v>
      </c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17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5">
        <f t="shared" si="0"/>
        <v>67</v>
      </c>
      <c r="AX28" s="141">
        <f t="shared" si="1"/>
        <v>-22017059.31481725</v>
      </c>
      <c r="AY28" s="250">
        <f t="shared" si="2"/>
        <v>1000000</v>
      </c>
      <c r="AZ28" s="250">
        <f t="shared" si="3"/>
        <v>1000057.9769646444</v>
      </c>
      <c r="BA28" s="251">
        <f t="shared" si="4"/>
        <v>91007583.907667026</v>
      </c>
      <c r="BB28" s="1"/>
      <c r="BC28" s="1"/>
      <c r="BD28" s="1"/>
      <c r="BE28" s="1"/>
      <c r="BF28" s="1"/>
      <c r="BG28" s="1"/>
      <c r="BH28" s="1"/>
      <c r="BI28" s="1"/>
    </row>
    <row r="29" spans="1:61" ht="15.75" customHeight="1" x14ac:dyDescent="0.25">
      <c r="A29" s="1"/>
      <c r="B29" s="79"/>
      <c r="C29" s="35"/>
      <c r="D29" s="35"/>
      <c r="E29" s="285">
        <f>'Resumo das informações'!E20</f>
        <v>0</v>
      </c>
      <c r="F29" s="286">
        <f>'Resumo das informações'!F20</f>
        <v>0</v>
      </c>
      <c r="G29" s="287">
        <f>'Resumo das informações'!G20</f>
        <v>0</v>
      </c>
      <c r="H29" s="288">
        <f t="shared" si="9"/>
        <v>0</v>
      </c>
      <c r="I29" s="289">
        <f>'Resumo das informações'!H20</f>
        <v>0</v>
      </c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17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5">
        <f t="shared" si="0"/>
        <v>68</v>
      </c>
      <c r="AX29" s="141">
        <f t="shared" si="1"/>
        <v>-23815955.621598572</v>
      </c>
      <c r="AY29" s="250">
        <f t="shared" si="2"/>
        <v>1000000</v>
      </c>
      <c r="AZ29" s="250">
        <f t="shared" si="3"/>
        <v>1000085.8074493851</v>
      </c>
      <c r="BA29" s="251">
        <f t="shared" si="4"/>
        <v>99207196.272378847</v>
      </c>
      <c r="BB29" s="1"/>
      <c r="BC29" s="1"/>
      <c r="BD29" s="1"/>
      <c r="BE29" s="1"/>
      <c r="BF29" s="1"/>
      <c r="BG29" s="1"/>
      <c r="BH29" s="1"/>
      <c r="BI29" s="1"/>
    </row>
    <row r="30" spans="1:61" ht="15.75" customHeight="1" x14ac:dyDescent="0.25">
      <c r="A30" s="1"/>
      <c r="B30" s="79"/>
      <c r="C30" s="35"/>
      <c r="D30" s="35"/>
      <c r="E30" s="294">
        <f>'Resumo das informações'!E21</f>
        <v>0</v>
      </c>
      <c r="F30" s="295">
        <f>'Resumo das informações'!F21</f>
        <v>0</v>
      </c>
      <c r="G30" s="296">
        <f>'Resumo das informações'!G21</f>
        <v>0</v>
      </c>
      <c r="H30" s="297">
        <f t="shared" si="9"/>
        <v>0</v>
      </c>
      <c r="I30" s="298">
        <f>'Resumo das informações'!H21</f>
        <v>0</v>
      </c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17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5">
        <f t="shared" si="0"/>
        <v>69</v>
      </c>
      <c r="AX30" s="141">
        <f t="shared" si="1"/>
        <v>-25722611.900380321</v>
      </c>
      <c r="AY30" s="250">
        <f t="shared" si="2"/>
        <v>1000000</v>
      </c>
      <c r="AZ30" s="250">
        <f t="shared" si="3"/>
        <v>1000126.9965668442</v>
      </c>
      <c r="BA30" s="251">
        <f t="shared" si="4"/>
        <v>108188825.40767984</v>
      </c>
      <c r="BB30" s="1"/>
      <c r="BC30" s="1"/>
      <c r="BD30" s="1"/>
      <c r="BE30" s="1"/>
      <c r="BF30" s="1"/>
      <c r="BG30" s="1"/>
      <c r="BH30" s="1"/>
      <c r="BI30" s="1"/>
    </row>
    <row r="31" spans="1:61" ht="15.75" customHeight="1" x14ac:dyDescent="0.25">
      <c r="A31" s="1"/>
      <c r="B31" s="79"/>
      <c r="C31" s="35"/>
      <c r="D31" s="35"/>
      <c r="E31" s="285" t="str">
        <f>'Resumo das informações'!E22</f>
        <v>Previdência</v>
      </c>
      <c r="F31" s="286">
        <f>'Resumo das informações'!F22</f>
        <v>0</v>
      </c>
      <c r="G31" s="287">
        <f>'Resumo das informações'!G22</f>
        <v>0</v>
      </c>
      <c r="H31" s="288">
        <f t="shared" si="9"/>
        <v>0</v>
      </c>
      <c r="I31" s="289">
        <f>'Resumo das informações'!H22</f>
        <v>0</v>
      </c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17"/>
      <c r="X31" s="1"/>
      <c r="Y31" s="299" t="s">
        <v>146</v>
      </c>
      <c r="Z31" s="707" t="s">
        <v>42</v>
      </c>
      <c r="AA31" s="708"/>
      <c r="AB31" s="299" t="s">
        <v>147</v>
      </c>
      <c r="AC31" s="709" t="s">
        <v>43</v>
      </c>
      <c r="AD31" s="569"/>
      <c r="AE31" s="206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5">
        <f t="shared" si="0"/>
        <v>70</v>
      </c>
      <c r="AX31" s="141">
        <f t="shared" si="1"/>
        <v>-27743483.337891027</v>
      </c>
      <c r="AY31" s="250">
        <f t="shared" si="2"/>
        <v>1000000</v>
      </c>
      <c r="AZ31" s="250">
        <f t="shared" si="3"/>
        <v>1000187.9564607472</v>
      </c>
      <c r="BA31" s="251">
        <f t="shared" si="4"/>
        <v>118027054.135572</v>
      </c>
      <c r="BB31" s="1"/>
      <c r="BC31" s="1"/>
      <c r="BD31" s="1"/>
      <c r="BE31" s="1"/>
      <c r="BF31" s="1"/>
      <c r="BG31" s="1"/>
      <c r="BH31" s="1"/>
      <c r="BI31" s="1"/>
    </row>
    <row r="32" spans="1:61" ht="15.75" customHeight="1" x14ac:dyDescent="0.25">
      <c r="A32" s="1"/>
      <c r="B32" s="79"/>
      <c r="C32" s="35"/>
      <c r="D32" s="35"/>
      <c r="E32" s="261" t="s">
        <v>39</v>
      </c>
      <c r="F32" s="300">
        <f>SUM(F27:F31)</f>
        <v>1400000</v>
      </c>
      <c r="G32" s="301">
        <v>1</v>
      </c>
      <c r="H32" s="302">
        <f t="shared" ref="H32:I32" si="10">$G$27*H27+$G$28*H28+$G$29*H29+$G$30*H30+$G$31*H31</f>
        <v>9.7000000000000003E-2</v>
      </c>
      <c r="I32" s="303">
        <f t="shared" si="10"/>
        <v>1</v>
      </c>
      <c r="J32" s="35"/>
      <c r="K32" s="290"/>
      <c r="L32" s="710">
        <f>Dados_vida</f>
        <v>80</v>
      </c>
      <c r="M32" s="608"/>
      <c r="N32" s="292"/>
      <c r="O32" s="710">
        <f>Dados_vida</f>
        <v>80</v>
      </c>
      <c r="P32" s="608"/>
      <c r="Q32" s="79"/>
      <c r="R32" s="79"/>
      <c r="S32" s="710">
        <f>Dados_vida</f>
        <v>80</v>
      </c>
      <c r="T32" s="608"/>
      <c r="U32" s="35"/>
      <c r="V32" s="35"/>
      <c r="W32" s="17"/>
      <c r="X32" s="1"/>
      <c r="Y32" s="304" t="s">
        <v>148</v>
      </c>
      <c r="Z32" s="706" t="str">
        <f>IF('Resumo das informações'!E27="","",'Resumo das informações'!E27)</f>
        <v>Casa Própria</v>
      </c>
      <c r="AA32" s="569"/>
      <c r="AB32" s="305" t="b">
        <v>1</v>
      </c>
      <c r="AC32" s="706">
        <f>IF(Z32="","",'Resumo das informações'!F27)</f>
        <v>0</v>
      </c>
      <c r="AD32" s="569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5">
        <f t="shared" si="0"/>
        <v>71</v>
      </c>
      <c r="AX32" s="141">
        <f t="shared" si="1"/>
        <v>-29885411.808373388</v>
      </c>
      <c r="AY32" s="250">
        <f t="shared" si="2"/>
        <v>1000000</v>
      </c>
      <c r="AZ32" s="250">
        <f t="shared" si="3"/>
        <v>1000278.1771038175</v>
      </c>
      <c r="BA32" s="251">
        <f t="shared" si="4"/>
        <v>128803578.42133889</v>
      </c>
      <c r="BB32" s="1"/>
      <c r="BC32" s="1"/>
      <c r="BD32" s="1"/>
      <c r="BE32" s="1"/>
      <c r="BF32" s="1"/>
      <c r="BG32" s="1"/>
      <c r="BH32" s="1"/>
      <c r="BI32" s="1"/>
    </row>
    <row r="33" spans="1:61" ht="15.75" customHeight="1" x14ac:dyDescent="0.25">
      <c r="A33" s="1"/>
      <c r="B33" s="79"/>
      <c r="C33" s="35"/>
      <c r="D33" s="35"/>
      <c r="E33" s="35"/>
      <c r="F33" s="35"/>
      <c r="G33" s="35"/>
      <c r="H33" s="35"/>
      <c r="I33" s="146"/>
      <c r="J33" s="146"/>
      <c r="K33" s="19"/>
      <c r="L33" s="738">
        <f>Dados_patrimoniofinanceiro</f>
        <v>1000000</v>
      </c>
      <c r="M33" s="704"/>
      <c r="N33" s="306"/>
      <c r="O33" s="621">
        <v>12000000</v>
      </c>
      <c r="P33" s="622"/>
      <c r="Q33" s="79"/>
      <c r="R33" s="79"/>
      <c r="S33" s="738">
        <v>0</v>
      </c>
      <c r="T33" s="704"/>
      <c r="U33" s="35"/>
      <c r="V33" s="35"/>
      <c r="W33" s="17"/>
      <c r="X33" s="1"/>
      <c r="Y33" s="307" t="s">
        <v>149</v>
      </c>
      <c r="Z33" s="706" t="str">
        <f>IF('Resumo das informações'!E28="","",'Resumo das informações'!E28)</f>
        <v>Veículo</v>
      </c>
      <c r="AA33" s="569"/>
      <c r="AB33" s="305" t="b">
        <v>1</v>
      </c>
      <c r="AC33" s="706">
        <f>IF(Z33="","",'Resumo das informações'!F28)</f>
        <v>0</v>
      </c>
      <c r="AD33" s="569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5">
        <f t="shared" si="0"/>
        <v>72</v>
      </c>
      <c r="AX33" s="141">
        <f t="shared" si="1"/>
        <v>-32155649.037474018</v>
      </c>
      <c r="AY33" s="250">
        <f t="shared" si="2"/>
        <v>1000000</v>
      </c>
      <c r="AZ33" s="250">
        <f t="shared" si="3"/>
        <v>1000411.7036557007</v>
      </c>
      <c r="BA33" s="251">
        <f t="shared" si="4"/>
        <v>140607885.77114424</v>
      </c>
      <c r="BB33" s="1"/>
      <c r="BC33" s="1"/>
      <c r="BD33" s="1"/>
      <c r="BE33" s="1"/>
      <c r="BF33" s="1"/>
      <c r="BG33" s="1"/>
      <c r="BH33" s="1"/>
      <c r="BI33" s="1"/>
    </row>
    <row r="34" spans="1:61" ht="15.75" customHeight="1" x14ac:dyDescent="0.25">
      <c r="A34" s="1"/>
      <c r="B34" s="79"/>
      <c r="C34" s="35"/>
      <c r="D34" s="35"/>
      <c r="E34" s="35"/>
      <c r="F34" s="35"/>
      <c r="G34" s="35"/>
      <c r="H34" s="35"/>
      <c r="I34" s="35"/>
      <c r="J34" s="291"/>
      <c r="K34" s="19"/>
      <c r="L34" s="79"/>
      <c r="M34" s="79"/>
      <c r="N34" s="306"/>
      <c r="O34" s="79"/>
      <c r="P34" s="79"/>
      <c r="Q34" s="79"/>
      <c r="R34" s="79"/>
      <c r="S34" s="79"/>
      <c r="T34" s="79"/>
      <c r="U34" s="35"/>
      <c r="V34" s="35"/>
      <c r="W34" s="17"/>
      <c r="X34" s="1"/>
      <c r="Y34" s="307" t="s">
        <v>150</v>
      </c>
      <c r="Z34" s="706" t="str">
        <f>IF('Resumo das informações'!E29="","",'Resumo das informações'!E29)</f>
        <v/>
      </c>
      <c r="AA34" s="569"/>
      <c r="AB34" s="305" t="b">
        <v>1</v>
      </c>
      <c r="AC34" s="706" t="str">
        <f>IF(Z34="","",'Resumo das informações'!F29)</f>
        <v/>
      </c>
      <c r="AD34" s="569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5">
        <f t="shared" si="0"/>
        <v>73</v>
      </c>
      <c r="AX34" s="141">
        <f t="shared" si="1"/>
        <v>-34561881.1537285</v>
      </c>
      <c r="AY34" s="250">
        <f t="shared" si="2"/>
        <v>1000000</v>
      </c>
      <c r="AZ34" s="250">
        <f t="shared" si="3"/>
        <v>1000609.3229526936</v>
      </c>
      <c r="BA34" s="251">
        <f t="shared" si="4"/>
        <v>153537998.33004269</v>
      </c>
      <c r="BB34" s="1"/>
      <c r="BC34" s="1"/>
      <c r="BD34" s="1"/>
      <c r="BE34" s="1"/>
      <c r="BF34" s="1"/>
      <c r="BG34" s="1"/>
      <c r="BH34" s="1"/>
      <c r="BI34" s="1"/>
    </row>
    <row r="35" spans="1:61" ht="15" customHeight="1" x14ac:dyDescent="0.25">
      <c r="A35" s="1"/>
      <c r="B35" s="79"/>
      <c r="C35" s="35"/>
      <c r="D35" s="35"/>
      <c r="E35" s="35"/>
      <c r="F35" s="606">
        <f>Dados_vida</f>
        <v>80</v>
      </c>
      <c r="G35" s="607"/>
      <c r="H35" s="608"/>
      <c r="I35" s="35"/>
      <c r="J35" s="146"/>
      <c r="K35" s="35"/>
      <c r="L35" s="710" t="s">
        <v>140</v>
      </c>
      <c r="M35" s="608"/>
      <c r="N35" s="58"/>
      <c r="O35" s="710" t="s">
        <v>140</v>
      </c>
      <c r="P35" s="608"/>
      <c r="Q35" s="35"/>
      <c r="R35" s="35"/>
      <c r="S35" s="710" t="s">
        <v>140</v>
      </c>
      <c r="T35" s="608"/>
      <c r="U35" s="35"/>
      <c r="V35" s="35"/>
      <c r="W35" s="17"/>
      <c r="X35" s="1"/>
      <c r="Y35" s="307" t="s">
        <v>151</v>
      </c>
      <c r="Z35" s="706" t="str">
        <f>IF('Resumo das informações'!E30="","",'Resumo das informações'!E30)</f>
        <v/>
      </c>
      <c r="AA35" s="569"/>
      <c r="AB35" s="305" t="b">
        <v>1</v>
      </c>
      <c r="AC35" s="706" t="str">
        <f>IF(Z35="","",'Resumo das informações'!F30)</f>
        <v/>
      </c>
      <c r="AD35" s="569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5">
        <f t="shared" si="0"/>
        <v>74</v>
      </c>
      <c r="AX35" s="141">
        <f t="shared" si="1"/>
        <v>-37112254.710763447</v>
      </c>
      <c r="AY35" s="250">
        <f t="shared" si="2"/>
        <v>1000000</v>
      </c>
      <c r="AZ35" s="250">
        <f t="shared" si="3"/>
        <v>1000901.7995125477</v>
      </c>
      <c r="BA35" s="251">
        <f t="shared" si="4"/>
        <v>167701286.85103673</v>
      </c>
      <c r="BB35" s="1"/>
      <c r="BC35" s="1"/>
      <c r="BD35" s="1"/>
      <c r="BE35" s="1"/>
      <c r="BF35" s="1"/>
      <c r="BG35" s="1"/>
      <c r="BH35" s="1"/>
      <c r="BI35" s="1"/>
    </row>
    <row r="36" spans="1:61" ht="15" customHeight="1" x14ac:dyDescent="0.25">
      <c r="A36" s="1"/>
      <c r="B36" s="79"/>
      <c r="C36" s="35"/>
      <c r="D36" s="35"/>
      <c r="E36" s="185"/>
      <c r="F36" s="747">
        <f>VLOOKUP(F35,AW2:AX44,2,0)</f>
        <v>-55962996.399209253</v>
      </c>
      <c r="G36" s="748"/>
      <c r="H36" s="649"/>
      <c r="I36" s="35"/>
      <c r="J36" s="146"/>
      <c r="K36" s="35"/>
      <c r="L36" s="738">
        <f>renda_extra_necessaria</f>
        <v>40000</v>
      </c>
      <c r="M36" s="704"/>
      <c r="N36" s="58"/>
      <c r="O36" s="738">
        <f>renda_extra_necessaria</f>
        <v>40000</v>
      </c>
      <c r="P36" s="704"/>
      <c r="Q36" s="146"/>
      <c r="R36" s="35"/>
      <c r="S36" s="621">
        <v>110750</v>
      </c>
      <c r="T36" s="622"/>
      <c r="U36" s="35"/>
      <c r="V36" s="35"/>
      <c r="W36" s="17"/>
      <c r="X36" s="1"/>
      <c r="Y36" s="308" t="s">
        <v>152</v>
      </c>
      <c r="Z36" s="706" t="str">
        <f>IF('Resumo das informações'!E31="","",'Resumo das informações'!E31)</f>
        <v/>
      </c>
      <c r="AA36" s="569"/>
      <c r="AB36" s="305" t="b">
        <v>1</v>
      </c>
      <c r="AC36" s="706" t="str">
        <f>IF(Z36="","",'Resumo das informações'!F31)</f>
        <v/>
      </c>
      <c r="AD36" s="569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5">
        <f t="shared" si="0"/>
        <v>75</v>
      </c>
      <c r="AX36" s="141">
        <f t="shared" si="1"/>
        <v>-39815404.268316425</v>
      </c>
      <c r="AY36" s="250">
        <f t="shared" si="2"/>
        <v>1000000</v>
      </c>
      <c r="AZ36" s="250">
        <f t="shared" si="3"/>
        <v>1001334.6648215826</v>
      </c>
      <c r="BA36" s="251">
        <f t="shared" si="4"/>
        <v>183215362.29432201</v>
      </c>
      <c r="BB36" s="1"/>
      <c r="BC36" s="1"/>
      <c r="BD36" s="1"/>
      <c r="BE36" s="1"/>
      <c r="BF36" s="1"/>
      <c r="BG36" s="1"/>
      <c r="BH36" s="1"/>
      <c r="BI36" s="1"/>
    </row>
    <row r="37" spans="1:61" ht="15" customHeight="1" x14ac:dyDescent="0.25">
      <c r="A37" s="1"/>
      <c r="B37" s="79"/>
      <c r="C37" s="35"/>
      <c r="D37" s="35"/>
      <c r="E37" s="185"/>
      <c r="F37" s="688"/>
      <c r="G37" s="583"/>
      <c r="H37" s="682"/>
      <c r="I37" s="35"/>
      <c r="J37" s="146"/>
      <c r="K37" s="19"/>
      <c r="L37" s="147"/>
      <c r="M37" s="58"/>
      <c r="N37" s="58"/>
      <c r="O37" s="147"/>
      <c r="P37" s="58"/>
      <c r="Q37" s="146"/>
      <c r="R37" s="35"/>
      <c r="S37" s="147"/>
      <c r="T37" s="58"/>
      <c r="U37" s="35"/>
      <c r="V37" s="35"/>
      <c r="W37" s="17"/>
      <c r="X37" s="1"/>
      <c r="Y37" s="206"/>
      <c r="Z37" s="1"/>
      <c r="AA37" s="309"/>
      <c r="AB37" s="309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5">
        <f t="shared" si="0"/>
        <v>76</v>
      </c>
      <c r="AX37" s="141">
        <f t="shared" si="1"/>
        <v>-42680481.625452287</v>
      </c>
      <c r="AY37" s="250">
        <f t="shared" si="2"/>
        <v>1000000</v>
      </c>
      <c r="AZ37" s="250">
        <f t="shared" si="3"/>
        <v>1001975.3054796217</v>
      </c>
      <c r="BA37" s="251">
        <f t="shared" si="4"/>
        <v>200209052.46049926</v>
      </c>
      <c r="BB37" s="1"/>
      <c r="BC37" s="1"/>
      <c r="BD37" s="1"/>
      <c r="BE37" s="1"/>
      <c r="BF37" s="1"/>
      <c r="BG37" s="1"/>
      <c r="BH37" s="1"/>
      <c r="BI37" s="1"/>
    </row>
    <row r="38" spans="1:61" ht="15" customHeight="1" x14ac:dyDescent="0.25">
      <c r="A38" s="1"/>
      <c r="B38" s="79"/>
      <c r="C38" s="35"/>
      <c r="D38" s="35"/>
      <c r="E38" s="185"/>
      <c r="F38" s="688"/>
      <c r="G38" s="583"/>
      <c r="H38" s="682"/>
      <c r="I38" s="35"/>
      <c r="J38" s="146"/>
      <c r="K38" s="19"/>
      <c r="L38" s="739">
        <f>Dados_vida</f>
        <v>80</v>
      </c>
      <c r="M38" s="608"/>
      <c r="N38" s="58"/>
      <c r="O38" s="739">
        <f>Dados_vida</f>
        <v>80</v>
      </c>
      <c r="P38" s="608"/>
      <c r="Q38" s="146"/>
      <c r="R38" s="35"/>
      <c r="S38" s="753">
        <f>Dados_vida</f>
        <v>80</v>
      </c>
      <c r="T38" s="754"/>
      <c r="U38" s="310"/>
      <c r="V38" s="35"/>
      <c r="W38" s="17"/>
      <c r="X38" s="1"/>
      <c r="Y38" s="1"/>
      <c r="Z38" s="1"/>
      <c r="AA38" s="309"/>
      <c r="AB38" s="309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5">
        <f t="shared" si="0"/>
        <v>77</v>
      </c>
      <c r="AX38" s="141">
        <f t="shared" si="1"/>
        <v>-45717186.80494798</v>
      </c>
      <c r="AY38" s="250">
        <f t="shared" si="2"/>
        <v>1000000</v>
      </c>
      <c r="AZ38" s="250">
        <f t="shared" si="3"/>
        <v>1002923.4536545072</v>
      </c>
      <c r="BA38" s="251">
        <f t="shared" si="4"/>
        <v>218823471.76764658</v>
      </c>
      <c r="BB38" s="1"/>
      <c r="BC38" s="1"/>
      <c r="BD38" s="1"/>
      <c r="BE38" s="1"/>
      <c r="BF38" s="1"/>
      <c r="BG38" s="1"/>
      <c r="BH38" s="1"/>
      <c r="BI38" s="1"/>
    </row>
    <row r="39" spans="1:61" ht="15" customHeight="1" x14ac:dyDescent="0.25">
      <c r="A39" s="1"/>
      <c r="B39" s="79"/>
      <c r="C39" s="35"/>
      <c r="D39" s="35"/>
      <c r="E39" s="185"/>
      <c r="F39" s="646"/>
      <c r="G39" s="724"/>
      <c r="H39" s="651"/>
      <c r="I39" s="35"/>
      <c r="J39" s="35"/>
      <c r="K39" s="19"/>
      <c r="L39" s="738">
        <f>Dados_patrimonionaofinanceiro</f>
        <v>0</v>
      </c>
      <c r="M39" s="704"/>
      <c r="N39" s="58"/>
      <c r="O39" s="738">
        <f>Dados_patrimonionaofinanceiro</f>
        <v>0</v>
      </c>
      <c r="P39" s="704"/>
      <c r="Q39" s="146"/>
      <c r="R39" s="35"/>
      <c r="S39" s="621">
        <f>SUMIF(AB31:AC36,"verdadeiro",AC31:AD36)</f>
        <v>0</v>
      </c>
      <c r="T39" s="749"/>
      <c r="U39" s="310"/>
      <c r="V39" s="35"/>
      <c r="W39" s="17"/>
      <c r="X39" s="1"/>
      <c r="Y39" s="1"/>
      <c r="Z39" s="1"/>
      <c r="AA39" s="309"/>
      <c r="AB39" s="309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5">
        <f t="shared" si="0"/>
        <v>78</v>
      </c>
      <c r="AX39" s="141">
        <f t="shared" si="1"/>
        <v>-48935800.893746793</v>
      </c>
      <c r="AY39" s="250">
        <f t="shared" si="2"/>
        <v>1000000</v>
      </c>
      <c r="AZ39" s="250">
        <f t="shared" si="3"/>
        <v>1004326.7129547994</v>
      </c>
      <c r="BA39" s="251">
        <f t="shared" si="4"/>
        <v>239213193.05560645</v>
      </c>
      <c r="BB39" s="1"/>
      <c r="BC39" s="1"/>
      <c r="BD39" s="1"/>
      <c r="BE39" s="1"/>
      <c r="BF39" s="1"/>
      <c r="BG39" s="1"/>
      <c r="BH39" s="1"/>
      <c r="BI39" s="1"/>
    </row>
    <row r="40" spans="1:61" ht="15" customHeight="1" x14ac:dyDescent="0.25">
      <c r="A40" s="1"/>
      <c r="B40" s="79"/>
      <c r="C40" s="35"/>
      <c r="D40" s="35"/>
      <c r="E40" s="35"/>
      <c r="F40" s="35"/>
      <c r="G40" s="35"/>
      <c r="H40" s="35"/>
      <c r="I40" s="146"/>
      <c r="J40" s="35"/>
      <c r="K40" s="35"/>
      <c r="L40" s="35"/>
      <c r="M40" s="35"/>
      <c r="N40" s="79"/>
      <c r="O40" s="35"/>
      <c r="P40" s="35"/>
      <c r="Q40" s="35"/>
      <c r="R40" s="35"/>
      <c r="S40" s="35"/>
      <c r="T40" s="35"/>
      <c r="U40" s="35"/>
      <c r="V40" s="35"/>
      <c r="W40" s="17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5">
        <f t="shared" si="0"/>
        <v>79</v>
      </c>
      <c r="AX40" s="141">
        <f t="shared" si="1"/>
        <v>-52347220.850666888</v>
      </c>
      <c r="AY40" s="250">
        <f t="shared" si="2"/>
        <v>1000000</v>
      </c>
      <c r="AZ40" s="250">
        <f t="shared" si="3"/>
        <v>1006403.5367213951</v>
      </c>
      <c r="BA40" s="251">
        <f t="shared" si="4"/>
        <v>261547531.14806864</v>
      </c>
      <c r="BB40" s="1"/>
      <c r="BC40" s="1"/>
      <c r="BD40" s="1"/>
      <c r="BE40" s="1"/>
      <c r="BF40" s="1"/>
      <c r="BG40" s="1"/>
      <c r="BH40" s="1"/>
      <c r="BI40" s="1"/>
    </row>
    <row r="41" spans="1:61" ht="15.75" customHeight="1" x14ac:dyDescent="0.25">
      <c r="A41" s="1"/>
      <c r="B41" s="79"/>
      <c r="C41" s="35"/>
      <c r="D41" s="35"/>
      <c r="E41" s="35"/>
      <c r="F41" s="652" t="str">
        <f>IF(I.R="sem considerar I.R","Rentabilidade sem considerar I.R",I.R)</f>
        <v>Rentabilidade sem considerar I.R</v>
      </c>
      <c r="G41" s="607"/>
      <c r="H41" s="608"/>
      <c r="I41" s="35"/>
      <c r="J41" s="35"/>
      <c r="K41" s="35"/>
      <c r="L41" s="664" t="s">
        <v>153</v>
      </c>
      <c r="M41" s="608"/>
      <c r="N41" s="79"/>
      <c r="O41" s="664" t="s">
        <v>153</v>
      </c>
      <c r="P41" s="608"/>
      <c r="Q41" s="79"/>
      <c r="R41" s="79"/>
      <c r="S41" s="664" t="s">
        <v>153</v>
      </c>
      <c r="T41" s="608"/>
      <c r="U41" s="35"/>
      <c r="V41" s="35"/>
      <c r="W41" s="17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5">
        <f t="shared" si="0"/>
        <v>80</v>
      </c>
      <c r="AX41" s="141">
        <f t="shared" si="1"/>
        <v>-55962996.399209253</v>
      </c>
      <c r="AY41" s="250">
        <f t="shared" si="2"/>
        <v>1000000</v>
      </c>
      <c r="AZ41" s="250">
        <f t="shared" si="3"/>
        <v>1009477.2358991585</v>
      </c>
      <c r="BA41" s="251">
        <f t="shared" si="4"/>
        <v>286011948.83105886</v>
      </c>
      <c r="BB41" s="1"/>
      <c r="BC41" s="1"/>
      <c r="BD41" s="1"/>
      <c r="BE41" s="1"/>
      <c r="BF41" s="1"/>
      <c r="BG41" s="1"/>
      <c r="BH41" s="1"/>
      <c r="BI41" s="1"/>
    </row>
    <row r="42" spans="1:61" ht="15.75" customHeight="1" x14ac:dyDescent="0.3">
      <c r="A42" s="1"/>
      <c r="B42" s="79"/>
      <c r="C42" s="35"/>
      <c r="D42" s="35"/>
      <c r="E42" s="35"/>
      <c r="F42" s="191" t="s">
        <v>118</v>
      </c>
      <c r="G42" s="192"/>
      <c r="H42" s="193" t="s">
        <v>119</v>
      </c>
      <c r="I42" s="35"/>
      <c r="J42" s="35"/>
      <c r="K42" s="35"/>
      <c r="L42" s="194" t="s">
        <v>120</v>
      </c>
      <c r="M42" s="195" t="s">
        <v>121</v>
      </c>
      <c r="N42" s="79"/>
      <c r="O42" s="194" t="s">
        <v>120</v>
      </c>
      <c r="P42" s="195" t="s">
        <v>121</v>
      </c>
      <c r="Q42" s="79"/>
      <c r="R42" s="79"/>
      <c r="S42" s="194" t="s">
        <v>120</v>
      </c>
      <c r="T42" s="195" t="s">
        <v>121</v>
      </c>
      <c r="U42" s="35"/>
      <c r="V42" s="35"/>
      <c r="W42" s="17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5">
        <f t="shared" si="0"/>
        <v>81</v>
      </c>
      <c r="AX42" s="141">
        <f t="shared" si="1"/>
        <v>-59795369.130369611</v>
      </c>
      <c r="AY42" s="250">
        <f t="shared" si="2"/>
        <v>1000000</v>
      </c>
      <c r="AZ42" s="250">
        <f t="shared" si="3"/>
        <v>1014026.3106869869</v>
      </c>
      <c r="BA42" s="251">
        <f t="shared" si="4"/>
        <v>312809596.92298061</v>
      </c>
      <c r="BB42" s="1"/>
      <c r="BC42" s="1"/>
      <c r="BD42" s="1"/>
      <c r="BE42" s="1"/>
      <c r="BF42" s="1"/>
      <c r="BG42" s="1"/>
      <c r="BH42" s="1"/>
      <c r="BI42" s="1"/>
    </row>
    <row r="43" spans="1:61" ht="15.75" customHeight="1" x14ac:dyDescent="0.25">
      <c r="A43" s="1"/>
      <c r="B43" s="79"/>
      <c r="C43" s="35"/>
      <c r="D43" s="35"/>
      <c r="E43" s="35"/>
      <c r="F43" s="196">
        <f>i_atual*(IFERROR(1-I.R,1))</f>
        <v>9.7000000000000003E-2</v>
      </c>
      <c r="G43" s="197"/>
      <c r="H43" s="198">
        <f>(1+F43)/(1+inflação)-1</f>
        <v>5.9903381642512077E-2</v>
      </c>
      <c r="I43" s="35"/>
      <c r="J43" s="35"/>
      <c r="K43" s="35"/>
      <c r="L43" s="199">
        <f>IF(I.R="Sem considerar I.R",((1+M43)*(1+inflação)-1),((1+M43)*(1+inflação)-1)/(1-I.R))</f>
        <v>0.53179999999999983</v>
      </c>
      <c r="M43" s="200">
        <f>IFERROR(RATE(n_vida,renda_extra_necessaria*12,-PV,L33,0,2),"")</f>
        <v>0.48000000000000004</v>
      </c>
      <c r="N43" s="79"/>
      <c r="O43" s="199">
        <f>IF(I.R="Sem considerar I.R",((1+P43)*(1+inflação)-1),((1+P43)*(1+inflação)-1)/(1-I.R))</f>
        <v>0.53180000159557861</v>
      </c>
      <c r="P43" s="200">
        <f>IFERROR(RATE(n_vida,renda_extra_necessaria*12,-PV,O33,0,2),"")</f>
        <v>0.48000000154162181</v>
      </c>
      <c r="Q43" s="79"/>
      <c r="R43" s="79"/>
      <c r="S43" s="199">
        <f>IF(I.R="Sem considerar I.R",((1+T43)*(1+inflação)-1),((1+T43)*(1+inflação)-1)/(1-I.R))</f>
        <v>0.13371044161100842</v>
      </c>
      <c r="T43" s="200">
        <f>IFERROR(RATE(n_vida,S36*12,-L7+S39,L6-S39,0,2),"")</f>
        <v>9.5372407353631616E-2</v>
      </c>
      <c r="U43" s="35"/>
      <c r="V43" s="35"/>
      <c r="W43" s="17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5">
        <f t="shared" si="0"/>
        <v>82</v>
      </c>
      <c r="AX43" s="141">
        <f t="shared" si="1"/>
        <v>-63857313.947841026</v>
      </c>
      <c r="AY43" s="250">
        <f t="shared" si="2"/>
        <v>1000000</v>
      </c>
      <c r="AZ43" s="250">
        <f t="shared" si="3"/>
        <v>1020758.9413799858</v>
      </c>
      <c r="BA43" s="251">
        <f t="shared" si="4"/>
        <v>342163001.2248444</v>
      </c>
      <c r="BB43" s="1"/>
      <c r="BC43" s="1"/>
      <c r="BD43" s="1"/>
      <c r="BE43" s="1"/>
      <c r="BF43" s="1"/>
      <c r="BG43" s="1"/>
      <c r="BH43" s="1"/>
      <c r="BI43" s="1"/>
    </row>
    <row r="44" spans="1:61" ht="15.75" customHeight="1" x14ac:dyDescent="0.25">
      <c r="A44" s="1"/>
      <c r="B44" s="79"/>
      <c r="C44" s="35"/>
      <c r="D44" s="35"/>
      <c r="E44" s="35"/>
      <c r="F44" s="35"/>
      <c r="G44" s="35"/>
      <c r="H44" s="35"/>
      <c r="I44" s="35"/>
      <c r="J44" s="35"/>
      <c r="K44" s="203"/>
      <c r="L44" s="311"/>
      <c r="M44" s="312"/>
      <c r="N44" s="35"/>
      <c r="O44" s="35"/>
      <c r="P44" s="35"/>
      <c r="Q44" s="35"/>
      <c r="R44" s="35"/>
      <c r="S44" s="35"/>
      <c r="T44" s="35"/>
      <c r="U44" s="35"/>
      <c r="V44" s="35"/>
      <c r="W44" s="17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42">
        <f t="shared" si="0"/>
        <v>83</v>
      </c>
      <c r="AX44" s="141">
        <f t="shared" si="1"/>
        <v>-68162582.995924249</v>
      </c>
      <c r="AY44" s="250">
        <f t="shared" si="2"/>
        <v>1000000</v>
      </c>
      <c r="AZ44" s="250">
        <f t="shared" si="3"/>
        <v>1030723.2348160034</v>
      </c>
      <c r="BA44" s="313">
        <f t="shared" si="4"/>
        <v>374315910.3590014</v>
      </c>
      <c r="BB44" s="1"/>
      <c r="BC44" s="1"/>
      <c r="BD44" s="1"/>
      <c r="BE44" s="1"/>
      <c r="BF44" s="1"/>
      <c r="BG44" s="1"/>
      <c r="BH44" s="1"/>
      <c r="BI44" s="1"/>
    </row>
    <row r="45" spans="1:61" ht="15.75" customHeight="1" x14ac:dyDescent="0.25">
      <c r="A45" s="1"/>
      <c r="B45" s="79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17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4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</row>
    <row r="46" spans="1:61" ht="15" customHeight="1" x14ac:dyDescent="0.25">
      <c r="A46" s="1"/>
      <c r="B46" s="79"/>
      <c r="C46" s="35"/>
      <c r="D46" s="35"/>
      <c r="E46" s="35"/>
      <c r="F46" s="35"/>
      <c r="G46" s="35"/>
      <c r="H46" s="35"/>
      <c r="I46" s="35"/>
      <c r="J46" s="35"/>
      <c r="K46" s="35"/>
      <c r="L46" s="740" t="str">
        <f>IF(VLOOKUP(perfil,'Resumo das informações'!$W$11:$X$14,2,0)*dados_cdi&gt;L43,"Dentro do perfil de risco","Fora do perfil de risco")</f>
        <v>Fora do perfil de risco</v>
      </c>
      <c r="M46" s="741"/>
      <c r="N46" s="673"/>
      <c r="O46" s="740" t="str">
        <f>IF(VLOOKUP(perfil,'Resumo das informações'!$W$11:$X$14,2,0)*dados_cdi&gt;O43,"Dentro do perfil de risco","Fora do perfil de risco")</f>
        <v>Fora do perfil de risco</v>
      </c>
      <c r="P46" s="741"/>
      <c r="Q46" s="35"/>
      <c r="R46" s="35"/>
      <c r="S46" s="740" t="str">
        <f>IF(VLOOKUP(perfil,'Resumo das informações'!$W$11:$X$14,2,0)*dados_cdi&gt;S43,"Dentro do perfil de risco","Fora do perfil de risco")</f>
        <v>Dentro do perfil de risco</v>
      </c>
      <c r="T46" s="741"/>
      <c r="U46" s="35"/>
      <c r="V46" s="35"/>
      <c r="W46" s="17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</row>
    <row r="47" spans="1:61" ht="15" customHeight="1" x14ac:dyDescent="0.25">
      <c r="A47" s="1"/>
      <c r="B47" s="79"/>
      <c r="C47" s="35"/>
      <c r="D47" s="35"/>
      <c r="E47" s="35"/>
      <c r="F47" s="35"/>
      <c r="G47" s="35"/>
      <c r="H47" s="35"/>
      <c r="I47" s="181"/>
      <c r="J47" s="35"/>
      <c r="K47" s="35"/>
      <c r="L47" s="742"/>
      <c r="M47" s="668"/>
      <c r="N47" s="666"/>
      <c r="O47" s="742"/>
      <c r="P47" s="668"/>
      <c r="Q47" s="35"/>
      <c r="R47" s="35"/>
      <c r="S47" s="742"/>
      <c r="T47" s="668"/>
      <c r="U47" s="35"/>
      <c r="V47" s="35"/>
      <c r="W47" s="17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</row>
    <row r="48" spans="1:61" ht="15.75" customHeight="1" x14ac:dyDescent="0.25">
      <c r="A48" s="1"/>
      <c r="B48" s="79"/>
      <c r="C48" s="35"/>
      <c r="D48" s="35"/>
      <c r="E48" s="35"/>
      <c r="F48" s="35"/>
      <c r="G48" s="184"/>
      <c r="H48" s="184"/>
      <c r="I48" s="184"/>
      <c r="J48" s="35"/>
      <c r="K48" s="35"/>
      <c r="L48" s="3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17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</row>
    <row r="49" spans="1:61" ht="15.75" customHeight="1" x14ac:dyDescent="0.25">
      <c r="A49" s="1"/>
      <c r="B49" s="79"/>
      <c r="C49" s="35"/>
      <c r="D49" s="35"/>
      <c r="E49" s="35"/>
      <c r="F49" s="35"/>
      <c r="G49" s="184"/>
      <c r="H49" s="184"/>
      <c r="I49" s="184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17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</row>
    <row r="50" spans="1:61" ht="15.75" customHeight="1" x14ac:dyDescent="0.25">
      <c r="A50" s="1"/>
      <c r="B50" s="79"/>
      <c r="C50" s="669"/>
      <c r="D50" s="583"/>
      <c r="E50" s="583"/>
      <c r="F50" s="583"/>
      <c r="G50" s="583"/>
      <c r="H50" s="583"/>
      <c r="I50" s="583"/>
      <c r="J50" s="583"/>
      <c r="K50" s="752"/>
      <c r="L50" s="583"/>
      <c r="M50" s="583"/>
      <c r="N50" s="583"/>
      <c r="O50" s="583"/>
      <c r="P50" s="583"/>
      <c r="Q50" s="583"/>
      <c r="R50" s="583"/>
      <c r="S50" s="583"/>
      <c r="T50" s="583"/>
      <c r="U50" s="583"/>
      <c r="V50" s="583"/>
      <c r="W50" s="627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</row>
    <row r="51" spans="1:61" ht="15.75" customHeight="1" x14ac:dyDescent="0.25">
      <c r="A51" s="1"/>
      <c r="B51" s="79"/>
      <c r="C51" s="743" t="s">
        <v>124</v>
      </c>
      <c r="D51" s="607"/>
      <c r="E51" s="607"/>
      <c r="F51" s="607"/>
      <c r="G51" s="607"/>
      <c r="H51" s="607"/>
      <c r="I51" s="607"/>
      <c r="J51" s="607"/>
      <c r="K51" s="607"/>
      <c r="L51" s="607"/>
      <c r="M51" s="607"/>
      <c r="N51" s="607"/>
      <c r="O51" s="607"/>
      <c r="P51" s="607"/>
      <c r="Q51" s="607"/>
      <c r="R51" s="607"/>
      <c r="S51" s="607"/>
      <c r="T51" s="607"/>
      <c r="U51" s="607"/>
      <c r="V51" s="608"/>
      <c r="W51" s="17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</row>
    <row r="52" spans="1:61" ht="15.75" customHeight="1" x14ac:dyDescent="0.25">
      <c r="A52" s="1"/>
      <c r="B52" s="79"/>
      <c r="C52" s="750" t="s">
        <v>54</v>
      </c>
      <c r="D52" s="724"/>
      <c r="E52" s="315">
        <f>dados_inflação</f>
        <v>3.5000000000000003E-2</v>
      </c>
      <c r="F52" s="316" t="s">
        <v>125</v>
      </c>
      <c r="G52" s="317">
        <f>dados_cdi</f>
        <v>9.7000000000000003E-2</v>
      </c>
      <c r="H52" s="745" t="s">
        <v>154</v>
      </c>
      <c r="I52" s="643"/>
      <c r="J52" s="641"/>
      <c r="K52" s="318">
        <f>dados_rentabilidade_aposentadoria</f>
        <v>9.7000000000000003E-2</v>
      </c>
      <c r="L52" s="746" t="s">
        <v>56</v>
      </c>
      <c r="M52" s="643"/>
      <c r="N52" s="643"/>
      <c r="O52" s="643"/>
      <c r="P52" s="643"/>
      <c r="Q52" s="643"/>
      <c r="R52" s="643"/>
      <c r="S52" s="641"/>
      <c r="T52" s="744">
        <f>dados_jurorealaposentadoria</f>
        <v>5.9903381642512077E-2</v>
      </c>
      <c r="U52" s="724"/>
      <c r="V52" s="651"/>
      <c r="W52" s="17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</row>
    <row r="53" spans="1:61" ht="15.75" customHeight="1" x14ac:dyDescent="0.25">
      <c r="A53" s="1"/>
      <c r="B53" s="79"/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319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</row>
    <row r="54" spans="1:61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</row>
    <row r="55" spans="1:61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</row>
    <row r="56" spans="1:61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</row>
    <row r="57" spans="1:61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</row>
    <row r="58" spans="1:61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</row>
    <row r="59" spans="1:61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55" t="s">
        <v>115</v>
      </c>
      <c r="AN59" s="719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</row>
    <row r="60" spans="1:61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320" t="s">
        <v>117</v>
      </c>
      <c r="AN60" s="321">
        <f>i_atual</f>
        <v>9.7000000000000003E-2</v>
      </c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</row>
    <row r="61" spans="1:61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322" t="s">
        <v>122</v>
      </c>
      <c r="AN61" s="323">
        <f>dados_inflação</f>
        <v>3.5000000000000003E-2</v>
      </c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</row>
    <row r="62" spans="1:61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</row>
    <row r="63" spans="1:61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324" t="s">
        <v>123</v>
      </c>
      <c r="AN63" s="325">
        <f>(1+AN60)/(1+AN61)-1</f>
        <v>5.9903381642512077E-2</v>
      </c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</row>
    <row r="64" spans="1:61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</row>
    <row r="65" spans="1:61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</row>
    <row r="66" spans="1:61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</row>
    <row r="67" spans="1:61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</row>
    <row r="68" spans="1:61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</row>
    <row r="69" spans="1:6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</row>
    <row r="70" spans="1:6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</row>
    <row r="71" spans="1:61" ht="15.75" customHeight="1" x14ac:dyDescent="0.25">
      <c r="A71" s="1"/>
      <c r="B71" s="1"/>
      <c r="C71" s="737"/>
      <c r="D71" s="598"/>
      <c r="E71" s="569"/>
      <c r="F71" s="1"/>
      <c r="G71" s="1"/>
      <c r="H71" s="1"/>
      <c r="I71" s="1"/>
      <c r="J71" s="230"/>
      <c r="K71" s="230"/>
      <c r="L71" s="1"/>
      <c r="M71" s="1"/>
      <c r="N71" s="751"/>
      <c r="O71" s="598"/>
      <c r="P71" s="569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</row>
    <row r="72" spans="1:61" ht="15.75" customHeight="1" x14ac:dyDescent="0.25">
      <c r="A72" s="1"/>
      <c r="B72" s="1"/>
      <c r="C72" s="737"/>
      <c r="D72" s="598"/>
      <c r="E72" s="569"/>
      <c r="F72" s="1"/>
      <c r="G72" s="1"/>
      <c r="H72" s="1"/>
      <c r="I72" s="1"/>
      <c r="J72" s="230"/>
      <c r="K72" s="230"/>
      <c r="L72" s="1"/>
      <c r="M72" s="1"/>
      <c r="N72" s="678"/>
      <c r="O72" s="598"/>
      <c r="P72" s="569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</row>
    <row r="73" spans="1:61" ht="15.75" customHeight="1" x14ac:dyDescent="0.25">
      <c r="A73" s="1"/>
      <c r="B73" s="1"/>
      <c r="C73" s="1"/>
      <c r="D73" s="326"/>
      <c r="E73" s="326"/>
      <c r="F73" s="234"/>
      <c r="G73" s="231"/>
      <c r="H73" s="231"/>
      <c r="I73" s="231"/>
      <c r="J73" s="232"/>
      <c r="K73" s="230"/>
      <c r="L73" s="233"/>
      <c r="M73" s="233"/>
      <c r="N73" s="234"/>
      <c r="O73" s="234"/>
      <c r="P73" s="234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</row>
    <row r="74" spans="1:61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</row>
    <row r="75" spans="1:61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</row>
    <row r="76" spans="1:61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</row>
    <row r="77" spans="1:61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</row>
    <row r="78" spans="1:61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</row>
    <row r="79" spans="1:61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</row>
    <row r="80" spans="1:61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</row>
    <row r="81" spans="1:61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</row>
    <row r="82" spans="1:61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</row>
    <row r="83" spans="1:61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</row>
    <row r="84" spans="1:61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</row>
    <row r="85" spans="1:61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</row>
    <row r="86" spans="1:61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</row>
    <row r="87" spans="1:61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</row>
    <row r="88" spans="1:61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</row>
    <row r="89" spans="1:61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</row>
    <row r="90" spans="1:61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</row>
    <row r="91" spans="1:61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</row>
    <row r="92" spans="1:61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</row>
    <row r="93" spans="1:61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</row>
    <row r="94" spans="1:61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</row>
    <row r="95" spans="1:61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</row>
    <row r="96" spans="1:61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</row>
    <row r="97" spans="1:61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</row>
    <row r="98" spans="1:61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</row>
    <row r="99" spans="1:61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</row>
    <row r="100" spans="1:61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</row>
    <row r="101" spans="1:61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</row>
    <row r="102" spans="1:61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</row>
    <row r="103" spans="1:61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</row>
    <row r="104" spans="1:61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</row>
    <row r="105" spans="1:61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</row>
    <row r="106" spans="1:61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</row>
    <row r="107" spans="1:61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</row>
    <row r="108" spans="1:61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</row>
    <row r="109" spans="1:61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</row>
    <row r="110" spans="1:61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</row>
    <row r="111" spans="1:61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</row>
    <row r="112" spans="1:61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</row>
    <row r="113" spans="1:61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</row>
    <row r="114" spans="1:61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</row>
    <row r="115" spans="1:61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</row>
    <row r="116" spans="1:61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</row>
    <row r="117" spans="1:61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</row>
    <row r="118" spans="1:61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</row>
    <row r="119" spans="1:61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</row>
    <row r="120" spans="1:61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</row>
    <row r="121" spans="1:61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</row>
    <row r="122" spans="1:61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</row>
    <row r="123" spans="1:61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</row>
    <row r="124" spans="1:61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</row>
    <row r="125" spans="1:61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</row>
    <row r="126" spans="1:61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</row>
    <row r="127" spans="1:61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</row>
    <row r="128" spans="1:61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</row>
    <row r="129" spans="1:61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</row>
    <row r="130" spans="1:61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</row>
    <row r="131" spans="1:61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</row>
    <row r="132" spans="1:61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</row>
    <row r="133" spans="1:61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</row>
    <row r="134" spans="1:61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</row>
    <row r="135" spans="1:61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</row>
    <row r="136" spans="1:61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</row>
    <row r="137" spans="1:61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</row>
    <row r="138" spans="1:61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</row>
    <row r="139" spans="1:61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</row>
    <row r="140" spans="1:61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</row>
    <row r="141" spans="1:61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</row>
    <row r="142" spans="1:61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</row>
    <row r="143" spans="1:61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</row>
    <row r="144" spans="1:61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</row>
    <row r="145" spans="1:61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</row>
    <row r="146" spans="1:61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</row>
    <row r="147" spans="1:61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</row>
    <row r="148" spans="1:61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</row>
    <row r="149" spans="1:61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</row>
    <row r="150" spans="1:61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</row>
    <row r="151" spans="1:61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</row>
    <row r="152" spans="1:61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</row>
    <row r="153" spans="1:61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</row>
    <row r="154" spans="1:61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</row>
    <row r="155" spans="1:61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</row>
    <row r="156" spans="1:61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</row>
    <row r="157" spans="1:61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</row>
    <row r="158" spans="1:61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</row>
    <row r="159" spans="1:61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</row>
    <row r="160" spans="1:61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</row>
    <row r="161" spans="1:61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</row>
    <row r="162" spans="1:61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</row>
    <row r="163" spans="1:61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</row>
    <row r="164" spans="1:61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</row>
    <row r="165" spans="1:61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</row>
    <row r="166" spans="1:61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</row>
    <row r="167" spans="1:61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</row>
    <row r="168" spans="1:61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</row>
    <row r="169" spans="1:61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</row>
    <row r="170" spans="1:61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</row>
    <row r="171" spans="1:61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</row>
    <row r="172" spans="1:61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</row>
    <row r="173" spans="1:61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</row>
    <row r="174" spans="1:61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</row>
    <row r="175" spans="1:61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</row>
    <row r="176" spans="1:61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</row>
    <row r="177" spans="1:61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</row>
    <row r="178" spans="1:61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</row>
    <row r="179" spans="1:61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</row>
    <row r="180" spans="1:61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</row>
    <row r="181" spans="1:61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</row>
    <row r="182" spans="1:61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</row>
    <row r="183" spans="1:61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</row>
    <row r="184" spans="1:61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</row>
    <row r="185" spans="1:61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</row>
    <row r="186" spans="1:61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</row>
    <row r="187" spans="1:61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</row>
    <row r="188" spans="1:61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</row>
    <row r="189" spans="1:61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</row>
    <row r="190" spans="1:61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</row>
    <row r="191" spans="1:61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</row>
    <row r="192" spans="1:61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</row>
    <row r="193" spans="1:61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</row>
    <row r="194" spans="1:61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</row>
    <row r="195" spans="1:61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</row>
    <row r="196" spans="1:61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</row>
    <row r="197" spans="1:61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</row>
    <row r="198" spans="1:61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</row>
    <row r="199" spans="1:61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</row>
    <row r="200" spans="1:61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</row>
    <row r="201" spans="1:61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</row>
    <row r="202" spans="1:61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</row>
    <row r="203" spans="1:61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</row>
    <row r="204" spans="1:61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</row>
    <row r="205" spans="1:61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</row>
    <row r="206" spans="1:61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</row>
    <row r="207" spans="1:61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</row>
    <row r="208" spans="1:61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</row>
    <row r="209" spans="1:61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</row>
    <row r="210" spans="1:61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</row>
    <row r="211" spans="1:61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</row>
    <row r="212" spans="1:61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</row>
    <row r="213" spans="1:61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</row>
    <row r="214" spans="1:61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</row>
    <row r="215" spans="1:61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</row>
    <row r="216" spans="1:61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</row>
    <row r="217" spans="1:61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</row>
    <row r="218" spans="1:61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</row>
    <row r="219" spans="1:61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</row>
    <row r="220" spans="1:61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</row>
    <row r="221" spans="1:61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</row>
    <row r="222" spans="1:61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</row>
    <row r="223" spans="1:61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</row>
    <row r="224" spans="1:61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</row>
    <row r="225" spans="1:61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</row>
    <row r="226" spans="1:61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</row>
    <row r="227" spans="1:61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</row>
    <row r="228" spans="1:61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</row>
    <row r="229" spans="1:61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</row>
    <row r="230" spans="1:61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</row>
    <row r="231" spans="1:61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</row>
    <row r="232" spans="1:61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</row>
    <row r="233" spans="1:61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</row>
    <row r="234" spans="1:61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</row>
    <row r="235" spans="1:61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</row>
    <row r="236" spans="1:61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</row>
    <row r="237" spans="1:61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</row>
    <row r="238" spans="1:61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</row>
    <row r="239" spans="1:61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</row>
    <row r="240" spans="1:61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</row>
    <row r="241" spans="1:61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</row>
    <row r="242" spans="1:61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</row>
    <row r="243" spans="1:61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</row>
    <row r="244" spans="1:61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</row>
    <row r="245" spans="1:61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</row>
    <row r="246" spans="1:61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</row>
    <row r="247" spans="1:61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</row>
    <row r="248" spans="1:61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</row>
    <row r="249" spans="1:61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</row>
    <row r="250" spans="1:61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</row>
    <row r="251" spans="1:61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</row>
    <row r="252" spans="1:61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</row>
    <row r="253" spans="1:61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</row>
    <row r="254" spans="1:61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</row>
    <row r="255" spans="1:61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</row>
    <row r="256" spans="1:61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</row>
    <row r="257" spans="1:61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</row>
    <row r="258" spans="1:61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</row>
    <row r="259" spans="1:61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</row>
    <row r="260" spans="1:61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</row>
    <row r="261" spans="1:61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</row>
    <row r="262" spans="1:61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</row>
    <row r="263" spans="1:61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</row>
    <row r="264" spans="1:61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</row>
    <row r="265" spans="1:61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</row>
    <row r="266" spans="1:61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</row>
    <row r="267" spans="1:61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</row>
    <row r="268" spans="1:61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</row>
    <row r="269" spans="1:61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</row>
    <row r="270" spans="1:61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</row>
    <row r="271" spans="1:61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</row>
    <row r="272" spans="1:61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</row>
    <row r="273" spans="1:61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</row>
    <row r="274" spans="1:61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</row>
    <row r="275" spans="1:61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</row>
    <row r="276" spans="1:61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</row>
    <row r="277" spans="1:61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</row>
    <row r="278" spans="1:61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</row>
    <row r="279" spans="1:61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</row>
    <row r="280" spans="1:61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</row>
    <row r="281" spans="1:61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</row>
    <row r="282" spans="1:61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</row>
    <row r="283" spans="1:61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</row>
    <row r="284" spans="1:61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</row>
    <row r="285" spans="1:61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</row>
    <row r="286" spans="1:61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</row>
    <row r="287" spans="1:61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</row>
    <row r="288" spans="1:61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</row>
    <row r="289" spans="1:61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</row>
    <row r="290" spans="1:61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</row>
    <row r="291" spans="1:61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</row>
    <row r="292" spans="1:61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</row>
    <row r="293" spans="1:61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</row>
    <row r="294" spans="1:61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</row>
    <row r="295" spans="1:61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</row>
    <row r="296" spans="1:61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</row>
    <row r="297" spans="1:61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</row>
    <row r="298" spans="1:61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</row>
    <row r="299" spans="1:61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</row>
    <row r="300" spans="1:61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</row>
    <row r="301" spans="1:61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</row>
    <row r="302" spans="1:61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</row>
    <row r="303" spans="1:61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</row>
    <row r="304" spans="1:61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</row>
    <row r="305" spans="1:61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</row>
    <row r="306" spans="1:61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</row>
    <row r="307" spans="1:61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</row>
    <row r="308" spans="1:61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</row>
    <row r="309" spans="1:61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</row>
    <row r="310" spans="1:61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</row>
    <row r="311" spans="1:61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</row>
    <row r="312" spans="1:61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</row>
    <row r="313" spans="1:61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</row>
    <row r="314" spans="1:61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</row>
    <row r="315" spans="1:61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</row>
    <row r="316" spans="1:61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</row>
    <row r="317" spans="1:61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</row>
    <row r="318" spans="1:61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</row>
    <row r="319" spans="1:61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</row>
    <row r="320" spans="1:61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</row>
    <row r="321" spans="1:61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</row>
    <row r="322" spans="1:61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</row>
    <row r="323" spans="1:61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</row>
    <row r="324" spans="1:61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</row>
    <row r="325" spans="1:61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</row>
    <row r="326" spans="1:61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</row>
    <row r="327" spans="1:61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</row>
    <row r="328" spans="1:61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</row>
    <row r="329" spans="1:61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</row>
    <row r="330" spans="1:61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</row>
    <row r="331" spans="1:61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</row>
    <row r="332" spans="1:61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</row>
    <row r="333" spans="1:61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</row>
    <row r="334" spans="1:61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</row>
    <row r="335" spans="1:61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</row>
    <row r="336" spans="1:61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</row>
    <row r="337" spans="1:61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</row>
    <row r="338" spans="1:61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</row>
    <row r="339" spans="1:61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</row>
    <row r="340" spans="1:61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</row>
    <row r="341" spans="1:61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</row>
    <row r="342" spans="1:61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</row>
    <row r="343" spans="1:61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</row>
    <row r="344" spans="1:61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</row>
    <row r="345" spans="1:61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</row>
    <row r="346" spans="1:61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</row>
    <row r="347" spans="1:61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</row>
    <row r="348" spans="1:61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</row>
    <row r="349" spans="1:61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</row>
    <row r="350" spans="1:61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</row>
    <row r="351" spans="1:61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</row>
    <row r="352" spans="1:61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</row>
    <row r="353" spans="1:61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</row>
    <row r="354" spans="1:61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</row>
    <row r="355" spans="1:61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</row>
    <row r="356" spans="1:61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</row>
    <row r="357" spans="1:61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</row>
    <row r="358" spans="1:61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</row>
    <row r="359" spans="1:61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</row>
    <row r="360" spans="1:61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</row>
    <row r="361" spans="1:61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</row>
    <row r="362" spans="1:61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</row>
    <row r="363" spans="1:61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</row>
    <row r="364" spans="1:61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</row>
    <row r="365" spans="1:61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</row>
    <row r="366" spans="1:61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</row>
    <row r="367" spans="1:61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</row>
    <row r="368" spans="1:61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</row>
    <row r="369" spans="1:61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</row>
    <row r="370" spans="1:61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</row>
    <row r="371" spans="1:61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</row>
    <row r="372" spans="1:61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</row>
    <row r="373" spans="1:61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</row>
    <row r="374" spans="1:61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</row>
    <row r="375" spans="1:61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</row>
    <row r="376" spans="1:61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</row>
    <row r="377" spans="1:61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</row>
    <row r="378" spans="1:61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</row>
    <row r="379" spans="1:61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</row>
    <row r="380" spans="1:61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</row>
    <row r="381" spans="1:61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</row>
    <row r="382" spans="1:61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</row>
    <row r="383" spans="1:61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</row>
    <row r="384" spans="1:61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</row>
    <row r="385" spans="1:61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</row>
    <row r="386" spans="1:61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</row>
    <row r="387" spans="1:61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</row>
    <row r="388" spans="1:61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</row>
    <row r="389" spans="1:61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</row>
    <row r="390" spans="1:61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</row>
    <row r="391" spans="1:61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</row>
    <row r="392" spans="1:61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</row>
    <row r="393" spans="1:61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</row>
    <row r="394" spans="1:61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</row>
    <row r="395" spans="1:61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</row>
    <row r="396" spans="1:61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</row>
    <row r="397" spans="1:61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</row>
    <row r="398" spans="1:61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</row>
    <row r="399" spans="1:61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</row>
    <row r="400" spans="1:61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</row>
    <row r="401" spans="1:61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</row>
    <row r="402" spans="1:61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</row>
    <row r="403" spans="1:61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</row>
    <row r="404" spans="1:61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</row>
    <row r="405" spans="1:61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</row>
    <row r="406" spans="1:61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</row>
    <row r="407" spans="1:61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</row>
    <row r="408" spans="1:61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</row>
    <row r="409" spans="1:61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</row>
    <row r="410" spans="1:61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</row>
    <row r="411" spans="1:61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</row>
    <row r="412" spans="1:61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</row>
    <row r="413" spans="1:61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</row>
    <row r="414" spans="1:61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</row>
    <row r="415" spans="1:61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</row>
    <row r="416" spans="1:61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</row>
    <row r="417" spans="1:61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</row>
    <row r="418" spans="1:61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</row>
    <row r="419" spans="1:61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</row>
    <row r="420" spans="1:61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</row>
    <row r="421" spans="1:61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</row>
    <row r="422" spans="1:61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</row>
    <row r="423" spans="1:61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</row>
    <row r="424" spans="1:61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</row>
    <row r="425" spans="1:61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</row>
    <row r="426" spans="1:61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</row>
    <row r="427" spans="1:61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</row>
    <row r="428" spans="1:61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</row>
    <row r="429" spans="1:61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</row>
    <row r="430" spans="1:61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</row>
    <row r="431" spans="1:61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</row>
    <row r="432" spans="1:61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</row>
    <row r="433" spans="1:61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</row>
    <row r="434" spans="1:61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</row>
    <row r="435" spans="1:61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</row>
    <row r="436" spans="1:61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</row>
    <row r="437" spans="1:61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</row>
    <row r="438" spans="1:61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</row>
    <row r="439" spans="1:61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</row>
    <row r="440" spans="1:61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</row>
    <row r="441" spans="1:61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</row>
    <row r="442" spans="1:61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</row>
    <row r="443" spans="1:61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</row>
    <row r="444" spans="1:61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</row>
    <row r="445" spans="1:61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</row>
    <row r="446" spans="1:61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</row>
    <row r="447" spans="1:61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</row>
    <row r="448" spans="1:61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</row>
    <row r="449" spans="1:61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</row>
    <row r="450" spans="1:61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</row>
    <row r="451" spans="1:61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</row>
    <row r="452" spans="1:61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</row>
    <row r="453" spans="1:61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</row>
    <row r="454" spans="1:61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</row>
    <row r="455" spans="1:61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</row>
    <row r="456" spans="1:61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</row>
    <row r="457" spans="1:61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</row>
    <row r="458" spans="1:61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</row>
    <row r="459" spans="1:61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</row>
    <row r="460" spans="1:61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</row>
    <row r="461" spans="1:61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</row>
    <row r="462" spans="1:61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</row>
    <row r="463" spans="1:61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</row>
    <row r="464" spans="1:61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</row>
    <row r="465" spans="1:61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</row>
    <row r="466" spans="1:61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</row>
    <row r="467" spans="1:61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</row>
    <row r="468" spans="1:61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</row>
    <row r="469" spans="1:61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</row>
    <row r="470" spans="1:61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</row>
    <row r="471" spans="1:61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</row>
    <row r="472" spans="1:61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</row>
    <row r="473" spans="1:61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</row>
    <row r="474" spans="1:61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</row>
    <row r="475" spans="1:61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</row>
    <row r="476" spans="1:61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</row>
    <row r="477" spans="1:61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</row>
    <row r="478" spans="1:61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</row>
    <row r="479" spans="1:61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</row>
    <row r="480" spans="1:61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</row>
    <row r="481" spans="1:61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</row>
    <row r="482" spans="1:61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</row>
    <row r="483" spans="1:61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</row>
    <row r="484" spans="1:61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</row>
    <row r="485" spans="1:61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</row>
    <row r="486" spans="1:61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</row>
    <row r="487" spans="1:61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</row>
    <row r="488" spans="1:61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</row>
    <row r="489" spans="1:61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</row>
    <row r="490" spans="1:61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</row>
    <row r="491" spans="1:61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</row>
    <row r="492" spans="1:61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</row>
    <row r="493" spans="1:61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</row>
    <row r="494" spans="1:61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</row>
    <row r="495" spans="1:61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</row>
    <row r="496" spans="1:61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</row>
    <row r="497" spans="1:61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</row>
    <row r="498" spans="1:61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</row>
    <row r="499" spans="1:61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</row>
    <row r="500" spans="1:61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</row>
    <row r="501" spans="1:61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</row>
    <row r="502" spans="1:61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</row>
    <row r="503" spans="1:61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</row>
    <row r="504" spans="1:61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</row>
    <row r="505" spans="1:61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</row>
    <row r="506" spans="1:61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</row>
    <row r="507" spans="1:61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</row>
    <row r="508" spans="1:61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</row>
    <row r="509" spans="1:61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</row>
    <row r="510" spans="1:61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</row>
    <row r="511" spans="1:61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</row>
    <row r="512" spans="1:61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</row>
    <row r="513" spans="1:61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</row>
    <row r="514" spans="1:61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</row>
    <row r="515" spans="1:61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</row>
    <row r="516" spans="1:61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</row>
    <row r="517" spans="1:61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</row>
    <row r="518" spans="1:61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</row>
    <row r="519" spans="1:61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</row>
    <row r="520" spans="1:61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</row>
    <row r="521" spans="1:61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</row>
    <row r="522" spans="1:61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</row>
    <row r="523" spans="1:61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</row>
    <row r="524" spans="1:61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</row>
    <row r="525" spans="1:61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</row>
    <row r="526" spans="1:61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</row>
    <row r="527" spans="1:61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</row>
    <row r="528" spans="1:61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</row>
    <row r="529" spans="1:61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</row>
    <row r="530" spans="1:61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</row>
    <row r="531" spans="1:61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</row>
    <row r="532" spans="1:61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</row>
    <row r="533" spans="1:61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</row>
    <row r="534" spans="1:61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</row>
    <row r="535" spans="1:61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</row>
    <row r="536" spans="1:61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</row>
    <row r="537" spans="1:61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</row>
    <row r="538" spans="1:61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</row>
    <row r="539" spans="1:61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</row>
    <row r="540" spans="1:61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</row>
    <row r="541" spans="1:61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</row>
    <row r="542" spans="1:61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</row>
    <row r="543" spans="1:61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</row>
    <row r="544" spans="1:61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</row>
    <row r="545" spans="1:61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</row>
    <row r="546" spans="1:61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</row>
    <row r="547" spans="1:61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</row>
    <row r="548" spans="1:61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</row>
    <row r="549" spans="1:61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</row>
    <row r="550" spans="1:61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</row>
    <row r="551" spans="1:61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</row>
    <row r="552" spans="1:61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</row>
    <row r="553" spans="1:61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</row>
    <row r="554" spans="1:61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</row>
    <row r="555" spans="1:61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</row>
    <row r="556" spans="1:61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</row>
    <row r="557" spans="1:61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</row>
    <row r="558" spans="1:61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</row>
    <row r="559" spans="1:61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</row>
    <row r="560" spans="1:61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</row>
    <row r="561" spans="1:61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</row>
    <row r="562" spans="1:61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</row>
    <row r="563" spans="1:61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</row>
    <row r="564" spans="1:61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</row>
    <row r="565" spans="1:61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</row>
    <row r="566" spans="1:61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</row>
    <row r="567" spans="1:61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</row>
    <row r="568" spans="1:61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</row>
    <row r="569" spans="1:61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</row>
    <row r="570" spans="1:61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</row>
    <row r="571" spans="1:61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</row>
    <row r="572" spans="1:61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</row>
    <row r="573" spans="1:61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</row>
    <row r="574" spans="1:61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</row>
    <row r="575" spans="1:61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</row>
    <row r="576" spans="1:61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</row>
    <row r="577" spans="1:61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</row>
    <row r="578" spans="1:61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</row>
    <row r="579" spans="1:61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</row>
    <row r="580" spans="1:61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</row>
    <row r="581" spans="1:61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</row>
    <row r="582" spans="1:61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</row>
    <row r="583" spans="1:61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</row>
    <row r="584" spans="1:61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</row>
    <row r="585" spans="1:61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</row>
    <row r="586" spans="1:61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</row>
    <row r="587" spans="1:61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</row>
    <row r="588" spans="1:61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</row>
    <row r="589" spans="1:61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</row>
    <row r="590" spans="1:61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</row>
    <row r="591" spans="1:61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</row>
    <row r="592" spans="1:61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</row>
    <row r="593" spans="1:61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</row>
    <row r="594" spans="1:61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</row>
    <row r="595" spans="1:61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</row>
    <row r="596" spans="1:61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</row>
    <row r="597" spans="1:61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</row>
    <row r="598" spans="1:61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</row>
    <row r="599" spans="1:61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</row>
    <row r="600" spans="1:61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</row>
    <row r="601" spans="1:61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</row>
    <row r="602" spans="1:61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</row>
    <row r="603" spans="1:61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</row>
    <row r="604" spans="1:61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</row>
    <row r="605" spans="1:61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</row>
    <row r="606" spans="1:61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</row>
    <row r="607" spans="1:61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</row>
    <row r="608" spans="1:61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</row>
    <row r="609" spans="1:61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</row>
    <row r="610" spans="1:61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</row>
    <row r="611" spans="1:61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</row>
    <row r="612" spans="1:61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</row>
    <row r="613" spans="1:61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</row>
    <row r="614" spans="1:61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</row>
    <row r="615" spans="1:61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</row>
    <row r="616" spans="1:61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</row>
    <row r="617" spans="1:61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</row>
    <row r="618" spans="1:61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</row>
    <row r="619" spans="1:61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</row>
    <row r="620" spans="1:61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</row>
    <row r="621" spans="1:61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</row>
    <row r="622" spans="1:61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</row>
    <row r="623" spans="1:61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</row>
    <row r="624" spans="1:61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</row>
    <row r="625" spans="1:61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</row>
    <row r="626" spans="1:61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</row>
    <row r="627" spans="1:61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</row>
    <row r="628" spans="1:61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</row>
    <row r="629" spans="1:61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</row>
    <row r="630" spans="1:61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</row>
    <row r="631" spans="1:61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</row>
    <row r="632" spans="1:61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</row>
    <row r="633" spans="1:61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</row>
    <row r="634" spans="1:61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</row>
    <row r="635" spans="1:61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</row>
    <row r="636" spans="1:61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</row>
    <row r="637" spans="1:61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</row>
    <row r="638" spans="1:61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</row>
    <row r="639" spans="1:61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</row>
    <row r="640" spans="1:61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</row>
    <row r="641" spans="1:61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</row>
    <row r="642" spans="1:61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</row>
    <row r="643" spans="1:61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</row>
    <row r="644" spans="1:61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</row>
    <row r="645" spans="1:61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</row>
    <row r="646" spans="1:61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</row>
    <row r="647" spans="1:61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</row>
    <row r="648" spans="1:61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</row>
    <row r="649" spans="1:61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</row>
    <row r="650" spans="1:61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</row>
    <row r="651" spans="1:61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</row>
    <row r="652" spans="1:61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</row>
    <row r="653" spans="1:61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</row>
    <row r="654" spans="1:61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</row>
    <row r="655" spans="1:61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</row>
    <row r="656" spans="1:61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</row>
    <row r="657" spans="1:61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</row>
    <row r="658" spans="1:61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</row>
    <row r="659" spans="1:61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</row>
    <row r="660" spans="1:61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</row>
    <row r="661" spans="1:61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</row>
    <row r="662" spans="1:61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</row>
    <row r="663" spans="1:61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</row>
    <row r="664" spans="1:61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</row>
    <row r="665" spans="1:61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</row>
    <row r="666" spans="1:61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</row>
    <row r="667" spans="1:61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</row>
    <row r="668" spans="1:61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</row>
    <row r="669" spans="1:61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</row>
    <row r="670" spans="1:61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</row>
    <row r="671" spans="1:61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</row>
    <row r="672" spans="1:61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</row>
    <row r="673" spans="1:61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</row>
    <row r="674" spans="1:61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</row>
    <row r="675" spans="1:61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</row>
    <row r="676" spans="1:61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</row>
    <row r="677" spans="1:61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</row>
    <row r="678" spans="1:61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</row>
    <row r="679" spans="1:61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</row>
    <row r="680" spans="1:61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</row>
    <row r="681" spans="1:61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</row>
    <row r="682" spans="1:61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</row>
    <row r="683" spans="1:61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</row>
    <row r="684" spans="1:61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</row>
    <row r="685" spans="1:61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</row>
    <row r="686" spans="1:61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</row>
    <row r="687" spans="1:61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</row>
    <row r="688" spans="1:61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</row>
    <row r="689" spans="1:61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</row>
    <row r="690" spans="1:61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</row>
    <row r="691" spans="1:61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</row>
    <row r="692" spans="1:61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</row>
    <row r="693" spans="1:61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</row>
    <row r="694" spans="1:61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</row>
    <row r="695" spans="1:61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</row>
    <row r="696" spans="1:61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</row>
    <row r="697" spans="1:61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</row>
    <row r="698" spans="1:61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</row>
    <row r="699" spans="1:61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</row>
    <row r="700" spans="1:61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</row>
    <row r="701" spans="1:61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</row>
    <row r="702" spans="1:61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</row>
    <row r="703" spans="1:61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</row>
    <row r="704" spans="1:61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</row>
    <row r="705" spans="1:61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</row>
    <row r="706" spans="1:61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</row>
    <row r="707" spans="1:61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</row>
    <row r="708" spans="1:61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</row>
    <row r="709" spans="1:61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</row>
    <row r="710" spans="1:61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</row>
    <row r="711" spans="1:61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</row>
    <row r="712" spans="1:61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</row>
    <row r="713" spans="1:61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</row>
    <row r="714" spans="1:61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</row>
    <row r="715" spans="1:61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</row>
    <row r="716" spans="1:61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</row>
    <row r="717" spans="1:61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</row>
    <row r="718" spans="1:61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</row>
    <row r="719" spans="1:61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</row>
    <row r="720" spans="1:61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</row>
    <row r="721" spans="1:61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</row>
    <row r="722" spans="1:61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</row>
    <row r="723" spans="1:61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</row>
    <row r="724" spans="1:61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</row>
    <row r="725" spans="1:61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</row>
    <row r="726" spans="1:61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</row>
    <row r="727" spans="1:61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</row>
    <row r="728" spans="1:61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</row>
    <row r="729" spans="1:61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</row>
    <row r="730" spans="1:61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</row>
    <row r="731" spans="1:61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</row>
    <row r="732" spans="1:61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</row>
    <row r="733" spans="1:61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</row>
    <row r="734" spans="1:61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</row>
    <row r="735" spans="1:61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</row>
    <row r="736" spans="1:61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</row>
    <row r="737" spans="1:61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</row>
    <row r="738" spans="1:61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</row>
    <row r="739" spans="1:61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</row>
    <row r="740" spans="1:61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</row>
    <row r="741" spans="1:61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</row>
    <row r="742" spans="1:61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</row>
    <row r="743" spans="1:61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</row>
    <row r="744" spans="1:61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</row>
    <row r="745" spans="1:61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</row>
    <row r="746" spans="1:61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</row>
    <row r="747" spans="1:61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</row>
    <row r="748" spans="1:61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</row>
    <row r="749" spans="1:61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</row>
    <row r="750" spans="1:61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</row>
    <row r="751" spans="1:61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</row>
    <row r="752" spans="1:61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</row>
    <row r="753" spans="1:61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</row>
    <row r="754" spans="1:61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</row>
    <row r="755" spans="1:61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</row>
    <row r="756" spans="1:61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</row>
    <row r="757" spans="1:61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</row>
    <row r="758" spans="1:61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</row>
    <row r="759" spans="1:61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</row>
    <row r="760" spans="1:61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</row>
    <row r="761" spans="1:61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</row>
    <row r="762" spans="1:61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</row>
    <row r="763" spans="1:61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</row>
    <row r="764" spans="1:61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</row>
    <row r="765" spans="1:61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</row>
    <row r="766" spans="1:61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</row>
    <row r="767" spans="1:61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</row>
    <row r="768" spans="1:61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</row>
    <row r="769" spans="1:61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</row>
    <row r="770" spans="1:61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</row>
    <row r="771" spans="1:61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</row>
    <row r="772" spans="1:61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</row>
    <row r="773" spans="1:61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</row>
    <row r="774" spans="1:61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</row>
    <row r="775" spans="1:61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</row>
    <row r="776" spans="1:61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</row>
    <row r="777" spans="1:61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</row>
    <row r="778" spans="1:61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</row>
    <row r="779" spans="1:61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</row>
    <row r="780" spans="1:61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</row>
    <row r="781" spans="1:61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</row>
    <row r="782" spans="1:61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</row>
    <row r="783" spans="1:61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</row>
    <row r="784" spans="1:61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</row>
    <row r="785" spans="1:61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</row>
    <row r="786" spans="1:61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</row>
    <row r="787" spans="1:61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</row>
    <row r="788" spans="1:61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</row>
    <row r="789" spans="1:61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</row>
    <row r="790" spans="1:61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</row>
    <row r="791" spans="1:61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</row>
    <row r="792" spans="1:61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</row>
    <row r="793" spans="1:61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</row>
    <row r="794" spans="1:61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</row>
    <row r="795" spans="1:61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</row>
    <row r="796" spans="1:61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</row>
    <row r="797" spans="1:61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</row>
    <row r="798" spans="1:61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</row>
    <row r="799" spans="1:61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</row>
    <row r="800" spans="1:61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</row>
    <row r="801" spans="1:61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</row>
    <row r="802" spans="1:61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</row>
    <row r="803" spans="1:61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</row>
    <row r="804" spans="1:61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</row>
    <row r="805" spans="1:61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</row>
    <row r="806" spans="1:61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</row>
    <row r="807" spans="1:61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</row>
    <row r="808" spans="1:61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</row>
    <row r="809" spans="1:61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</row>
    <row r="810" spans="1:61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</row>
    <row r="811" spans="1:61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</row>
    <row r="812" spans="1:61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</row>
    <row r="813" spans="1:61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</row>
    <row r="814" spans="1:61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</row>
    <row r="815" spans="1:61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</row>
    <row r="816" spans="1:61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</row>
    <row r="817" spans="1:61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</row>
    <row r="818" spans="1:61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</row>
    <row r="819" spans="1:61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</row>
    <row r="820" spans="1:61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</row>
    <row r="821" spans="1:61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</row>
    <row r="822" spans="1:61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</row>
    <row r="823" spans="1:61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</row>
    <row r="824" spans="1:61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</row>
    <row r="825" spans="1:61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</row>
    <row r="826" spans="1:61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</row>
    <row r="827" spans="1:61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</row>
    <row r="828" spans="1:61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</row>
    <row r="829" spans="1:61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</row>
    <row r="830" spans="1:61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</row>
    <row r="831" spans="1:61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</row>
    <row r="832" spans="1:61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</row>
    <row r="833" spans="1:61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</row>
    <row r="834" spans="1:61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</row>
    <row r="835" spans="1:61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</row>
    <row r="836" spans="1:61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</row>
    <row r="837" spans="1:61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</row>
    <row r="838" spans="1:61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</row>
    <row r="839" spans="1:61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</row>
    <row r="840" spans="1:61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</row>
    <row r="841" spans="1:61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</row>
    <row r="842" spans="1:61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</row>
    <row r="843" spans="1:61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</row>
    <row r="844" spans="1:61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</row>
    <row r="845" spans="1:61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</row>
    <row r="846" spans="1:61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</row>
    <row r="847" spans="1:61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</row>
    <row r="848" spans="1:61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</row>
    <row r="849" spans="1:61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</row>
    <row r="850" spans="1:61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</row>
    <row r="851" spans="1:61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</row>
    <row r="852" spans="1:61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</row>
    <row r="853" spans="1:61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</row>
    <row r="854" spans="1:61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</row>
    <row r="855" spans="1:61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</row>
    <row r="856" spans="1:61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</row>
    <row r="857" spans="1:61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</row>
    <row r="858" spans="1:61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</row>
    <row r="859" spans="1:61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</row>
    <row r="860" spans="1:61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</row>
    <row r="861" spans="1:61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</row>
    <row r="862" spans="1:61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</row>
    <row r="863" spans="1:61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</row>
    <row r="864" spans="1:61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</row>
    <row r="865" spans="1:61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</row>
    <row r="866" spans="1:61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</row>
    <row r="867" spans="1:61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</row>
    <row r="868" spans="1:61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</row>
    <row r="869" spans="1:61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</row>
    <row r="870" spans="1:61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</row>
    <row r="871" spans="1:61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</row>
    <row r="872" spans="1:61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</row>
    <row r="873" spans="1:61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</row>
    <row r="874" spans="1:61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</row>
    <row r="875" spans="1:61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</row>
    <row r="876" spans="1:61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</row>
    <row r="877" spans="1:61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</row>
    <row r="878" spans="1:61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</row>
    <row r="879" spans="1:61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</row>
    <row r="880" spans="1:61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</row>
    <row r="881" spans="1:61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</row>
    <row r="882" spans="1:61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</row>
    <row r="883" spans="1:61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</row>
    <row r="884" spans="1:61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</row>
    <row r="885" spans="1:61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</row>
    <row r="886" spans="1:61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</row>
    <row r="887" spans="1:61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</row>
    <row r="888" spans="1:61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</row>
    <row r="889" spans="1:61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</row>
    <row r="890" spans="1:61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</row>
    <row r="891" spans="1:61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</row>
    <row r="892" spans="1:61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</row>
    <row r="893" spans="1:61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</row>
    <row r="894" spans="1:61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</row>
    <row r="895" spans="1:61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</row>
    <row r="896" spans="1:61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</row>
    <row r="897" spans="1:61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</row>
    <row r="898" spans="1:61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</row>
    <row r="899" spans="1:61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</row>
    <row r="900" spans="1:61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</row>
    <row r="901" spans="1:61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</row>
    <row r="902" spans="1:61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</row>
    <row r="903" spans="1:61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</row>
    <row r="904" spans="1:61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</row>
    <row r="905" spans="1:61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</row>
    <row r="906" spans="1:61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</row>
    <row r="907" spans="1:61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</row>
    <row r="908" spans="1:61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</row>
    <row r="909" spans="1:61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</row>
    <row r="910" spans="1:61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</row>
    <row r="911" spans="1:61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</row>
    <row r="912" spans="1:61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</row>
    <row r="913" spans="1:61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</row>
    <row r="914" spans="1:61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</row>
    <row r="915" spans="1:61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</row>
    <row r="916" spans="1:61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</row>
    <row r="917" spans="1:61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</row>
    <row r="918" spans="1:61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</row>
    <row r="919" spans="1:61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</row>
    <row r="920" spans="1:61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</row>
    <row r="921" spans="1:61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</row>
    <row r="922" spans="1:61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</row>
    <row r="923" spans="1:61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</row>
    <row r="924" spans="1:61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</row>
    <row r="925" spans="1:61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</row>
    <row r="926" spans="1:61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</row>
    <row r="927" spans="1:61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</row>
    <row r="928" spans="1:61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</row>
    <row r="929" spans="1:61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</row>
    <row r="930" spans="1:61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</row>
    <row r="931" spans="1:61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</row>
    <row r="932" spans="1:61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</row>
    <row r="933" spans="1:61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</row>
    <row r="934" spans="1:61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</row>
    <row r="935" spans="1:61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</row>
    <row r="936" spans="1:61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</row>
    <row r="937" spans="1:61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</row>
    <row r="938" spans="1:61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</row>
    <row r="939" spans="1:61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</row>
    <row r="940" spans="1:61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</row>
    <row r="941" spans="1:61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</row>
    <row r="942" spans="1:61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</row>
    <row r="943" spans="1:61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</row>
    <row r="944" spans="1:61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</row>
    <row r="945" spans="1:61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</row>
    <row r="946" spans="1:61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</row>
    <row r="947" spans="1:61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</row>
    <row r="948" spans="1:61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</row>
    <row r="949" spans="1:61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</row>
    <row r="950" spans="1:61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</row>
    <row r="951" spans="1:61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</row>
    <row r="952" spans="1:61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</row>
    <row r="953" spans="1:61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</row>
    <row r="954" spans="1:61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</row>
    <row r="955" spans="1:61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</row>
    <row r="956" spans="1:61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</row>
    <row r="957" spans="1:61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</row>
    <row r="958" spans="1:61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</row>
    <row r="959" spans="1:61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</row>
    <row r="960" spans="1:61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</row>
    <row r="961" spans="1:61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</row>
    <row r="962" spans="1:61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</row>
    <row r="963" spans="1:61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</row>
    <row r="964" spans="1:61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</row>
    <row r="965" spans="1:61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</row>
    <row r="966" spans="1:61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</row>
    <row r="967" spans="1:61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</row>
    <row r="968" spans="1:61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</row>
    <row r="969" spans="1:61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</row>
    <row r="970" spans="1:61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</row>
    <row r="971" spans="1:61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</row>
    <row r="972" spans="1:61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</row>
    <row r="973" spans="1:61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</row>
    <row r="974" spans="1:61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</row>
    <row r="975" spans="1:61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</row>
    <row r="976" spans="1:61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</row>
    <row r="977" spans="1:61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</row>
    <row r="978" spans="1:61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</row>
    <row r="979" spans="1:61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</row>
    <row r="980" spans="1:61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</row>
    <row r="981" spans="1:61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</row>
    <row r="982" spans="1:61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</row>
    <row r="983" spans="1:61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</row>
    <row r="984" spans="1:61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</row>
    <row r="985" spans="1:61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</row>
    <row r="986" spans="1:61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</row>
    <row r="987" spans="1:61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</row>
    <row r="988" spans="1:61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</row>
    <row r="989" spans="1:61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</row>
    <row r="990" spans="1:61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</row>
    <row r="991" spans="1:61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</row>
    <row r="992" spans="1:61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</row>
    <row r="993" spans="1:61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</row>
    <row r="994" spans="1:61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</row>
    <row r="995" spans="1:61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</row>
    <row r="996" spans="1:61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</row>
    <row r="997" spans="1:61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</row>
    <row r="998" spans="1:61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</row>
    <row r="999" spans="1:61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</row>
    <row r="1000" spans="1:61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</row>
  </sheetData>
  <mergeCells count="82">
    <mergeCell ref="O33:P33"/>
    <mergeCell ref="L33:M33"/>
    <mergeCell ref="S33:T33"/>
    <mergeCell ref="F35:H35"/>
    <mergeCell ref="L35:M35"/>
    <mergeCell ref="S35:T35"/>
    <mergeCell ref="O35:P35"/>
    <mergeCell ref="AM59:AN59"/>
    <mergeCell ref="S41:T41"/>
    <mergeCell ref="S46:T47"/>
    <mergeCell ref="Z36:AA36"/>
    <mergeCell ref="AC36:AD36"/>
    <mergeCell ref="Z35:AA35"/>
    <mergeCell ref="AC35:AD35"/>
    <mergeCell ref="S38:T38"/>
    <mergeCell ref="L39:M39"/>
    <mergeCell ref="O39:P39"/>
    <mergeCell ref="C52:D52"/>
    <mergeCell ref="C71:E71"/>
    <mergeCell ref="N71:P71"/>
    <mergeCell ref="F41:H41"/>
    <mergeCell ref="L41:M41"/>
    <mergeCell ref="O41:P41"/>
    <mergeCell ref="O46:P47"/>
    <mergeCell ref="K50:W50"/>
    <mergeCell ref="C72:E72"/>
    <mergeCell ref="N72:P72"/>
    <mergeCell ref="L36:M36"/>
    <mergeCell ref="L38:M38"/>
    <mergeCell ref="L46:M47"/>
    <mergeCell ref="N46:N47"/>
    <mergeCell ref="C50:J50"/>
    <mergeCell ref="C51:V51"/>
    <mergeCell ref="T52:V52"/>
    <mergeCell ref="H52:J52"/>
    <mergeCell ref="L52:S52"/>
    <mergeCell ref="F36:H39"/>
    <mergeCell ref="S36:T36"/>
    <mergeCell ref="S39:T39"/>
    <mergeCell ref="O36:P36"/>
    <mergeCell ref="O38:P38"/>
    <mergeCell ref="O25:P25"/>
    <mergeCell ref="J6:K6"/>
    <mergeCell ref="J7:K7"/>
    <mergeCell ref="C8:K8"/>
    <mergeCell ref="D10:E14"/>
    <mergeCell ref="D15:E21"/>
    <mergeCell ref="L25:M25"/>
    <mergeCell ref="L8:W8"/>
    <mergeCell ref="U14:V14"/>
    <mergeCell ref="U15:V15"/>
    <mergeCell ref="S18:V18"/>
    <mergeCell ref="S21:V21"/>
    <mergeCell ref="S22:V22"/>
    <mergeCell ref="S25:T25"/>
    <mergeCell ref="AN1:AO1"/>
    <mergeCell ref="AP1:AQ1"/>
    <mergeCell ref="F5:H5"/>
    <mergeCell ref="J5:K5"/>
    <mergeCell ref="R5:S7"/>
    <mergeCell ref="T5:V7"/>
    <mergeCell ref="F7:H7"/>
    <mergeCell ref="N7:O7"/>
    <mergeCell ref="AE7:AF7"/>
    <mergeCell ref="N5:O5"/>
    <mergeCell ref="N6:O6"/>
    <mergeCell ref="AE8:AF8"/>
    <mergeCell ref="S10:V10"/>
    <mergeCell ref="U11:V11"/>
    <mergeCell ref="U12:V12"/>
    <mergeCell ref="U13:V13"/>
    <mergeCell ref="Z31:AA31"/>
    <mergeCell ref="AC31:AD31"/>
    <mergeCell ref="L32:M32"/>
    <mergeCell ref="S32:T32"/>
    <mergeCell ref="AC32:AD32"/>
    <mergeCell ref="O32:P32"/>
    <mergeCell ref="AC33:AD33"/>
    <mergeCell ref="Z32:AA32"/>
    <mergeCell ref="Z33:AA33"/>
    <mergeCell ref="Z34:AA34"/>
    <mergeCell ref="AC34:AD34"/>
  </mergeCells>
  <conditionalFormatting sqref="G48">
    <cfRule type="containsText" dxfId="29" priority="1" operator="containsText" text="Dentro do perfil">
      <formula>NOT(ISERROR(SEARCH(("Dentro do perfil"),(G48))))</formula>
    </cfRule>
  </conditionalFormatting>
  <conditionalFormatting sqref="G48">
    <cfRule type="containsText" dxfId="28" priority="2" operator="containsText" text="Fora do perfil">
      <formula>NOT(ISERROR(SEARCH(("Fora do perfil"),(G48))))</formula>
    </cfRule>
  </conditionalFormatting>
  <conditionalFormatting sqref="F36">
    <cfRule type="cellIs" dxfId="27" priority="3" operator="lessThan">
      <formula>0</formula>
    </cfRule>
  </conditionalFormatting>
  <conditionalFormatting sqref="L46 N46">
    <cfRule type="containsText" dxfId="26" priority="4" operator="containsText" text="Dentro do perfil">
      <formula>NOT(ISERROR(SEARCH(("Dentro do perfil"),(L46))))</formula>
    </cfRule>
  </conditionalFormatting>
  <conditionalFormatting sqref="L46 N46">
    <cfRule type="containsText" dxfId="25" priority="5" operator="containsText" text="Fora do perfil">
      <formula>NOT(ISERROR(SEARCH(("Fora do perfil"),(L46))))</formula>
    </cfRule>
  </conditionalFormatting>
  <conditionalFormatting sqref="O46">
    <cfRule type="containsText" dxfId="24" priority="6" operator="containsText" text="Dentro do perfil">
      <formula>NOT(ISERROR(SEARCH(("Dentro do perfil"),(O46))))</formula>
    </cfRule>
  </conditionalFormatting>
  <conditionalFormatting sqref="O46">
    <cfRule type="containsText" dxfId="23" priority="7" operator="containsText" text="Fora do perfil">
      <formula>NOT(ISERROR(SEARCH(("Fora do perfil"),(O46))))</formula>
    </cfRule>
  </conditionalFormatting>
  <conditionalFormatting sqref="S46">
    <cfRule type="containsText" dxfId="22" priority="8" operator="containsText" text="Dentro do perfil">
      <formula>NOT(ISERROR(SEARCH(("Dentro do perfil"),(S46))))</formula>
    </cfRule>
  </conditionalFormatting>
  <conditionalFormatting sqref="S46">
    <cfRule type="containsText" dxfId="21" priority="9" operator="containsText" text="Fora do perfil">
      <formula>NOT(ISERROR(SEARCH(("Fora do perfil"),(S46))))</formula>
    </cfRule>
  </conditionalFormatting>
  <pageMargins left="0.25" right="0.25" top="0.75" bottom="0.75" header="0" footer="0"/>
  <pageSetup paperSize="9" orientation="landscape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Z1000"/>
  <sheetViews>
    <sheetView workbookViewId="0"/>
  </sheetViews>
  <sheetFormatPr defaultColWidth="12.625" defaultRowHeight="15" customHeight="1" x14ac:dyDescent="0.2"/>
  <cols>
    <col min="1" max="26" width="8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511811024" right="0.511811024" top="0.78740157499999996" bottom="0.78740157499999996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>
    <tabColor rgb="FF279D27"/>
    <pageSetUpPr fitToPage="1"/>
  </sheetPr>
  <dimension ref="A1:ED358"/>
  <sheetViews>
    <sheetView showGridLines="0" workbookViewId="0">
      <selection activeCell="J29" sqref="J29"/>
    </sheetView>
  </sheetViews>
  <sheetFormatPr defaultColWidth="12.625" defaultRowHeight="15" customHeight="1" x14ac:dyDescent="0.2"/>
  <cols>
    <col min="1" max="1" width="5.625" customWidth="1"/>
    <col min="2" max="2" width="2.5" customWidth="1"/>
    <col min="3" max="3" width="3" customWidth="1"/>
    <col min="4" max="4" width="10" customWidth="1"/>
    <col min="5" max="5" width="29.75" customWidth="1"/>
    <col min="6" max="6" width="28.25" customWidth="1"/>
    <col min="7" max="7" width="17.875" customWidth="1"/>
    <col min="8" max="8" width="25.25" customWidth="1"/>
    <col min="9" max="9" width="20.375" customWidth="1"/>
    <col min="10" max="10" width="12" customWidth="1"/>
    <col min="11" max="11" width="22.5" customWidth="1"/>
    <col min="12" max="12" width="10" customWidth="1"/>
    <col min="13" max="13" width="12.25" customWidth="1"/>
    <col min="14" max="14" width="13.75" customWidth="1"/>
    <col min="15" max="15" width="14.75" customWidth="1"/>
    <col min="16" max="16" width="13" customWidth="1"/>
    <col min="17" max="17" width="16.5" customWidth="1"/>
    <col min="18" max="18" width="15.25" customWidth="1"/>
    <col min="19" max="19" width="5.5" customWidth="1"/>
    <col min="20" max="20" width="2" customWidth="1"/>
    <col min="21" max="21" width="12" customWidth="1"/>
    <col min="22" max="22" width="14.375" customWidth="1"/>
    <col min="23" max="23" width="5.5" customWidth="1"/>
    <col min="24" max="24" width="9.875" customWidth="1"/>
    <col min="25" max="25" width="11.625" customWidth="1"/>
    <col min="26" max="26" width="5.5" customWidth="1"/>
    <col min="27" max="27" width="20.5" customWidth="1"/>
    <col min="28" max="28" width="8" customWidth="1"/>
    <col min="29" max="29" width="11.5" customWidth="1"/>
    <col min="30" max="30" width="5.5" customWidth="1"/>
    <col min="31" max="31" width="6.75" customWidth="1"/>
    <col min="32" max="32" width="20.5" customWidth="1"/>
    <col min="33" max="33" width="9.75" customWidth="1"/>
    <col min="34" max="34" width="10.75" customWidth="1"/>
    <col min="35" max="35" width="11.25" customWidth="1"/>
    <col min="36" max="36" width="10" customWidth="1"/>
    <col min="37" max="37" width="5.5" customWidth="1"/>
    <col min="38" max="38" width="3.25" customWidth="1"/>
    <col min="39" max="40" width="5.5" customWidth="1"/>
    <col min="41" max="41" width="14.375" customWidth="1"/>
    <col min="42" max="42" width="14.125" customWidth="1"/>
    <col min="43" max="43" width="12.625" customWidth="1"/>
    <col min="44" max="44" width="11.75" customWidth="1"/>
    <col min="45" max="45" width="15" customWidth="1"/>
    <col min="46" max="46" width="7" customWidth="1"/>
    <col min="47" max="47" width="5.875" customWidth="1"/>
    <col min="48" max="48" width="5.625" customWidth="1"/>
    <col min="49" max="49" width="22.875" customWidth="1"/>
    <col min="50" max="50" width="39.625" customWidth="1"/>
    <col min="51" max="51" width="40.25" customWidth="1"/>
    <col min="52" max="52" width="15.25" customWidth="1"/>
    <col min="53" max="53" width="13.25" customWidth="1"/>
    <col min="54" max="54" width="7.75" customWidth="1"/>
    <col min="55" max="55" width="13" customWidth="1"/>
    <col min="56" max="59" width="8" customWidth="1"/>
    <col min="60" max="60" width="9.5" customWidth="1"/>
    <col min="61" max="63" width="8" customWidth="1"/>
    <col min="64" max="64" width="26.875" customWidth="1"/>
    <col min="65" max="65" width="34.25" customWidth="1"/>
    <col min="66" max="66" width="14.375" customWidth="1"/>
    <col min="67" max="68" width="8" customWidth="1"/>
    <col min="69" max="69" width="13.25" customWidth="1"/>
    <col min="70" max="70" width="16.875" customWidth="1"/>
    <col min="71" max="71" width="16.75" customWidth="1"/>
    <col min="72" max="72" width="24.625" customWidth="1"/>
    <col min="73" max="73" width="13.25" customWidth="1"/>
    <col min="74" max="74" width="16.125" customWidth="1"/>
    <col min="75" max="76" width="8" customWidth="1"/>
    <col min="77" max="78" width="17.875" customWidth="1"/>
    <col min="79" max="80" width="8" customWidth="1"/>
    <col min="81" max="81" width="6.5" customWidth="1"/>
    <col min="82" max="82" width="10.875" customWidth="1"/>
    <col min="83" max="83" width="12.625" customWidth="1"/>
    <col min="84" max="86" width="10.875" customWidth="1"/>
    <col min="87" max="87" width="11.75" customWidth="1"/>
    <col min="88" max="88" width="8" customWidth="1"/>
    <col min="89" max="89" width="6.875" customWidth="1"/>
    <col min="90" max="90" width="10.375" customWidth="1"/>
    <col min="91" max="91" width="12.625" customWidth="1"/>
    <col min="92" max="94" width="10.75" customWidth="1"/>
    <col min="95" max="95" width="11.75" customWidth="1"/>
    <col min="96" max="96" width="8" customWidth="1"/>
    <col min="97" max="97" width="6.875" customWidth="1"/>
    <col min="98" max="98" width="10.375" customWidth="1"/>
    <col min="99" max="99" width="12.625" customWidth="1"/>
    <col min="100" max="102" width="10.75" customWidth="1"/>
    <col min="103" max="103" width="11.75" customWidth="1"/>
    <col min="104" max="104" width="8" customWidth="1"/>
    <col min="105" max="105" width="6.875" customWidth="1"/>
    <col min="106" max="106" width="4.5" customWidth="1"/>
    <col min="107" max="107" width="12.625" customWidth="1"/>
    <col min="108" max="108" width="7" customWidth="1"/>
    <col min="109" max="109" width="10.375" customWidth="1"/>
    <col min="110" max="110" width="5.125" customWidth="1"/>
    <col min="111" max="111" width="6.125" customWidth="1"/>
    <col min="112" max="112" width="8" customWidth="1"/>
    <col min="113" max="113" width="11.5" customWidth="1"/>
    <col min="114" max="114" width="16.5" customWidth="1"/>
    <col min="115" max="115" width="8" customWidth="1"/>
    <col min="116" max="116" width="9.125" customWidth="1"/>
    <col min="117" max="117" width="12.875" customWidth="1"/>
    <col min="118" max="119" width="11.75" customWidth="1"/>
    <col min="120" max="120" width="12.875" customWidth="1"/>
    <col min="121" max="121" width="13.25" customWidth="1"/>
    <col min="122" max="122" width="16.875" customWidth="1"/>
    <col min="123" max="123" width="8" customWidth="1"/>
    <col min="124" max="124" width="15.625" customWidth="1"/>
    <col min="125" max="125" width="11.75" customWidth="1"/>
    <col min="126" max="126" width="11.5" customWidth="1"/>
    <col min="127" max="127" width="9.125" customWidth="1"/>
    <col min="128" max="129" width="11.75" customWidth="1"/>
    <col min="130" max="130" width="13" customWidth="1"/>
    <col min="131" max="131" width="19.875" customWidth="1"/>
    <col min="132" max="132" width="16.875" customWidth="1"/>
    <col min="133" max="133" width="8" customWidth="1"/>
    <col min="134" max="134" width="29.25" customWidth="1"/>
  </cols>
  <sheetData>
    <row r="1" spans="1:13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9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326"/>
      <c r="BN1" s="1"/>
      <c r="BO1" s="1"/>
      <c r="BP1" s="1"/>
      <c r="BQ1" s="1"/>
      <c r="BR1" s="1" t="s">
        <v>155</v>
      </c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</row>
    <row r="2" spans="1:134" x14ac:dyDescent="0.25">
      <c r="A2" s="1"/>
      <c r="B2" s="1"/>
      <c r="C2" s="3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6"/>
      <c r="U2" s="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813" t="s">
        <v>73</v>
      </c>
      <c r="AP2" s="613"/>
      <c r="AQ2" s="613"/>
      <c r="AR2" s="613"/>
      <c r="AS2" s="613"/>
      <c r="AT2" s="613"/>
      <c r="AU2" s="613"/>
      <c r="AV2" s="613"/>
      <c r="AW2" s="613"/>
      <c r="AX2" s="613"/>
      <c r="AY2" s="613"/>
      <c r="AZ2" s="675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 t="s">
        <v>156</v>
      </c>
      <c r="BM2" s="327">
        <f>Total_Projeção_Receitas_Futuras</f>
        <v>1000000</v>
      </c>
      <c r="BN2" s="1"/>
      <c r="BO2" s="1"/>
      <c r="BP2" s="1"/>
      <c r="BQ2" s="1"/>
      <c r="BR2" s="328" t="s">
        <v>157</v>
      </c>
      <c r="BS2" s="104">
        <f>Total_Despesa_familiar_mensal*12</f>
        <v>120000</v>
      </c>
      <c r="BT2" s="328" t="s">
        <v>158</v>
      </c>
      <c r="BU2" s="14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</row>
    <row r="3" spans="1:134" ht="23.25" x14ac:dyDescent="0.35">
      <c r="A3" s="1"/>
      <c r="B3" s="1"/>
      <c r="C3" s="7"/>
      <c r="D3" s="35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35"/>
      <c r="S3" s="35"/>
      <c r="T3" s="17"/>
      <c r="U3" s="9"/>
      <c r="V3" s="1"/>
      <c r="W3" s="1"/>
      <c r="X3" s="1"/>
      <c r="Y3" s="1"/>
      <c r="Z3" s="1"/>
      <c r="AA3" s="1"/>
      <c r="AB3" s="1"/>
      <c r="AC3" s="1"/>
      <c r="AD3" s="1"/>
      <c r="AE3" s="678" t="s">
        <v>74</v>
      </c>
      <c r="AF3" s="569"/>
      <c r="AG3" s="1"/>
      <c r="AH3" s="1"/>
      <c r="AI3" s="1"/>
      <c r="AJ3" s="1"/>
      <c r="AK3" s="1"/>
      <c r="AL3" s="1"/>
      <c r="AM3" s="1"/>
      <c r="AN3" s="1"/>
      <c r="AO3" s="676"/>
      <c r="AP3" s="616"/>
      <c r="AQ3" s="616"/>
      <c r="AR3" s="616"/>
      <c r="AS3" s="616"/>
      <c r="AT3" s="616"/>
      <c r="AU3" s="616"/>
      <c r="AV3" s="616"/>
      <c r="AW3" s="616"/>
      <c r="AX3" s="616"/>
      <c r="AY3" s="616"/>
      <c r="AZ3" s="677"/>
      <c r="BA3" s="1"/>
      <c r="BB3" s="1"/>
      <c r="BC3" s="1"/>
      <c r="BD3" s="1"/>
      <c r="BE3" s="1"/>
      <c r="BF3" s="1"/>
      <c r="BG3" s="1"/>
      <c r="BH3" s="102" t="s">
        <v>75</v>
      </c>
      <c r="BI3" s="1"/>
      <c r="BJ3" s="1"/>
      <c r="BK3" s="1"/>
      <c r="BL3" s="329" t="s">
        <v>159</v>
      </c>
      <c r="BM3" s="330">
        <f>Total_Educação</f>
        <v>0</v>
      </c>
      <c r="BN3" s="1"/>
      <c r="BO3" s="1"/>
      <c r="BP3" s="1"/>
      <c r="BQ3" s="1"/>
      <c r="BR3" s="328" t="s">
        <v>9</v>
      </c>
      <c r="BS3" s="328">
        <f>Dados_idade</f>
        <v>24</v>
      </c>
      <c r="BT3" s="331">
        <f>'Investimentos - Não Aposentado'!Q13</f>
        <v>8012903.2258064514</v>
      </c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</row>
    <row r="4" spans="1:134" x14ac:dyDescent="0.25">
      <c r="A4" s="1"/>
      <c r="B4" s="1"/>
      <c r="C4" s="7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17"/>
      <c r="U4" s="9"/>
      <c r="V4" s="1"/>
      <c r="W4" s="1"/>
      <c r="X4" s="1"/>
      <c r="Y4" s="1"/>
      <c r="Z4" s="1"/>
      <c r="AA4" s="1"/>
      <c r="AB4" s="1"/>
      <c r="AC4" s="1"/>
      <c r="AD4" s="1"/>
      <c r="AE4" s="103">
        <v>1</v>
      </c>
      <c r="AF4" s="104">
        <f>F61</f>
        <v>4704000</v>
      </c>
      <c r="AG4" s="1"/>
      <c r="AH4" s="1"/>
      <c r="AI4" s="1"/>
      <c r="AJ4" s="1"/>
      <c r="AK4" s="1"/>
      <c r="AL4" s="1"/>
      <c r="AM4" s="1"/>
      <c r="AN4" s="1"/>
      <c r="AO4" s="332"/>
      <c r="AP4" s="1"/>
      <c r="AQ4" s="1"/>
      <c r="AR4" s="1"/>
      <c r="AS4" s="1"/>
      <c r="AT4" s="1"/>
      <c r="AU4" s="1"/>
      <c r="AV4" s="1"/>
      <c r="AW4" s="1"/>
      <c r="AX4" s="1"/>
      <c r="AY4" s="1"/>
      <c r="AZ4" s="333"/>
      <c r="BA4" s="1"/>
      <c r="BB4" s="1"/>
      <c r="BC4" s="1"/>
      <c r="BD4" s="1"/>
      <c r="BE4" s="1"/>
      <c r="BF4" s="1"/>
      <c r="BG4" s="1"/>
      <c r="BH4" s="102" t="s">
        <v>76</v>
      </c>
      <c r="BI4" s="1"/>
      <c r="BJ4" s="1"/>
      <c r="BK4" s="1"/>
      <c r="BL4" s="334" t="s">
        <v>160</v>
      </c>
      <c r="BM4" s="335">
        <f>Total_Padrão_de_Vida</f>
        <v>4704000</v>
      </c>
      <c r="BN4" s="1"/>
      <c r="BO4" s="1"/>
      <c r="BP4" s="1"/>
      <c r="BQ4" s="1"/>
      <c r="BR4" s="328" t="s">
        <v>161</v>
      </c>
      <c r="BS4" s="328">
        <f>Dados_aposentadoria</f>
        <v>50</v>
      </c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</row>
    <row r="5" spans="1:134" ht="21" x14ac:dyDescent="0.35">
      <c r="A5" s="1"/>
      <c r="B5" s="1"/>
      <c r="C5" s="7"/>
      <c r="D5" s="35"/>
      <c r="E5" s="110" t="s">
        <v>8</v>
      </c>
      <c r="F5" s="814" t="str">
        <f>'Resumo das informações'!F6:G6</f>
        <v>Marcos</v>
      </c>
      <c r="G5" s="607"/>
      <c r="H5" s="608"/>
      <c r="I5" s="35"/>
      <c r="J5" s="252" t="s">
        <v>78</v>
      </c>
      <c r="K5" s="336"/>
      <c r="L5" s="696">
        <f>'Resumo das informações'!F14</f>
        <v>10000</v>
      </c>
      <c r="M5" s="608"/>
      <c r="N5" s="35"/>
      <c r="O5" s="79"/>
      <c r="P5" s="79"/>
      <c r="Q5" s="79"/>
      <c r="R5" s="79"/>
      <c r="S5" s="140"/>
      <c r="T5" s="337"/>
      <c r="U5" s="9"/>
      <c r="V5" s="1"/>
      <c r="W5" s="1"/>
      <c r="X5" s="1"/>
      <c r="Y5" s="1"/>
      <c r="Z5" s="1"/>
      <c r="AA5" s="1"/>
      <c r="AB5" s="102"/>
      <c r="AC5" s="1"/>
      <c r="AD5" s="1"/>
      <c r="AE5" s="112"/>
      <c r="AF5" s="104">
        <v>0</v>
      </c>
      <c r="AG5" s="102"/>
      <c r="AH5" s="113">
        <f>AF5/AF4</f>
        <v>0</v>
      </c>
      <c r="AI5" s="1"/>
      <c r="AJ5" s="1"/>
      <c r="AK5" s="102"/>
      <c r="AL5" s="102"/>
      <c r="AM5" s="102"/>
      <c r="AN5" s="102"/>
      <c r="AO5" s="338"/>
      <c r="AP5" s="339"/>
      <c r="AQ5" s="339"/>
      <c r="AR5" s="339"/>
      <c r="AS5" s="339"/>
      <c r="AT5" s="1"/>
      <c r="AU5" s="1"/>
      <c r="AV5" s="324" t="s">
        <v>9</v>
      </c>
      <c r="AW5" s="340" t="s">
        <v>85</v>
      </c>
      <c r="AX5" s="340" t="s">
        <v>86</v>
      </c>
      <c r="AY5" s="340" t="s">
        <v>87</v>
      </c>
      <c r="AZ5" s="341" t="s">
        <v>80</v>
      </c>
      <c r="BA5" s="1"/>
      <c r="BB5" s="1"/>
      <c r="BC5" s="1"/>
      <c r="BD5" s="1"/>
      <c r="BE5" s="1"/>
      <c r="BF5" s="1"/>
      <c r="BG5" s="1"/>
      <c r="BH5" s="102" t="s">
        <v>88</v>
      </c>
      <c r="BI5" s="1"/>
      <c r="BJ5" s="1"/>
      <c r="BK5" s="1"/>
      <c r="BL5" s="334" t="s">
        <v>162</v>
      </c>
      <c r="BM5" s="335">
        <f>Total_Projetos_F+Total_Financiamentos</f>
        <v>0</v>
      </c>
      <c r="BN5" s="141">
        <f>(SUMIF(G41:G45,"Sim",F41:F45))+(SUM(F46:F47))</f>
        <v>0</v>
      </c>
      <c r="BO5" s="1"/>
      <c r="BP5" s="1"/>
      <c r="BQ5" s="1"/>
      <c r="BR5" s="328" t="s">
        <v>163</v>
      </c>
      <c r="BS5" s="328">
        <f>Dados_vida</f>
        <v>80</v>
      </c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</row>
    <row r="6" spans="1:134" ht="18.75" customHeight="1" x14ac:dyDescent="0.25">
      <c r="A6" s="1"/>
      <c r="B6" s="1"/>
      <c r="C6" s="7"/>
      <c r="D6" s="35"/>
      <c r="E6" s="342" t="s">
        <v>77</v>
      </c>
      <c r="F6" s="343">
        <f>Dados_idade</f>
        <v>24</v>
      </c>
      <c r="G6" s="344" t="s">
        <v>90</v>
      </c>
      <c r="H6" s="345">
        <f>Dados_aposentadoria</f>
        <v>50</v>
      </c>
      <c r="I6" s="19"/>
      <c r="J6" s="815" t="s">
        <v>26</v>
      </c>
      <c r="K6" s="592"/>
      <c r="L6" s="699">
        <f>'Resumo das informações'!I14</f>
        <v>40000</v>
      </c>
      <c r="M6" s="700"/>
      <c r="N6" s="19"/>
      <c r="O6" s="79"/>
      <c r="P6" s="79"/>
      <c r="Q6" s="79"/>
      <c r="R6" s="79"/>
      <c r="S6" s="35"/>
      <c r="T6" s="17"/>
      <c r="U6" s="9"/>
      <c r="V6" s="1"/>
      <c r="W6" s="1"/>
      <c r="X6" s="678" t="s">
        <v>0</v>
      </c>
      <c r="Y6" s="569"/>
      <c r="Z6" s="1"/>
      <c r="AA6" s="1"/>
      <c r="AB6" s="1"/>
      <c r="AC6" s="1"/>
      <c r="AD6" s="1"/>
      <c r="AE6" s="103">
        <v>0</v>
      </c>
      <c r="AF6" s="104">
        <v>0</v>
      </c>
      <c r="AG6" s="1"/>
      <c r="AH6" s="1"/>
      <c r="AI6" s="1"/>
      <c r="AJ6" s="1"/>
      <c r="AK6" s="1"/>
      <c r="AL6" s="1"/>
      <c r="AM6" s="1"/>
      <c r="AN6" s="1"/>
      <c r="AO6" s="346"/>
      <c r="AP6" s="347"/>
      <c r="AQ6" s="348"/>
      <c r="AR6" s="348"/>
      <c r="AS6" s="348"/>
      <c r="AT6" s="1"/>
      <c r="AU6" s="1"/>
      <c r="AV6" s="332">
        <f>'Investimentos - Não Aposentado'!AV6</f>
        <v>24</v>
      </c>
      <c r="AW6" s="335">
        <f>'Investimentos - Não Aposentado'!AW6</f>
        <v>1000000</v>
      </c>
      <c r="AX6" s="335">
        <f>'Investimentos - Não Aposentado'!AX6</f>
        <v>1000000</v>
      </c>
      <c r="AY6" s="335">
        <f>'Investimentos - Não Aposentado'!AY6</f>
        <v>1000000</v>
      </c>
      <c r="AZ6" s="335">
        <f>'Investimentos - Não Aposentado'!AZ6</f>
        <v>1000000</v>
      </c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41" t="s">
        <v>83</v>
      </c>
      <c r="BM6" s="335">
        <f>('Investimentos - Não Aposentado'!Q13-'Investimentos - Não Aposentado'!F34)-BN5</f>
        <v>7012903.2258064514</v>
      </c>
      <c r="BN6" s="141"/>
      <c r="BO6" s="1"/>
      <c r="BP6" s="1"/>
      <c r="BQ6" s="1"/>
      <c r="BR6" s="328" t="s">
        <v>164</v>
      </c>
      <c r="BS6" s="349">
        <f>SUM(F58:F60)</f>
        <v>200000</v>
      </c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</row>
    <row r="7" spans="1:134" ht="18.75" customHeight="1" x14ac:dyDescent="0.25">
      <c r="A7" s="1"/>
      <c r="B7" s="1"/>
      <c r="C7" s="7"/>
      <c r="D7" s="35"/>
      <c r="E7" s="131" t="s">
        <v>89</v>
      </c>
      <c r="F7" s="816" t="s">
        <v>165</v>
      </c>
      <c r="G7" s="724"/>
      <c r="H7" s="651"/>
      <c r="I7" s="19"/>
      <c r="J7" s="261" t="s">
        <v>166</v>
      </c>
      <c r="K7" s="350"/>
      <c r="L7" s="701">
        <f>'Resumo das informações'!F15*12</f>
        <v>0</v>
      </c>
      <c r="M7" s="651"/>
      <c r="N7" s="19"/>
      <c r="O7" s="79"/>
      <c r="P7" s="79"/>
      <c r="Q7" s="79"/>
      <c r="R7" s="79"/>
      <c r="S7" s="35"/>
      <c r="T7" s="17"/>
      <c r="U7" s="9"/>
      <c r="V7" s="1"/>
      <c r="W7" s="1"/>
      <c r="X7" s="817" t="str">
        <f>Dados_Nome</f>
        <v>Marcos</v>
      </c>
      <c r="Y7" s="569"/>
      <c r="Z7" s="1"/>
      <c r="AA7" s="1"/>
      <c r="AB7" s="1"/>
      <c r="AC7" s="1"/>
      <c r="AD7" s="1"/>
      <c r="AE7" s="351">
        <f>AF7/AF4</f>
        <v>0.21258503401360543</v>
      </c>
      <c r="AF7" s="104">
        <f>F51</f>
        <v>1000000</v>
      </c>
      <c r="AG7" s="1"/>
      <c r="AH7" s="1"/>
      <c r="AI7" s="1"/>
      <c r="AJ7" s="1"/>
      <c r="AK7" s="1"/>
      <c r="AL7" s="1"/>
      <c r="AM7" s="1"/>
      <c r="AN7" s="1"/>
      <c r="AO7" s="332"/>
      <c r="AP7" s="1"/>
      <c r="AQ7" s="1"/>
      <c r="AR7" s="1"/>
      <c r="AS7" s="1"/>
      <c r="AT7" s="1"/>
      <c r="AU7" s="1"/>
      <c r="AV7" s="332">
        <f>'Investimentos - Não Aposentado'!AV7</f>
        <v>25</v>
      </c>
      <c r="AW7" s="335">
        <f>'Investimentos - Não Aposentado'!AW7</f>
        <v>1119903.381642512</v>
      </c>
      <c r="AX7" s="335">
        <f>'Investimentos - Não Aposentado'!AX7</f>
        <v>1118717.8513272917</v>
      </c>
      <c r="AY7" s="335">
        <f>'Investimentos - Não Aposentado'!AY7</f>
        <v>1109935.5519744358</v>
      </c>
      <c r="AZ7" s="335" t="e">
        <f>'Investimentos - Não Aposentado'!AZ7</f>
        <v>#VALUE!</v>
      </c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41"/>
      <c r="BM7" s="335"/>
      <c r="BN7" s="141"/>
      <c r="BO7" s="1"/>
      <c r="BP7" s="1"/>
      <c r="BQ7" s="1"/>
      <c r="BR7" s="352"/>
      <c r="BS7" s="352"/>
      <c r="BT7" s="352"/>
      <c r="BU7" s="1"/>
      <c r="BV7" s="141"/>
      <c r="BW7" s="1"/>
      <c r="BX7" s="1"/>
      <c r="BY7" s="1"/>
      <c r="BZ7" s="10" t="s">
        <v>167</v>
      </c>
      <c r="CA7" s="1"/>
      <c r="CB7" s="1"/>
      <c r="CC7" s="1" t="s">
        <v>168</v>
      </c>
      <c r="CD7" s="1"/>
      <c r="CE7" s="1"/>
      <c r="CF7" s="1"/>
      <c r="CG7" s="1"/>
      <c r="CH7" s="1"/>
      <c r="CI7" s="1"/>
      <c r="CJ7" s="1"/>
      <c r="CK7" s="1" t="s">
        <v>169</v>
      </c>
      <c r="CL7" s="1"/>
      <c r="CM7" s="1"/>
      <c r="CN7" s="1"/>
      <c r="CO7" s="1"/>
      <c r="CP7" s="1"/>
      <c r="CQ7" s="1"/>
      <c r="CR7" s="1"/>
      <c r="CS7" s="1" t="s">
        <v>170</v>
      </c>
      <c r="CT7" s="1"/>
      <c r="CU7" s="1"/>
      <c r="CV7" s="1"/>
      <c r="CW7" s="1"/>
      <c r="CX7" s="1"/>
      <c r="CY7" s="1"/>
      <c r="CZ7" s="1"/>
      <c r="DA7" s="1" t="s">
        <v>171</v>
      </c>
      <c r="DB7" s="1"/>
      <c r="DC7" s="1"/>
      <c r="DD7" s="1"/>
      <c r="DE7" s="1"/>
      <c r="DF7" s="1"/>
      <c r="DG7" s="1"/>
      <c r="DH7" s="1"/>
      <c r="DI7" s="324" t="s">
        <v>172</v>
      </c>
      <c r="DJ7" s="353">
        <f>SUM(DI9:DI32)</f>
        <v>0</v>
      </c>
      <c r="DK7" s="1"/>
      <c r="DL7" s="352" t="s">
        <v>173</v>
      </c>
      <c r="DM7" s="352"/>
      <c r="DN7" s="352"/>
      <c r="DO7" s="352"/>
      <c r="DP7" s="352"/>
      <c r="DQ7" s="324" t="s">
        <v>174</v>
      </c>
      <c r="DR7" s="353">
        <f>DP9</f>
        <v>0</v>
      </c>
      <c r="DS7" s="1"/>
      <c r="DT7" s="352" t="s">
        <v>175</v>
      </c>
      <c r="DU7" s="352"/>
      <c r="DV7" s="352"/>
      <c r="DW7" s="352"/>
      <c r="DX7" s="352"/>
      <c r="DY7" s="352"/>
      <c r="DZ7" s="352"/>
      <c r="EA7" s="324" t="s">
        <v>176</v>
      </c>
      <c r="EB7" s="353">
        <f>DZ9</f>
        <v>0</v>
      </c>
      <c r="EC7" s="1"/>
      <c r="ED7" s="328" t="s">
        <v>177</v>
      </c>
    </row>
    <row r="8" spans="1:134" x14ac:dyDescent="0.25">
      <c r="A8" s="1"/>
      <c r="B8" s="1"/>
      <c r="C8" s="7"/>
      <c r="D8" s="35"/>
      <c r="E8" s="137"/>
      <c r="G8" s="35"/>
      <c r="H8" s="35"/>
      <c r="I8" s="19"/>
      <c r="J8" s="35"/>
      <c r="K8" s="35"/>
      <c r="L8" s="35"/>
      <c r="M8" s="138"/>
      <c r="N8" s="138"/>
      <c r="O8" s="138"/>
      <c r="P8" s="139"/>
      <c r="Q8" s="139"/>
      <c r="R8" s="140"/>
      <c r="S8" s="35"/>
      <c r="T8" s="17"/>
      <c r="U8" s="9"/>
      <c r="V8" s="14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243"/>
      <c r="AP8" s="243"/>
      <c r="AQ8" s="244"/>
      <c r="AR8" s="354"/>
      <c r="AS8" s="354"/>
      <c r="AT8" s="355"/>
      <c r="AU8" s="1"/>
      <c r="AV8" s="332">
        <f>'Investimentos - Não Aposentado'!AV8</f>
        <v>26</v>
      </c>
      <c r="AW8" s="335">
        <f>'Investimentos - Não Aposentado'!AW8</f>
        <v>1246989.3813157834</v>
      </c>
      <c r="AX8" s="335">
        <f>'Investimentos - Não Aposentado'!AX8</f>
        <v>1244547.3034104211</v>
      </c>
      <c r="AY8" s="335">
        <f>'Investimentos - Não Aposentado'!AY8</f>
        <v>1225360.7964183292</v>
      </c>
      <c r="AZ8" s="335" t="e">
        <f>'Investimentos - Não Aposentado'!AZ8</f>
        <v>#VALUE!</v>
      </c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41"/>
      <c r="BM8" s="335"/>
      <c r="BN8" s="141"/>
      <c r="BO8" s="1"/>
      <c r="BP8" s="1"/>
      <c r="BQ8" s="1"/>
      <c r="BR8" s="356" t="s">
        <v>178</v>
      </c>
      <c r="BS8" s="356" t="s">
        <v>9</v>
      </c>
      <c r="BT8" s="356" t="s">
        <v>179</v>
      </c>
      <c r="BU8" s="1"/>
      <c r="BV8" s="1"/>
      <c r="BW8" s="1"/>
      <c r="BX8" s="1"/>
      <c r="BY8" s="1"/>
      <c r="BZ8" s="357">
        <f>SUMIF(G41:G45,"Sim",F41:F45)</f>
        <v>0</v>
      </c>
      <c r="CA8" s="1"/>
      <c r="CB8" s="1"/>
      <c r="CC8" s="358" t="s">
        <v>9</v>
      </c>
      <c r="CD8" s="359" t="s">
        <v>180</v>
      </c>
      <c r="CE8" s="359" t="s">
        <v>181</v>
      </c>
      <c r="CF8" s="359" t="s">
        <v>182</v>
      </c>
      <c r="CG8" s="359" t="s">
        <v>183</v>
      </c>
      <c r="CH8" s="360" t="s">
        <v>184</v>
      </c>
      <c r="CI8" s="361" t="s">
        <v>39</v>
      </c>
      <c r="CJ8" s="1"/>
      <c r="CK8" s="358" t="s">
        <v>9</v>
      </c>
      <c r="CL8" s="359" t="s">
        <v>180</v>
      </c>
      <c r="CM8" s="359" t="s">
        <v>181</v>
      </c>
      <c r="CN8" s="359" t="s">
        <v>182</v>
      </c>
      <c r="CO8" s="359" t="s">
        <v>183</v>
      </c>
      <c r="CP8" s="360" t="s">
        <v>184</v>
      </c>
      <c r="CQ8" s="361" t="s">
        <v>39</v>
      </c>
      <c r="CR8" s="1"/>
      <c r="CS8" s="358" t="s">
        <v>9</v>
      </c>
      <c r="CT8" s="359" t="s">
        <v>180</v>
      </c>
      <c r="CU8" s="359" t="s">
        <v>181</v>
      </c>
      <c r="CV8" s="359" t="s">
        <v>182</v>
      </c>
      <c r="CW8" s="359" t="s">
        <v>183</v>
      </c>
      <c r="CX8" s="360" t="s">
        <v>184</v>
      </c>
      <c r="CY8" s="361" t="s">
        <v>39</v>
      </c>
      <c r="CZ8" s="1"/>
      <c r="DA8" s="358" t="s">
        <v>9</v>
      </c>
      <c r="DB8" s="359" t="s">
        <v>180</v>
      </c>
      <c r="DC8" s="359" t="s">
        <v>181</v>
      </c>
      <c r="DD8" s="359" t="s">
        <v>182</v>
      </c>
      <c r="DE8" s="359" t="s">
        <v>183</v>
      </c>
      <c r="DF8" s="360" t="s">
        <v>184</v>
      </c>
      <c r="DG8" s="361" t="s">
        <v>39</v>
      </c>
      <c r="DH8" s="1"/>
      <c r="DI8" s="1"/>
      <c r="DJ8" s="1"/>
      <c r="DK8" s="1"/>
      <c r="DL8" s="356" t="s">
        <v>53</v>
      </c>
      <c r="DM8" s="356" t="s">
        <v>185</v>
      </c>
      <c r="DN8" s="356" t="s">
        <v>186</v>
      </c>
      <c r="DO8" s="356" t="s">
        <v>187</v>
      </c>
      <c r="DP8" s="356" t="s">
        <v>39</v>
      </c>
      <c r="DQ8" s="1"/>
      <c r="DR8" s="1"/>
      <c r="DS8" s="1"/>
      <c r="DT8" s="356" t="s">
        <v>53</v>
      </c>
      <c r="DU8" s="356" t="s">
        <v>188</v>
      </c>
      <c r="DV8" s="356" t="s">
        <v>189</v>
      </c>
      <c r="DW8" s="356" t="s">
        <v>190</v>
      </c>
      <c r="DX8" s="356" t="s">
        <v>191</v>
      </c>
      <c r="DY8" s="356" t="s">
        <v>192</v>
      </c>
      <c r="DZ8" s="356" t="s">
        <v>39</v>
      </c>
      <c r="EA8" s="1"/>
      <c r="EB8" s="1"/>
      <c r="EC8" s="1"/>
      <c r="ED8" s="362">
        <f>IF('Resumo das informações'!G36="F",dados_prazoprojeto1,0)</f>
        <v>0</v>
      </c>
    </row>
    <row r="9" spans="1:134" x14ac:dyDescent="0.25">
      <c r="A9" s="1"/>
      <c r="B9" s="1"/>
      <c r="C9" s="7"/>
      <c r="D9" s="35"/>
      <c r="E9" s="19"/>
      <c r="F9" s="146"/>
      <c r="G9" s="146"/>
      <c r="H9" s="146"/>
      <c r="I9" s="19"/>
      <c r="J9" s="147"/>
      <c r="K9" s="148"/>
      <c r="L9" s="148"/>
      <c r="M9" s="147"/>
      <c r="N9" s="19"/>
      <c r="O9" s="139"/>
      <c r="P9" s="139"/>
      <c r="Q9" s="139"/>
      <c r="R9" s="140"/>
      <c r="S9" s="35"/>
      <c r="T9" s="17"/>
      <c r="U9" s="23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363"/>
      <c r="AP9" s="249"/>
      <c r="AQ9" s="42"/>
      <c r="AR9" s="364"/>
      <c r="AS9" s="364"/>
      <c r="AT9" s="364"/>
      <c r="AU9" s="1"/>
      <c r="AV9" s="332">
        <f>'Investimentos - Não Aposentado'!AV9</f>
        <v>27</v>
      </c>
      <c r="AW9" s="335">
        <f>'Investimentos - Não Aposentado'!AW9</f>
        <v>1381688.2621289028</v>
      </c>
      <c r="AX9" s="335">
        <f>'Investimentos - Não Aposentado'!AX9</f>
        <v>1377914.3651835546</v>
      </c>
      <c r="AY9" s="335">
        <f>'Investimentos - Não Aposentado'!AY9</f>
        <v>1346549.8641553128</v>
      </c>
      <c r="AZ9" s="335" t="e">
        <f>'Investimentos - Não Aposentado'!AZ9</f>
        <v>#VALUE!</v>
      </c>
      <c r="BA9" s="1"/>
      <c r="BB9" s="1"/>
      <c r="BC9" s="141">
        <f>AZ6*(1+AP6)+36000</f>
        <v>1036000</v>
      </c>
      <c r="BD9" s="1"/>
      <c r="BE9" s="1"/>
      <c r="BF9" s="1"/>
      <c r="BG9" s="1"/>
      <c r="BH9" s="1"/>
      <c r="BI9" s="1"/>
      <c r="BJ9" s="1"/>
      <c r="BK9" s="1"/>
      <c r="BL9" s="1" t="s">
        <v>193</v>
      </c>
      <c r="BM9" s="365">
        <f>Total_Padrão_de_Vida-Total_Projeção_Receitas_Futuras</f>
        <v>3704000</v>
      </c>
      <c r="BN9" s="141"/>
      <c r="BO9" s="1"/>
      <c r="BP9" s="1"/>
      <c r="BQ9" s="1"/>
      <c r="BR9" s="141">
        <f>(Total_Despesa_familiar_mensal*12)*(Total_Linha_Vida-Total_Idade)*0.7</f>
        <v>4704000</v>
      </c>
      <c r="BS9" s="335">
        <f>Total_Idade</f>
        <v>24</v>
      </c>
      <c r="BT9" s="141">
        <f>BR9+DJ7+DP9+DZ9+Total_Planej_Sucessão</f>
        <v>4904000</v>
      </c>
      <c r="BU9" s="1"/>
      <c r="BV9" s="141"/>
      <c r="BW9" s="1"/>
      <c r="BX9" s="1"/>
      <c r="BY9" s="1"/>
      <c r="BZ9" s="1"/>
      <c r="CA9" s="1"/>
      <c r="CB9" s="1"/>
      <c r="CC9" s="326">
        <f>IF('Resumo das informações'!$F8&gt;0,('Resumo das informações'!$F8)*1,0)</f>
        <v>24</v>
      </c>
      <c r="CD9" s="141" t="str">
        <f>IF(AND($CC9&lt;=5,$CC9&gt;0),'Resumo das informações'!$F$49*12,"")</f>
        <v/>
      </c>
      <c r="CE9" s="141" t="str">
        <f>IF(AND($CC9&lt;=14,$CC9&gt;=6),'Resumo das informações'!$F$50*12,"")</f>
        <v/>
      </c>
      <c r="CF9" s="141" t="str">
        <f>IF(AND($CC9&lt;=17,$CC9&gt;=15),'Resumo das informações'!$F$51*12,"")</f>
        <v/>
      </c>
      <c r="CG9" s="141" t="str">
        <f>IF(AND($CC9&lt;=22,$CC9&gt;=18),'Resumo das informações'!$F$52*12,"")</f>
        <v/>
      </c>
      <c r="CH9" s="141">
        <f>IF(AND($CC9&lt;=24,$CC9&gt;=23),'Resumo das informações'!$F$53*12,"")</f>
        <v>0</v>
      </c>
      <c r="CI9" s="141">
        <f t="shared" ref="CI9:CI32" si="0">SUM(CD9:CH9)</f>
        <v>0</v>
      </c>
      <c r="CJ9" s="1"/>
      <c r="CK9" s="326">
        <f>IF('Resumo das informações'!$F9&gt;0,('Resumo das informações'!$F9)*1,0)</f>
        <v>0</v>
      </c>
      <c r="CL9" s="141" t="str">
        <f>IF(AND($CK9&lt;=5,$CK9&gt;0),'Resumo das informações'!$F$49*12,"")</f>
        <v/>
      </c>
      <c r="CM9" s="141" t="str">
        <f>IF(AND($CK9&lt;=14,$CK9&gt;=6),'Resumo das informações'!$F$50*12,"")</f>
        <v/>
      </c>
      <c r="CN9" s="141" t="str">
        <f>IF(AND($CK9&lt;=17,$CK9&gt;=15),'Resumo das informações'!$F$51*12,"")</f>
        <v/>
      </c>
      <c r="CO9" s="141" t="str">
        <f>IF(AND($CK9&lt;=22,$CK9&gt;=18),'Resumo das informações'!$F$52*12,"")</f>
        <v/>
      </c>
      <c r="CP9" s="141" t="str">
        <f>IF(AND($CK9&lt;=24,$CK9&gt;=23),'Resumo das informações'!$F$53*12,"")</f>
        <v/>
      </c>
      <c r="CQ9" s="141">
        <f t="shared" ref="CQ9:CQ32" si="1">SUM(CL9:CP9)</f>
        <v>0</v>
      </c>
      <c r="CR9" s="1"/>
      <c r="CS9" s="326">
        <f>IF('Resumo das informações'!$F10&gt;0,('Resumo das informações'!$F10)*1,0)</f>
        <v>0</v>
      </c>
      <c r="CT9" s="141" t="str">
        <f>IF(AND($CS9&lt;=5,$CS9&gt;0),'Resumo das informações'!$F$49*12,"")</f>
        <v/>
      </c>
      <c r="CU9" s="141" t="str">
        <f>IF(AND($CS9&lt;=14,$CS9&gt;=6),'Resumo das informações'!$F$50*12,"")</f>
        <v/>
      </c>
      <c r="CV9" s="141" t="str">
        <f>IF(AND($CS9&lt;=17,$CS9&gt;=15),'Resumo das informações'!$F$51*12,"")</f>
        <v/>
      </c>
      <c r="CW9" s="141" t="str">
        <f>IF(AND($CS9&lt;=22,$CS9&gt;=18),'Resumo das informações'!$F$52*12,"")</f>
        <v/>
      </c>
      <c r="CX9" s="141" t="str">
        <f>IF(AND($CS9&lt;=24,$CS9&gt;=23),'Resumo das informações'!$F$53*12,"")</f>
        <v/>
      </c>
      <c r="CY9" s="141">
        <f t="shared" ref="CY9:CY32" si="2">SUM(CT9:CX9)</f>
        <v>0</v>
      </c>
      <c r="CZ9" s="1"/>
      <c r="DA9" s="326">
        <f>IF('Resumo das informações'!$F11&gt;0,('Resumo das informações'!$F11)*1,0)</f>
        <v>0</v>
      </c>
      <c r="DB9" s="141" t="str">
        <f>IF(AND($DA9&lt;=5,$DA9&gt;0),'Resumo das informações'!$F$49*12,"")</f>
        <v/>
      </c>
      <c r="DC9" s="141" t="str">
        <f>IF(AND($DA9&lt;=14,$DA9&gt;=6),'Resumo das informações'!$F$50*12,"")</f>
        <v/>
      </c>
      <c r="DD9" s="141" t="str">
        <f>IF(AND($DA9&lt;=17,$DA9&gt;=15),'Resumo das informações'!$F$51*12,"")</f>
        <v/>
      </c>
      <c r="DE9" s="141" t="str">
        <f>IF(AND($DA9&lt;=22,$DA9&gt;=18),'Resumo das informações'!$F$52*12,"")</f>
        <v/>
      </c>
      <c r="DF9" s="141" t="str">
        <f>IF(AND($DA9&lt;=24,$DA9&gt;=23),'Resumo das informações'!$F$53*12,"")</f>
        <v/>
      </c>
      <c r="DG9" s="141">
        <f t="shared" ref="DG9:DG32" si="3">SUM(DB9:DF9)</f>
        <v>0</v>
      </c>
      <c r="DH9" s="1"/>
      <c r="DI9" s="141">
        <f t="shared" ref="DI9:DI32" si="4">CI9+CQ9+CY9+DG9</f>
        <v>0</v>
      </c>
      <c r="DJ9" s="141">
        <f>Total_Educação-DI9</f>
        <v>0</v>
      </c>
      <c r="DK9" s="1"/>
      <c r="DL9" s="326">
        <v>1</v>
      </c>
      <c r="DM9" s="141">
        <f>IF(AND('Resumo das informações'!$G$36="F",'Resumo das informações'!$I$36&gt;='Proteção Familiar'!$DL9),Dados_montanteprojeto1,0)</f>
        <v>0</v>
      </c>
      <c r="DN9" s="141">
        <f>IF(AND('Resumo das informações'!$G$37="F",'Resumo das informações'!$I$37&gt;='Proteção Familiar'!$DL9),Dados_montanteprojeto2,0)</f>
        <v>0</v>
      </c>
      <c r="DO9" s="141">
        <f>IF(AND('Resumo das informações'!$G$38="F",'Resumo das informações'!$I$38&gt;='Proteção Familiar'!$DL9),Dados_montanteprojeto3,0)</f>
        <v>0</v>
      </c>
      <c r="DP9" s="141">
        <f t="shared" ref="DP9:DP48" si="5">SUM(DM9:DO9)</f>
        <v>0</v>
      </c>
      <c r="DQ9" s="1"/>
      <c r="DR9" s="1"/>
      <c r="DS9" s="1"/>
      <c r="DT9" s="326">
        <v>1</v>
      </c>
      <c r="DU9" s="141">
        <f>IF(AND('Resumo das informações'!$H$61&lt;&gt;"SIM",'Resumo das informações'!$F$61&gt;0,'Resumo das informações'!$G$61&gt;='Proteção Familiar'!$DT9),'Resumo das informações'!$F$61,0)</f>
        <v>0</v>
      </c>
      <c r="DV9" s="141">
        <f>IF(AND('Resumo das informações'!$H$62&lt;&gt;"SIM",'Resumo das informações'!$F$62&gt;0,'Resumo das informações'!$G$62&gt;='Proteção Familiar'!$DT9),'Resumo das informações'!$F$62,0)</f>
        <v>0</v>
      </c>
      <c r="DW9" s="141">
        <f>IF(AND('Resumo das informações'!$H$63&lt;&gt;"SIM",'Resumo das informações'!$F$63&gt;0,'Resumo das informações'!$G$63&gt;='Proteção Familiar'!$DT9),'Resumo das informações'!$F$63,0)</f>
        <v>0</v>
      </c>
      <c r="DX9" s="141">
        <f>IF(AND('Resumo das informações'!$H$64&lt;&gt;"SIM",'Resumo das informações'!$F$64&gt;0,'Resumo das informações'!$G$64&gt;='Proteção Familiar'!$DT9),'Resumo das informações'!$F$64,0)</f>
        <v>0</v>
      </c>
      <c r="DY9" s="141">
        <f>IF(AND('Resumo das informações'!$H$65&lt;&gt;"SIM",'Resumo das informações'!$F$65&gt;0,'Resumo das informações'!$G$65&gt;='Proteção Familiar'!$DT9),'Resumo das informações'!$F$65,0)</f>
        <v>0</v>
      </c>
      <c r="DZ9" s="141">
        <f t="shared" ref="DZ9:DZ48" si="6">SUM(DU9:DY9)</f>
        <v>0</v>
      </c>
      <c r="EA9" s="1"/>
      <c r="EB9" s="1"/>
      <c r="EC9" s="1"/>
      <c r="ED9" s="362">
        <f>IF('Resumo das informações'!G37="F",dados_prazoprojeto2,0)</f>
        <v>0</v>
      </c>
    </row>
    <row r="10" spans="1:134" x14ac:dyDescent="0.25">
      <c r="A10" s="1"/>
      <c r="B10" s="1"/>
      <c r="C10" s="7"/>
      <c r="D10" s="35"/>
      <c r="E10" s="19"/>
      <c r="F10" s="146"/>
      <c r="G10" s="146"/>
      <c r="H10" s="146"/>
      <c r="I10" s="19"/>
      <c r="J10" s="147"/>
      <c r="K10" s="148"/>
      <c r="L10" s="148"/>
      <c r="M10" s="147"/>
      <c r="N10" s="19"/>
      <c r="O10" s="139"/>
      <c r="P10" s="139"/>
      <c r="Q10" s="139"/>
      <c r="R10" s="140"/>
      <c r="S10" s="35"/>
      <c r="T10" s="366"/>
      <c r="U10" s="9"/>
      <c r="V10" s="1"/>
      <c r="W10" s="1"/>
      <c r="X10" s="1"/>
      <c r="Y10" s="1"/>
      <c r="Z10" s="1"/>
      <c r="AA10" s="1"/>
      <c r="AB10" s="1"/>
      <c r="AC10" s="1"/>
      <c r="AD10" s="1"/>
      <c r="AE10" s="690" t="str">
        <f>IF(AF7&gt;0,"Deficit","Superavit")</f>
        <v>Deficit</v>
      </c>
      <c r="AF10" s="692">
        <f>AF4-AF6</f>
        <v>4704000</v>
      </c>
      <c r="AG10" s="1"/>
      <c r="AH10" s="1"/>
      <c r="AI10" s="1"/>
      <c r="AJ10" s="1"/>
      <c r="AK10" s="1"/>
      <c r="AL10" s="1"/>
      <c r="AM10" s="1"/>
      <c r="AN10" s="1"/>
      <c r="AO10" s="332"/>
      <c r="AP10" s="1"/>
      <c r="AQ10" s="1"/>
      <c r="AR10" s="1"/>
      <c r="AS10" s="1"/>
      <c r="AT10" s="1"/>
      <c r="AU10" s="1"/>
      <c r="AV10" s="332">
        <f>'Investimentos - Não Aposentado'!AV10</f>
        <v>28</v>
      </c>
      <c r="AW10" s="335">
        <f>'Investimentos - Não Aposentado'!AW10</f>
        <v>1524456.0614061898</v>
      </c>
      <c r="AX10" s="335">
        <f>'Investimentos - Não Aposentado'!AX10</f>
        <v>1519270.5649566245</v>
      </c>
      <c r="AY10" s="335">
        <f>'Investimentos - Não Aposentado'!AY10</f>
        <v>1473790.5748830098</v>
      </c>
      <c r="AZ10" s="335" t="e">
        <f>'Investimentos - Não Aposentado'!AZ10</f>
        <v>#VALUE!</v>
      </c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367"/>
      <c r="BN10" s="141"/>
      <c r="BO10" s="1"/>
      <c r="BP10" s="1"/>
      <c r="BQ10" s="1"/>
      <c r="BR10" s="141">
        <f t="shared" ref="BR10:BR41" si="7">IF(BR9-Total_Gastos_Anual&lt;=0,0,BR9-Total_Gastos_Anual)</f>
        <v>4584000</v>
      </c>
      <c r="BS10" s="335">
        <f t="shared" ref="BS10:BS79" si="8">BS9+1</f>
        <v>25</v>
      </c>
      <c r="BT10" s="141">
        <f t="shared" ref="BT10:BT41" si="9">BR10+DJ9+DP10+DZ10+Total_Planej_Sucessão</f>
        <v>4784000</v>
      </c>
      <c r="BU10" s="141"/>
      <c r="BV10" s="141">
        <f>Total_Necessidade_de_Proteção-BT10</f>
        <v>120000</v>
      </c>
      <c r="BW10" s="1"/>
      <c r="BX10" s="1"/>
      <c r="BY10" s="1"/>
      <c r="BZ10" s="1"/>
      <c r="CA10" s="1"/>
      <c r="CB10" s="1"/>
      <c r="CC10" s="326">
        <f t="shared" ref="CC10:CC32" si="10">IF(CC9=0,0,(CC9+1))</f>
        <v>25</v>
      </c>
      <c r="CD10" s="141" t="str">
        <f>IF(AND($CC10&lt;=5,$CC10&gt;0),'Resumo das informações'!$F$49*12,"")</f>
        <v/>
      </c>
      <c r="CE10" s="141" t="str">
        <f>IF(AND($CC10&lt;=14,$CC10&gt;=6),'Resumo das informações'!$F$50*12,"")</f>
        <v/>
      </c>
      <c r="CF10" s="141" t="str">
        <f>IF(AND($CC10&lt;=17,$CC10&gt;=15),'Resumo das informações'!$F$51*12,"")</f>
        <v/>
      </c>
      <c r="CG10" s="141" t="str">
        <f>IF(AND($CC10&lt;=22,$CC10&gt;=18),'Resumo das informações'!$F$52*12,"")</f>
        <v/>
      </c>
      <c r="CH10" s="141" t="str">
        <f>IF(AND($CC10&lt;=24,$CC10&gt;=23),'Resumo das informações'!$F$53*12,"")</f>
        <v/>
      </c>
      <c r="CI10" s="141">
        <f t="shared" si="0"/>
        <v>0</v>
      </c>
      <c r="CJ10" s="1"/>
      <c r="CK10" s="326">
        <f t="shared" ref="CK10:CK32" si="11">IF(CK9=0,0,(CK9+1))</f>
        <v>0</v>
      </c>
      <c r="CL10" s="141" t="str">
        <f>IF(AND($CK10&lt;=5,$CK10&gt;0),'Resumo das informações'!$F$49*12,"")</f>
        <v/>
      </c>
      <c r="CM10" s="141" t="str">
        <f>IF(AND($CK10&lt;=14,$CK10&gt;=6),'Resumo das informações'!$F$50*12,"")</f>
        <v/>
      </c>
      <c r="CN10" s="141" t="str">
        <f>IF(AND($CK10&lt;=17,$CK10&gt;=15),'Resumo das informações'!$F$51*12,"")</f>
        <v/>
      </c>
      <c r="CO10" s="141" t="str">
        <f>IF(AND($CK10&lt;=22,$CK10&gt;=18),'Resumo das informações'!$F$52*12,"")</f>
        <v/>
      </c>
      <c r="CP10" s="141" t="str">
        <f>IF(AND($CK10&lt;=24,$CK10&gt;=23),'Resumo das informações'!$F$53*12,"")</f>
        <v/>
      </c>
      <c r="CQ10" s="141">
        <f t="shared" si="1"/>
        <v>0</v>
      </c>
      <c r="CR10" s="1"/>
      <c r="CS10" s="326">
        <f t="shared" ref="CS10:CS32" si="12">IF(CS9=0,0,(CS9+1))</f>
        <v>0</v>
      </c>
      <c r="CT10" s="141" t="str">
        <f>IF(AND($CS10&lt;=5,$CS10&gt;0),'Resumo das informações'!$F$49*12,"")</f>
        <v/>
      </c>
      <c r="CU10" s="141" t="str">
        <f>IF(AND($CS10&lt;=14,$CS10&gt;=6),'Resumo das informações'!$F$50*12,"")</f>
        <v/>
      </c>
      <c r="CV10" s="141" t="str">
        <f>IF(AND($CS10&lt;=17,$CS10&gt;=15),'Resumo das informações'!$F$51*12,"")</f>
        <v/>
      </c>
      <c r="CW10" s="141" t="str">
        <f>IF(AND($CS10&lt;=22,$CS10&gt;=18),'Resumo das informações'!$F$52*12,"")</f>
        <v/>
      </c>
      <c r="CX10" s="141" t="str">
        <f>IF(AND($CS10&lt;=24,$CS10&gt;=23),'Resumo das informações'!$F$53*12,"")</f>
        <v/>
      </c>
      <c r="CY10" s="141">
        <f t="shared" si="2"/>
        <v>0</v>
      </c>
      <c r="CZ10" s="1"/>
      <c r="DA10" s="326">
        <f t="shared" ref="DA10:DA32" si="13">IF(DA9=0,0,(DA9+1))</f>
        <v>0</v>
      </c>
      <c r="DB10" s="141" t="str">
        <f>IF(AND($DA10&lt;=5,$DA10&gt;0),'Resumo das informações'!$F$49*12,"")</f>
        <v/>
      </c>
      <c r="DC10" s="141" t="str">
        <f>IF(AND($DA10&lt;=14,$DA10&gt;=6),'Resumo das informações'!$F$50*12,"")</f>
        <v/>
      </c>
      <c r="DD10" s="141" t="str">
        <f>IF(AND($DA10&lt;=17,$DA10&gt;=15),'Resumo das informações'!$F$51*12,"")</f>
        <v/>
      </c>
      <c r="DE10" s="141" t="str">
        <f>IF(AND($DA10&lt;=22,$DA10&gt;=18),'Resumo das informações'!$F$52*12,"")</f>
        <v/>
      </c>
      <c r="DF10" s="141" t="str">
        <f>IF(AND($DA10&lt;=24,$DA10&gt;=23),'Resumo das informações'!$F$53*12,"")</f>
        <v/>
      </c>
      <c r="DG10" s="141">
        <f t="shared" si="3"/>
        <v>0</v>
      </c>
      <c r="DH10" s="1"/>
      <c r="DI10" s="141">
        <f t="shared" si="4"/>
        <v>0</v>
      </c>
      <c r="DJ10" s="141">
        <f t="shared" ref="DJ10:DJ32" si="14">DJ9-DI10</f>
        <v>0</v>
      </c>
      <c r="DK10" s="1"/>
      <c r="DL10" s="326">
        <v>2</v>
      </c>
      <c r="DM10" s="141">
        <f>IF(AND('Resumo das informações'!$G$36="F",'Resumo das informações'!$I$36&gt;='Proteção Familiar'!$DL10),Dados_montanteprojeto1,0)</f>
        <v>0</v>
      </c>
      <c r="DN10" s="141">
        <f>IF(AND('Resumo das informações'!$G$37="F",'Resumo das informações'!$I$37&gt;='Proteção Familiar'!$DL10),Dados_montanteprojeto2,0)</f>
        <v>0</v>
      </c>
      <c r="DO10" s="141">
        <f>IF(AND('Resumo das informações'!$G$38="F",'Resumo das informações'!$I$38&gt;='Proteção Familiar'!$DL10),Dados_montanteprojeto3,0)</f>
        <v>0</v>
      </c>
      <c r="DP10" s="141">
        <f t="shared" si="5"/>
        <v>0</v>
      </c>
      <c r="DQ10" s="1"/>
      <c r="DR10" s="1"/>
      <c r="DS10" s="1"/>
      <c r="DT10" s="326">
        <v>2</v>
      </c>
      <c r="DU10" s="141">
        <f>IF(AND('Resumo das informações'!$H$61&lt;&gt;"SIM",'Resumo das informações'!$F$61&gt;0,'Resumo das informações'!$G$61&gt;='Proteção Familiar'!$DT10),'Resumo das informações'!$F$61,0)</f>
        <v>0</v>
      </c>
      <c r="DV10" s="141">
        <f>IF(AND('Resumo das informações'!$H$62&lt;&gt;"SIM",'Resumo das informações'!$F$62&gt;0,'Resumo das informações'!$G$62&gt;='Proteção Familiar'!$DT10),'Resumo das informações'!$F$62,0)</f>
        <v>0</v>
      </c>
      <c r="DW10" s="141">
        <f>IF(AND('Resumo das informações'!$H$63&lt;&gt;"SIM",'Resumo das informações'!$F$63&gt;0,'Resumo das informações'!$G$63&gt;='Proteção Familiar'!$DT10),'Resumo das informações'!$F$63,0)</f>
        <v>0</v>
      </c>
      <c r="DX10" s="141">
        <f>IF(AND('Resumo das informações'!$H$64&lt;&gt;"SIM",'Resumo das informações'!$F$64&gt;0,'Resumo das informações'!$G$64&gt;='Proteção Familiar'!$DT10),'Resumo das informações'!$F$64,0)</f>
        <v>0</v>
      </c>
      <c r="DY10" s="141">
        <f>IF(AND('Resumo das informações'!$H$65&lt;&gt;"SIM",'Resumo das informações'!$F$65&gt;0,'Resumo das informações'!$G$65&gt;='Proteção Familiar'!$DT10),'Resumo das informações'!$F$65,0)</f>
        <v>0</v>
      </c>
      <c r="DZ10" s="141">
        <f t="shared" si="6"/>
        <v>0</v>
      </c>
      <c r="EA10" s="1"/>
      <c r="EB10" s="1"/>
      <c r="EC10" s="1"/>
      <c r="ED10" s="362">
        <f>IF('Resumo das informações'!G38="F",dados_prazoprojeto3,0)</f>
        <v>0</v>
      </c>
    </row>
    <row r="11" spans="1:134" x14ac:dyDescent="0.25">
      <c r="A11" s="1"/>
      <c r="B11" s="1"/>
      <c r="C11" s="7"/>
      <c r="D11" s="35"/>
      <c r="E11" s="35"/>
      <c r="F11" s="35"/>
      <c r="G11" s="146"/>
      <c r="H11" s="146"/>
      <c r="I11" s="19"/>
      <c r="J11" s="147"/>
      <c r="K11" s="148"/>
      <c r="L11" s="148"/>
      <c r="M11" s="147"/>
      <c r="N11" s="19"/>
      <c r="O11" s="139"/>
      <c r="P11" s="35"/>
      <c r="Q11" s="35"/>
      <c r="R11" s="140"/>
      <c r="S11" s="35"/>
      <c r="T11" s="17"/>
      <c r="U11" s="237"/>
      <c r="V11" s="1"/>
      <c r="W11" s="1"/>
      <c r="X11" s="1"/>
      <c r="Y11" s="1"/>
      <c r="Z11" s="1"/>
      <c r="AA11" s="1"/>
      <c r="AB11" s="1"/>
      <c r="AC11" s="1"/>
      <c r="AD11" s="1"/>
      <c r="AE11" s="691"/>
      <c r="AF11" s="693"/>
      <c r="AG11" s="1"/>
      <c r="AH11" s="1"/>
      <c r="AI11" s="1"/>
      <c r="AJ11" s="1"/>
      <c r="AK11" s="1"/>
      <c r="AL11" s="1"/>
      <c r="AM11" s="1"/>
      <c r="AN11" s="1"/>
      <c r="AO11" s="332"/>
      <c r="AP11" s="1"/>
      <c r="AQ11" s="1"/>
      <c r="AR11" s="1"/>
      <c r="AS11" s="1"/>
      <c r="AT11" s="206"/>
      <c r="AU11" s="1"/>
      <c r="AV11" s="332">
        <f>'Investimentos - Não Aposentado'!AV11</f>
        <v>29</v>
      </c>
      <c r="AW11" s="335">
        <f>'Investimentos - Não Aposentado'!AW11</f>
        <v>1675776.1346498455</v>
      </c>
      <c r="AX11" s="335">
        <f>'Investimentos - Não Aposentado'!AX11</f>
        <v>1669094.4791122358</v>
      </c>
      <c r="AY11" s="335">
        <f>'Investimentos - Não Aposentado'!AY11</f>
        <v>1607385.120734514</v>
      </c>
      <c r="AZ11" s="335" t="e">
        <f>'Investimentos - Não Aposentado'!AZ11</f>
        <v>#VALUE!</v>
      </c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367"/>
      <c r="BN11" s="141"/>
      <c r="BO11" s="1"/>
      <c r="BP11" s="1"/>
      <c r="BQ11" s="1"/>
      <c r="BR11" s="141">
        <f t="shared" si="7"/>
        <v>4464000</v>
      </c>
      <c r="BS11" s="335">
        <f t="shared" si="8"/>
        <v>26</v>
      </c>
      <c r="BT11" s="141">
        <f t="shared" si="9"/>
        <v>4664000</v>
      </c>
      <c r="BU11" s="141"/>
      <c r="BV11" s="141">
        <f t="shared" ref="BV11:BV23" si="15">BT10-BT11</f>
        <v>120000</v>
      </c>
      <c r="BW11" s="1"/>
      <c r="BX11" s="1"/>
      <c r="BY11" s="1"/>
      <c r="BZ11" s="1"/>
      <c r="CA11" s="1"/>
      <c r="CB11" s="1"/>
      <c r="CC11" s="326">
        <f t="shared" si="10"/>
        <v>26</v>
      </c>
      <c r="CD11" s="141" t="str">
        <f>IF(AND($CC11&lt;=5,$CC11&gt;0),'Resumo das informações'!$F$49*12,"")</f>
        <v/>
      </c>
      <c r="CE11" s="141" t="str">
        <f>IF(AND($CC11&lt;=14,$CC11&gt;=6),'Resumo das informações'!$F$50*12,"")</f>
        <v/>
      </c>
      <c r="CF11" s="141" t="str">
        <f>IF(AND($CC11&lt;=17,$CC11&gt;=15),'Resumo das informações'!$F$51*12,"")</f>
        <v/>
      </c>
      <c r="CG11" s="141" t="str">
        <f>IF(AND($CC11&lt;=22,$CC11&gt;=18),'Resumo das informações'!$F$52*12,"")</f>
        <v/>
      </c>
      <c r="CH11" s="141" t="str">
        <f>IF(AND($CC11&lt;=24,$CC11&gt;=23),'Resumo das informações'!$F$53*12,"")</f>
        <v/>
      </c>
      <c r="CI11" s="141">
        <f t="shared" si="0"/>
        <v>0</v>
      </c>
      <c r="CJ11" s="1"/>
      <c r="CK11" s="326">
        <f t="shared" si="11"/>
        <v>0</v>
      </c>
      <c r="CL11" s="141" t="str">
        <f>IF(AND($CK11&lt;=5,$CK11&gt;0),'Resumo das informações'!$F$49*12,"")</f>
        <v/>
      </c>
      <c r="CM11" s="141" t="str">
        <f>IF(AND($CK11&lt;=14,$CK11&gt;=6),'Resumo das informações'!$F$50*12,"")</f>
        <v/>
      </c>
      <c r="CN11" s="141" t="str">
        <f>IF(AND($CK11&lt;=17,$CK11&gt;=15),'Resumo das informações'!$F$51*12,"")</f>
        <v/>
      </c>
      <c r="CO11" s="141" t="str">
        <f>IF(AND($CK11&lt;=22,$CK11&gt;=18),'Resumo das informações'!$F$52*12,"")</f>
        <v/>
      </c>
      <c r="CP11" s="141" t="str">
        <f>IF(AND($CK11&lt;=24,$CK11&gt;=23),'Resumo das informações'!$F$53*12,"")</f>
        <v/>
      </c>
      <c r="CQ11" s="141">
        <f t="shared" si="1"/>
        <v>0</v>
      </c>
      <c r="CR11" s="1"/>
      <c r="CS11" s="326">
        <f t="shared" si="12"/>
        <v>0</v>
      </c>
      <c r="CT11" s="141" t="str">
        <f>IF(AND($CS11&lt;=5,$CS11&gt;0),'Resumo das informações'!$F$49*12,"")</f>
        <v/>
      </c>
      <c r="CU11" s="141" t="str">
        <f>IF(AND($CS11&lt;=14,$CS11&gt;=6),'Resumo das informações'!$F$50*12,"")</f>
        <v/>
      </c>
      <c r="CV11" s="141" t="str">
        <f>IF(AND($CS11&lt;=17,$CS11&gt;=15),'Resumo das informações'!$F$51*12,"")</f>
        <v/>
      </c>
      <c r="CW11" s="141" t="str">
        <f>IF(AND($CS11&lt;=22,$CS11&gt;=18),'Resumo das informações'!$F$52*12,"")</f>
        <v/>
      </c>
      <c r="CX11" s="141" t="str">
        <f>IF(AND($CS11&lt;=24,$CS11&gt;=23),'Resumo das informações'!$F$53*12,"")</f>
        <v/>
      </c>
      <c r="CY11" s="141">
        <f t="shared" si="2"/>
        <v>0</v>
      </c>
      <c r="CZ11" s="1"/>
      <c r="DA11" s="326">
        <f t="shared" si="13"/>
        <v>0</v>
      </c>
      <c r="DB11" s="141" t="str">
        <f>IF(AND($DA11&lt;=5,$DA11&gt;0),'Resumo das informações'!$F$49*12,"")</f>
        <v/>
      </c>
      <c r="DC11" s="141" t="str">
        <f>IF(AND($DA11&lt;=14,$DA11&gt;=6),'Resumo das informações'!$F$50*12,"")</f>
        <v/>
      </c>
      <c r="DD11" s="141" t="str">
        <f>IF(AND($DA11&lt;=17,$DA11&gt;=15),'Resumo das informações'!$F$51*12,"")</f>
        <v/>
      </c>
      <c r="DE11" s="141" t="str">
        <f>IF(AND($DA11&lt;=22,$DA11&gt;=18),'Resumo das informações'!$F$52*12,"")</f>
        <v/>
      </c>
      <c r="DF11" s="141" t="str">
        <f>IF(AND($DA11&lt;=24,$DA11&gt;=23),'Resumo das informações'!$F$53*12,"")</f>
        <v/>
      </c>
      <c r="DG11" s="141">
        <f t="shared" si="3"/>
        <v>0</v>
      </c>
      <c r="DH11" s="1"/>
      <c r="DI11" s="141">
        <f t="shared" si="4"/>
        <v>0</v>
      </c>
      <c r="DJ11" s="141">
        <f t="shared" si="14"/>
        <v>0</v>
      </c>
      <c r="DK11" s="1"/>
      <c r="DL11" s="326">
        <v>3</v>
      </c>
      <c r="DM11" s="141">
        <f>IF(AND('Resumo das informações'!$G$36="F",'Resumo das informações'!$I$36&gt;='Proteção Familiar'!$DL11),Dados_montanteprojeto1,0)</f>
        <v>0</v>
      </c>
      <c r="DN11" s="141">
        <f>IF(AND('Resumo das informações'!$G$37="F",'Resumo das informações'!$I$37&gt;='Proteção Familiar'!$DL11),Dados_montanteprojeto2,0)</f>
        <v>0</v>
      </c>
      <c r="DO11" s="141">
        <f>IF(AND('Resumo das informações'!$G$38="F",'Resumo das informações'!$I$38&gt;='Proteção Familiar'!$DL11),Dados_montanteprojeto3,0)</f>
        <v>0</v>
      </c>
      <c r="DP11" s="141">
        <f t="shared" si="5"/>
        <v>0</v>
      </c>
      <c r="DQ11" s="1"/>
      <c r="DR11" s="1"/>
      <c r="DS11" s="1"/>
      <c r="DT11" s="326">
        <v>3</v>
      </c>
      <c r="DU11" s="141">
        <f>IF(AND('Resumo das informações'!$H$61&lt;&gt;"SIM",'Resumo das informações'!$F$61&gt;0,'Resumo das informações'!$G$61&gt;='Proteção Familiar'!$DT11),'Resumo das informações'!$F$61,0)</f>
        <v>0</v>
      </c>
      <c r="DV11" s="141">
        <f>IF(AND('Resumo das informações'!$H$62&lt;&gt;"SIM",'Resumo das informações'!$F$62&gt;0,'Resumo das informações'!$G$62&gt;='Proteção Familiar'!$DT11),'Resumo das informações'!$F$62,0)</f>
        <v>0</v>
      </c>
      <c r="DW11" s="141">
        <f>IF(AND('Resumo das informações'!$H$63&lt;&gt;"SIM",'Resumo das informações'!$F$63&gt;0,'Resumo das informações'!$G$63&gt;='Proteção Familiar'!$DT11),'Resumo das informações'!$F$63,0)</f>
        <v>0</v>
      </c>
      <c r="DX11" s="141">
        <f>IF(AND('Resumo das informações'!$H$64&lt;&gt;"SIM",'Resumo das informações'!$F$64&gt;0,'Resumo das informações'!$G$64&gt;='Proteção Familiar'!$DT11),'Resumo das informações'!$F$64,0)</f>
        <v>0</v>
      </c>
      <c r="DY11" s="141">
        <f>IF(AND('Resumo das informações'!$H$65&lt;&gt;"SIM",'Resumo das informações'!$F$65&gt;0,'Resumo das informações'!$G$65&gt;='Proteção Familiar'!$DT11),'Resumo das informações'!$F$65,0)</f>
        <v>0</v>
      </c>
      <c r="DZ11" s="141">
        <f t="shared" si="6"/>
        <v>0</v>
      </c>
      <c r="EA11" s="1"/>
      <c r="EB11" s="1"/>
      <c r="EC11" s="1"/>
      <c r="ED11" s="368">
        <f>IF('Resumo das informações'!H61&lt;&gt;"SIM",'Resumo das informações'!G61,0)</f>
        <v>0</v>
      </c>
    </row>
    <row r="12" spans="1:134" x14ac:dyDescent="0.25">
      <c r="A12" s="1"/>
      <c r="B12" s="1"/>
      <c r="C12" s="7"/>
      <c r="D12" s="35"/>
      <c r="E12" s="35"/>
      <c r="F12" s="35"/>
      <c r="G12" s="146"/>
      <c r="H12" s="146"/>
      <c r="I12" s="19"/>
      <c r="J12" s="147"/>
      <c r="K12" s="148"/>
      <c r="L12" s="148"/>
      <c r="M12" s="147"/>
      <c r="N12" s="19"/>
      <c r="O12" s="139"/>
      <c r="P12" s="79"/>
      <c r="Q12" s="79"/>
      <c r="R12" s="79"/>
      <c r="S12" s="35"/>
      <c r="T12" s="369"/>
      <c r="U12" s="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332"/>
      <c r="AP12" s="1"/>
      <c r="AQ12" s="1"/>
      <c r="AR12" s="1"/>
      <c r="AS12" s="1"/>
      <c r="AT12" s="1"/>
      <c r="AU12" s="1"/>
      <c r="AV12" s="332">
        <f>'Investimentos - Não Aposentado'!AV12</f>
        <v>30</v>
      </c>
      <c r="AW12" s="335">
        <f>'Investimentos - Não Aposentado'!AW12</f>
        <v>1836160.7919911889</v>
      </c>
      <c r="AX12" s="335">
        <f>'Investimentos - Não Aposentado'!AX12</f>
        <v>1827893.3523766857</v>
      </c>
      <c r="AY12" s="335">
        <f>'Investimentos - Não Aposentado'!AY12</f>
        <v>1747650.7839738871</v>
      </c>
      <c r="AZ12" s="335" t="e">
        <f>'Investimentos - Não Aposentado'!AZ12</f>
        <v>#VALUE!</v>
      </c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370">
        <f>BM4-BM2</f>
        <v>3704000</v>
      </c>
      <c r="BM12" s="371" t="s">
        <v>194</v>
      </c>
      <c r="BN12" s="141"/>
      <c r="BO12" s="1"/>
      <c r="BP12" s="1"/>
      <c r="BQ12" s="1"/>
      <c r="BR12" s="141">
        <f t="shared" si="7"/>
        <v>4344000</v>
      </c>
      <c r="BS12" s="335">
        <f t="shared" si="8"/>
        <v>27</v>
      </c>
      <c r="BT12" s="141">
        <f t="shared" si="9"/>
        <v>4544000</v>
      </c>
      <c r="BU12" s="1"/>
      <c r="BV12" s="141">
        <f t="shared" si="15"/>
        <v>120000</v>
      </c>
      <c r="BW12" s="1"/>
      <c r="BX12" s="1"/>
      <c r="BY12" s="1"/>
      <c r="BZ12" s="1"/>
      <c r="CA12" s="1"/>
      <c r="CB12" s="1"/>
      <c r="CC12" s="326">
        <f t="shared" si="10"/>
        <v>27</v>
      </c>
      <c r="CD12" s="141" t="str">
        <f>IF(AND($CC12&lt;=5,$CC12&gt;0),'Resumo das informações'!$F$49*12,"")</f>
        <v/>
      </c>
      <c r="CE12" s="141" t="str">
        <f>IF(AND($CC12&lt;=14,$CC12&gt;=6),'Resumo das informações'!$F$50*12,"")</f>
        <v/>
      </c>
      <c r="CF12" s="141" t="str">
        <f>IF(AND($CC12&lt;=17,$CC12&gt;=15),'Resumo das informações'!$F$51*12,"")</f>
        <v/>
      </c>
      <c r="CG12" s="141" t="str">
        <f>IF(AND($CC12&lt;=22,$CC12&gt;=18),'Resumo das informações'!$F$52*12,"")</f>
        <v/>
      </c>
      <c r="CH12" s="141" t="str">
        <f>IF(AND($CC12&lt;=24,$CC12&gt;=23),'Resumo das informações'!$F$53*12,"")</f>
        <v/>
      </c>
      <c r="CI12" s="141">
        <f t="shared" si="0"/>
        <v>0</v>
      </c>
      <c r="CJ12" s="1"/>
      <c r="CK12" s="326">
        <f t="shared" si="11"/>
        <v>0</v>
      </c>
      <c r="CL12" s="141" t="str">
        <f>IF(AND($CK12&lt;=5,$CK12&gt;0),'Resumo das informações'!$F$49*12,"")</f>
        <v/>
      </c>
      <c r="CM12" s="141" t="str">
        <f>IF(AND($CK12&lt;=14,$CK12&gt;=6),'Resumo das informações'!$F$50*12,"")</f>
        <v/>
      </c>
      <c r="CN12" s="141" t="str">
        <f>IF(AND($CK12&lt;=17,$CK12&gt;=15),'Resumo das informações'!$F$51*12,"")</f>
        <v/>
      </c>
      <c r="CO12" s="141" t="str">
        <f>IF(AND($CK12&lt;=22,$CK12&gt;=18),'Resumo das informações'!$F$52*12,"")</f>
        <v/>
      </c>
      <c r="CP12" s="141" t="str">
        <f>IF(AND($CK12&lt;=24,$CK12&gt;=23),'Resumo das informações'!$F$53*12,"")</f>
        <v/>
      </c>
      <c r="CQ12" s="141">
        <f t="shared" si="1"/>
        <v>0</v>
      </c>
      <c r="CR12" s="1"/>
      <c r="CS12" s="326">
        <f t="shared" si="12"/>
        <v>0</v>
      </c>
      <c r="CT12" s="141" t="str">
        <f>IF(AND($CS12&lt;=5,$CS12&gt;0),'Resumo das informações'!$F$49*12,"")</f>
        <v/>
      </c>
      <c r="CU12" s="141" t="str">
        <f>IF(AND($CS12&lt;=14,$CS12&gt;=6),'Resumo das informações'!$F$50*12,"")</f>
        <v/>
      </c>
      <c r="CV12" s="141" t="str">
        <f>IF(AND($CS12&lt;=17,$CS12&gt;=15),'Resumo das informações'!$F$51*12,"")</f>
        <v/>
      </c>
      <c r="CW12" s="141" t="str">
        <f>IF(AND($CS12&lt;=22,$CS12&gt;=18),'Resumo das informações'!$F$52*12,"")</f>
        <v/>
      </c>
      <c r="CX12" s="141" t="str">
        <f>IF(AND($CS12&lt;=24,$CS12&gt;=23),'Resumo das informações'!$F$53*12,"")</f>
        <v/>
      </c>
      <c r="CY12" s="141">
        <f t="shared" si="2"/>
        <v>0</v>
      </c>
      <c r="CZ12" s="1"/>
      <c r="DA12" s="326">
        <f t="shared" si="13"/>
        <v>0</v>
      </c>
      <c r="DB12" s="141" t="str">
        <f>IF(AND($DA12&lt;=5,$DA12&gt;0),'Resumo das informações'!$F$49*12,"")</f>
        <v/>
      </c>
      <c r="DC12" s="141" t="str">
        <f>IF(AND($DA12&lt;=14,$DA12&gt;=6),'Resumo das informações'!$F$50*12,"")</f>
        <v/>
      </c>
      <c r="DD12" s="141" t="str">
        <f>IF(AND($DA12&lt;=17,$DA12&gt;=15),'Resumo das informações'!$F$51*12,"")</f>
        <v/>
      </c>
      <c r="DE12" s="141" t="str">
        <f>IF(AND($DA12&lt;=22,$DA12&gt;=18),'Resumo das informações'!$F$52*12,"")</f>
        <v/>
      </c>
      <c r="DF12" s="141" t="str">
        <f>IF(AND($DA12&lt;=24,$DA12&gt;=23),'Resumo das informações'!$F$53*12,"")</f>
        <v/>
      </c>
      <c r="DG12" s="141">
        <f t="shared" si="3"/>
        <v>0</v>
      </c>
      <c r="DH12" s="1"/>
      <c r="DI12" s="141">
        <f t="shared" si="4"/>
        <v>0</v>
      </c>
      <c r="DJ12" s="141">
        <f t="shared" si="14"/>
        <v>0</v>
      </c>
      <c r="DK12" s="1"/>
      <c r="DL12" s="326">
        <v>4</v>
      </c>
      <c r="DM12" s="141">
        <f>IF(AND('Resumo das informações'!$G$36="F",'Resumo das informações'!$I$36&gt;='Proteção Familiar'!$DL12),Dados_montanteprojeto1,0)</f>
        <v>0</v>
      </c>
      <c r="DN12" s="141">
        <f>IF(AND('Resumo das informações'!$G$37="F",'Resumo das informações'!$I$37&gt;='Proteção Familiar'!$DL12),Dados_montanteprojeto2,0)</f>
        <v>0</v>
      </c>
      <c r="DO12" s="141">
        <f>IF(AND('Resumo das informações'!$G$38="F",'Resumo das informações'!$I$38&gt;='Proteção Familiar'!$DL12),Dados_montanteprojeto3,0)</f>
        <v>0</v>
      </c>
      <c r="DP12" s="141">
        <f t="shared" si="5"/>
        <v>0</v>
      </c>
      <c r="DQ12" s="1"/>
      <c r="DR12" s="1"/>
      <c r="DS12" s="1"/>
      <c r="DT12" s="326">
        <v>4</v>
      </c>
      <c r="DU12" s="141">
        <f>IF(AND('Resumo das informações'!$H$61&lt;&gt;"SIM",'Resumo das informações'!$F$61&gt;0,'Resumo das informações'!$G$61&gt;='Proteção Familiar'!$DT12),'Resumo das informações'!$F$61,0)</f>
        <v>0</v>
      </c>
      <c r="DV12" s="141">
        <f>IF(AND('Resumo das informações'!$H$62&lt;&gt;"SIM",'Resumo das informações'!$F$62&gt;0,'Resumo das informações'!$G$62&gt;='Proteção Familiar'!$DT12),'Resumo das informações'!$F$62,0)</f>
        <v>0</v>
      </c>
      <c r="DW12" s="141">
        <f>IF(AND('Resumo das informações'!$H$63&lt;&gt;"SIM",'Resumo das informações'!$F$63&gt;0,'Resumo das informações'!$G$63&gt;='Proteção Familiar'!$DT12),'Resumo das informações'!$F$63,0)</f>
        <v>0</v>
      </c>
      <c r="DX12" s="141">
        <f>IF(AND('Resumo das informações'!$H$64&lt;&gt;"SIM",'Resumo das informações'!$F$64&gt;0,'Resumo das informações'!$G$64&gt;='Proteção Familiar'!$DT12),'Resumo das informações'!$F$64,0)</f>
        <v>0</v>
      </c>
      <c r="DY12" s="141">
        <f>IF(AND('Resumo das informações'!$H$65&lt;&gt;"SIM",'Resumo das informações'!$F$65&gt;0,'Resumo das informações'!$G$65&gt;='Proteção Familiar'!$DT12),'Resumo das informações'!$F$65,0)</f>
        <v>0</v>
      </c>
      <c r="DZ12" s="141">
        <f t="shared" si="6"/>
        <v>0</v>
      </c>
      <c r="EA12" s="1"/>
      <c r="EB12" s="1"/>
      <c r="EC12" s="1"/>
      <c r="ED12" s="368">
        <f>IF('Resumo das informações'!H62&lt;&gt;"SIM",'Resumo das informações'!G62,0)</f>
        <v>0</v>
      </c>
    </row>
    <row r="13" spans="1:134" x14ac:dyDescent="0.25">
      <c r="A13" s="1"/>
      <c r="B13" s="1"/>
      <c r="C13" s="7"/>
      <c r="D13" s="35"/>
      <c r="E13" s="19"/>
      <c r="F13" s="146"/>
      <c r="G13" s="146"/>
      <c r="H13" s="146"/>
      <c r="I13" s="19"/>
      <c r="J13" s="147"/>
      <c r="K13" s="148"/>
      <c r="L13" s="148"/>
      <c r="M13" s="147"/>
      <c r="N13" s="19"/>
      <c r="O13" s="139"/>
      <c r="P13" s="79"/>
      <c r="Q13" s="79"/>
      <c r="R13" s="79"/>
      <c r="S13" s="35"/>
      <c r="T13" s="17"/>
      <c r="U13" s="9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32"/>
      <c r="AP13" s="1"/>
      <c r="AQ13" s="1"/>
      <c r="AR13" s="1"/>
      <c r="AS13" s="1"/>
      <c r="AT13" s="1"/>
      <c r="AU13" s="1"/>
      <c r="AV13" s="332">
        <f>'Investimentos - Não Aposentado'!AV13</f>
        <v>31</v>
      </c>
      <c r="AW13" s="335">
        <f>'Investimentos - Não Aposentado'!AW13</f>
        <v>2006153.0326708544</v>
      </c>
      <c r="AX13" s="335">
        <f>'Investimentos - Não Aposentado'!AX13</f>
        <v>1996204.8151506968</v>
      </c>
      <c r="AY13" s="335">
        <f>'Investimentos - Não Aposentado'!AY13</f>
        <v>1894920.6905301786</v>
      </c>
      <c r="AZ13" s="335" t="e">
        <f>'Investimentos - Não Aposentado'!AZ13</f>
        <v>#VALUE!</v>
      </c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372">
        <f>IF(BL12&lt;0,BL12+BM5,BM5)</f>
        <v>0</v>
      </c>
      <c r="BM13" s="373" t="s">
        <v>195</v>
      </c>
      <c r="BN13" s="141"/>
      <c r="BO13" s="1"/>
      <c r="BP13" s="1"/>
      <c r="BQ13" s="1"/>
      <c r="BR13" s="141">
        <f t="shared" si="7"/>
        <v>4224000</v>
      </c>
      <c r="BS13" s="335">
        <f t="shared" si="8"/>
        <v>28</v>
      </c>
      <c r="BT13" s="141">
        <f t="shared" si="9"/>
        <v>4424000</v>
      </c>
      <c r="BU13" s="1"/>
      <c r="BV13" s="141">
        <f t="shared" si="15"/>
        <v>120000</v>
      </c>
      <c r="BW13" s="1"/>
      <c r="BX13" s="1"/>
      <c r="BY13" s="1"/>
      <c r="BZ13" s="1"/>
      <c r="CA13" s="1"/>
      <c r="CB13" s="1"/>
      <c r="CC13" s="326">
        <f t="shared" si="10"/>
        <v>28</v>
      </c>
      <c r="CD13" s="141" t="str">
        <f>IF(AND($CC13&lt;=5,$CC13&gt;0),'Resumo das informações'!$F$49*12,"")</f>
        <v/>
      </c>
      <c r="CE13" s="141" t="str">
        <f>IF(AND($CC13&lt;=14,$CC13&gt;=6),'Resumo das informações'!$F$50*12,"")</f>
        <v/>
      </c>
      <c r="CF13" s="141" t="str">
        <f>IF(AND($CC13&lt;=17,$CC13&gt;=15),'Resumo das informações'!$F$51*12,"")</f>
        <v/>
      </c>
      <c r="CG13" s="141" t="str">
        <f>IF(AND($CC13&lt;=22,$CC13&gt;=18),'Resumo das informações'!$F$52*12,"")</f>
        <v/>
      </c>
      <c r="CH13" s="141" t="str">
        <f>IF(AND($CC13&lt;=24,$CC13&gt;=23),'Resumo das informações'!$F$53*12,"")</f>
        <v/>
      </c>
      <c r="CI13" s="141">
        <f t="shared" si="0"/>
        <v>0</v>
      </c>
      <c r="CJ13" s="1"/>
      <c r="CK13" s="326">
        <f t="shared" si="11"/>
        <v>0</v>
      </c>
      <c r="CL13" s="141" t="str">
        <f>IF(AND($CK13&lt;=5,$CK13&gt;0),'Resumo das informações'!$F$49*12,"")</f>
        <v/>
      </c>
      <c r="CM13" s="141" t="str">
        <f>IF(AND($CK13&lt;=14,$CK13&gt;=6),'Resumo das informações'!$F$50*12,"")</f>
        <v/>
      </c>
      <c r="CN13" s="141" t="str">
        <f>IF(AND($CK13&lt;=17,$CK13&gt;=15),'Resumo das informações'!$F$51*12,"")</f>
        <v/>
      </c>
      <c r="CO13" s="141" t="str">
        <f>IF(AND($CK13&lt;=22,$CK13&gt;=18),'Resumo das informações'!$F$52*12,"")</f>
        <v/>
      </c>
      <c r="CP13" s="141" t="str">
        <f>IF(AND($CK13&lt;=24,$CK13&gt;=23),'Resumo das informações'!$F$53*12,"")</f>
        <v/>
      </c>
      <c r="CQ13" s="141">
        <f t="shared" si="1"/>
        <v>0</v>
      </c>
      <c r="CR13" s="1"/>
      <c r="CS13" s="326">
        <f t="shared" si="12"/>
        <v>0</v>
      </c>
      <c r="CT13" s="141" t="str">
        <f>IF(AND($CS13&lt;=5,$CS13&gt;0),'Resumo das informações'!$F$49*12,"")</f>
        <v/>
      </c>
      <c r="CU13" s="141" t="str">
        <f>IF(AND($CS13&lt;=14,$CS13&gt;=6),'Resumo das informações'!$F$50*12,"")</f>
        <v/>
      </c>
      <c r="CV13" s="141" t="str">
        <f>IF(AND($CS13&lt;=17,$CS13&gt;=15),'Resumo das informações'!$F$51*12,"")</f>
        <v/>
      </c>
      <c r="CW13" s="141" t="str">
        <f>IF(AND($CS13&lt;=22,$CS13&gt;=18),'Resumo das informações'!$F$52*12,"")</f>
        <v/>
      </c>
      <c r="CX13" s="141" t="str">
        <f>IF(AND($CS13&lt;=24,$CS13&gt;=23),'Resumo das informações'!$F$53*12,"")</f>
        <v/>
      </c>
      <c r="CY13" s="141">
        <f t="shared" si="2"/>
        <v>0</v>
      </c>
      <c r="CZ13" s="1"/>
      <c r="DA13" s="326">
        <f t="shared" si="13"/>
        <v>0</v>
      </c>
      <c r="DB13" s="141" t="str">
        <f>IF(AND($DA13&lt;=5,$DA13&gt;0),'Resumo das informações'!$F$49*12,"")</f>
        <v/>
      </c>
      <c r="DC13" s="141" t="str">
        <f>IF(AND($DA13&lt;=14,$DA13&gt;=6),'Resumo das informações'!$F$50*12,"")</f>
        <v/>
      </c>
      <c r="DD13" s="141" t="str">
        <f>IF(AND($DA13&lt;=17,$DA13&gt;=15),'Resumo das informações'!$F$51*12,"")</f>
        <v/>
      </c>
      <c r="DE13" s="141" t="str">
        <f>IF(AND($DA13&lt;=22,$DA13&gt;=18),'Resumo das informações'!$F$52*12,"")</f>
        <v/>
      </c>
      <c r="DF13" s="141" t="str">
        <f>IF(AND($DA13&lt;=24,$DA13&gt;=23),'Resumo das informações'!$F$53*12,"")</f>
        <v/>
      </c>
      <c r="DG13" s="141">
        <f t="shared" si="3"/>
        <v>0</v>
      </c>
      <c r="DH13" s="1"/>
      <c r="DI13" s="141">
        <f t="shared" si="4"/>
        <v>0</v>
      </c>
      <c r="DJ13" s="141">
        <f t="shared" si="14"/>
        <v>0</v>
      </c>
      <c r="DK13" s="1"/>
      <c r="DL13" s="326">
        <v>5</v>
      </c>
      <c r="DM13" s="141">
        <f>IF(AND('Resumo das informações'!$G$36="F",'Resumo das informações'!$I$36&gt;='Proteção Familiar'!$DL13),Dados_montanteprojeto1,0)</f>
        <v>0</v>
      </c>
      <c r="DN13" s="141">
        <f>IF(AND('Resumo das informações'!$G$37="F",'Resumo das informações'!$I$37&gt;='Proteção Familiar'!$DL13),Dados_montanteprojeto2,0)</f>
        <v>0</v>
      </c>
      <c r="DO13" s="141">
        <f>IF(AND('Resumo das informações'!$G$38="F",'Resumo das informações'!$I$38&gt;='Proteção Familiar'!$DL13),Dados_montanteprojeto3,0)</f>
        <v>0</v>
      </c>
      <c r="DP13" s="141">
        <f t="shared" si="5"/>
        <v>0</v>
      </c>
      <c r="DQ13" s="1"/>
      <c r="DR13" s="1"/>
      <c r="DS13" s="1"/>
      <c r="DT13" s="326">
        <v>5</v>
      </c>
      <c r="DU13" s="141">
        <f>IF(AND('Resumo das informações'!$H$61&lt;&gt;"SIM",'Resumo das informações'!$F$61&gt;0,'Resumo das informações'!$G$61&gt;='Proteção Familiar'!$DT13),'Resumo das informações'!$F$61,0)</f>
        <v>0</v>
      </c>
      <c r="DV13" s="141">
        <f>IF(AND('Resumo das informações'!$H$62&lt;&gt;"SIM",'Resumo das informações'!$F$62&gt;0,'Resumo das informações'!$G$62&gt;='Proteção Familiar'!$DT13),'Resumo das informações'!$F$62,0)</f>
        <v>0</v>
      </c>
      <c r="DW13" s="141">
        <f>IF(AND('Resumo das informações'!$H$63&lt;&gt;"SIM",'Resumo das informações'!$F$63&gt;0,'Resumo das informações'!$G$63&gt;='Proteção Familiar'!$DT13),'Resumo das informações'!$F$63,0)</f>
        <v>0</v>
      </c>
      <c r="DX13" s="141">
        <f>IF(AND('Resumo das informações'!$H$64&lt;&gt;"SIM",'Resumo das informações'!$F$64&gt;0,'Resumo das informações'!$G$64&gt;='Proteção Familiar'!$DT13),'Resumo das informações'!$F$64,0)</f>
        <v>0</v>
      </c>
      <c r="DY13" s="141">
        <f>IF(AND('Resumo das informações'!$H$65&lt;&gt;"SIM",'Resumo das informações'!$F$65&gt;0,'Resumo das informações'!$G$65&gt;='Proteção Familiar'!$DT13),'Resumo das informações'!$F$65,0)</f>
        <v>0</v>
      </c>
      <c r="DZ13" s="141">
        <f t="shared" si="6"/>
        <v>0</v>
      </c>
      <c r="EA13" s="1"/>
      <c r="EB13" s="1"/>
      <c r="EC13" s="1"/>
      <c r="ED13" s="368">
        <f>IF('Resumo das informações'!H63&lt;&gt;"SIM",'Resumo das informações'!G63,0)</f>
        <v>0</v>
      </c>
    </row>
    <row r="14" spans="1:134" x14ac:dyDescent="0.25">
      <c r="A14" s="1"/>
      <c r="B14" s="1"/>
      <c r="C14" s="7"/>
      <c r="D14" s="35"/>
      <c r="E14" s="35"/>
      <c r="F14" s="35"/>
      <c r="G14" s="146"/>
      <c r="H14" s="146"/>
      <c r="I14" s="19"/>
      <c r="J14" s="147"/>
      <c r="K14" s="148"/>
      <c r="L14" s="148"/>
      <c r="M14" s="147"/>
      <c r="N14" s="19"/>
      <c r="O14" s="139"/>
      <c r="P14" s="79"/>
      <c r="Q14" s="79"/>
      <c r="R14" s="79"/>
      <c r="S14" s="35"/>
      <c r="T14" s="17"/>
      <c r="U14" s="9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332"/>
      <c r="AP14" s="1"/>
      <c r="AQ14" s="1"/>
      <c r="AR14" s="1"/>
      <c r="AS14" s="1"/>
      <c r="AT14" s="1"/>
      <c r="AU14" s="1"/>
      <c r="AV14" s="332">
        <f>'Investimentos - Não Aposentado'!AV14</f>
        <v>32</v>
      </c>
      <c r="AW14" s="335">
        <f>'Investimentos - Não Aposentado'!AW14</f>
        <v>2186328.3834202196</v>
      </c>
      <c r="AX14" s="335">
        <f>'Investimentos - Não Aposentado'!AX14</f>
        <v>2174598.703714069</v>
      </c>
      <c r="AY14" s="335">
        <f>'Investimentos - Não Aposentado'!AY14</f>
        <v>2049544.6011595821</v>
      </c>
      <c r="AZ14" s="335" t="e">
        <f>'Investimentos - Não Aposentado'!AZ14</f>
        <v>#VALUE!</v>
      </c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372">
        <f>IF(BL13&lt;0,BL13+BM3,BM3)</f>
        <v>0</v>
      </c>
      <c r="BM14" s="373" t="s">
        <v>196</v>
      </c>
      <c r="BN14" s="141"/>
      <c r="BO14" s="1"/>
      <c r="BP14" s="1"/>
      <c r="BQ14" s="1"/>
      <c r="BR14" s="141">
        <f t="shared" si="7"/>
        <v>4104000</v>
      </c>
      <c r="BS14" s="335">
        <f t="shared" si="8"/>
        <v>29</v>
      </c>
      <c r="BT14" s="141">
        <f t="shared" si="9"/>
        <v>4304000</v>
      </c>
      <c r="BU14" s="1"/>
      <c r="BV14" s="141">
        <f t="shared" si="15"/>
        <v>120000</v>
      </c>
      <c r="BW14" s="1"/>
      <c r="BX14" s="1"/>
      <c r="BY14" s="1"/>
      <c r="BZ14" s="1"/>
      <c r="CA14" s="1"/>
      <c r="CB14" s="1"/>
      <c r="CC14" s="326">
        <f t="shared" si="10"/>
        <v>29</v>
      </c>
      <c r="CD14" s="141" t="str">
        <f>IF(AND($CC14&lt;=5,$CC14&gt;0),'Resumo das informações'!$F$49*12,"")</f>
        <v/>
      </c>
      <c r="CE14" s="141" t="str">
        <f>IF(AND($CC14&lt;=14,$CC14&gt;=6),'Resumo das informações'!$F$50*12,"")</f>
        <v/>
      </c>
      <c r="CF14" s="141" t="str">
        <f>IF(AND($CC14&lt;=17,$CC14&gt;=15),'Resumo das informações'!$F$51*12,"")</f>
        <v/>
      </c>
      <c r="CG14" s="141" t="str">
        <f>IF(AND($CC14&lt;=22,$CC14&gt;=18),'Resumo das informações'!$F$52*12,"")</f>
        <v/>
      </c>
      <c r="CH14" s="141" t="str">
        <f>IF(AND($CC14&lt;=24,$CC14&gt;=23),'Resumo das informações'!$F$53*12,"")</f>
        <v/>
      </c>
      <c r="CI14" s="141">
        <f t="shared" si="0"/>
        <v>0</v>
      </c>
      <c r="CJ14" s="1"/>
      <c r="CK14" s="326">
        <f t="shared" si="11"/>
        <v>0</v>
      </c>
      <c r="CL14" s="141" t="str">
        <f>IF(AND($CK14&lt;=5,$CK14&gt;0),'Resumo das informações'!$F$49*12,"")</f>
        <v/>
      </c>
      <c r="CM14" s="141" t="str">
        <f>IF(AND($CK14&lt;=14,$CK14&gt;=6),'Resumo das informações'!$F$50*12,"")</f>
        <v/>
      </c>
      <c r="CN14" s="141" t="str">
        <f>IF(AND($CK14&lt;=17,$CK14&gt;=15),'Resumo das informações'!$F$51*12,"")</f>
        <v/>
      </c>
      <c r="CO14" s="141" t="str">
        <f>IF(AND($CK14&lt;=22,$CK14&gt;=18),'Resumo das informações'!$F$52*12,"")</f>
        <v/>
      </c>
      <c r="CP14" s="141" t="str">
        <f>IF(AND($CK14&lt;=24,$CK14&gt;=23),'Resumo das informações'!$F$53*12,"")</f>
        <v/>
      </c>
      <c r="CQ14" s="141">
        <f t="shared" si="1"/>
        <v>0</v>
      </c>
      <c r="CR14" s="1"/>
      <c r="CS14" s="326">
        <f t="shared" si="12"/>
        <v>0</v>
      </c>
      <c r="CT14" s="141" t="str">
        <f>IF(AND($CS14&lt;=5,$CS14&gt;0),'Resumo das informações'!$F$49*12,"")</f>
        <v/>
      </c>
      <c r="CU14" s="141" t="str">
        <f>IF(AND($CS14&lt;=14,$CS14&gt;=6),'Resumo das informações'!$F$50*12,"")</f>
        <v/>
      </c>
      <c r="CV14" s="141" t="str">
        <f>IF(AND($CS14&lt;=17,$CS14&gt;=15),'Resumo das informações'!$F$51*12,"")</f>
        <v/>
      </c>
      <c r="CW14" s="141" t="str">
        <f>IF(AND($CS14&lt;=22,$CS14&gt;=18),'Resumo das informações'!$F$52*12,"")</f>
        <v/>
      </c>
      <c r="CX14" s="141" t="str">
        <f>IF(AND($CS14&lt;=24,$CS14&gt;=23),'Resumo das informações'!$F$53*12,"")</f>
        <v/>
      </c>
      <c r="CY14" s="141">
        <f t="shared" si="2"/>
        <v>0</v>
      </c>
      <c r="CZ14" s="1"/>
      <c r="DA14" s="326">
        <f t="shared" si="13"/>
        <v>0</v>
      </c>
      <c r="DB14" s="141" t="str">
        <f>IF(AND($DA14&lt;=5,$DA14&gt;0),'Resumo das informações'!$F$49*12,"")</f>
        <v/>
      </c>
      <c r="DC14" s="141" t="str">
        <f>IF(AND($DA14&lt;=14,$DA14&gt;=6),'Resumo das informações'!$F$50*12,"")</f>
        <v/>
      </c>
      <c r="DD14" s="141" t="str">
        <f>IF(AND($DA14&lt;=17,$DA14&gt;=15),'Resumo das informações'!$F$51*12,"")</f>
        <v/>
      </c>
      <c r="DE14" s="141" t="str">
        <f>IF(AND($DA14&lt;=22,$DA14&gt;=18),'Resumo das informações'!$F$52*12,"")</f>
        <v/>
      </c>
      <c r="DF14" s="141" t="str">
        <f>IF(AND($DA14&lt;=24,$DA14&gt;=23),'Resumo das informações'!$F$53*12,"")</f>
        <v/>
      </c>
      <c r="DG14" s="141">
        <f t="shared" si="3"/>
        <v>0</v>
      </c>
      <c r="DH14" s="1"/>
      <c r="DI14" s="141">
        <f t="shared" si="4"/>
        <v>0</v>
      </c>
      <c r="DJ14" s="141">
        <f t="shared" si="14"/>
        <v>0</v>
      </c>
      <c r="DK14" s="1"/>
      <c r="DL14" s="326">
        <v>6</v>
      </c>
      <c r="DM14" s="141">
        <f>IF(AND('Resumo das informações'!$G$36="F",'Resumo das informações'!$I$36&gt;='Proteção Familiar'!$DL14),Dados_montanteprojeto1,0)</f>
        <v>0</v>
      </c>
      <c r="DN14" s="141">
        <f>IF(AND('Resumo das informações'!$G$37="F",'Resumo das informações'!$I$37&gt;='Proteção Familiar'!$DL14),Dados_montanteprojeto2,0)</f>
        <v>0</v>
      </c>
      <c r="DO14" s="141">
        <f>IF(AND('Resumo das informações'!$G$38="F",'Resumo das informações'!$I$38&gt;='Proteção Familiar'!$DL14),Dados_montanteprojeto3,0)</f>
        <v>0</v>
      </c>
      <c r="DP14" s="141">
        <f t="shared" si="5"/>
        <v>0</v>
      </c>
      <c r="DQ14" s="1"/>
      <c r="DR14" s="1"/>
      <c r="DS14" s="1"/>
      <c r="DT14" s="326">
        <v>6</v>
      </c>
      <c r="DU14" s="141">
        <f>IF(AND('Resumo das informações'!$H$61&lt;&gt;"SIM",'Resumo das informações'!$F$61&gt;0,'Resumo das informações'!$G$61&gt;='Proteção Familiar'!$DT14),'Resumo das informações'!$F$61,0)</f>
        <v>0</v>
      </c>
      <c r="DV14" s="141">
        <f>IF(AND('Resumo das informações'!$H$62&lt;&gt;"SIM",'Resumo das informações'!$F$62&gt;0,'Resumo das informações'!$G$62&gt;='Proteção Familiar'!$DT14),'Resumo das informações'!$F$62,0)</f>
        <v>0</v>
      </c>
      <c r="DW14" s="141">
        <f>IF(AND('Resumo das informações'!$H$63&lt;&gt;"SIM",'Resumo das informações'!$F$63&gt;0,'Resumo das informações'!$G$63&gt;='Proteção Familiar'!$DT14),'Resumo das informações'!$F$63,0)</f>
        <v>0</v>
      </c>
      <c r="DX14" s="141">
        <f>IF(AND('Resumo das informações'!$H$64&lt;&gt;"SIM",'Resumo das informações'!$F$64&gt;0,'Resumo das informações'!$G$64&gt;='Proteção Familiar'!$DT14),'Resumo das informações'!$F$64,0)</f>
        <v>0</v>
      </c>
      <c r="DY14" s="141">
        <f>IF(AND('Resumo das informações'!$H$65&lt;&gt;"SIM",'Resumo das informações'!$F$65&gt;0,'Resumo das informações'!$G$65&gt;='Proteção Familiar'!$DT14),'Resumo das informações'!$F$65,0)</f>
        <v>0</v>
      </c>
      <c r="DZ14" s="141">
        <f t="shared" si="6"/>
        <v>0</v>
      </c>
      <c r="EA14" s="1"/>
      <c r="EB14" s="1"/>
      <c r="EC14" s="1"/>
      <c r="ED14" s="368">
        <f>IF('Resumo das informações'!H64&lt;&gt;"SIM",'Resumo das informações'!G64,0)</f>
        <v>0</v>
      </c>
    </row>
    <row r="15" spans="1:134" x14ac:dyDescent="0.25">
      <c r="A15" s="1"/>
      <c r="B15" s="1"/>
      <c r="C15" s="7"/>
      <c r="D15" s="35"/>
      <c r="E15" s="35"/>
      <c r="F15" s="35"/>
      <c r="G15" s="146"/>
      <c r="H15" s="146"/>
      <c r="I15" s="19"/>
      <c r="J15" s="147"/>
      <c r="K15" s="148"/>
      <c r="L15" s="148"/>
      <c r="M15" s="147"/>
      <c r="N15" s="19"/>
      <c r="O15" s="139"/>
      <c r="P15" s="35"/>
      <c r="Q15" s="35"/>
      <c r="R15" s="140"/>
      <c r="S15" s="35"/>
      <c r="T15" s="17"/>
      <c r="U15" s="9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332"/>
      <c r="AP15" s="1"/>
      <c r="AQ15" s="1"/>
      <c r="AR15" s="1"/>
      <c r="AS15" s="1"/>
      <c r="AT15" s="1"/>
      <c r="AU15" s="1"/>
      <c r="AV15" s="332">
        <f>'Investimentos - Não Aposentado'!AV15</f>
        <v>33</v>
      </c>
      <c r="AW15" s="335">
        <f>'Investimentos - Não Aposentado'!AW15</f>
        <v>2377296.8469680976</v>
      </c>
      <c r="AX15" s="335">
        <f>'Investimentos - Não Aposentado'!AX15</f>
        <v>2363678.9894667445</v>
      </c>
      <c r="AY15" s="335">
        <f>'Investimentos - Não Aposentado'!AY15</f>
        <v>2211889.7421147106</v>
      </c>
      <c r="AZ15" s="335" t="e">
        <f>'Investimentos - Não Aposentado'!AZ15</f>
        <v>#VALUE!</v>
      </c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374">
        <f>SUM(BL12:BL14)</f>
        <v>3704000</v>
      </c>
      <c r="BM15" s="375" t="s">
        <v>197</v>
      </c>
      <c r="BN15" s="141"/>
      <c r="BO15" s="1"/>
      <c r="BP15" s="1"/>
      <c r="BQ15" s="1"/>
      <c r="BR15" s="141">
        <f t="shared" si="7"/>
        <v>3984000</v>
      </c>
      <c r="BS15" s="335">
        <f t="shared" si="8"/>
        <v>30</v>
      </c>
      <c r="BT15" s="141">
        <f t="shared" si="9"/>
        <v>4184000</v>
      </c>
      <c r="BU15" s="1"/>
      <c r="BV15" s="141">
        <f t="shared" si="15"/>
        <v>120000</v>
      </c>
      <c r="BW15" s="1"/>
      <c r="BX15" s="1"/>
      <c r="BY15" s="1"/>
      <c r="BZ15" s="1"/>
      <c r="CA15" s="1"/>
      <c r="CB15" s="1"/>
      <c r="CC15" s="326">
        <f t="shared" si="10"/>
        <v>30</v>
      </c>
      <c r="CD15" s="141" t="str">
        <f>IF(AND($CC15&lt;=5,$CC15&gt;0),'Resumo das informações'!$F$49*12,"")</f>
        <v/>
      </c>
      <c r="CE15" s="141" t="str">
        <f>IF(AND($CC15&lt;=14,$CC15&gt;=6),'Resumo das informações'!$F$50*12,"")</f>
        <v/>
      </c>
      <c r="CF15" s="141" t="str">
        <f>IF(AND($CC15&lt;=17,$CC15&gt;=15),'Resumo das informações'!$F$51*12,"")</f>
        <v/>
      </c>
      <c r="CG15" s="141" t="str">
        <f>IF(AND($CC15&lt;=22,$CC15&gt;=18),'Resumo das informações'!$F$52*12,"")</f>
        <v/>
      </c>
      <c r="CH15" s="141" t="str">
        <f>IF(AND($CC15&lt;=24,$CC15&gt;=23),'Resumo das informações'!$F$53*12,"")</f>
        <v/>
      </c>
      <c r="CI15" s="141">
        <f t="shared" si="0"/>
        <v>0</v>
      </c>
      <c r="CJ15" s="1"/>
      <c r="CK15" s="326">
        <f t="shared" si="11"/>
        <v>0</v>
      </c>
      <c r="CL15" s="141" t="str">
        <f>IF(AND($CK15&lt;=5,$CK15&gt;0),'Resumo das informações'!$F$49*12,"")</f>
        <v/>
      </c>
      <c r="CM15" s="141" t="str">
        <f>IF(AND($CK15&lt;=14,$CK15&gt;=6),'Resumo das informações'!$F$50*12,"")</f>
        <v/>
      </c>
      <c r="CN15" s="141" t="str">
        <f>IF(AND($CK15&lt;=17,$CK15&gt;=15),'Resumo das informações'!$F$51*12,"")</f>
        <v/>
      </c>
      <c r="CO15" s="141" t="str">
        <f>IF(AND($CK15&lt;=22,$CK15&gt;=18),'Resumo das informações'!$F$52*12,"")</f>
        <v/>
      </c>
      <c r="CP15" s="141" t="str">
        <f>IF(AND($CK15&lt;=24,$CK15&gt;=23),'Resumo das informações'!$F$53*12,"")</f>
        <v/>
      </c>
      <c r="CQ15" s="141">
        <f t="shared" si="1"/>
        <v>0</v>
      </c>
      <c r="CR15" s="1"/>
      <c r="CS15" s="326">
        <f t="shared" si="12"/>
        <v>0</v>
      </c>
      <c r="CT15" s="141" t="str">
        <f>IF(AND($CS15&lt;=5,$CS15&gt;0),'Resumo das informações'!$F$49*12,"")</f>
        <v/>
      </c>
      <c r="CU15" s="141" t="str">
        <f>IF(AND($CS15&lt;=14,$CS15&gt;=6),'Resumo das informações'!$F$50*12,"")</f>
        <v/>
      </c>
      <c r="CV15" s="141" t="str">
        <f>IF(AND($CS15&lt;=17,$CS15&gt;=15),'Resumo das informações'!$F$51*12,"")</f>
        <v/>
      </c>
      <c r="CW15" s="141" t="str">
        <f>IF(AND($CS15&lt;=22,$CS15&gt;=18),'Resumo das informações'!$F$52*12,"")</f>
        <v/>
      </c>
      <c r="CX15" s="141" t="str">
        <f>IF(AND($CS15&lt;=24,$CS15&gt;=23),'Resumo das informações'!$F$53*12,"")</f>
        <v/>
      </c>
      <c r="CY15" s="141">
        <f t="shared" si="2"/>
        <v>0</v>
      </c>
      <c r="CZ15" s="1"/>
      <c r="DA15" s="326">
        <f t="shared" si="13"/>
        <v>0</v>
      </c>
      <c r="DB15" s="141" t="str">
        <f>IF(AND($DA15&lt;=5,$DA15&gt;0),'Resumo das informações'!$F$49*12,"")</f>
        <v/>
      </c>
      <c r="DC15" s="141" t="str">
        <f>IF(AND($DA15&lt;=14,$DA15&gt;=6),'Resumo das informações'!$F$50*12,"")</f>
        <v/>
      </c>
      <c r="DD15" s="141" t="str">
        <f>IF(AND($DA15&lt;=17,$DA15&gt;=15),'Resumo das informações'!$F$51*12,"")</f>
        <v/>
      </c>
      <c r="DE15" s="141" t="str">
        <f>IF(AND($DA15&lt;=22,$DA15&gt;=18),'Resumo das informações'!$F$52*12,"")</f>
        <v/>
      </c>
      <c r="DF15" s="141" t="str">
        <f>IF(AND($DA15&lt;=24,$DA15&gt;=23),'Resumo das informações'!$F$53*12,"")</f>
        <v/>
      </c>
      <c r="DG15" s="141">
        <f t="shared" si="3"/>
        <v>0</v>
      </c>
      <c r="DH15" s="1"/>
      <c r="DI15" s="141">
        <f t="shared" si="4"/>
        <v>0</v>
      </c>
      <c r="DJ15" s="141">
        <f t="shared" si="14"/>
        <v>0</v>
      </c>
      <c r="DK15" s="1"/>
      <c r="DL15" s="326">
        <v>7</v>
      </c>
      <c r="DM15" s="141">
        <f>IF(AND('Resumo das informações'!$G$36="F",'Resumo das informações'!$I$36&gt;='Proteção Familiar'!$DL15),Dados_montanteprojeto1,0)</f>
        <v>0</v>
      </c>
      <c r="DN15" s="141">
        <f>IF(AND('Resumo das informações'!$G$37="F",'Resumo das informações'!$I$37&gt;='Proteção Familiar'!$DL15),Dados_montanteprojeto2,0)</f>
        <v>0</v>
      </c>
      <c r="DO15" s="141">
        <f>IF(AND('Resumo das informações'!$G$38="F",'Resumo das informações'!$I$38&gt;='Proteção Familiar'!$DL15),Dados_montanteprojeto3,0)</f>
        <v>0</v>
      </c>
      <c r="DP15" s="141">
        <f t="shared" si="5"/>
        <v>0</v>
      </c>
      <c r="DQ15" s="1"/>
      <c r="DR15" s="1"/>
      <c r="DS15" s="1"/>
      <c r="DT15" s="326">
        <v>7</v>
      </c>
      <c r="DU15" s="141">
        <f>IF(AND('Resumo das informações'!$H$61&lt;&gt;"SIM",'Resumo das informações'!$F$61&gt;0,'Resumo das informações'!$G$61&gt;='Proteção Familiar'!$DT15),'Resumo das informações'!$F$61,0)</f>
        <v>0</v>
      </c>
      <c r="DV15" s="141">
        <f>IF(AND('Resumo das informações'!$H$62&lt;&gt;"SIM",'Resumo das informações'!$F$62&gt;0,'Resumo das informações'!$G$62&gt;='Proteção Familiar'!$DT15),'Resumo das informações'!$F$62,0)</f>
        <v>0</v>
      </c>
      <c r="DW15" s="141">
        <f>IF(AND('Resumo das informações'!$H$63&lt;&gt;"SIM",'Resumo das informações'!$F$63&gt;0,'Resumo das informações'!$G$63&gt;='Proteção Familiar'!$DT15),'Resumo das informações'!$F$63,0)</f>
        <v>0</v>
      </c>
      <c r="DX15" s="141">
        <f>IF(AND('Resumo das informações'!$H$64&lt;&gt;"SIM",'Resumo das informações'!$F$64&gt;0,'Resumo das informações'!$G$64&gt;='Proteção Familiar'!$DT15),'Resumo das informações'!$F$64,0)</f>
        <v>0</v>
      </c>
      <c r="DY15" s="141">
        <f>IF(AND('Resumo das informações'!$H$65&lt;&gt;"SIM",'Resumo das informações'!$F$65&gt;0,'Resumo das informações'!$G$65&gt;='Proteção Familiar'!$DT15),'Resumo das informações'!$F$65,0)</f>
        <v>0</v>
      </c>
      <c r="DZ15" s="141">
        <f t="shared" si="6"/>
        <v>0</v>
      </c>
      <c r="EA15" s="1"/>
      <c r="EB15" s="1"/>
      <c r="EC15" s="1"/>
      <c r="ED15" s="376">
        <f>IF('Resumo das informações'!H65&lt;&gt;"SIM",'Resumo das informações'!G65,0)</f>
        <v>0</v>
      </c>
    </row>
    <row r="16" spans="1:134" x14ac:dyDescent="0.25">
      <c r="A16" s="1"/>
      <c r="B16" s="1"/>
      <c r="C16" s="7"/>
      <c r="D16" s="35"/>
      <c r="E16" s="803">
        <f>IF(AE7&gt;1,100%,AE7)</f>
        <v>0.21258503401360543</v>
      </c>
      <c r="F16" s="146"/>
      <c r="G16" s="146"/>
      <c r="H16" s="146"/>
      <c r="I16" s="19"/>
      <c r="J16" s="147"/>
      <c r="K16" s="148"/>
      <c r="L16" s="148"/>
      <c r="M16" s="147"/>
      <c r="N16" s="19"/>
      <c r="O16" s="139"/>
      <c r="P16" s="35"/>
      <c r="Q16" s="35"/>
      <c r="R16" s="140"/>
      <c r="S16" s="35"/>
      <c r="T16" s="17"/>
      <c r="U16" s="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332"/>
      <c r="AP16" s="1"/>
      <c r="AQ16" s="1"/>
      <c r="AR16" s="1"/>
      <c r="AS16" s="1"/>
      <c r="AT16" s="1"/>
      <c r="AU16" s="1"/>
      <c r="AV16" s="332">
        <f>'Investimentos - Não Aposentado'!AV16</f>
        <v>34</v>
      </c>
      <c r="AW16" s="335">
        <f>'Investimentos - Não Aposentado'!AW16</f>
        <v>2579704.9672695682</v>
      </c>
      <c r="AX16" s="335">
        <f>'Investimentos - Não Aposentado'!AX16</f>
        <v>2564085.823737938</v>
      </c>
      <c r="AY16" s="335">
        <f>'Investimentos - Não Aposentado'!AY16</f>
        <v>2382341.6772938012</v>
      </c>
      <c r="AZ16" s="335" t="e">
        <f>'Investimentos - Não Aposentado'!AZ16</f>
        <v>#VALUE!</v>
      </c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332"/>
      <c r="BM16" s="377"/>
      <c r="BN16" s="141"/>
      <c r="BO16" s="1"/>
      <c r="BP16" s="1"/>
      <c r="BQ16" s="1"/>
      <c r="BR16" s="141">
        <f t="shared" si="7"/>
        <v>3864000</v>
      </c>
      <c r="BS16" s="335">
        <f t="shared" si="8"/>
        <v>31</v>
      </c>
      <c r="BT16" s="141">
        <f t="shared" si="9"/>
        <v>4064000</v>
      </c>
      <c r="BU16" s="1"/>
      <c r="BV16" s="141">
        <f t="shared" si="15"/>
        <v>120000</v>
      </c>
      <c r="BW16" s="1"/>
      <c r="BX16" s="1"/>
      <c r="BY16" s="1"/>
      <c r="BZ16" s="1"/>
      <c r="CA16" s="1"/>
      <c r="CB16" s="1"/>
      <c r="CC16" s="326">
        <f t="shared" si="10"/>
        <v>31</v>
      </c>
      <c r="CD16" s="141" t="str">
        <f>IF(AND($CC16&lt;=5,$CC16&gt;0),'Resumo das informações'!$F$49*12,"")</f>
        <v/>
      </c>
      <c r="CE16" s="141" t="str">
        <f>IF(AND($CC16&lt;=14,$CC16&gt;=6),'Resumo das informações'!$F$50*12,"")</f>
        <v/>
      </c>
      <c r="CF16" s="141" t="str">
        <f>IF(AND($CC16&lt;=17,$CC16&gt;=15),'Resumo das informações'!$F$51*12,"")</f>
        <v/>
      </c>
      <c r="CG16" s="141" t="str">
        <f>IF(AND($CC16&lt;=22,$CC16&gt;=18),'Resumo das informações'!$F$52*12,"")</f>
        <v/>
      </c>
      <c r="CH16" s="141" t="str">
        <f>IF(AND($CC16&lt;=24,$CC16&gt;=23),'Resumo das informações'!$F$53*12,"")</f>
        <v/>
      </c>
      <c r="CI16" s="141">
        <f t="shared" si="0"/>
        <v>0</v>
      </c>
      <c r="CJ16" s="1"/>
      <c r="CK16" s="326">
        <f t="shared" si="11"/>
        <v>0</v>
      </c>
      <c r="CL16" s="141" t="str">
        <f>IF(AND($CK16&lt;=5,$CK16&gt;0),'Resumo das informações'!$F$49*12,"")</f>
        <v/>
      </c>
      <c r="CM16" s="141" t="str">
        <f>IF(AND($CK16&lt;=14,$CK16&gt;=6),'Resumo das informações'!$F$50*12,"")</f>
        <v/>
      </c>
      <c r="CN16" s="141" t="str">
        <f>IF(AND($CK16&lt;=17,$CK16&gt;=15),'Resumo das informações'!$F$51*12,"")</f>
        <v/>
      </c>
      <c r="CO16" s="141" t="str">
        <f>IF(AND($CK16&lt;=22,$CK16&gt;=18),'Resumo das informações'!$F$52*12,"")</f>
        <v/>
      </c>
      <c r="CP16" s="141" t="str">
        <f>IF(AND($CK16&lt;=24,$CK16&gt;=23),'Resumo das informações'!$F$53*12,"")</f>
        <v/>
      </c>
      <c r="CQ16" s="141">
        <f t="shared" si="1"/>
        <v>0</v>
      </c>
      <c r="CR16" s="1"/>
      <c r="CS16" s="326">
        <f t="shared" si="12"/>
        <v>0</v>
      </c>
      <c r="CT16" s="141" t="str">
        <f>IF(AND($CS16&lt;=5,$CS16&gt;0),'Resumo das informações'!$F$49*12,"")</f>
        <v/>
      </c>
      <c r="CU16" s="141" t="str">
        <f>IF(AND($CS16&lt;=14,$CS16&gt;=6),'Resumo das informações'!$F$50*12,"")</f>
        <v/>
      </c>
      <c r="CV16" s="141" t="str">
        <f>IF(AND($CS16&lt;=17,$CS16&gt;=15),'Resumo das informações'!$F$51*12,"")</f>
        <v/>
      </c>
      <c r="CW16" s="141" t="str">
        <f>IF(AND($CS16&lt;=22,$CS16&gt;=18),'Resumo das informações'!$F$52*12,"")</f>
        <v/>
      </c>
      <c r="CX16" s="141" t="str">
        <f>IF(AND($CS16&lt;=24,$CS16&gt;=23),'Resumo das informações'!$F$53*12,"")</f>
        <v/>
      </c>
      <c r="CY16" s="141">
        <f t="shared" si="2"/>
        <v>0</v>
      </c>
      <c r="CZ16" s="1"/>
      <c r="DA16" s="326">
        <f t="shared" si="13"/>
        <v>0</v>
      </c>
      <c r="DB16" s="141" t="str">
        <f>IF(AND($DA16&lt;=5,$DA16&gt;0),'Resumo das informações'!$F$49*12,"")</f>
        <v/>
      </c>
      <c r="DC16" s="141" t="str">
        <f>IF(AND($DA16&lt;=14,$DA16&gt;=6),'Resumo das informações'!$F$50*12,"")</f>
        <v/>
      </c>
      <c r="DD16" s="141" t="str">
        <f>IF(AND($DA16&lt;=17,$DA16&gt;=15),'Resumo das informações'!$F$51*12,"")</f>
        <v/>
      </c>
      <c r="DE16" s="141" t="str">
        <f>IF(AND($DA16&lt;=22,$DA16&gt;=18),'Resumo das informações'!$F$52*12,"")</f>
        <v/>
      </c>
      <c r="DF16" s="141" t="str">
        <f>IF(AND($DA16&lt;=24,$DA16&gt;=23),'Resumo das informações'!$F$53*12,"")</f>
        <v/>
      </c>
      <c r="DG16" s="141">
        <f t="shared" si="3"/>
        <v>0</v>
      </c>
      <c r="DH16" s="1"/>
      <c r="DI16" s="141">
        <f t="shared" si="4"/>
        <v>0</v>
      </c>
      <c r="DJ16" s="141">
        <f t="shared" si="14"/>
        <v>0</v>
      </c>
      <c r="DK16" s="1"/>
      <c r="DL16" s="326">
        <v>8</v>
      </c>
      <c r="DM16" s="141">
        <f>IF(AND('Resumo das informações'!$G$36="F",'Resumo das informações'!$I$36&gt;='Proteção Familiar'!$DL16),Dados_montanteprojeto1,0)</f>
        <v>0</v>
      </c>
      <c r="DN16" s="141">
        <f>IF(AND('Resumo das informações'!$G$37="F",'Resumo das informações'!$I$37&gt;='Proteção Familiar'!$DL16),Dados_montanteprojeto2,0)</f>
        <v>0</v>
      </c>
      <c r="DO16" s="141">
        <f>IF(AND('Resumo das informações'!$G$38="F",'Resumo das informações'!$I$38&gt;='Proteção Familiar'!$DL16),Dados_montanteprojeto3,0)</f>
        <v>0</v>
      </c>
      <c r="DP16" s="141">
        <f t="shared" si="5"/>
        <v>0</v>
      </c>
      <c r="DQ16" s="1"/>
      <c r="DR16" s="1"/>
      <c r="DS16" s="1"/>
      <c r="DT16" s="326">
        <v>8</v>
      </c>
      <c r="DU16" s="141">
        <f>IF(AND('Resumo das informações'!$H$61&lt;&gt;"SIM",'Resumo das informações'!$F$61&gt;0,'Resumo das informações'!$G$61&gt;='Proteção Familiar'!$DT16),'Resumo das informações'!$F$61,0)</f>
        <v>0</v>
      </c>
      <c r="DV16" s="141">
        <f>IF(AND('Resumo das informações'!$H$62&lt;&gt;"SIM",'Resumo das informações'!$F$62&gt;0,'Resumo das informações'!$G$62&gt;='Proteção Familiar'!$DT16),'Resumo das informações'!$F$62,0)</f>
        <v>0</v>
      </c>
      <c r="DW16" s="141">
        <f>IF(AND('Resumo das informações'!$H$63&lt;&gt;"SIM",'Resumo das informações'!$F$63&gt;0,'Resumo das informações'!$G$63&gt;='Proteção Familiar'!$DT16),'Resumo das informações'!$F$63,0)</f>
        <v>0</v>
      </c>
      <c r="DX16" s="141">
        <f>IF(AND('Resumo das informações'!$H$64&lt;&gt;"SIM",'Resumo das informações'!$F$64&gt;0,'Resumo das informações'!$G$64&gt;='Proteção Familiar'!$DT16),'Resumo das informações'!$F$64,0)</f>
        <v>0</v>
      </c>
      <c r="DY16" s="141">
        <f>IF(AND('Resumo das informações'!$H$65&lt;&gt;"SIM",'Resumo das informações'!$F$65&gt;0,'Resumo das informações'!$G$65&gt;='Proteção Familiar'!$DT16),'Resumo das informações'!$F$65,0)</f>
        <v>0</v>
      </c>
      <c r="DZ16" s="141">
        <f t="shared" si="6"/>
        <v>0</v>
      </c>
      <c r="EA16" s="1"/>
      <c r="EB16" s="1"/>
      <c r="EC16" s="1"/>
      <c r="ED16" s="1"/>
    </row>
    <row r="17" spans="1:134" x14ac:dyDescent="0.25">
      <c r="A17" s="1"/>
      <c r="B17" s="1"/>
      <c r="C17" s="7"/>
      <c r="D17" s="35"/>
      <c r="E17" s="619"/>
      <c r="F17" s="146"/>
      <c r="G17" s="146"/>
      <c r="H17" s="146"/>
      <c r="I17" s="19"/>
      <c r="J17" s="147"/>
      <c r="K17" s="148"/>
      <c r="L17" s="148"/>
      <c r="M17" s="147"/>
      <c r="N17" s="19"/>
      <c r="O17" s="139"/>
      <c r="P17" s="79"/>
      <c r="Q17" s="79"/>
      <c r="R17" s="79"/>
      <c r="S17" s="35"/>
      <c r="T17" s="17"/>
      <c r="U17" s="9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32"/>
      <c r="AP17" s="1"/>
      <c r="AQ17" s="1"/>
      <c r="AR17" s="1"/>
      <c r="AS17" s="1"/>
      <c r="AT17" s="1"/>
      <c r="AU17" s="1"/>
      <c r="AV17" s="332">
        <f>'Investimentos - Não Aposentado'!AV17</f>
        <v>35</v>
      </c>
      <c r="AW17" s="335">
        <f>'Investimentos - Não Aposentado'!AW17</f>
        <v>2794238.0184490015</v>
      </c>
      <c r="AX17" s="335">
        <f>'Investimentos - Não Aposentado'!AX17</f>
        <v>2776497.7050862461</v>
      </c>
      <c r="AY17" s="335">
        <f>'Investimentos - Não Aposentado'!AY17</f>
        <v>2561305.2239411701</v>
      </c>
      <c r="AZ17" s="335" t="e">
        <f>'Investimentos - Não Aposentado'!AZ17</f>
        <v>#VALUE!</v>
      </c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72"/>
      <c r="BM17" s="378"/>
      <c r="BN17" s="141"/>
      <c r="BO17" s="1"/>
      <c r="BP17" s="1"/>
      <c r="BQ17" s="1"/>
      <c r="BR17" s="141">
        <f t="shared" si="7"/>
        <v>3744000</v>
      </c>
      <c r="BS17" s="335">
        <f t="shared" si="8"/>
        <v>32</v>
      </c>
      <c r="BT17" s="141">
        <f t="shared" si="9"/>
        <v>3944000</v>
      </c>
      <c r="BU17" s="1"/>
      <c r="BV17" s="141">
        <f t="shared" si="15"/>
        <v>120000</v>
      </c>
      <c r="BW17" s="1"/>
      <c r="BX17" s="1"/>
      <c r="BY17" s="1"/>
      <c r="BZ17" s="1"/>
      <c r="CA17" s="1"/>
      <c r="CB17" s="1"/>
      <c r="CC17" s="326">
        <f t="shared" si="10"/>
        <v>32</v>
      </c>
      <c r="CD17" s="141" t="str">
        <f>IF(AND($CC17&lt;=5,$CC17&gt;0),'Resumo das informações'!$F$49*12,"")</f>
        <v/>
      </c>
      <c r="CE17" s="141" t="str">
        <f>IF(AND($CC17&lt;=14,$CC17&gt;=6),'Resumo das informações'!$F$50*12,"")</f>
        <v/>
      </c>
      <c r="CF17" s="141" t="str">
        <f>IF(AND($CC17&lt;=17,$CC17&gt;=15),'Resumo das informações'!$F$51*12,"")</f>
        <v/>
      </c>
      <c r="CG17" s="141" t="str">
        <f>IF(AND($CC17&lt;=22,$CC17&gt;=18),'Resumo das informações'!$F$52*12,"")</f>
        <v/>
      </c>
      <c r="CH17" s="141" t="str">
        <f>IF(AND($CC17&lt;=24,$CC17&gt;=23),'Resumo das informações'!$F$53*12,"")</f>
        <v/>
      </c>
      <c r="CI17" s="141">
        <f t="shared" si="0"/>
        <v>0</v>
      </c>
      <c r="CJ17" s="1"/>
      <c r="CK17" s="326">
        <f t="shared" si="11"/>
        <v>0</v>
      </c>
      <c r="CL17" s="141" t="str">
        <f>IF(AND($CK17&lt;=5,$CK17&gt;0),'Resumo das informações'!$F$49*12,"")</f>
        <v/>
      </c>
      <c r="CM17" s="141" t="str">
        <f>IF(AND($CK17&lt;=14,$CK17&gt;=6),'Resumo das informações'!$F$50*12,"")</f>
        <v/>
      </c>
      <c r="CN17" s="141" t="str">
        <f>IF(AND($CK17&lt;=17,$CK17&gt;=15),'Resumo das informações'!$F$51*12,"")</f>
        <v/>
      </c>
      <c r="CO17" s="141" t="str">
        <f>IF(AND($CK17&lt;=22,$CK17&gt;=18),'Resumo das informações'!$F$52*12,"")</f>
        <v/>
      </c>
      <c r="CP17" s="141" t="str">
        <f>IF(AND($CK17&lt;=24,$CK17&gt;=23),'Resumo das informações'!$F$53*12,"")</f>
        <v/>
      </c>
      <c r="CQ17" s="141">
        <f t="shared" si="1"/>
        <v>0</v>
      </c>
      <c r="CR17" s="1"/>
      <c r="CS17" s="326">
        <f t="shared" si="12"/>
        <v>0</v>
      </c>
      <c r="CT17" s="141" t="str">
        <f>IF(AND($CS17&lt;=5,$CS17&gt;0),'Resumo das informações'!$F$49*12,"")</f>
        <v/>
      </c>
      <c r="CU17" s="141" t="str">
        <f>IF(AND($CS17&lt;=14,$CS17&gt;=6),'Resumo das informações'!$F$50*12,"")</f>
        <v/>
      </c>
      <c r="CV17" s="141" t="str">
        <f>IF(AND($CS17&lt;=17,$CS17&gt;=15),'Resumo das informações'!$F$51*12,"")</f>
        <v/>
      </c>
      <c r="CW17" s="141" t="str">
        <f>IF(AND($CS17&lt;=22,$CS17&gt;=18),'Resumo das informações'!$F$52*12,"")</f>
        <v/>
      </c>
      <c r="CX17" s="141" t="str">
        <f>IF(AND($CS17&lt;=24,$CS17&gt;=23),'Resumo das informações'!$F$53*12,"")</f>
        <v/>
      </c>
      <c r="CY17" s="141">
        <f t="shared" si="2"/>
        <v>0</v>
      </c>
      <c r="CZ17" s="1"/>
      <c r="DA17" s="326">
        <f t="shared" si="13"/>
        <v>0</v>
      </c>
      <c r="DB17" s="141" t="str">
        <f>IF(AND($DA17&lt;=5,$DA17&gt;0),'Resumo das informações'!$F$49*12,"")</f>
        <v/>
      </c>
      <c r="DC17" s="141" t="str">
        <f>IF(AND($DA17&lt;=14,$DA17&gt;=6),'Resumo das informações'!$F$50*12,"")</f>
        <v/>
      </c>
      <c r="DD17" s="141" t="str">
        <f>IF(AND($DA17&lt;=17,$DA17&gt;=15),'Resumo das informações'!$F$51*12,"")</f>
        <v/>
      </c>
      <c r="DE17" s="141" t="str">
        <f>IF(AND($DA17&lt;=22,$DA17&gt;=18),'Resumo das informações'!$F$52*12,"")</f>
        <v/>
      </c>
      <c r="DF17" s="141" t="str">
        <f>IF(AND($DA17&lt;=24,$DA17&gt;=23),'Resumo das informações'!$F$53*12,"")</f>
        <v/>
      </c>
      <c r="DG17" s="141">
        <f t="shared" si="3"/>
        <v>0</v>
      </c>
      <c r="DH17" s="1"/>
      <c r="DI17" s="141">
        <f t="shared" si="4"/>
        <v>0</v>
      </c>
      <c r="DJ17" s="141">
        <f t="shared" si="14"/>
        <v>0</v>
      </c>
      <c r="DK17" s="1"/>
      <c r="DL17" s="326">
        <v>9</v>
      </c>
      <c r="DM17" s="141">
        <f>IF(AND('Resumo das informações'!$G$36="F",'Resumo das informações'!$I$36&gt;='Proteção Familiar'!$DL17),Dados_montanteprojeto1,0)</f>
        <v>0</v>
      </c>
      <c r="DN17" s="141">
        <f>IF(AND('Resumo das informações'!$G$37="F",'Resumo das informações'!$I$37&gt;='Proteção Familiar'!$DL17),Dados_montanteprojeto2,0)</f>
        <v>0</v>
      </c>
      <c r="DO17" s="141">
        <f>IF(AND('Resumo das informações'!$G$38="F",'Resumo das informações'!$I$38&gt;='Proteção Familiar'!$DL17),Dados_montanteprojeto3,0)</f>
        <v>0</v>
      </c>
      <c r="DP17" s="141">
        <f t="shared" si="5"/>
        <v>0</v>
      </c>
      <c r="DQ17" s="1"/>
      <c r="DR17" s="1"/>
      <c r="DS17" s="1"/>
      <c r="DT17" s="326">
        <v>9</v>
      </c>
      <c r="DU17" s="141">
        <f>IF(AND('Resumo das informações'!$H$61&lt;&gt;"SIM",'Resumo das informações'!$F$61&gt;0,'Resumo das informações'!$G$61&gt;='Proteção Familiar'!$DT17),'Resumo das informações'!$F$61,0)</f>
        <v>0</v>
      </c>
      <c r="DV17" s="141">
        <f>IF(AND('Resumo das informações'!$H$62&lt;&gt;"SIM",'Resumo das informações'!$F$62&gt;0,'Resumo das informações'!$G$62&gt;='Proteção Familiar'!$DT17),'Resumo das informações'!$F$62,0)</f>
        <v>0</v>
      </c>
      <c r="DW17" s="141">
        <f>IF(AND('Resumo das informações'!$H$63&lt;&gt;"SIM",'Resumo das informações'!$F$63&gt;0,'Resumo das informações'!$G$63&gt;='Proteção Familiar'!$DT17),'Resumo das informações'!$F$63,0)</f>
        <v>0</v>
      </c>
      <c r="DX17" s="141">
        <f>IF(AND('Resumo das informações'!$H$64&lt;&gt;"SIM",'Resumo das informações'!$F$64&gt;0,'Resumo das informações'!$G$64&gt;='Proteção Familiar'!$DT17),'Resumo das informações'!$F$64,0)</f>
        <v>0</v>
      </c>
      <c r="DY17" s="141">
        <f>IF(AND('Resumo das informações'!$H$65&lt;&gt;"SIM",'Resumo das informações'!$F$65&gt;0,'Resumo das informações'!$G$65&gt;='Proteção Familiar'!$DT17),'Resumo das informações'!$F$65,0)</f>
        <v>0</v>
      </c>
      <c r="DZ17" s="141">
        <f t="shared" si="6"/>
        <v>0</v>
      </c>
      <c r="EA17" s="1"/>
      <c r="EB17" s="1"/>
      <c r="EC17" s="1"/>
      <c r="ED17" s="1"/>
    </row>
    <row r="18" spans="1:134" x14ac:dyDescent="0.25">
      <c r="A18" s="1"/>
      <c r="B18" s="1"/>
      <c r="C18" s="7"/>
      <c r="D18" s="35"/>
      <c r="E18" s="19"/>
      <c r="F18" s="146"/>
      <c r="G18" s="146"/>
      <c r="H18" s="146"/>
      <c r="I18" s="19"/>
      <c r="J18" s="147"/>
      <c r="K18" s="148"/>
      <c r="L18" s="148"/>
      <c r="M18" s="147"/>
      <c r="N18" s="19"/>
      <c r="O18" s="139"/>
      <c r="P18" s="79"/>
      <c r="Q18" s="79"/>
      <c r="R18" s="79"/>
      <c r="S18" s="35"/>
      <c r="T18" s="17"/>
      <c r="U18" s="9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41"/>
      <c r="AG18" s="1"/>
      <c r="AH18" s="1"/>
      <c r="AI18" s="1"/>
      <c r="AJ18" s="1"/>
      <c r="AK18" s="1"/>
      <c r="AL18" s="1"/>
      <c r="AM18" s="1"/>
      <c r="AN18" s="1"/>
      <c r="AO18" s="332"/>
      <c r="AP18" s="1"/>
      <c r="AQ18" s="1"/>
      <c r="AR18" s="1"/>
      <c r="AS18" s="1"/>
      <c r="AT18" s="1"/>
      <c r="AU18" s="1"/>
      <c r="AV18" s="332">
        <f>'Investimentos - Não Aposentado'!AV18</f>
        <v>36</v>
      </c>
      <c r="AW18" s="335">
        <f>'Investimentos - Não Aposentado'!AW18</f>
        <v>3021622.3248681687</v>
      </c>
      <c r="AX18" s="335">
        <f>'Investimentos - Não Aposentado'!AX18</f>
        <v>3001633.7764283661</v>
      </c>
      <c r="AY18" s="335">
        <f>'Investimentos - Não Aposentado'!AY18</f>
        <v>2749205.4140736782</v>
      </c>
      <c r="AZ18" s="335" t="e">
        <f>'Investimentos - Não Aposentado'!AZ18</f>
        <v>#VALUE!</v>
      </c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332"/>
      <c r="BM18" s="377"/>
      <c r="BN18" s="141"/>
      <c r="BO18" s="1"/>
      <c r="BP18" s="1"/>
      <c r="BQ18" s="1"/>
      <c r="BR18" s="141">
        <f t="shared" si="7"/>
        <v>3624000</v>
      </c>
      <c r="BS18" s="335">
        <f t="shared" si="8"/>
        <v>33</v>
      </c>
      <c r="BT18" s="141">
        <f t="shared" si="9"/>
        <v>3824000</v>
      </c>
      <c r="BU18" s="1"/>
      <c r="BV18" s="141">
        <f t="shared" si="15"/>
        <v>120000</v>
      </c>
      <c r="BW18" s="1"/>
      <c r="BX18" s="1"/>
      <c r="BY18" s="1"/>
      <c r="BZ18" s="1"/>
      <c r="CA18" s="1"/>
      <c r="CB18" s="1"/>
      <c r="CC18" s="326">
        <f t="shared" si="10"/>
        <v>33</v>
      </c>
      <c r="CD18" s="141" t="str">
        <f>IF(AND($CC18&lt;=5,$CC18&gt;0),'Resumo das informações'!$F$49*12,"")</f>
        <v/>
      </c>
      <c r="CE18" s="141" t="str">
        <f>IF(AND($CC18&lt;=14,$CC18&gt;=6),'Resumo das informações'!$F$50*12,"")</f>
        <v/>
      </c>
      <c r="CF18" s="141" t="str">
        <f>IF(AND($CC18&lt;=17,$CC18&gt;=15),'Resumo das informações'!$F$51*12,"")</f>
        <v/>
      </c>
      <c r="CG18" s="141" t="str">
        <f>IF(AND($CC18&lt;=22,$CC18&gt;=18),'Resumo das informações'!$F$52*12,"")</f>
        <v/>
      </c>
      <c r="CH18" s="141" t="str">
        <f>IF(AND($CC18&lt;=24,$CC18&gt;=23),'Resumo das informações'!$F$53*12,"")</f>
        <v/>
      </c>
      <c r="CI18" s="141">
        <f t="shared" si="0"/>
        <v>0</v>
      </c>
      <c r="CJ18" s="1"/>
      <c r="CK18" s="326">
        <f t="shared" si="11"/>
        <v>0</v>
      </c>
      <c r="CL18" s="141" t="str">
        <f>IF(AND($CK18&lt;=5,$CK18&gt;0),'Resumo das informações'!$F$49*12,"")</f>
        <v/>
      </c>
      <c r="CM18" s="141" t="str">
        <f>IF(AND($CK18&lt;=14,$CK18&gt;=6),'Resumo das informações'!$F$50*12,"")</f>
        <v/>
      </c>
      <c r="CN18" s="141" t="str">
        <f>IF(AND($CK18&lt;=17,$CK18&gt;=15),'Resumo das informações'!$F$51*12,"")</f>
        <v/>
      </c>
      <c r="CO18" s="141" t="str">
        <f>IF(AND($CK18&lt;=22,$CK18&gt;=18),'Resumo das informações'!$F$52*12,"")</f>
        <v/>
      </c>
      <c r="CP18" s="141" t="str">
        <f>IF(AND($CK18&lt;=24,$CK18&gt;=23),'Resumo das informações'!$F$53*12,"")</f>
        <v/>
      </c>
      <c r="CQ18" s="141">
        <f t="shared" si="1"/>
        <v>0</v>
      </c>
      <c r="CR18" s="1"/>
      <c r="CS18" s="326">
        <f t="shared" si="12"/>
        <v>0</v>
      </c>
      <c r="CT18" s="141" t="str">
        <f>IF(AND($CS18&lt;=5,$CS18&gt;0),'Resumo das informações'!$F$49*12,"")</f>
        <v/>
      </c>
      <c r="CU18" s="141" t="str">
        <f>IF(AND($CS18&lt;=14,$CS18&gt;=6),'Resumo das informações'!$F$50*12,"")</f>
        <v/>
      </c>
      <c r="CV18" s="141" t="str">
        <f>IF(AND($CS18&lt;=17,$CS18&gt;=15),'Resumo das informações'!$F$51*12,"")</f>
        <v/>
      </c>
      <c r="CW18" s="141" t="str">
        <f>IF(AND($CS18&lt;=22,$CS18&gt;=18),'Resumo das informações'!$F$52*12,"")</f>
        <v/>
      </c>
      <c r="CX18" s="141" t="str">
        <f>IF(AND($CS18&lt;=24,$CS18&gt;=23),'Resumo das informações'!$F$53*12,"")</f>
        <v/>
      </c>
      <c r="CY18" s="141">
        <f t="shared" si="2"/>
        <v>0</v>
      </c>
      <c r="CZ18" s="1"/>
      <c r="DA18" s="326">
        <f t="shared" si="13"/>
        <v>0</v>
      </c>
      <c r="DB18" s="141" t="str">
        <f>IF(AND($DA18&lt;=5,$DA18&gt;0),'Resumo das informações'!$F$49*12,"")</f>
        <v/>
      </c>
      <c r="DC18" s="141" t="str">
        <f>IF(AND($DA18&lt;=14,$DA18&gt;=6),'Resumo das informações'!$F$50*12,"")</f>
        <v/>
      </c>
      <c r="DD18" s="141" t="str">
        <f>IF(AND($DA18&lt;=17,$DA18&gt;=15),'Resumo das informações'!$F$51*12,"")</f>
        <v/>
      </c>
      <c r="DE18" s="141" t="str">
        <f>IF(AND($DA18&lt;=22,$DA18&gt;=18),'Resumo das informações'!$F$52*12,"")</f>
        <v/>
      </c>
      <c r="DF18" s="141" t="str">
        <f>IF(AND($DA18&lt;=24,$DA18&gt;=23),'Resumo das informações'!$F$53*12,"")</f>
        <v/>
      </c>
      <c r="DG18" s="141">
        <f t="shared" si="3"/>
        <v>0</v>
      </c>
      <c r="DH18" s="1"/>
      <c r="DI18" s="141">
        <f t="shared" si="4"/>
        <v>0</v>
      </c>
      <c r="DJ18" s="141">
        <f t="shared" si="14"/>
        <v>0</v>
      </c>
      <c r="DK18" s="1"/>
      <c r="DL18" s="326">
        <v>10</v>
      </c>
      <c r="DM18" s="141">
        <f>IF(AND('Resumo das informações'!$G$36="F",'Resumo das informações'!$I$36&gt;='Proteção Familiar'!$DL18),Dados_montanteprojeto1,0)</f>
        <v>0</v>
      </c>
      <c r="DN18" s="141">
        <f>IF(AND('Resumo das informações'!$G$37="F",'Resumo das informações'!$I$37&gt;='Proteção Familiar'!$DL18),Dados_montanteprojeto2,0)</f>
        <v>0</v>
      </c>
      <c r="DO18" s="141">
        <f>IF(AND('Resumo das informações'!$G$38="F",'Resumo das informações'!$I$38&gt;='Proteção Familiar'!$DL18),Dados_montanteprojeto3,0)</f>
        <v>0</v>
      </c>
      <c r="DP18" s="141">
        <f t="shared" si="5"/>
        <v>0</v>
      </c>
      <c r="DQ18" s="1"/>
      <c r="DR18" s="1"/>
      <c r="DS18" s="1"/>
      <c r="DT18" s="326">
        <v>10</v>
      </c>
      <c r="DU18" s="141">
        <f>IF(AND('Resumo das informações'!$H$61&lt;&gt;"SIM",'Resumo das informações'!$F$61&gt;0,'Resumo das informações'!$G$61&gt;='Proteção Familiar'!$DT18),'Resumo das informações'!$F$61,0)</f>
        <v>0</v>
      </c>
      <c r="DV18" s="141">
        <f>IF(AND('Resumo das informações'!$H$62&lt;&gt;"SIM",'Resumo das informações'!$F$62&gt;0,'Resumo das informações'!$G$62&gt;='Proteção Familiar'!$DT18),'Resumo das informações'!$F$62,0)</f>
        <v>0</v>
      </c>
      <c r="DW18" s="141">
        <f>IF(AND('Resumo das informações'!$H$63&lt;&gt;"SIM",'Resumo das informações'!$F$63&gt;0,'Resumo das informações'!$G$63&gt;='Proteção Familiar'!$DT18),'Resumo das informações'!$F$63,0)</f>
        <v>0</v>
      </c>
      <c r="DX18" s="141">
        <f>IF(AND('Resumo das informações'!$H$64&lt;&gt;"SIM",'Resumo das informações'!$F$64&gt;0,'Resumo das informações'!$G$64&gt;='Proteção Familiar'!$DT18),'Resumo das informações'!$F$64,0)</f>
        <v>0</v>
      </c>
      <c r="DY18" s="141">
        <f>IF(AND('Resumo das informações'!$H$65&lt;&gt;"SIM",'Resumo das informações'!$F$65&gt;0,'Resumo das informações'!$G$65&gt;='Proteção Familiar'!$DT18),'Resumo das informações'!$F$65,0)</f>
        <v>0</v>
      </c>
      <c r="DZ18" s="141">
        <f t="shared" si="6"/>
        <v>0</v>
      </c>
      <c r="EA18" s="1"/>
      <c r="EB18" s="1"/>
      <c r="EC18" s="1"/>
      <c r="ED18" s="1"/>
    </row>
    <row r="19" spans="1:134" ht="15.75" customHeight="1" x14ac:dyDescent="0.25">
      <c r="A19" s="1"/>
      <c r="B19" s="1"/>
      <c r="C19" s="7"/>
      <c r="D19" s="35"/>
      <c r="E19" s="19"/>
      <c r="F19" s="158"/>
      <c r="G19" s="158"/>
      <c r="H19" s="158"/>
      <c r="I19" s="158"/>
      <c r="J19" s="158"/>
      <c r="K19" s="19"/>
      <c r="L19" s="147"/>
      <c r="M19" s="58"/>
      <c r="N19" s="58"/>
      <c r="O19" s="146"/>
      <c r="P19" s="79"/>
      <c r="Q19" s="79"/>
      <c r="R19" s="79"/>
      <c r="S19" s="35"/>
      <c r="T19" s="17"/>
      <c r="U19" s="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32"/>
      <c r="AP19" s="1"/>
      <c r="AQ19" s="1"/>
      <c r="AR19" s="1"/>
      <c r="AS19" s="1"/>
      <c r="AT19" s="1"/>
      <c r="AU19" s="1"/>
      <c r="AV19" s="332">
        <f>'Investimentos - Não Aposentado'!AV19</f>
        <v>37</v>
      </c>
      <c r="AW19" s="335">
        <f>'Investimentos - Não Aposentado'!AW19</f>
        <v>3262627.7201742814</v>
      </c>
      <c r="AX19" s="335">
        <f>'Investimentos - Não Aposentado'!AX19</f>
        <v>3240256.2597735887</v>
      </c>
      <c r="AY19" s="335">
        <f>'Investimentos - Não Aposentado'!AY19</f>
        <v>2946488.5039165546</v>
      </c>
      <c r="AZ19" s="335" t="e">
        <f>'Investimentos - Não Aposentado'!AZ19</f>
        <v>#VALUE!</v>
      </c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372">
        <f t="shared" ref="BL19:BL20" si="16">IF(BL12&lt;BN19,BL12,BN19)</f>
        <v>3704000</v>
      </c>
      <c r="BM19" s="371" t="s">
        <v>194</v>
      </c>
      <c r="BN19" s="141">
        <f>BM6-BL21-BL20</f>
        <v>7012903.2258064514</v>
      </c>
      <c r="BO19" s="1"/>
      <c r="BP19" s="1"/>
      <c r="BQ19" s="1"/>
      <c r="BR19" s="141">
        <f t="shared" si="7"/>
        <v>3504000</v>
      </c>
      <c r="BS19" s="335">
        <f t="shared" si="8"/>
        <v>34</v>
      </c>
      <c r="BT19" s="141">
        <f t="shared" si="9"/>
        <v>3704000</v>
      </c>
      <c r="BU19" s="1"/>
      <c r="BV19" s="141">
        <f t="shared" si="15"/>
        <v>120000</v>
      </c>
      <c r="BW19" s="1"/>
      <c r="BX19" s="1"/>
      <c r="BY19" s="1"/>
      <c r="BZ19" s="1"/>
      <c r="CA19" s="1"/>
      <c r="CB19" s="1"/>
      <c r="CC19" s="326">
        <f t="shared" si="10"/>
        <v>34</v>
      </c>
      <c r="CD19" s="141" t="str">
        <f>IF(AND($CC19&lt;=5,$CC19&gt;0),'Resumo das informações'!$F$49*12,"")</f>
        <v/>
      </c>
      <c r="CE19" s="141" t="str">
        <f>IF(AND($CC19&lt;=14,$CC19&gt;=6),'Resumo das informações'!$F$50*12,"")</f>
        <v/>
      </c>
      <c r="CF19" s="141" t="str">
        <f>IF(AND($CC19&lt;=17,$CC19&gt;=15),'Resumo das informações'!$F$51*12,"")</f>
        <v/>
      </c>
      <c r="CG19" s="141" t="str">
        <f>IF(AND($CC19&lt;=22,$CC19&gt;=18),'Resumo das informações'!$F$52*12,"")</f>
        <v/>
      </c>
      <c r="CH19" s="141" t="str">
        <f>IF(AND($CC19&lt;=24,$CC19&gt;=23),'Resumo das informações'!$F$53*12,"")</f>
        <v/>
      </c>
      <c r="CI19" s="141">
        <f t="shared" si="0"/>
        <v>0</v>
      </c>
      <c r="CJ19" s="1"/>
      <c r="CK19" s="326">
        <f t="shared" si="11"/>
        <v>0</v>
      </c>
      <c r="CL19" s="141" t="str">
        <f>IF(AND($CK19&lt;=5,$CK19&gt;0),'Resumo das informações'!$F$49*12,"")</f>
        <v/>
      </c>
      <c r="CM19" s="141" t="str">
        <f>IF(AND($CK19&lt;=14,$CK19&gt;=6),'Resumo das informações'!$F$50*12,"")</f>
        <v/>
      </c>
      <c r="CN19" s="141" t="str">
        <f>IF(AND($CK19&lt;=17,$CK19&gt;=15),'Resumo das informações'!$F$51*12,"")</f>
        <v/>
      </c>
      <c r="CO19" s="141" t="str">
        <f>IF(AND($CK19&lt;=22,$CK19&gt;=18),'Resumo das informações'!$F$52*12,"")</f>
        <v/>
      </c>
      <c r="CP19" s="141" t="str">
        <f>IF(AND($CK19&lt;=24,$CK19&gt;=23),'Resumo das informações'!$F$53*12,"")</f>
        <v/>
      </c>
      <c r="CQ19" s="141">
        <f t="shared" si="1"/>
        <v>0</v>
      </c>
      <c r="CR19" s="1"/>
      <c r="CS19" s="326">
        <f t="shared" si="12"/>
        <v>0</v>
      </c>
      <c r="CT19" s="141" t="str">
        <f>IF(AND($CS19&lt;=5,$CS19&gt;0),'Resumo das informações'!$F$49*12,"")</f>
        <v/>
      </c>
      <c r="CU19" s="141" t="str">
        <f>IF(AND($CS19&lt;=14,$CS19&gt;=6),'Resumo das informações'!$F$50*12,"")</f>
        <v/>
      </c>
      <c r="CV19" s="141" t="str">
        <f>IF(AND($CS19&lt;=17,$CS19&gt;=15),'Resumo das informações'!$F$51*12,"")</f>
        <v/>
      </c>
      <c r="CW19" s="141" t="str">
        <f>IF(AND($CS19&lt;=22,$CS19&gt;=18),'Resumo das informações'!$F$52*12,"")</f>
        <v/>
      </c>
      <c r="CX19" s="141" t="str">
        <f>IF(AND($CS19&lt;=24,$CS19&gt;=23),'Resumo das informações'!$F$53*12,"")</f>
        <v/>
      </c>
      <c r="CY19" s="141">
        <f t="shared" si="2"/>
        <v>0</v>
      </c>
      <c r="CZ19" s="1"/>
      <c r="DA19" s="326">
        <f t="shared" si="13"/>
        <v>0</v>
      </c>
      <c r="DB19" s="141" t="str">
        <f>IF(AND($DA19&lt;=5,$DA19&gt;0),'Resumo das informações'!$F$49*12,"")</f>
        <v/>
      </c>
      <c r="DC19" s="141" t="str">
        <f>IF(AND($DA19&lt;=14,$DA19&gt;=6),'Resumo das informações'!$F$50*12,"")</f>
        <v/>
      </c>
      <c r="DD19" s="141" t="str">
        <f>IF(AND($DA19&lt;=17,$DA19&gt;=15),'Resumo das informações'!$F$51*12,"")</f>
        <v/>
      </c>
      <c r="DE19" s="141" t="str">
        <f>IF(AND($DA19&lt;=22,$DA19&gt;=18),'Resumo das informações'!$F$52*12,"")</f>
        <v/>
      </c>
      <c r="DF19" s="141" t="str">
        <f>IF(AND($DA19&lt;=24,$DA19&gt;=23),'Resumo das informações'!$F$53*12,"")</f>
        <v/>
      </c>
      <c r="DG19" s="141">
        <f t="shared" si="3"/>
        <v>0</v>
      </c>
      <c r="DH19" s="1"/>
      <c r="DI19" s="141">
        <f t="shared" si="4"/>
        <v>0</v>
      </c>
      <c r="DJ19" s="141">
        <f t="shared" si="14"/>
        <v>0</v>
      </c>
      <c r="DK19" s="1"/>
      <c r="DL19" s="326">
        <v>11</v>
      </c>
      <c r="DM19" s="141">
        <f>IF(AND('Resumo das informações'!$G$36="F",'Resumo das informações'!$I$36&gt;='Proteção Familiar'!$DL19),Dados_montanteprojeto1,0)</f>
        <v>0</v>
      </c>
      <c r="DN19" s="141">
        <f>IF(AND('Resumo das informações'!$G$37="F",'Resumo das informações'!$I$37&gt;='Proteção Familiar'!$DL19),Dados_montanteprojeto2,0)</f>
        <v>0</v>
      </c>
      <c r="DO19" s="141">
        <f>IF(AND('Resumo das informações'!$G$38="F",'Resumo das informações'!$I$38&gt;='Proteção Familiar'!$DL19),Dados_montanteprojeto3,0)</f>
        <v>0</v>
      </c>
      <c r="DP19" s="141">
        <f t="shared" si="5"/>
        <v>0</v>
      </c>
      <c r="DQ19" s="1"/>
      <c r="DR19" s="1"/>
      <c r="DS19" s="1"/>
      <c r="DT19" s="326">
        <v>11</v>
      </c>
      <c r="DU19" s="141">
        <f>IF(AND('Resumo das informações'!$H$61&lt;&gt;"SIM",'Resumo das informações'!$F$61&gt;0,'Resumo das informações'!$G$61&gt;='Proteção Familiar'!$DT19),'Resumo das informações'!$F$61,0)</f>
        <v>0</v>
      </c>
      <c r="DV19" s="141">
        <f>IF(AND('Resumo das informações'!$H$62&lt;&gt;"SIM",'Resumo das informações'!$F$62&gt;0,'Resumo das informações'!$G$62&gt;='Proteção Familiar'!$DT19),'Resumo das informações'!$F$62,0)</f>
        <v>0</v>
      </c>
      <c r="DW19" s="141">
        <f>IF(AND('Resumo das informações'!$H$63&lt;&gt;"SIM",'Resumo das informações'!$F$63&gt;0,'Resumo das informações'!$G$63&gt;='Proteção Familiar'!$DT19),'Resumo das informações'!$F$63,0)</f>
        <v>0</v>
      </c>
      <c r="DX19" s="141">
        <f>IF(AND('Resumo das informações'!$H$64&lt;&gt;"SIM",'Resumo das informações'!$F$64&gt;0,'Resumo das informações'!$G$64&gt;='Proteção Familiar'!$DT19),'Resumo das informações'!$F$64,0)</f>
        <v>0</v>
      </c>
      <c r="DY19" s="141">
        <f>IF(AND('Resumo das informações'!$H$65&lt;&gt;"SIM",'Resumo das informações'!$F$65&gt;0,'Resumo das informações'!$G$65&gt;='Proteção Familiar'!$DT19),'Resumo das informações'!$F$65,0)</f>
        <v>0</v>
      </c>
      <c r="DZ19" s="141">
        <f t="shared" si="6"/>
        <v>0</v>
      </c>
      <c r="EA19" s="1"/>
      <c r="EB19" s="1"/>
      <c r="EC19" s="1"/>
      <c r="ED19" s="1"/>
    </row>
    <row r="20" spans="1:134" ht="15.75" customHeight="1" x14ac:dyDescent="0.25">
      <c r="A20" s="1"/>
      <c r="B20" s="1"/>
      <c r="C20" s="7"/>
      <c r="D20" s="35"/>
      <c r="E20" s="35"/>
      <c r="F20" s="35"/>
      <c r="G20" s="35"/>
      <c r="H20" s="35"/>
      <c r="I20" s="35"/>
      <c r="J20" s="146"/>
      <c r="K20" s="19"/>
      <c r="L20" s="147"/>
      <c r="M20" s="58"/>
      <c r="N20" s="58"/>
      <c r="O20" s="146"/>
      <c r="P20" s="35"/>
      <c r="Q20" s="35"/>
      <c r="R20" s="35"/>
      <c r="S20" s="35"/>
      <c r="T20" s="17"/>
      <c r="U20" s="9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332"/>
      <c r="AP20" s="1"/>
      <c r="AQ20" s="1"/>
      <c r="AR20" s="1"/>
      <c r="AS20" s="1"/>
      <c r="AT20" s="1"/>
      <c r="AU20" s="1"/>
      <c r="AV20" s="332">
        <f>'Investimentos - Não Aposentado'!AV20</f>
        <v>38</v>
      </c>
      <c r="AW20" s="335">
        <f>'Investimentos - Não Aposentado'!AW20</f>
        <v>3518070.1536533204</v>
      </c>
      <c r="AX20" s="335">
        <f>'Investimentos - Não Aposentado'!AX20</f>
        <v>3493173.0368071245</v>
      </c>
      <c r="AY20" s="335">
        <f>'Investimentos - Não Aposentado'!AY20</f>
        <v>3153623.0337459571</v>
      </c>
      <c r="AZ20" s="335" t="e">
        <f>'Investimentos - Não Aposentado'!AZ20</f>
        <v>#VALUE!</v>
      </c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372">
        <f t="shared" si="16"/>
        <v>0</v>
      </c>
      <c r="BM20" s="373" t="s">
        <v>195</v>
      </c>
      <c r="BN20" s="141">
        <f>BM6-BL21</f>
        <v>7012903.2258064514</v>
      </c>
      <c r="BO20" s="1"/>
      <c r="BP20" s="1"/>
      <c r="BQ20" s="1"/>
      <c r="BR20" s="141">
        <f t="shared" si="7"/>
        <v>3384000</v>
      </c>
      <c r="BS20" s="335">
        <f t="shared" si="8"/>
        <v>35</v>
      </c>
      <c r="BT20" s="141">
        <f t="shared" si="9"/>
        <v>3584000</v>
      </c>
      <c r="BU20" s="1"/>
      <c r="BV20" s="141">
        <f t="shared" si="15"/>
        <v>120000</v>
      </c>
      <c r="BW20" s="1"/>
      <c r="BX20" s="1"/>
      <c r="BY20" s="1"/>
      <c r="BZ20" s="1"/>
      <c r="CA20" s="1"/>
      <c r="CB20" s="1"/>
      <c r="CC20" s="326">
        <f t="shared" si="10"/>
        <v>35</v>
      </c>
      <c r="CD20" s="141" t="str">
        <f>IF(AND($CC20&lt;=5,$CC20&gt;0),'Resumo das informações'!$F$49*12,"")</f>
        <v/>
      </c>
      <c r="CE20" s="141" t="str">
        <f>IF(AND($CC20&lt;=14,$CC20&gt;=6),'Resumo das informações'!$F$50*12,"")</f>
        <v/>
      </c>
      <c r="CF20" s="141" t="str">
        <f>IF(AND($CC20&lt;=17,$CC20&gt;=15),'Resumo das informações'!$F$51*12,"")</f>
        <v/>
      </c>
      <c r="CG20" s="141" t="str">
        <f>IF(AND($CC20&lt;=22,$CC20&gt;=18),'Resumo das informações'!$F$52*12,"")</f>
        <v/>
      </c>
      <c r="CH20" s="141" t="str">
        <f>IF(AND($CC20&lt;=24,$CC20&gt;=23),'Resumo das informações'!$F$53*12,"")</f>
        <v/>
      </c>
      <c r="CI20" s="141">
        <f t="shared" si="0"/>
        <v>0</v>
      </c>
      <c r="CJ20" s="1"/>
      <c r="CK20" s="326">
        <f t="shared" si="11"/>
        <v>0</v>
      </c>
      <c r="CL20" s="141" t="str">
        <f>IF(AND($CK20&lt;=5,$CK20&gt;0),'Resumo das informações'!$F$49*12,"")</f>
        <v/>
      </c>
      <c r="CM20" s="141" t="str">
        <f>IF(AND($CK20&lt;=14,$CK20&gt;=6),'Resumo das informações'!$F$50*12,"")</f>
        <v/>
      </c>
      <c r="CN20" s="141" t="str">
        <f>IF(AND($CK20&lt;=17,$CK20&gt;=15),'Resumo das informações'!$F$51*12,"")</f>
        <v/>
      </c>
      <c r="CO20" s="141" t="str">
        <f>IF(AND($CK20&lt;=22,$CK20&gt;=18),'Resumo das informações'!$F$52*12,"")</f>
        <v/>
      </c>
      <c r="CP20" s="141" t="str">
        <f>IF(AND($CK20&lt;=24,$CK20&gt;=23),'Resumo das informações'!$F$53*12,"")</f>
        <v/>
      </c>
      <c r="CQ20" s="141">
        <f t="shared" si="1"/>
        <v>0</v>
      </c>
      <c r="CR20" s="1"/>
      <c r="CS20" s="326">
        <f t="shared" si="12"/>
        <v>0</v>
      </c>
      <c r="CT20" s="141" t="str">
        <f>IF(AND($CS20&lt;=5,$CS20&gt;0),'Resumo das informações'!$F$49*12,"")</f>
        <v/>
      </c>
      <c r="CU20" s="141" t="str">
        <f>IF(AND($CS20&lt;=14,$CS20&gt;=6),'Resumo das informações'!$F$50*12,"")</f>
        <v/>
      </c>
      <c r="CV20" s="141" t="str">
        <f>IF(AND($CS20&lt;=17,$CS20&gt;=15),'Resumo das informações'!$F$51*12,"")</f>
        <v/>
      </c>
      <c r="CW20" s="141" t="str">
        <f>IF(AND($CS20&lt;=22,$CS20&gt;=18),'Resumo das informações'!$F$52*12,"")</f>
        <v/>
      </c>
      <c r="CX20" s="141" t="str">
        <f>IF(AND($CS20&lt;=24,$CS20&gt;=23),'Resumo das informações'!$F$53*12,"")</f>
        <v/>
      </c>
      <c r="CY20" s="141">
        <f t="shared" si="2"/>
        <v>0</v>
      </c>
      <c r="CZ20" s="1"/>
      <c r="DA20" s="326">
        <f t="shared" si="13"/>
        <v>0</v>
      </c>
      <c r="DB20" s="141" t="str">
        <f>IF(AND($DA20&lt;=5,$DA20&gt;0),'Resumo das informações'!$F$49*12,"")</f>
        <v/>
      </c>
      <c r="DC20" s="141" t="str">
        <f>IF(AND($DA20&lt;=14,$DA20&gt;=6),'Resumo das informações'!$F$50*12,"")</f>
        <v/>
      </c>
      <c r="DD20" s="141" t="str">
        <f>IF(AND($DA20&lt;=17,$DA20&gt;=15),'Resumo das informações'!$F$51*12,"")</f>
        <v/>
      </c>
      <c r="DE20" s="141" t="str">
        <f>IF(AND($DA20&lt;=22,$DA20&gt;=18),'Resumo das informações'!$F$52*12,"")</f>
        <v/>
      </c>
      <c r="DF20" s="141" t="str">
        <f>IF(AND($DA20&lt;=24,$DA20&gt;=23),'Resumo das informações'!$F$53*12,"")</f>
        <v/>
      </c>
      <c r="DG20" s="141">
        <f t="shared" si="3"/>
        <v>0</v>
      </c>
      <c r="DH20" s="1"/>
      <c r="DI20" s="141">
        <f t="shared" si="4"/>
        <v>0</v>
      </c>
      <c r="DJ20" s="141">
        <f t="shared" si="14"/>
        <v>0</v>
      </c>
      <c r="DK20" s="1"/>
      <c r="DL20" s="326">
        <v>12</v>
      </c>
      <c r="DM20" s="141">
        <f>IF(AND('Resumo das informações'!$G$36="F",'Resumo das informações'!$I$36&gt;='Proteção Familiar'!$DL20),Dados_montanteprojeto1,0)</f>
        <v>0</v>
      </c>
      <c r="DN20" s="141">
        <f>IF(AND('Resumo das informações'!$G$37="F",'Resumo das informações'!$I$37&gt;='Proteção Familiar'!$DL20),Dados_montanteprojeto2,0)</f>
        <v>0</v>
      </c>
      <c r="DO20" s="141">
        <f>IF(AND('Resumo das informações'!$G$38="F",'Resumo das informações'!$I$38&gt;='Proteção Familiar'!$DL20),Dados_montanteprojeto3,0)</f>
        <v>0</v>
      </c>
      <c r="DP20" s="141">
        <f t="shared" si="5"/>
        <v>0</v>
      </c>
      <c r="DQ20" s="1"/>
      <c r="DR20" s="1"/>
      <c r="DS20" s="1"/>
      <c r="DT20" s="326">
        <v>12</v>
      </c>
      <c r="DU20" s="141">
        <f>IF(AND('Resumo das informações'!$H$61&lt;&gt;"SIM",'Resumo das informações'!$F$61&gt;0,'Resumo das informações'!$G$61&gt;='Proteção Familiar'!$DT20),'Resumo das informações'!$F$61,0)</f>
        <v>0</v>
      </c>
      <c r="DV20" s="141">
        <f>IF(AND('Resumo das informações'!$H$62&lt;&gt;"SIM",'Resumo das informações'!$F$62&gt;0,'Resumo das informações'!$G$62&gt;='Proteção Familiar'!$DT20),'Resumo das informações'!$F$62,0)</f>
        <v>0</v>
      </c>
      <c r="DW20" s="141">
        <f>IF(AND('Resumo das informações'!$H$63&lt;&gt;"SIM",'Resumo das informações'!$F$63&gt;0,'Resumo das informações'!$G$63&gt;='Proteção Familiar'!$DT20),'Resumo das informações'!$F$63,0)</f>
        <v>0</v>
      </c>
      <c r="DX20" s="141">
        <f>IF(AND('Resumo das informações'!$H$64&lt;&gt;"SIM",'Resumo das informações'!$F$64&gt;0,'Resumo das informações'!$G$64&gt;='Proteção Familiar'!$DT20),'Resumo das informações'!$F$64,0)</f>
        <v>0</v>
      </c>
      <c r="DY20" s="141">
        <f>IF(AND('Resumo das informações'!$H$65&lt;&gt;"SIM",'Resumo das informações'!$F$65&gt;0,'Resumo das informações'!$G$65&gt;='Proteção Familiar'!$DT20),'Resumo das informações'!$F$65,0)</f>
        <v>0</v>
      </c>
      <c r="DZ20" s="141">
        <f t="shared" si="6"/>
        <v>0</v>
      </c>
      <c r="EA20" s="1"/>
      <c r="EB20" s="1"/>
      <c r="EC20" s="1"/>
      <c r="ED20" s="1"/>
    </row>
    <row r="21" spans="1:134" ht="15.75" customHeight="1" x14ac:dyDescent="0.25">
      <c r="A21" s="1"/>
      <c r="B21" s="1"/>
      <c r="C21" s="7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17"/>
      <c r="U21" s="9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332"/>
      <c r="AP21" s="1"/>
      <c r="AQ21" s="1"/>
      <c r="AR21" s="1"/>
      <c r="AS21" s="1"/>
      <c r="AT21" s="1"/>
      <c r="AU21" s="1"/>
      <c r="AV21" s="332">
        <f>'Investimentos - Não Aposentado'!AV21</f>
        <v>39</v>
      </c>
      <c r="AW21" s="335">
        <f>'Investimentos - Não Aposentado'!AW21</f>
        <v>3788814.4527127463</v>
      </c>
      <c r="AX21" s="335">
        <f>'Investimentos - Não Aposentado'!AX21</f>
        <v>3761240.3840590944</v>
      </c>
      <c r="AY21" s="335">
        <f>'Investimentos - Não Aposentado'!AY21</f>
        <v>3371100.9406553563</v>
      </c>
      <c r="AZ21" s="335" t="e">
        <f>'Investimentos - Não Aposentado'!AZ21</f>
        <v>#VALUE!</v>
      </c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372">
        <f>IF(BL14&lt;BM6,BL14,BM6)</f>
        <v>0</v>
      </c>
      <c r="BM21" s="373" t="s">
        <v>196</v>
      </c>
      <c r="BN21" s="141"/>
      <c r="BO21" s="1"/>
      <c r="BP21" s="1"/>
      <c r="BQ21" s="1"/>
      <c r="BR21" s="141">
        <f t="shared" si="7"/>
        <v>3264000</v>
      </c>
      <c r="BS21" s="335">
        <f t="shared" si="8"/>
        <v>36</v>
      </c>
      <c r="BT21" s="141">
        <f t="shared" si="9"/>
        <v>3464000</v>
      </c>
      <c r="BU21" s="1"/>
      <c r="BV21" s="141">
        <f t="shared" si="15"/>
        <v>120000</v>
      </c>
      <c r="BW21" s="1"/>
      <c r="BX21" s="1"/>
      <c r="BY21" s="1"/>
      <c r="BZ21" s="1"/>
      <c r="CA21" s="1"/>
      <c r="CB21" s="1"/>
      <c r="CC21" s="326">
        <f t="shared" si="10"/>
        <v>36</v>
      </c>
      <c r="CD21" s="141" t="str">
        <f>IF(AND($CC21&lt;=5,$CC21&gt;0),'Resumo das informações'!$F$49*12,"")</f>
        <v/>
      </c>
      <c r="CE21" s="141" t="str">
        <f>IF(AND($CC21&lt;=14,$CC21&gt;=6),'Resumo das informações'!$F$50*12,"")</f>
        <v/>
      </c>
      <c r="CF21" s="141" t="str">
        <f>IF(AND($CC21&lt;=17,$CC21&gt;=15),'Resumo das informações'!$F$51*12,"")</f>
        <v/>
      </c>
      <c r="CG21" s="141" t="str">
        <f>IF(AND($CC21&lt;=22,$CC21&gt;=18),'Resumo das informações'!$F$52*12,"")</f>
        <v/>
      </c>
      <c r="CH21" s="141" t="str">
        <f>IF(AND($CC21&lt;=24,$CC21&gt;=23),'Resumo das informações'!$F$53*12,"")</f>
        <v/>
      </c>
      <c r="CI21" s="141">
        <f t="shared" si="0"/>
        <v>0</v>
      </c>
      <c r="CJ21" s="1"/>
      <c r="CK21" s="326">
        <f t="shared" si="11"/>
        <v>0</v>
      </c>
      <c r="CL21" s="141" t="str">
        <f>IF(AND($CK21&lt;=5,$CK21&gt;0),'Resumo das informações'!$F$49*12,"")</f>
        <v/>
      </c>
      <c r="CM21" s="141" t="str">
        <f>IF(AND($CK21&lt;=14,$CK21&gt;=6),'Resumo das informações'!$F$50*12,"")</f>
        <v/>
      </c>
      <c r="CN21" s="141" t="str">
        <f>IF(AND($CK21&lt;=17,$CK21&gt;=15),'Resumo das informações'!$F$51*12,"")</f>
        <v/>
      </c>
      <c r="CO21" s="141" t="str">
        <f>IF(AND($CK21&lt;=22,$CK21&gt;=18),'Resumo das informações'!$F$52*12,"")</f>
        <v/>
      </c>
      <c r="CP21" s="141" t="str">
        <f>IF(AND($CK21&lt;=24,$CK21&gt;=23),'Resumo das informações'!$F$53*12,"")</f>
        <v/>
      </c>
      <c r="CQ21" s="141">
        <f t="shared" si="1"/>
        <v>0</v>
      </c>
      <c r="CR21" s="1"/>
      <c r="CS21" s="326">
        <f t="shared" si="12"/>
        <v>0</v>
      </c>
      <c r="CT21" s="141" t="str">
        <f>IF(AND($CS21&lt;=5,$CS21&gt;0),'Resumo das informações'!$F$49*12,"")</f>
        <v/>
      </c>
      <c r="CU21" s="141" t="str">
        <f>IF(AND($CS21&lt;=14,$CS21&gt;=6),'Resumo das informações'!$F$50*12,"")</f>
        <v/>
      </c>
      <c r="CV21" s="141" t="str">
        <f>IF(AND($CS21&lt;=17,$CS21&gt;=15),'Resumo das informações'!$F$51*12,"")</f>
        <v/>
      </c>
      <c r="CW21" s="141" t="str">
        <f>IF(AND($CS21&lt;=22,$CS21&gt;=18),'Resumo das informações'!$F$52*12,"")</f>
        <v/>
      </c>
      <c r="CX21" s="141" t="str">
        <f>IF(AND($CS21&lt;=24,$CS21&gt;=23),'Resumo das informações'!$F$53*12,"")</f>
        <v/>
      </c>
      <c r="CY21" s="141">
        <f t="shared" si="2"/>
        <v>0</v>
      </c>
      <c r="CZ21" s="1"/>
      <c r="DA21" s="326">
        <f t="shared" si="13"/>
        <v>0</v>
      </c>
      <c r="DB21" s="141" t="str">
        <f>IF(AND($DA21&lt;=5,$DA21&gt;0),'Resumo das informações'!$F$49*12,"")</f>
        <v/>
      </c>
      <c r="DC21" s="141" t="str">
        <f>IF(AND($DA21&lt;=14,$DA21&gt;=6),'Resumo das informações'!$F$50*12,"")</f>
        <v/>
      </c>
      <c r="DD21" s="141" t="str">
        <f>IF(AND($DA21&lt;=17,$DA21&gt;=15),'Resumo das informações'!$F$51*12,"")</f>
        <v/>
      </c>
      <c r="DE21" s="141" t="str">
        <f>IF(AND($DA21&lt;=22,$DA21&gt;=18),'Resumo das informações'!$F$52*12,"")</f>
        <v/>
      </c>
      <c r="DF21" s="141" t="str">
        <f>IF(AND($DA21&lt;=24,$DA21&gt;=23),'Resumo das informações'!$F$53*12,"")</f>
        <v/>
      </c>
      <c r="DG21" s="141">
        <f t="shared" si="3"/>
        <v>0</v>
      </c>
      <c r="DH21" s="1"/>
      <c r="DI21" s="141">
        <f t="shared" si="4"/>
        <v>0</v>
      </c>
      <c r="DJ21" s="141">
        <f t="shared" si="14"/>
        <v>0</v>
      </c>
      <c r="DK21" s="1"/>
      <c r="DL21" s="326">
        <v>13</v>
      </c>
      <c r="DM21" s="141">
        <f>IF(AND('Resumo das informações'!$G$36="F",'Resumo das informações'!$I$36&gt;='Proteção Familiar'!$DL21),Dados_montanteprojeto1,0)</f>
        <v>0</v>
      </c>
      <c r="DN21" s="141">
        <f>IF(AND('Resumo das informações'!$G$37="F",'Resumo das informações'!$I$37&gt;='Proteção Familiar'!$DL21),Dados_montanteprojeto2,0)</f>
        <v>0</v>
      </c>
      <c r="DO21" s="141">
        <f>IF(AND('Resumo das informações'!$G$38="F",'Resumo das informações'!$I$38&gt;='Proteção Familiar'!$DL21),Dados_montanteprojeto3,0)</f>
        <v>0</v>
      </c>
      <c r="DP21" s="141">
        <f t="shared" si="5"/>
        <v>0</v>
      </c>
      <c r="DQ21" s="1"/>
      <c r="DR21" s="1"/>
      <c r="DS21" s="1"/>
      <c r="DT21" s="326">
        <v>13</v>
      </c>
      <c r="DU21" s="141">
        <f>IF(AND('Resumo das informações'!$H$61&lt;&gt;"SIM",'Resumo das informações'!$F$61&gt;0,'Resumo das informações'!$G$61&gt;='Proteção Familiar'!$DT21),'Resumo das informações'!$F$61,0)</f>
        <v>0</v>
      </c>
      <c r="DV21" s="141">
        <f>IF(AND('Resumo das informações'!$H$62&lt;&gt;"SIM",'Resumo das informações'!$F$62&gt;0,'Resumo das informações'!$G$62&gt;='Proteção Familiar'!$DT21),'Resumo das informações'!$F$62,0)</f>
        <v>0</v>
      </c>
      <c r="DW21" s="141">
        <f>IF(AND('Resumo das informações'!$H$63&lt;&gt;"SIM",'Resumo das informações'!$F$63&gt;0,'Resumo das informações'!$G$63&gt;='Proteção Familiar'!$DT21),'Resumo das informações'!$F$63,0)</f>
        <v>0</v>
      </c>
      <c r="DX21" s="141">
        <f>IF(AND('Resumo das informações'!$H$64&lt;&gt;"SIM",'Resumo das informações'!$F$64&gt;0,'Resumo das informações'!$G$64&gt;='Proteção Familiar'!$DT21),'Resumo das informações'!$F$64,0)</f>
        <v>0</v>
      </c>
      <c r="DY21" s="141">
        <f>IF(AND('Resumo das informações'!$H$65&lt;&gt;"SIM",'Resumo das informações'!$F$65&gt;0,'Resumo das informações'!$G$65&gt;='Proteção Familiar'!$DT21),'Resumo das informações'!$F$65,0)</f>
        <v>0</v>
      </c>
      <c r="DZ21" s="141">
        <f t="shared" si="6"/>
        <v>0</v>
      </c>
      <c r="EA21" s="1"/>
      <c r="EB21" s="1"/>
      <c r="EC21" s="1"/>
      <c r="ED21" s="1"/>
    </row>
    <row r="22" spans="1:134" ht="15.75" customHeight="1" x14ac:dyDescent="0.25">
      <c r="A22" s="1"/>
      <c r="B22" s="1"/>
      <c r="C22" s="7"/>
      <c r="D22" s="35"/>
      <c r="E22" s="19"/>
      <c r="F22" s="19"/>
      <c r="G22" s="100"/>
      <c r="H22" s="19"/>
      <c r="I22" s="19"/>
      <c r="J22" s="19"/>
      <c r="K22" s="100"/>
      <c r="L22" s="19"/>
      <c r="M22" s="19"/>
      <c r="N22" s="100"/>
      <c r="O22" s="100"/>
      <c r="P22" s="79"/>
      <c r="Q22" s="79"/>
      <c r="R22" s="79"/>
      <c r="S22" s="35"/>
      <c r="T22" s="17"/>
      <c r="U22" s="9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332"/>
      <c r="AP22" s="1"/>
      <c r="AQ22" s="1"/>
      <c r="AR22" s="1"/>
      <c r="AS22" s="1"/>
      <c r="AT22" s="1"/>
      <c r="AU22" s="1"/>
      <c r="AV22" s="332">
        <f>'Investimentos - Não Aposentado'!AV22</f>
        <v>40</v>
      </c>
      <c r="AW22" s="335">
        <f>'Investimentos - Não Aposentado'!AW22</f>
        <v>4075777.2508462635</v>
      </c>
      <c r="AX22" s="335">
        <f>'Investimentos - Não Aposentado'!AX22</f>
        <v>4045365.8719193945</v>
      </c>
      <c r="AY22" s="335">
        <f>'Investimentos - Não Aposentado'!AY22</f>
        <v>3599438.7268885211</v>
      </c>
      <c r="AZ22" s="335" t="e">
        <f>'Investimentos - Não Aposentado'!AZ22</f>
        <v>#VALUE!</v>
      </c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41">
        <f>SUM(BL19:BL21)</f>
        <v>3704000</v>
      </c>
      <c r="BM22" s="327"/>
      <c r="BN22" s="141"/>
      <c r="BO22" s="1"/>
      <c r="BP22" s="1"/>
      <c r="BQ22" s="1"/>
      <c r="BR22" s="141">
        <f t="shared" si="7"/>
        <v>3144000</v>
      </c>
      <c r="BS22" s="335">
        <f t="shared" si="8"/>
        <v>37</v>
      </c>
      <c r="BT22" s="141">
        <f t="shared" si="9"/>
        <v>3344000</v>
      </c>
      <c r="BU22" s="1"/>
      <c r="BV22" s="141">
        <f t="shared" si="15"/>
        <v>120000</v>
      </c>
      <c r="BW22" s="1"/>
      <c r="BX22" s="1"/>
      <c r="BY22" s="1"/>
      <c r="BZ22" s="1"/>
      <c r="CA22" s="1"/>
      <c r="CB22" s="1"/>
      <c r="CC22" s="326">
        <f t="shared" si="10"/>
        <v>37</v>
      </c>
      <c r="CD22" s="141" t="str">
        <f>IF(AND($CC22&lt;=5,$CC22&gt;0),'Resumo das informações'!$F$49*12,"")</f>
        <v/>
      </c>
      <c r="CE22" s="141" t="str">
        <f>IF(AND($CC22&lt;=14,$CC22&gt;=6),'Resumo das informações'!$F$50*12,"")</f>
        <v/>
      </c>
      <c r="CF22" s="141" t="str">
        <f>IF(AND($CC22&lt;=17,$CC22&gt;=15),'Resumo das informações'!$F$51*12,"")</f>
        <v/>
      </c>
      <c r="CG22" s="141" t="str">
        <f>IF(AND($CC22&lt;=22,$CC22&gt;=18),'Resumo das informações'!$F$52*12,"")</f>
        <v/>
      </c>
      <c r="CH22" s="141" t="str">
        <f>IF(AND($CC22&lt;=24,$CC22&gt;=23),'Resumo das informações'!$F$53*12,"")</f>
        <v/>
      </c>
      <c r="CI22" s="141">
        <f t="shared" si="0"/>
        <v>0</v>
      </c>
      <c r="CJ22" s="1"/>
      <c r="CK22" s="326">
        <f t="shared" si="11"/>
        <v>0</v>
      </c>
      <c r="CL22" s="141" t="str">
        <f>IF(AND($CK22&lt;=5,$CK22&gt;0),'Resumo das informações'!$F$49*12,"")</f>
        <v/>
      </c>
      <c r="CM22" s="141" t="str">
        <f>IF(AND($CK22&lt;=14,$CK22&gt;=6),'Resumo das informações'!$F$50*12,"")</f>
        <v/>
      </c>
      <c r="CN22" s="141" t="str">
        <f>IF(AND($CK22&lt;=17,$CK22&gt;=15),'Resumo das informações'!$F$51*12,"")</f>
        <v/>
      </c>
      <c r="CO22" s="141" t="str">
        <f>IF(AND($CK22&lt;=22,$CK22&gt;=18),'Resumo das informações'!$F$52*12,"")</f>
        <v/>
      </c>
      <c r="CP22" s="141" t="str">
        <f>IF(AND($CK22&lt;=24,$CK22&gt;=23),'Resumo das informações'!$F$53*12,"")</f>
        <v/>
      </c>
      <c r="CQ22" s="141">
        <f t="shared" si="1"/>
        <v>0</v>
      </c>
      <c r="CR22" s="1"/>
      <c r="CS22" s="326">
        <f t="shared" si="12"/>
        <v>0</v>
      </c>
      <c r="CT22" s="141" t="str">
        <f>IF(AND($CS22&lt;=5,$CS22&gt;0),'Resumo das informações'!$F$49*12,"")</f>
        <v/>
      </c>
      <c r="CU22" s="141" t="str">
        <f>IF(AND($CS22&lt;=14,$CS22&gt;=6),'Resumo das informações'!$F$50*12,"")</f>
        <v/>
      </c>
      <c r="CV22" s="141" t="str">
        <f>IF(AND($CS22&lt;=17,$CS22&gt;=15),'Resumo das informações'!$F$51*12,"")</f>
        <v/>
      </c>
      <c r="CW22" s="141" t="str">
        <f>IF(AND($CS22&lt;=22,$CS22&gt;=18),'Resumo das informações'!$F$52*12,"")</f>
        <v/>
      </c>
      <c r="CX22" s="141" t="str">
        <f>IF(AND($CS22&lt;=24,$CS22&gt;=23),'Resumo das informações'!$F$53*12,"")</f>
        <v/>
      </c>
      <c r="CY22" s="141">
        <f t="shared" si="2"/>
        <v>0</v>
      </c>
      <c r="CZ22" s="1"/>
      <c r="DA22" s="326">
        <f t="shared" si="13"/>
        <v>0</v>
      </c>
      <c r="DB22" s="141" t="str">
        <f>IF(AND($DA22&lt;=5,$DA22&gt;0),'Resumo das informações'!$F$49*12,"")</f>
        <v/>
      </c>
      <c r="DC22" s="141" t="str">
        <f>IF(AND($DA22&lt;=14,$DA22&gt;=6),'Resumo das informações'!$F$50*12,"")</f>
        <v/>
      </c>
      <c r="DD22" s="141" t="str">
        <f>IF(AND($DA22&lt;=17,$DA22&gt;=15),'Resumo das informações'!$F$51*12,"")</f>
        <v/>
      </c>
      <c r="DE22" s="141" t="str">
        <f>IF(AND($DA22&lt;=22,$DA22&gt;=18),'Resumo das informações'!$F$52*12,"")</f>
        <v/>
      </c>
      <c r="DF22" s="141" t="str">
        <f>IF(AND($DA22&lt;=24,$DA22&gt;=23),'Resumo das informações'!$F$53*12,"")</f>
        <v/>
      </c>
      <c r="DG22" s="141">
        <f t="shared" si="3"/>
        <v>0</v>
      </c>
      <c r="DH22" s="1"/>
      <c r="DI22" s="141">
        <f t="shared" si="4"/>
        <v>0</v>
      </c>
      <c r="DJ22" s="141">
        <f t="shared" si="14"/>
        <v>0</v>
      </c>
      <c r="DK22" s="1"/>
      <c r="DL22" s="326">
        <v>14</v>
      </c>
      <c r="DM22" s="141">
        <f>IF(AND('Resumo das informações'!$G$36="F",'Resumo das informações'!$I$36&gt;='Proteção Familiar'!$DL22),Dados_montanteprojeto1,0)</f>
        <v>0</v>
      </c>
      <c r="DN22" s="141">
        <f>IF(AND('Resumo das informações'!$G$37="F",'Resumo das informações'!$I$37&gt;='Proteção Familiar'!$DL22),Dados_montanteprojeto2,0)</f>
        <v>0</v>
      </c>
      <c r="DO22" s="141">
        <f>IF(AND('Resumo das informações'!$G$38="F",'Resumo das informações'!$I$38&gt;='Proteção Familiar'!$DL22),Dados_montanteprojeto3,0)</f>
        <v>0</v>
      </c>
      <c r="DP22" s="141">
        <f t="shared" si="5"/>
        <v>0</v>
      </c>
      <c r="DQ22" s="1"/>
      <c r="DR22" s="1"/>
      <c r="DS22" s="1"/>
      <c r="DT22" s="326">
        <v>14</v>
      </c>
      <c r="DU22" s="141">
        <f>IF(AND('Resumo das informações'!$H$61&lt;&gt;"SIM",'Resumo das informações'!$F$61&gt;0,'Resumo das informações'!$G$61&gt;='Proteção Familiar'!$DT22),'Resumo das informações'!$F$61,0)</f>
        <v>0</v>
      </c>
      <c r="DV22" s="141">
        <f>IF(AND('Resumo das informações'!$H$62&lt;&gt;"SIM",'Resumo das informações'!$F$62&gt;0,'Resumo das informações'!$G$62&gt;='Proteção Familiar'!$DT22),'Resumo das informações'!$F$62,0)</f>
        <v>0</v>
      </c>
      <c r="DW22" s="141">
        <f>IF(AND('Resumo das informações'!$H$63&lt;&gt;"SIM",'Resumo das informações'!$F$63&gt;0,'Resumo das informações'!$G$63&gt;='Proteção Familiar'!$DT22),'Resumo das informações'!$F$63,0)</f>
        <v>0</v>
      </c>
      <c r="DX22" s="141">
        <f>IF(AND('Resumo das informações'!$H$64&lt;&gt;"SIM",'Resumo das informações'!$F$64&gt;0,'Resumo das informações'!$G$64&gt;='Proteção Familiar'!$DT22),'Resumo das informações'!$F$64,0)</f>
        <v>0</v>
      </c>
      <c r="DY22" s="141">
        <f>IF(AND('Resumo das informações'!$H$65&lt;&gt;"SIM",'Resumo das informações'!$F$65&gt;0,'Resumo das informações'!$G$65&gt;='Proteção Familiar'!$DT22),'Resumo das informações'!$F$65,0)</f>
        <v>0</v>
      </c>
      <c r="DZ22" s="141">
        <f t="shared" si="6"/>
        <v>0</v>
      </c>
      <c r="EA22" s="1"/>
      <c r="EB22" s="1"/>
      <c r="EC22" s="1"/>
      <c r="ED22" s="1"/>
    </row>
    <row r="23" spans="1:134" ht="15.75" customHeight="1" x14ac:dyDescent="0.25">
      <c r="A23" s="1"/>
      <c r="B23" s="1"/>
      <c r="C23" s="7"/>
      <c r="D23" s="35"/>
      <c r="E23" s="19"/>
      <c r="F23" s="35"/>
      <c r="G23" s="159"/>
      <c r="H23" s="159"/>
      <c r="I23" s="159"/>
      <c r="J23" s="160"/>
      <c r="K23" s="79"/>
      <c r="L23" s="159"/>
      <c r="M23" s="159"/>
      <c r="N23" s="159"/>
      <c r="O23" s="159"/>
      <c r="P23" s="79"/>
      <c r="Q23" s="79"/>
      <c r="R23" s="79"/>
      <c r="S23" s="35"/>
      <c r="T23" s="17"/>
      <c r="U23" s="9"/>
      <c r="V23" s="1"/>
      <c r="W23" s="1"/>
      <c r="X23" s="1"/>
      <c r="Y23" s="1"/>
      <c r="Z23" s="1"/>
      <c r="AA23" s="1" t="s">
        <v>198</v>
      </c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332"/>
      <c r="AP23" s="1"/>
      <c r="AQ23" s="1"/>
      <c r="AR23" s="1"/>
      <c r="AS23" s="1"/>
      <c r="AT23" s="1"/>
      <c r="AU23" s="1"/>
      <c r="AV23" s="332">
        <f>'Investimentos - Não Aposentado'!AV23</f>
        <v>41</v>
      </c>
      <c r="AW23" s="335">
        <f>'Investimentos - Não Aposentado'!AW23</f>
        <v>4379930.0909935758</v>
      </c>
      <c r="AX23" s="335">
        <f>'Investimentos - Não Aposentado'!AX23</f>
        <v>4346511.4373133555</v>
      </c>
      <c r="AY23" s="335">
        <f>'Investimentos - Não Aposentado'!AY23</f>
        <v>3839178.6865138598</v>
      </c>
      <c r="AZ23" s="335" t="e">
        <f>'Investimentos - Não Aposentado'!AZ23</f>
        <v>#VALUE!</v>
      </c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326"/>
      <c r="BN23" s="141"/>
      <c r="BO23" s="1"/>
      <c r="BP23" s="1"/>
      <c r="BQ23" s="1"/>
      <c r="BR23" s="141">
        <f t="shared" si="7"/>
        <v>3024000</v>
      </c>
      <c r="BS23" s="335">
        <f t="shared" si="8"/>
        <v>38</v>
      </c>
      <c r="BT23" s="141">
        <f t="shared" si="9"/>
        <v>3224000</v>
      </c>
      <c r="BU23" s="1"/>
      <c r="BV23" s="141">
        <f t="shared" si="15"/>
        <v>120000</v>
      </c>
      <c r="BW23" s="1"/>
      <c r="BX23" s="1"/>
      <c r="BY23" s="1"/>
      <c r="BZ23" s="1"/>
      <c r="CA23" s="1"/>
      <c r="CB23" s="1"/>
      <c r="CC23" s="326">
        <f t="shared" si="10"/>
        <v>38</v>
      </c>
      <c r="CD23" s="141" t="str">
        <f>IF(AND($CC23&lt;=5,$CC23&gt;0),'Resumo das informações'!$F$49*12,"")</f>
        <v/>
      </c>
      <c r="CE23" s="141" t="str">
        <f>IF(AND($CC23&lt;=14,$CC23&gt;=6),'Resumo das informações'!$F$50*12,"")</f>
        <v/>
      </c>
      <c r="CF23" s="141" t="str">
        <f>IF(AND($CC23&lt;=17,$CC23&gt;=15),'Resumo das informações'!$F$51*12,"")</f>
        <v/>
      </c>
      <c r="CG23" s="141" t="str">
        <f>IF(AND($CC23&lt;=22,$CC23&gt;=18),'Resumo das informações'!$F$52*12,"")</f>
        <v/>
      </c>
      <c r="CH23" s="141" t="str">
        <f>IF(AND($CC23&lt;=24,$CC23&gt;=23),'Resumo das informações'!$F$53*12,"")</f>
        <v/>
      </c>
      <c r="CI23" s="141">
        <f t="shared" si="0"/>
        <v>0</v>
      </c>
      <c r="CJ23" s="1"/>
      <c r="CK23" s="326">
        <f t="shared" si="11"/>
        <v>0</v>
      </c>
      <c r="CL23" s="141" t="str">
        <f>IF(AND($CK23&lt;=5,$CK23&gt;0),'Resumo das informações'!$F$49*12,"")</f>
        <v/>
      </c>
      <c r="CM23" s="141" t="str">
        <f>IF(AND($CK23&lt;=14,$CK23&gt;=6),'Resumo das informações'!$F$50*12,"")</f>
        <v/>
      </c>
      <c r="CN23" s="141" t="str">
        <f>IF(AND($CK23&lt;=17,$CK23&gt;=15),'Resumo das informações'!$F$51*12,"")</f>
        <v/>
      </c>
      <c r="CO23" s="141" t="str">
        <f>IF(AND($CK23&lt;=22,$CK23&gt;=18),'Resumo das informações'!$F$52*12,"")</f>
        <v/>
      </c>
      <c r="CP23" s="141" t="str">
        <f>IF(AND($CK23&lt;=24,$CK23&gt;=23),'Resumo das informações'!$F$53*12,"")</f>
        <v/>
      </c>
      <c r="CQ23" s="141">
        <f t="shared" si="1"/>
        <v>0</v>
      </c>
      <c r="CR23" s="1"/>
      <c r="CS23" s="326">
        <f t="shared" si="12"/>
        <v>0</v>
      </c>
      <c r="CT23" s="141" t="str">
        <f>IF(AND($CS23&lt;=5,$CS23&gt;0),'Resumo das informações'!$F$49*12,"")</f>
        <v/>
      </c>
      <c r="CU23" s="141" t="str">
        <f>IF(AND($CS23&lt;=14,$CS23&gt;=6),'Resumo das informações'!$F$50*12,"")</f>
        <v/>
      </c>
      <c r="CV23" s="141" t="str">
        <f>IF(AND($CS23&lt;=17,$CS23&gt;=15),'Resumo das informações'!$F$51*12,"")</f>
        <v/>
      </c>
      <c r="CW23" s="141" t="str">
        <f>IF(AND($CS23&lt;=22,$CS23&gt;=18),'Resumo das informações'!$F$52*12,"")</f>
        <v/>
      </c>
      <c r="CX23" s="141" t="str">
        <f>IF(AND($CS23&lt;=24,$CS23&gt;=23),'Resumo das informações'!$F$53*12,"")</f>
        <v/>
      </c>
      <c r="CY23" s="141">
        <f t="shared" si="2"/>
        <v>0</v>
      </c>
      <c r="CZ23" s="1"/>
      <c r="DA23" s="326">
        <f t="shared" si="13"/>
        <v>0</v>
      </c>
      <c r="DB23" s="141" t="str">
        <f>IF(AND($DA23&lt;=5,$DA23&gt;0),'Resumo das informações'!$F$49*12,"")</f>
        <v/>
      </c>
      <c r="DC23" s="141" t="str">
        <f>IF(AND($DA23&lt;=14,$DA23&gt;=6),'Resumo das informações'!$F$50*12,"")</f>
        <v/>
      </c>
      <c r="DD23" s="141" t="str">
        <f>IF(AND($DA23&lt;=17,$DA23&gt;=15),'Resumo das informações'!$F$51*12,"")</f>
        <v/>
      </c>
      <c r="DE23" s="141" t="str">
        <f>IF(AND($DA23&lt;=22,$DA23&gt;=18),'Resumo das informações'!$F$52*12,"")</f>
        <v/>
      </c>
      <c r="DF23" s="141" t="str">
        <f>IF(AND($DA23&lt;=24,$DA23&gt;=23),'Resumo das informações'!$F$53*12,"")</f>
        <v/>
      </c>
      <c r="DG23" s="141">
        <f t="shared" si="3"/>
        <v>0</v>
      </c>
      <c r="DH23" s="1"/>
      <c r="DI23" s="141">
        <f t="shared" si="4"/>
        <v>0</v>
      </c>
      <c r="DJ23" s="141">
        <f t="shared" si="14"/>
        <v>0</v>
      </c>
      <c r="DK23" s="1"/>
      <c r="DL23" s="326">
        <v>15</v>
      </c>
      <c r="DM23" s="141">
        <f>IF(AND('Resumo das informações'!$G$36="F",'Resumo das informações'!$I$36&gt;='Proteção Familiar'!$DL23),Dados_montanteprojeto1,0)</f>
        <v>0</v>
      </c>
      <c r="DN23" s="141">
        <f>IF(AND('Resumo das informações'!$G$37="F",'Resumo das informações'!$I$37&gt;='Proteção Familiar'!$DL23),Dados_montanteprojeto2,0)</f>
        <v>0</v>
      </c>
      <c r="DO23" s="141">
        <f>IF(AND('Resumo das informações'!$G$38="F",'Resumo das informações'!$I$38&gt;='Proteção Familiar'!$DL23),Dados_montanteprojeto3,0)</f>
        <v>0</v>
      </c>
      <c r="DP23" s="141">
        <f t="shared" si="5"/>
        <v>0</v>
      </c>
      <c r="DQ23" s="1"/>
      <c r="DR23" s="1"/>
      <c r="DS23" s="1"/>
      <c r="DT23" s="326">
        <v>15</v>
      </c>
      <c r="DU23" s="141">
        <f>IF(AND('Resumo das informações'!$H$61&lt;&gt;"SIM",'Resumo das informações'!$F$61&gt;0,'Resumo das informações'!$G$61&gt;='Proteção Familiar'!$DT23),'Resumo das informações'!$F$61,0)</f>
        <v>0</v>
      </c>
      <c r="DV23" s="141">
        <f>IF(AND('Resumo das informações'!$H$62&lt;&gt;"SIM",'Resumo das informações'!$F$62&gt;0,'Resumo das informações'!$G$62&gt;='Proteção Familiar'!$DT23),'Resumo das informações'!$F$62,0)</f>
        <v>0</v>
      </c>
      <c r="DW23" s="141">
        <f>IF(AND('Resumo das informações'!$H$63&lt;&gt;"SIM",'Resumo das informações'!$F$63&gt;0,'Resumo das informações'!$G$63&gt;='Proteção Familiar'!$DT23),'Resumo das informações'!$F$63,0)</f>
        <v>0</v>
      </c>
      <c r="DX23" s="141">
        <f>IF(AND('Resumo das informações'!$H$64&lt;&gt;"SIM",'Resumo das informações'!$F$64&gt;0,'Resumo das informações'!$G$64&gt;='Proteção Familiar'!$DT23),'Resumo das informações'!$F$64,0)</f>
        <v>0</v>
      </c>
      <c r="DY23" s="141">
        <f>IF(AND('Resumo das informações'!$H$65&lt;&gt;"SIM",'Resumo das informações'!$F$65&gt;0,'Resumo das informações'!$G$65&gt;='Proteção Familiar'!$DT23),'Resumo das informações'!$F$65,0)</f>
        <v>0</v>
      </c>
      <c r="DZ23" s="141">
        <f t="shared" si="6"/>
        <v>0</v>
      </c>
      <c r="EA23" s="1"/>
      <c r="EB23" s="1"/>
      <c r="EC23" s="1"/>
      <c r="ED23" s="1"/>
    </row>
    <row r="24" spans="1:134" ht="15.75" customHeight="1" x14ac:dyDescent="0.25">
      <c r="A24" s="1"/>
      <c r="B24" s="1"/>
      <c r="C24" s="7"/>
      <c r="D24" s="35"/>
      <c r="E24" s="35"/>
      <c r="F24" s="35"/>
      <c r="G24" s="114"/>
      <c r="H24" s="114"/>
      <c r="I24" s="79"/>
      <c r="J24" s="79"/>
      <c r="K24" s="79"/>
      <c r="L24" s="159"/>
      <c r="M24" s="159"/>
      <c r="N24" s="79"/>
      <c r="O24" s="379"/>
      <c r="P24" s="79"/>
      <c r="Q24" s="79"/>
      <c r="R24" s="79"/>
      <c r="S24" s="35"/>
      <c r="T24" s="17"/>
      <c r="U24" s="9"/>
      <c r="V24" s="1"/>
      <c r="W24" s="1"/>
      <c r="X24" s="1" t="e">
        <f>pm</f>
        <v>#NAME?</v>
      </c>
      <c r="Y24" s="1"/>
      <c r="Z24" s="1"/>
      <c r="AA24" s="335">
        <f>IF(BM6&lt;0,((-F53-BM6)*-1),F53)</f>
        <v>0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332"/>
      <c r="AP24" s="1"/>
      <c r="AQ24" s="1"/>
      <c r="AR24" s="1"/>
      <c r="AS24" s="1"/>
      <c r="AT24" s="1"/>
      <c r="AU24" s="1"/>
      <c r="AV24" s="332">
        <f>'Investimentos - Não Aposentado'!AV24</f>
        <v>42</v>
      </c>
      <c r="AW24" s="335">
        <f>'Investimentos - Não Aposentado'!AW24</f>
        <v>4702302.7148018861</v>
      </c>
      <c r="AX24" s="335">
        <f>'Investimentos - Não Aposentado'!AX24</f>
        <v>4665696.640441061</v>
      </c>
      <c r="AY24" s="335">
        <f>'Investimentos - Não Aposentado'!AY24</f>
        <v>4090890.1933534187</v>
      </c>
      <c r="AZ24" s="335" t="e">
        <f>'Investimentos - Não Aposentado'!AZ24</f>
        <v>#VALUE!</v>
      </c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26"/>
      <c r="BN24" s="141"/>
      <c r="BO24" s="1"/>
      <c r="BP24" s="1"/>
      <c r="BQ24" s="1"/>
      <c r="BR24" s="141">
        <f t="shared" si="7"/>
        <v>2904000</v>
      </c>
      <c r="BS24" s="335">
        <f t="shared" si="8"/>
        <v>39</v>
      </c>
      <c r="BT24" s="141">
        <f t="shared" si="9"/>
        <v>3104000</v>
      </c>
      <c r="BU24" s="1"/>
      <c r="BV24" s="141"/>
      <c r="BW24" s="1"/>
      <c r="BX24" s="1"/>
      <c r="BY24" s="1"/>
      <c r="BZ24" s="1"/>
      <c r="CA24" s="1"/>
      <c r="CB24" s="1"/>
      <c r="CC24" s="326">
        <f t="shared" si="10"/>
        <v>39</v>
      </c>
      <c r="CD24" s="141" t="str">
        <f>IF(AND($CC24&lt;=5,$CC24&gt;0),'Resumo das informações'!$F$49*12,"")</f>
        <v/>
      </c>
      <c r="CE24" s="141" t="str">
        <f>IF(AND($CC24&lt;=14,$CC24&gt;=6),'Resumo das informações'!$F$50*12,"")</f>
        <v/>
      </c>
      <c r="CF24" s="141" t="str">
        <f>IF(AND($CC24&lt;=17,$CC24&gt;=15),'Resumo das informações'!$F$51*12,"")</f>
        <v/>
      </c>
      <c r="CG24" s="141" t="str">
        <f>IF(AND($CC24&lt;=22,$CC24&gt;=18),'Resumo das informações'!$F$52*12,"")</f>
        <v/>
      </c>
      <c r="CH24" s="141" t="str">
        <f>IF(AND($CC24&lt;=24,$CC24&gt;=23),'Resumo das informações'!$F$53*12,"")</f>
        <v/>
      </c>
      <c r="CI24" s="141">
        <f t="shared" si="0"/>
        <v>0</v>
      </c>
      <c r="CJ24" s="1"/>
      <c r="CK24" s="326">
        <f t="shared" si="11"/>
        <v>0</v>
      </c>
      <c r="CL24" s="141" t="str">
        <f>IF(AND($CK24&lt;=5,$CK24&gt;0),'Resumo das informações'!$F$49*12,"")</f>
        <v/>
      </c>
      <c r="CM24" s="141" t="str">
        <f>IF(AND($CK24&lt;=14,$CK24&gt;=6),'Resumo das informações'!$F$50*12,"")</f>
        <v/>
      </c>
      <c r="CN24" s="141" t="str">
        <f>IF(AND($CK24&lt;=17,$CK24&gt;=15),'Resumo das informações'!$F$51*12,"")</f>
        <v/>
      </c>
      <c r="CO24" s="141" t="str">
        <f>IF(AND($CK24&lt;=22,$CK24&gt;=18),'Resumo das informações'!$F$52*12,"")</f>
        <v/>
      </c>
      <c r="CP24" s="141" t="str">
        <f>IF(AND($CK24&lt;=24,$CK24&gt;=23),'Resumo das informações'!$F$53*12,"")</f>
        <v/>
      </c>
      <c r="CQ24" s="141">
        <f t="shared" si="1"/>
        <v>0</v>
      </c>
      <c r="CR24" s="1"/>
      <c r="CS24" s="326">
        <f t="shared" si="12"/>
        <v>0</v>
      </c>
      <c r="CT24" s="141" t="str">
        <f>IF(AND($CS24&lt;=5,$CS24&gt;0),'Resumo das informações'!$F$49*12,"")</f>
        <v/>
      </c>
      <c r="CU24" s="141" t="str">
        <f>IF(AND($CS24&lt;=14,$CS24&gt;=6),'Resumo das informações'!$F$50*12,"")</f>
        <v/>
      </c>
      <c r="CV24" s="141" t="str">
        <f>IF(AND($CS24&lt;=17,$CS24&gt;=15),'Resumo das informações'!$F$51*12,"")</f>
        <v/>
      </c>
      <c r="CW24" s="141" t="str">
        <f>IF(AND($CS24&lt;=22,$CS24&gt;=18),'Resumo das informações'!$F$52*12,"")</f>
        <v/>
      </c>
      <c r="CX24" s="141" t="str">
        <f>IF(AND($CS24&lt;=24,$CS24&gt;=23),'Resumo das informações'!$F$53*12,"")</f>
        <v/>
      </c>
      <c r="CY24" s="141">
        <f t="shared" si="2"/>
        <v>0</v>
      </c>
      <c r="CZ24" s="1"/>
      <c r="DA24" s="326">
        <f t="shared" si="13"/>
        <v>0</v>
      </c>
      <c r="DB24" s="141" t="str">
        <f>IF(AND($DA24&lt;=5,$DA24&gt;0),'Resumo das informações'!$F$49*12,"")</f>
        <v/>
      </c>
      <c r="DC24" s="141" t="str">
        <f>IF(AND($DA24&lt;=14,$DA24&gt;=6),'Resumo das informações'!$F$50*12,"")</f>
        <v/>
      </c>
      <c r="DD24" s="141" t="str">
        <f>IF(AND($DA24&lt;=17,$DA24&gt;=15),'Resumo das informações'!$F$51*12,"")</f>
        <v/>
      </c>
      <c r="DE24" s="141" t="str">
        <f>IF(AND($DA24&lt;=22,$DA24&gt;=18),'Resumo das informações'!$F$52*12,"")</f>
        <v/>
      </c>
      <c r="DF24" s="141" t="str">
        <f>IF(AND($DA24&lt;=24,$DA24&gt;=23),'Resumo das informações'!$F$53*12,"")</f>
        <v/>
      </c>
      <c r="DG24" s="141">
        <f t="shared" si="3"/>
        <v>0</v>
      </c>
      <c r="DH24" s="1"/>
      <c r="DI24" s="141">
        <f t="shared" si="4"/>
        <v>0</v>
      </c>
      <c r="DJ24" s="141">
        <f t="shared" si="14"/>
        <v>0</v>
      </c>
      <c r="DK24" s="1"/>
      <c r="DL24" s="326">
        <v>16</v>
      </c>
      <c r="DM24" s="141">
        <f>IF(AND('Resumo das informações'!$G$36="F",'Resumo das informações'!$I$36&gt;='Proteção Familiar'!$DL24),Dados_montanteprojeto1,0)</f>
        <v>0</v>
      </c>
      <c r="DN24" s="141">
        <f>IF(AND('Resumo das informações'!$G$37="F",'Resumo das informações'!$I$37&gt;='Proteção Familiar'!$DL24),Dados_montanteprojeto2,0)</f>
        <v>0</v>
      </c>
      <c r="DO24" s="141">
        <f>IF(AND('Resumo das informações'!$G$38="F",'Resumo das informações'!$I$38&gt;='Proteção Familiar'!$DL24),Dados_montanteprojeto3,0)</f>
        <v>0</v>
      </c>
      <c r="DP24" s="141">
        <f t="shared" si="5"/>
        <v>0</v>
      </c>
      <c r="DQ24" s="1"/>
      <c r="DR24" s="1"/>
      <c r="DS24" s="1"/>
      <c r="DT24" s="326">
        <v>16</v>
      </c>
      <c r="DU24" s="141">
        <f>IF(AND('Resumo das informações'!$H$61&lt;&gt;"SIM",'Resumo das informações'!$F$61&gt;0,'Resumo das informações'!$G$61&gt;='Proteção Familiar'!$DT24),'Resumo das informações'!$F$61,0)</f>
        <v>0</v>
      </c>
      <c r="DV24" s="141">
        <f>IF(AND('Resumo das informações'!$H$62&lt;&gt;"SIM",'Resumo das informações'!$F$62&gt;0,'Resumo das informações'!$G$62&gt;='Proteção Familiar'!$DT24),'Resumo das informações'!$F$62,0)</f>
        <v>0</v>
      </c>
      <c r="DW24" s="141">
        <f>IF(AND('Resumo das informações'!$H$63&lt;&gt;"SIM",'Resumo das informações'!$F$63&gt;0,'Resumo das informações'!$G$63&gt;='Proteção Familiar'!$DT24),'Resumo das informações'!$F$63,0)</f>
        <v>0</v>
      </c>
      <c r="DX24" s="141">
        <f>IF(AND('Resumo das informações'!$H$64&lt;&gt;"SIM",'Resumo das informações'!$F$64&gt;0,'Resumo das informações'!$G$64&gt;='Proteção Familiar'!$DT24),'Resumo das informações'!$F$64,0)</f>
        <v>0</v>
      </c>
      <c r="DY24" s="141">
        <f>IF(AND('Resumo das informações'!$H$65&lt;&gt;"SIM",'Resumo das informações'!$F$65&gt;0,'Resumo das informações'!$G$65&gt;='Proteção Familiar'!$DT24),'Resumo das informações'!$F$65,0)</f>
        <v>0</v>
      </c>
      <c r="DZ24" s="141">
        <f t="shared" si="6"/>
        <v>0</v>
      </c>
      <c r="EA24" s="1"/>
      <c r="EB24" s="1"/>
      <c r="EC24" s="1"/>
      <c r="ED24" s="1"/>
    </row>
    <row r="25" spans="1:134" ht="16.5" customHeight="1" x14ac:dyDescent="0.25">
      <c r="A25" s="1"/>
      <c r="B25" s="1"/>
      <c r="C25" s="7"/>
      <c r="D25" s="35"/>
      <c r="E25" s="19"/>
      <c r="F25" s="158"/>
      <c r="G25" s="158"/>
      <c r="H25" s="158"/>
      <c r="I25" s="158"/>
      <c r="J25" s="158"/>
      <c r="K25" s="19"/>
      <c r="L25" s="147"/>
      <c r="M25" s="58"/>
      <c r="N25" s="58"/>
      <c r="O25" s="146"/>
      <c r="P25" s="146"/>
      <c r="Q25" s="146"/>
      <c r="R25" s="35"/>
      <c r="S25" s="35"/>
      <c r="T25" s="17"/>
      <c r="U25" s="9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332"/>
      <c r="AP25" s="1"/>
      <c r="AQ25" s="1"/>
      <c r="AR25" s="1"/>
      <c r="AS25" s="1"/>
      <c r="AT25" s="1"/>
      <c r="AU25" s="1"/>
      <c r="AV25" s="332">
        <f>'Investimentos - Não Aposentado'!AV25</f>
        <v>43</v>
      </c>
      <c r="AW25" s="335">
        <f>'Investimentos - Não Aposentado'!AW25</f>
        <v>5043986.5489252843</v>
      </c>
      <c r="AX25" s="335">
        <f>'Investimentos - Não Aposentado'!AX25</f>
        <v>5004002.1166063678</v>
      </c>
      <c r="AY25" s="335">
        <f>'Investimentos - Não Aposentado'!AY25</f>
        <v>4355171.0532253282</v>
      </c>
      <c r="AZ25" s="335" t="e">
        <f>'Investimentos - Não Aposentado'!AZ25</f>
        <v>#VALUE!</v>
      </c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41"/>
      <c r="BM25" s="326"/>
      <c r="BN25" s="141"/>
      <c r="BO25" s="1"/>
      <c r="BP25" s="1"/>
      <c r="BQ25" s="1"/>
      <c r="BR25" s="141">
        <f t="shared" si="7"/>
        <v>2784000</v>
      </c>
      <c r="BS25" s="335">
        <f t="shared" si="8"/>
        <v>40</v>
      </c>
      <c r="BT25" s="141">
        <f t="shared" si="9"/>
        <v>2984000</v>
      </c>
      <c r="BU25" s="1"/>
      <c r="BV25" s="141"/>
      <c r="BW25" s="1"/>
      <c r="BX25" s="1"/>
      <c r="BY25" s="1"/>
      <c r="BZ25" s="1"/>
      <c r="CA25" s="1"/>
      <c r="CB25" s="1"/>
      <c r="CC25" s="326">
        <f t="shared" si="10"/>
        <v>40</v>
      </c>
      <c r="CD25" s="141" t="str">
        <f>IF(AND($CC25&lt;=5,$CC25&gt;0),'Resumo das informações'!$F$49*12,"")</f>
        <v/>
      </c>
      <c r="CE25" s="141" t="str">
        <f>IF(AND($CC25&lt;=14,$CC25&gt;=6),'Resumo das informações'!$F$50*12,"")</f>
        <v/>
      </c>
      <c r="CF25" s="141" t="str">
        <f>IF(AND($CC25&lt;=17,$CC25&gt;=15),'Resumo das informações'!$F$51*12,"")</f>
        <v/>
      </c>
      <c r="CG25" s="141" t="str">
        <f>IF(AND($CC25&lt;=22,$CC25&gt;=18),'Resumo das informações'!$F$52*12,"")</f>
        <v/>
      </c>
      <c r="CH25" s="141" t="str">
        <f>IF(AND($CC25&lt;=24,$CC25&gt;=23),'Resumo das informações'!$F$53*12,"")</f>
        <v/>
      </c>
      <c r="CI25" s="141">
        <f t="shared" si="0"/>
        <v>0</v>
      </c>
      <c r="CJ25" s="1"/>
      <c r="CK25" s="326">
        <f t="shared" si="11"/>
        <v>0</v>
      </c>
      <c r="CL25" s="141" t="str">
        <f>IF(AND($CK25&lt;=5,$CK25&gt;0),'Resumo das informações'!$F$49*12,"")</f>
        <v/>
      </c>
      <c r="CM25" s="141" t="str">
        <f>IF(AND($CK25&lt;=14,$CK25&gt;=6),'Resumo das informações'!$F$50*12,"")</f>
        <v/>
      </c>
      <c r="CN25" s="141" t="str">
        <f>IF(AND($CK25&lt;=17,$CK25&gt;=15),'Resumo das informações'!$F$51*12,"")</f>
        <v/>
      </c>
      <c r="CO25" s="141" t="str">
        <f>IF(AND($CK25&lt;=22,$CK25&gt;=18),'Resumo das informações'!$F$52*12,"")</f>
        <v/>
      </c>
      <c r="CP25" s="141" t="str">
        <f>IF(AND($CK25&lt;=24,$CK25&gt;=23),'Resumo das informações'!$F$53*12,"")</f>
        <v/>
      </c>
      <c r="CQ25" s="141">
        <f t="shared" si="1"/>
        <v>0</v>
      </c>
      <c r="CR25" s="1"/>
      <c r="CS25" s="326">
        <f t="shared" si="12"/>
        <v>0</v>
      </c>
      <c r="CT25" s="141" t="str">
        <f>IF(AND($CS25&lt;=5,$CS25&gt;0),'Resumo das informações'!$F$49*12,"")</f>
        <v/>
      </c>
      <c r="CU25" s="141" t="str">
        <f>IF(AND($CS25&lt;=14,$CS25&gt;=6),'Resumo das informações'!$F$50*12,"")</f>
        <v/>
      </c>
      <c r="CV25" s="141" t="str">
        <f>IF(AND($CS25&lt;=17,$CS25&gt;=15),'Resumo das informações'!$F$51*12,"")</f>
        <v/>
      </c>
      <c r="CW25" s="141" t="str">
        <f>IF(AND($CS25&lt;=22,$CS25&gt;=18),'Resumo das informações'!$F$52*12,"")</f>
        <v/>
      </c>
      <c r="CX25" s="141" t="str">
        <f>IF(AND($CS25&lt;=24,$CS25&gt;=23),'Resumo das informações'!$F$53*12,"")</f>
        <v/>
      </c>
      <c r="CY25" s="141">
        <f t="shared" si="2"/>
        <v>0</v>
      </c>
      <c r="CZ25" s="1"/>
      <c r="DA25" s="326">
        <f t="shared" si="13"/>
        <v>0</v>
      </c>
      <c r="DB25" s="141" t="str">
        <f>IF(AND($DA25&lt;=5,$DA25&gt;0),'Resumo das informações'!$F$49*12,"")</f>
        <v/>
      </c>
      <c r="DC25" s="141" t="str">
        <f>IF(AND($DA25&lt;=14,$DA25&gt;=6),'Resumo das informações'!$F$50*12,"")</f>
        <v/>
      </c>
      <c r="DD25" s="141" t="str">
        <f>IF(AND($DA25&lt;=17,$DA25&gt;=15),'Resumo das informações'!$F$51*12,"")</f>
        <v/>
      </c>
      <c r="DE25" s="141" t="str">
        <f>IF(AND($DA25&lt;=22,$DA25&gt;=18),'Resumo das informações'!$F$52*12,"")</f>
        <v/>
      </c>
      <c r="DF25" s="141" t="str">
        <f>IF(AND($DA25&lt;=24,$DA25&gt;=23),'Resumo das informações'!$F$53*12,"")</f>
        <v/>
      </c>
      <c r="DG25" s="141">
        <f t="shared" si="3"/>
        <v>0</v>
      </c>
      <c r="DH25" s="1"/>
      <c r="DI25" s="141">
        <f t="shared" si="4"/>
        <v>0</v>
      </c>
      <c r="DJ25" s="141">
        <f t="shared" si="14"/>
        <v>0</v>
      </c>
      <c r="DK25" s="1"/>
      <c r="DL25" s="326">
        <v>17</v>
      </c>
      <c r="DM25" s="141">
        <f>IF(AND('Resumo das informações'!$G$36="F",'Resumo das informações'!$I$36&gt;='Proteção Familiar'!$DL25),Dados_montanteprojeto1,0)</f>
        <v>0</v>
      </c>
      <c r="DN25" s="141">
        <f>IF(AND('Resumo das informações'!$G$37="F",'Resumo das informações'!$I$37&gt;='Proteção Familiar'!$DL25),Dados_montanteprojeto2,0)</f>
        <v>0</v>
      </c>
      <c r="DO25" s="141">
        <f>IF(AND('Resumo das informações'!$G$38="F",'Resumo das informações'!$I$38&gt;='Proteção Familiar'!$DL25),Dados_montanteprojeto3,0)</f>
        <v>0</v>
      </c>
      <c r="DP25" s="141">
        <f t="shared" si="5"/>
        <v>0</v>
      </c>
      <c r="DQ25" s="1"/>
      <c r="DR25" s="1"/>
      <c r="DS25" s="1"/>
      <c r="DT25" s="326">
        <v>17</v>
      </c>
      <c r="DU25" s="141">
        <f>IF(AND('Resumo das informações'!$H$61&lt;&gt;"SIM",'Resumo das informações'!$F$61&gt;0,'Resumo das informações'!$G$61&gt;='Proteção Familiar'!$DT25),'Resumo das informações'!$F$61,0)</f>
        <v>0</v>
      </c>
      <c r="DV25" s="141">
        <f>IF(AND('Resumo das informações'!$H$62&lt;&gt;"SIM",'Resumo das informações'!$F$62&gt;0,'Resumo das informações'!$G$62&gt;='Proteção Familiar'!$DT25),'Resumo das informações'!$F$62,0)</f>
        <v>0</v>
      </c>
      <c r="DW25" s="141">
        <f>IF(AND('Resumo das informações'!$H$63&lt;&gt;"SIM",'Resumo das informações'!$F$63&gt;0,'Resumo das informações'!$G$63&gt;='Proteção Familiar'!$DT25),'Resumo das informações'!$F$63,0)</f>
        <v>0</v>
      </c>
      <c r="DX25" s="141">
        <f>IF(AND('Resumo das informações'!$H$64&lt;&gt;"SIM",'Resumo das informações'!$F$64&gt;0,'Resumo das informações'!$G$64&gt;='Proteção Familiar'!$DT25),'Resumo das informações'!$F$64,0)</f>
        <v>0</v>
      </c>
      <c r="DY25" s="141">
        <f>IF(AND('Resumo das informações'!$H$65&lt;&gt;"SIM",'Resumo das informações'!$F$65&gt;0,'Resumo das informações'!$G$65&gt;='Proteção Familiar'!$DT25),'Resumo das informações'!$F$65,0)</f>
        <v>0</v>
      </c>
      <c r="DZ25" s="141">
        <f t="shared" si="6"/>
        <v>0</v>
      </c>
      <c r="EA25" s="1"/>
      <c r="EB25" s="1"/>
      <c r="EC25" s="1"/>
      <c r="ED25" s="1"/>
    </row>
    <row r="26" spans="1:134" ht="15.75" customHeight="1" x14ac:dyDescent="0.25">
      <c r="A26" s="1"/>
      <c r="B26" s="1"/>
      <c r="C26" s="7"/>
      <c r="D26" s="805"/>
      <c r="E26" s="583"/>
      <c r="F26" s="158"/>
      <c r="G26" s="158"/>
      <c r="H26" s="158"/>
      <c r="I26" s="158"/>
      <c r="J26" s="158"/>
      <c r="K26" s="19"/>
      <c r="L26" s="147"/>
      <c r="M26" s="58"/>
      <c r="N26" s="58"/>
      <c r="O26" s="146"/>
      <c r="P26" s="146"/>
      <c r="Q26" s="146"/>
      <c r="R26" s="35"/>
      <c r="S26" s="35"/>
      <c r="T26" s="17"/>
      <c r="U26" s="9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332"/>
      <c r="AP26" s="1"/>
      <c r="AQ26" s="1"/>
      <c r="AR26" s="1"/>
      <c r="AS26" s="1"/>
      <c r="AT26" s="1"/>
      <c r="AU26" s="1"/>
      <c r="AV26" s="332">
        <f>'Investimentos - Não Aposentado'!AV26</f>
        <v>44</v>
      </c>
      <c r="AW26" s="335">
        <f>'Investimentos - Não Aposentado'!AW26</f>
        <v>5406138.4001652533</v>
      </c>
      <c r="AX26" s="335">
        <f>'Investimentos - Não Aposentado'!AX26</f>
        <v>5362573.2348221568</v>
      </c>
      <c r="AY26" s="335">
        <f>'Investimentos - Não Aposentado'!AY26</f>
        <v>4632648.9237112198</v>
      </c>
      <c r="AZ26" s="335" t="e">
        <f>'Investimentos - Não Aposentado'!AZ26</f>
        <v>#VALUE!</v>
      </c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326"/>
      <c r="BN26" s="141"/>
      <c r="BO26" s="1"/>
      <c r="BP26" s="1"/>
      <c r="BQ26" s="1"/>
      <c r="BR26" s="141">
        <f t="shared" si="7"/>
        <v>2664000</v>
      </c>
      <c r="BS26" s="335">
        <f t="shared" si="8"/>
        <v>41</v>
      </c>
      <c r="BT26" s="141">
        <f t="shared" si="9"/>
        <v>2864000</v>
      </c>
      <c r="BU26" s="1"/>
      <c r="BV26" s="141"/>
      <c r="BW26" s="1"/>
      <c r="BX26" s="1"/>
      <c r="BY26" s="1"/>
      <c r="BZ26" s="1"/>
      <c r="CA26" s="1"/>
      <c r="CB26" s="1"/>
      <c r="CC26" s="326">
        <f t="shared" si="10"/>
        <v>41</v>
      </c>
      <c r="CD26" s="141" t="str">
        <f>IF(AND($CC26&lt;=5,$CC26&gt;0),'Resumo das informações'!$F$49*12,"")</f>
        <v/>
      </c>
      <c r="CE26" s="141" t="str">
        <f>IF(AND($CC26&lt;=14,$CC26&gt;=6),'Resumo das informações'!$F$50*12,"")</f>
        <v/>
      </c>
      <c r="CF26" s="141" t="str">
        <f>IF(AND($CC26&lt;=17,$CC26&gt;=15),'Resumo das informações'!$F$51*12,"")</f>
        <v/>
      </c>
      <c r="CG26" s="141" t="str">
        <f>IF(AND($CC26&lt;=22,$CC26&gt;=18),'Resumo das informações'!$F$52*12,"")</f>
        <v/>
      </c>
      <c r="CH26" s="141" t="str">
        <f>IF(AND($CC26&lt;=24,$CC26&gt;=23),'Resumo das informações'!$F$53*12,"")</f>
        <v/>
      </c>
      <c r="CI26" s="141">
        <f t="shared" si="0"/>
        <v>0</v>
      </c>
      <c r="CJ26" s="1"/>
      <c r="CK26" s="326">
        <f t="shared" si="11"/>
        <v>0</v>
      </c>
      <c r="CL26" s="141" t="str">
        <f>IF(AND($CK26&lt;=5,$CK26&gt;0),'Resumo das informações'!$F$49*12,"")</f>
        <v/>
      </c>
      <c r="CM26" s="141" t="str">
        <f>IF(AND($CK26&lt;=14,$CK26&gt;=6),'Resumo das informações'!$F$50*12,"")</f>
        <v/>
      </c>
      <c r="CN26" s="141" t="str">
        <f>IF(AND($CK26&lt;=17,$CK26&gt;=15),'Resumo das informações'!$F$51*12,"")</f>
        <v/>
      </c>
      <c r="CO26" s="141" t="str">
        <f>IF(AND($CK26&lt;=22,$CK26&gt;=18),'Resumo das informações'!$F$52*12,"")</f>
        <v/>
      </c>
      <c r="CP26" s="141" t="str">
        <f>IF(AND($CK26&lt;=24,$CK26&gt;=23),'Resumo das informações'!$F$53*12,"")</f>
        <v/>
      </c>
      <c r="CQ26" s="141">
        <f t="shared" si="1"/>
        <v>0</v>
      </c>
      <c r="CR26" s="1"/>
      <c r="CS26" s="326">
        <f t="shared" si="12"/>
        <v>0</v>
      </c>
      <c r="CT26" s="141" t="str">
        <f>IF(AND($CS26&lt;=5,$CS26&gt;0),'Resumo das informações'!$F$49*12,"")</f>
        <v/>
      </c>
      <c r="CU26" s="141" t="str">
        <f>IF(AND($CS26&lt;=14,$CS26&gt;=6),'Resumo das informações'!$F$50*12,"")</f>
        <v/>
      </c>
      <c r="CV26" s="141" t="str">
        <f>IF(AND($CS26&lt;=17,$CS26&gt;=15),'Resumo das informações'!$F$51*12,"")</f>
        <v/>
      </c>
      <c r="CW26" s="141" t="str">
        <f>IF(AND($CS26&lt;=22,$CS26&gt;=18),'Resumo das informações'!$F$52*12,"")</f>
        <v/>
      </c>
      <c r="CX26" s="141" t="str">
        <f>IF(AND($CS26&lt;=24,$CS26&gt;=23),'Resumo das informações'!$F$53*12,"")</f>
        <v/>
      </c>
      <c r="CY26" s="141">
        <f t="shared" si="2"/>
        <v>0</v>
      </c>
      <c r="CZ26" s="1"/>
      <c r="DA26" s="326">
        <f t="shared" si="13"/>
        <v>0</v>
      </c>
      <c r="DB26" s="141" t="str">
        <f>IF(AND($DA26&lt;=5,$DA26&gt;0),'Resumo das informações'!$F$49*12,"")</f>
        <v/>
      </c>
      <c r="DC26" s="141" t="str">
        <f>IF(AND($DA26&lt;=14,$DA26&gt;=6),'Resumo das informações'!$F$50*12,"")</f>
        <v/>
      </c>
      <c r="DD26" s="141" t="str">
        <f>IF(AND($DA26&lt;=17,$DA26&gt;=15),'Resumo das informações'!$F$51*12,"")</f>
        <v/>
      </c>
      <c r="DE26" s="141" t="str">
        <f>IF(AND($DA26&lt;=22,$DA26&gt;=18),'Resumo das informações'!$F$52*12,"")</f>
        <v/>
      </c>
      <c r="DF26" s="141" t="str">
        <f>IF(AND($DA26&lt;=24,$DA26&gt;=23),'Resumo das informações'!$F$53*12,"")</f>
        <v/>
      </c>
      <c r="DG26" s="141">
        <f t="shared" si="3"/>
        <v>0</v>
      </c>
      <c r="DH26" s="1"/>
      <c r="DI26" s="141">
        <f t="shared" si="4"/>
        <v>0</v>
      </c>
      <c r="DJ26" s="141">
        <f t="shared" si="14"/>
        <v>0</v>
      </c>
      <c r="DK26" s="1"/>
      <c r="DL26" s="326">
        <v>18</v>
      </c>
      <c r="DM26" s="141">
        <f>IF(AND('Resumo das informações'!$G$36="F",'Resumo das informações'!$I$36&gt;='Proteção Familiar'!$DL26),Dados_montanteprojeto1,0)</f>
        <v>0</v>
      </c>
      <c r="DN26" s="141">
        <f>IF(AND('Resumo das informações'!$G$37="F",'Resumo das informações'!$I$37&gt;='Proteção Familiar'!$DL26),Dados_montanteprojeto2,0)</f>
        <v>0</v>
      </c>
      <c r="DO26" s="141">
        <f>IF(AND('Resumo das informações'!$G$38="F",'Resumo das informações'!$I$38&gt;='Proteção Familiar'!$DL26),Dados_montanteprojeto3,0)</f>
        <v>0</v>
      </c>
      <c r="DP26" s="141">
        <f t="shared" si="5"/>
        <v>0</v>
      </c>
      <c r="DQ26" s="1"/>
      <c r="DR26" s="1"/>
      <c r="DS26" s="1"/>
      <c r="DT26" s="326">
        <v>18</v>
      </c>
      <c r="DU26" s="141">
        <f>IF(AND('Resumo das informações'!$H$61&lt;&gt;"SIM",'Resumo das informações'!$F$61&gt;0,'Resumo das informações'!$G$61&gt;='Proteção Familiar'!$DT26),'Resumo das informações'!$F$61,0)</f>
        <v>0</v>
      </c>
      <c r="DV26" s="141">
        <f>IF(AND('Resumo das informações'!$H$62&lt;&gt;"SIM",'Resumo das informações'!$F$62&gt;0,'Resumo das informações'!$G$62&gt;='Proteção Familiar'!$DT26),'Resumo das informações'!$F$62,0)</f>
        <v>0</v>
      </c>
      <c r="DW26" s="141">
        <f>IF(AND('Resumo das informações'!$H$63&lt;&gt;"SIM",'Resumo das informações'!$F$63&gt;0,'Resumo das informações'!$G$63&gt;='Proteção Familiar'!$DT26),'Resumo das informações'!$F$63,0)</f>
        <v>0</v>
      </c>
      <c r="DX26" s="141">
        <f>IF(AND('Resumo das informações'!$H$64&lt;&gt;"SIM",'Resumo das informações'!$F$64&gt;0,'Resumo das informações'!$G$64&gt;='Proteção Familiar'!$DT26),'Resumo das informações'!$F$64,0)</f>
        <v>0</v>
      </c>
      <c r="DY26" s="141">
        <f>IF(AND('Resumo das informações'!$H$65&lt;&gt;"SIM",'Resumo das informações'!$F$65&gt;0,'Resumo das informações'!$G$65&gt;='Proteção Familiar'!$DT26),'Resumo das informações'!$F$65,0)</f>
        <v>0</v>
      </c>
      <c r="DZ26" s="141">
        <f t="shared" si="6"/>
        <v>0</v>
      </c>
      <c r="EA26" s="1"/>
      <c r="EB26" s="1"/>
      <c r="EC26" s="1"/>
      <c r="ED26" s="1"/>
    </row>
    <row r="27" spans="1:134" ht="15.75" customHeight="1" x14ac:dyDescent="0.5">
      <c r="A27" s="1"/>
      <c r="B27" s="1"/>
      <c r="C27" s="7"/>
      <c r="D27" s="804" t="s">
        <v>199</v>
      </c>
      <c r="E27" s="607"/>
      <c r="F27" s="607"/>
      <c r="G27" s="607"/>
      <c r="H27" s="607"/>
      <c r="I27" s="608"/>
      <c r="J27" s="159"/>
      <c r="K27" s="804" t="s">
        <v>200</v>
      </c>
      <c r="L27" s="607"/>
      <c r="M27" s="607"/>
      <c r="N27" s="607"/>
      <c r="O27" s="607"/>
      <c r="P27" s="607"/>
      <c r="Q27" s="607"/>
      <c r="R27" s="608"/>
      <c r="S27" s="35"/>
      <c r="T27" s="17"/>
      <c r="U27" s="9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332"/>
      <c r="AP27" s="1"/>
      <c r="AQ27" s="1"/>
      <c r="AR27" s="1"/>
      <c r="AS27" s="1"/>
      <c r="AT27" s="1"/>
      <c r="AU27" s="1"/>
      <c r="AV27" s="332">
        <f>'Investimentos - Não Aposentado'!AV27</f>
        <v>45</v>
      </c>
      <c r="AW27" s="335">
        <f>'Investimentos - Não Aposentado'!AW27</f>
        <v>5789984.371962592</v>
      </c>
      <c r="AX27" s="335">
        <f>'Investimentos - Não Aposentado'!AX27</f>
        <v>5742623.9755784087</v>
      </c>
      <c r="AY27" s="335">
        <f>'Investimentos - Não Aposentado'!AY27</f>
        <v>4923982.8048205152</v>
      </c>
      <c r="AZ27" s="335" t="e">
        <f>'Investimentos - Não Aposentado'!AZ27</f>
        <v>#VALUE!</v>
      </c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326"/>
      <c r="BN27" s="141"/>
      <c r="BO27" s="1"/>
      <c r="BP27" s="1"/>
      <c r="BQ27" s="1"/>
      <c r="BR27" s="141">
        <f t="shared" si="7"/>
        <v>2544000</v>
      </c>
      <c r="BS27" s="335">
        <f t="shared" si="8"/>
        <v>42</v>
      </c>
      <c r="BT27" s="141">
        <f t="shared" si="9"/>
        <v>2744000</v>
      </c>
      <c r="BU27" s="1"/>
      <c r="BV27" s="141"/>
      <c r="BW27" s="1"/>
      <c r="BX27" s="1"/>
      <c r="BY27" s="1"/>
      <c r="BZ27" s="1"/>
      <c r="CA27" s="1"/>
      <c r="CB27" s="1"/>
      <c r="CC27" s="326">
        <f t="shared" si="10"/>
        <v>42</v>
      </c>
      <c r="CD27" s="141" t="str">
        <f>IF(AND($CC27&lt;=5,$CC27&gt;0),'Resumo das informações'!$F$49*12,"")</f>
        <v/>
      </c>
      <c r="CE27" s="141" t="str">
        <f>IF(AND($CC27&lt;=14,$CC27&gt;=6),'Resumo das informações'!$F$50*12,"")</f>
        <v/>
      </c>
      <c r="CF27" s="141" t="str">
        <f>IF(AND($CC27&lt;=17,$CC27&gt;=15),'Resumo das informações'!$F$51*12,"")</f>
        <v/>
      </c>
      <c r="CG27" s="141" t="str">
        <f>IF(AND($CC27&lt;=22,$CC27&gt;=18),'Resumo das informações'!$F$52*12,"")</f>
        <v/>
      </c>
      <c r="CH27" s="141" t="str">
        <f>IF(AND($CC27&lt;=24,$CC27&gt;=23),'Resumo das informações'!$F$53*12,"")</f>
        <v/>
      </c>
      <c r="CI27" s="141">
        <f t="shared" si="0"/>
        <v>0</v>
      </c>
      <c r="CJ27" s="1"/>
      <c r="CK27" s="326">
        <f t="shared" si="11"/>
        <v>0</v>
      </c>
      <c r="CL27" s="141" t="str">
        <f>IF(AND($CK27&lt;=5,$CK27&gt;0),'Resumo das informações'!$F$49*12,"")</f>
        <v/>
      </c>
      <c r="CM27" s="141" t="str">
        <f>IF(AND($CK27&lt;=14,$CK27&gt;=6),'Resumo das informações'!$F$50*12,"")</f>
        <v/>
      </c>
      <c r="CN27" s="141" t="str">
        <f>IF(AND($CK27&lt;=17,$CK27&gt;=15),'Resumo das informações'!$F$51*12,"")</f>
        <v/>
      </c>
      <c r="CO27" s="141" t="str">
        <f>IF(AND($CK27&lt;=22,$CK27&gt;=18),'Resumo das informações'!$F$52*12,"")</f>
        <v/>
      </c>
      <c r="CP27" s="141" t="str">
        <f>IF(AND($CK27&lt;=24,$CK27&gt;=23),'Resumo das informações'!$F$53*12,"")</f>
        <v/>
      </c>
      <c r="CQ27" s="141">
        <f t="shared" si="1"/>
        <v>0</v>
      </c>
      <c r="CR27" s="1"/>
      <c r="CS27" s="326">
        <f t="shared" si="12"/>
        <v>0</v>
      </c>
      <c r="CT27" s="141" t="str">
        <f>IF(AND($CS27&lt;=5,$CS27&gt;0),'Resumo das informações'!$F$49*12,"")</f>
        <v/>
      </c>
      <c r="CU27" s="141" t="str">
        <f>IF(AND($CS27&lt;=14,$CS27&gt;=6),'Resumo das informações'!$F$50*12,"")</f>
        <v/>
      </c>
      <c r="CV27" s="141" t="str">
        <f>IF(AND($CS27&lt;=17,$CS27&gt;=15),'Resumo das informações'!$F$51*12,"")</f>
        <v/>
      </c>
      <c r="CW27" s="141" t="str">
        <f>IF(AND($CS27&lt;=22,$CS27&gt;=18),'Resumo das informações'!$F$52*12,"")</f>
        <v/>
      </c>
      <c r="CX27" s="141" t="str">
        <f>IF(AND($CS27&lt;=24,$CS27&gt;=23),'Resumo das informações'!$F$53*12,"")</f>
        <v/>
      </c>
      <c r="CY27" s="141">
        <f t="shared" si="2"/>
        <v>0</v>
      </c>
      <c r="CZ27" s="1"/>
      <c r="DA27" s="326">
        <f t="shared" si="13"/>
        <v>0</v>
      </c>
      <c r="DB27" s="141" t="str">
        <f>IF(AND($DA27&lt;=5,$DA27&gt;0),'Resumo das informações'!$F$49*12,"")</f>
        <v/>
      </c>
      <c r="DC27" s="141" t="str">
        <f>IF(AND($DA27&lt;=14,$DA27&gt;=6),'Resumo das informações'!$F$50*12,"")</f>
        <v/>
      </c>
      <c r="DD27" s="141" t="str">
        <f>IF(AND($DA27&lt;=17,$DA27&gt;=15),'Resumo das informações'!$F$51*12,"")</f>
        <v/>
      </c>
      <c r="DE27" s="141" t="str">
        <f>IF(AND($DA27&lt;=22,$DA27&gt;=18),'Resumo das informações'!$F$52*12,"")</f>
        <v/>
      </c>
      <c r="DF27" s="141" t="str">
        <f>IF(AND($DA27&lt;=24,$DA27&gt;=23),'Resumo das informações'!$F$53*12,"")</f>
        <v/>
      </c>
      <c r="DG27" s="141">
        <f t="shared" si="3"/>
        <v>0</v>
      </c>
      <c r="DH27" s="1"/>
      <c r="DI27" s="141">
        <f t="shared" si="4"/>
        <v>0</v>
      </c>
      <c r="DJ27" s="141">
        <f t="shared" si="14"/>
        <v>0</v>
      </c>
      <c r="DK27" s="1"/>
      <c r="DL27" s="326">
        <v>19</v>
      </c>
      <c r="DM27" s="141">
        <f>IF(AND('Resumo das informações'!$G$36="F",'Resumo das informações'!$I$36&gt;='Proteção Familiar'!$DL27),Dados_montanteprojeto1,0)</f>
        <v>0</v>
      </c>
      <c r="DN27" s="141">
        <f>IF(AND('Resumo das informações'!$G$37="F",'Resumo das informações'!$I$37&gt;='Proteção Familiar'!$DL27),Dados_montanteprojeto2,0)</f>
        <v>0</v>
      </c>
      <c r="DO27" s="141">
        <f>IF(AND('Resumo das informações'!$G$38="F",'Resumo das informações'!$I$38&gt;='Proteção Familiar'!$DL27),Dados_montanteprojeto3,0)</f>
        <v>0</v>
      </c>
      <c r="DP27" s="141">
        <f t="shared" si="5"/>
        <v>0</v>
      </c>
      <c r="DQ27" s="1"/>
      <c r="DR27" s="1"/>
      <c r="DS27" s="1"/>
      <c r="DT27" s="326">
        <v>19</v>
      </c>
      <c r="DU27" s="141">
        <f>IF(AND('Resumo das informações'!$H$61&lt;&gt;"SIM",'Resumo das informações'!$F$61&gt;0,'Resumo das informações'!$G$61&gt;='Proteção Familiar'!$DT27),'Resumo das informações'!$F$61,0)</f>
        <v>0</v>
      </c>
      <c r="DV27" s="141">
        <f>IF(AND('Resumo das informações'!$H$62&lt;&gt;"SIM",'Resumo das informações'!$F$62&gt;0,'Resumo das informações'!$G$62&gt;='Proteção Familiar'!$DT27),'Resumo das informações'!$F$62,0)</f>
        <v>0</v>
      </c>
      <c r="DW27" s="141">
        <f>IF(AND('Resumo das informações'!$H$63&lt;&gt;"SIM",'Resumo das informações'!$F$63&gt;0,'Resumo das informações'!$G$63&gt;='Proteção Familiar'!$DT27),'Resumo das informações'!$F$63,0)</f>
        <v>0</v>
      </c>
      <c r="DX27" s="141">
        <f>IF(AND('Resumo das informações'!$H$64&lt;&gt;"SIM",'Resumo das informações'!$F$64&gt;0,'Resumo das informações'!$G$64&gt;='Proteção Familiar'!$DT27),'Resumo das informações'!$F$64,0)</f>
        <v>0</v>
      </c>
      <c r="DY27" s="141">
        <f>IF(AND('Resumo das informações'!$H$65&lt;&gt;"SIM",'Resumo das informações'!$F$65&gt;0,'Resumo das informações'!$G$65&gt;='Proteção Familiar'!$DT27),'Resumo das informações'!$F$65,0)</f>
        <v>0</v>
      </c>
      <c r="DZ27" s="141">
        <f t="shared" si="6"/>
        <v>0</v>
      </c>
      <c r="EA27" s="1"/>
      <c r="EB27" s="1"/>
      <c r="EC27" s="1"/>
      <c r="ED27" s="1"/>
    </row>
    <row r="28" spans="1:134" ht="15" customHeight="1" x14ac:dyDescent="0.25">
      <c r="A28" s="1"/>
      <c r="B28" s="1"/>
      <c r="C28" s="7"/>
      <c r="D28" s="806" t="s">
        <v>201</v>
      </c>
      <c r="E28" s="698"/>
      <c r="F28" s="807"/>
      <c r="G28" s="809">
        <f>IF((SUM(G55:G57))&lt;=0.9999,"Não Necessário",(SUM(G55:G57)))</f>
        <v>3704000</v>
      </c>
      <c r="H28" s="698"/>
      <c r="I28" s="810"/>
      <c r="J28" s="380"/>
      <c r="K28" s="811" t="s">
        <v>202</v>
      </c>
      <c r="L28" s="698"/>
      <c r="M28" s="698"/>
      <c r="N28" s="698"/>
      <c r="O28" s="807"/>
      <c r="P28" s="812">
        <f>Total_Planej_Sucessão</f>
        <v>200000</v>
      </c>
      <c r="Q28" s="748"/>
      <c r="R28" s="649"/>
      <c r="S28" s="35"/>
      <c r="T28" s="17"/>
      <c r="U28" s="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41"/>
      <c r="AG28" s="1"/>
      <c r="AH28" s="1"/>
      <c r="AI28" s="1"/>
      <c r="AJ28" s="1"/>
      <c r="AK28" s="1"/>
      <c r="AL28" s="1"/>
      <c r="AM28" s="1"/>
      <c r="AN28" s="1"/>
      <c r="AO28" s="332"/>
      <c r="AP28" s="1"/>
      <c r="AQ28" s="1"/>
      <c r="AR28" s="1"/>
      <c r="AS28" s="1"/>
      <c r="AT28" s="1"/>
      <c r="AU28" s="1"/>
      <c r="AV28" s="332">
        <f>'Investimentos - Não Aposentado'!AV28</f>
        <v>46</v>
      </c>
      <c r="AW28" s="335">
        <f>'Investimentos - Não Aposentado'!AW28</f>
        <v>6196824.0155004477</v>
      </c>
      <c r="AX28" s="335">
        <f>'Investimentos - Não Aposentado'!AX28</f>
        <v>6145441.0409017019</v>
      </c>
      <c r="AY28" s="335">
        <f>'Investimentos - Não Aposentado'!AY28</f>
        <v>5229864.6040918585</v>
      </c>
      <c r="AZ28" s="335" t="e">
        <f>'Investimentos - Não Aposentado'!AZ28</f>
        <v>#VALUE!</v>
      </c>
      <c r="BA28" s="142">
        <f>Dados_rendaaposentadoria</f>
        <v>40000</v>
      </c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326"/>
      <c r="BN28" s="141"/>
      <c r="BO28" s="1"/>
      <c r="BP28" s="1"/>
      <c r="BQ28" s="1"/>
      <c r="BR28" s="141">
        <f t="shared" si="7"/>
        <v>2424000</v>
      </c>
      <c r="BS28" s="335">
        <f t="shared" si="8"/>
        <v>43</v>
      </c>
      <c r="BT28" s="141">
        <f t="shared" si="9"/>
        <v>2624000</v>
      </c>
      <c r="BU28" s="1"/>
      <c r="BV28" s="141"/>
      <c r="BW28" s="1"/>
      <c r="BX28" s="1"/>
      <c r="BY28" s="1"/>
      <c r="BZ28" s="1"/>
      <c r="CA28" s="1"/>
      <c r="CB28" s="1"/>
      <c r="CC28" s="326">
        <f t="shared" si="10"/>
        <v>43</v>
      </c>
      <c r="CD28" s="141" t="str">
        <f>IF(AND($CC28&lt;=5,$CC28&gt;0),'Resumo das informações'!$F$49*12,"")</f>
        <v/>
      </c>
      <c r="CE28" s="141" t="str">
        <f>IF(AND($CC28&lt;=14,$CC28&gt;=6),'Resumo das informações'!$F$50*12,"")</f>
        <v/>
      </c>
      <c r="CF28" s="141" t="str">
        <f>IF(AND($CC28&lt;=17,$CC28&gt;=15),'Resumo das informações'!$F$51*12,"")</f>
        <v/>
      </c>
      <c r="CG28" s="141" t="str">
        <f>IF(AND($CC28&lt;=22,$CC28&gt;=18),'Resumo das informações'!$F$52*12,"")</f>
        <v/>
      </c>
      <c r="CH28" s="141" t="str">
        <f>IF(AND($CC28&lt;=24,$CC28&gt;=23),'Resumo das informações'!$F$53*12,"")</f>
        <v/>
      </c>
      <c r="CI28" s="141">
        <f t="shared" si="0"/>
        <v>0</v>
      </c>
      <c r="CJ28" s="1"/>
      <c r="CK28" s="326">
        <f t="shared" si="11"/>
        <v>0</v>
      </c>
      <c r="CL28" s="141" t="str">
        <f>IF(AND($CK28&lt;=5,$CK28&gt;0),'Resumo das informações'!$F$49*12,"")</f>
        <v/>
      </c>
      <c r="CM28" s="141" t="str">
        <f>IF(AND($CK28&lt;=14,$CK28&gt;=6),'Resumo das informações'!$F$50*12,"")</f>
        <v/>
      </c>
      <c r="CN28" s="141" t="str">
        <f>IF(AND($CK28&lt;=17,$CK28&gt;=15),'Resumo das informações'!$F$51*12,"")</f>
        <v/>
      </c>
      <c r="CO28" s="141" t="str">
        <f>IF(AND($CK28&lt;=22,$CK28&gt;=18),'Resumo das informações'!$F$52*12,"")</f>
        <v/>
      </c>
      <c r="CP28" s="141" t="str">
        <f>IF(AND($CK28&lt;=24,$CK28&gt;=23),'Resumo das informações'!$F$53*12,"")</f>
        <v/>
      </c>
      <c r="CQ28" s="141">
        <f t="shared" si="1"/>
        <v>0</v>
      </c>
      <c r="CR28" s="1"/>
      <c r="CS28" s="326">
        <f t="shared" si="12"/>
        <v>0</v>
      </c>
      <c r="CT28" s="141" t="str">
        <f>IF(AND($CS28&lt;=5,$CS28&gt;0),'Resumo das informações'!$F$49*12,"")</f>
        <v/>
      </c>
      <c r="CU28" s="141" t="str">
        <f>IF(AND($CS28&lt;=14,$CS28&gt;=6),'Resumo das informações'!$F$50*12,"")</f>
        <v/>
      </c>
      <c r="CV28" s="141" t="str">
        <f>IF(AND($CS28&lt;=17,$CS28&gt;=15),'Resumo das informações'!$F$51*12,"")</f>
        <v/>
      </c>
      <c r="CW28" s="141" t="str">
        <f>IF(AND($CS28&lt;=22,$CS28&gt;=18),'Resumo das informações'!$F$52*12,"")</f>
        <v/>
      </c>
      <c r="CX28" s="141" t="str">
        <f>IF(AND($CS28&lt;=24,$CS28&gt;=23),'Resumo das informações'!$F$53*12,"")</f>
        <v/>
      </c>
      <c r="CY28" s="141">
        <f t="shared" si="2"/>
        <v>0</v>
      </c>
      <c r="CZ28" s="1"/>
      <c r="DA28" s="326">
        <f t="shared" si="13"/>
        <v>0</v>
      </c>
      <c r="DB28" s="141" t="str">
        <f>IF(AND($DA28&lt;=5,$DA28&gt;0),'Resumo das informações'!$F$49*12,"")</f>
        <v/>
      </c>
      <c r="DC28" s="141" t="str">
        <f>IF(AND($DA28&lt;=14,$DA28&gt;=6),'Resumo das informações'!$F$50*12,"")</f>
        <v/>
      </c>
      <c r="DD28" s="141" t="str">
        <f>IF(AND($DA28&lt;=17,$DA28&gt;=15),'Resumo das informações'!$F$51*12,"")</f>
        <v/>
      </c>
      <c r="DE28" s="141" t="str">
        <f>IF(AND($DA28&lt;=22,$DA28&gt;=18),'Resumo das informações'!$F$52*12,"")</f>
        <v/>
      </c>
      <c r="DF28" s="141" t="str">
        <f>IF(AND($DA28&lt;=24,$DA28&gt;=23),'Resumo das informações'!$F$53*12,"")</f>
        <v/>
      </c>
      <c r="DG28" s="141">
        <f t="shared" si="3"/>
        <v>0</v>
      </c>
      <c r="DH28" s="1"/>
      <c r="DI28" s="141">
        <f t="shared" si="4"/>
        <v>0</v>
      </c>
      <c r="DJ28" s="141">
        <f t="shared" si="14"/>
        <v>0</v>
      </c>
      <c r="DK28" s="1"/>
      <c r="DL28" s="326">
        <v>20</v>
      </c>
      <c r="DM28" s="141">
        <f>IF(AND('Resumo das informações'!$G$36="F",'Resumo das informações'!$I$36&gt;='Proteção Familiar'!$DL28),Dados_montanteprojeto1,0)</f>
        <v>0</v>
      </c>
      <c r="DN28" s="141">
        <f>IF(AND('Resumo das informações'!$G$37="F",'Resumo das informações'!$I$37&gt;='Proteção Familiar'!$DL28),Dados_montanteprojeto2,0)</f>
        <v>0</v>
      </c>
      <c r="DO28" s="141">
        <f>IF(AND('Resumo das informações'!$G$38="F",'Resumo das informações'!$I$38&gt;='Proteção Familiar'!$DL28),Dados_montanteprojeto3,0)</f>
        <v>0</v>
      </c>
      <c r="DP28" s="141">
        <f t="shared" si="5"/>
        <v>0</v>
      </c>
      <c r="DQ28" s="1"/>
      <c r="DR28" s="1"/>
      <c r="DS28" s="1"/>
      <c r="DT28" s="326">
        <v>20</v>
      </c>
      <c r="DU28" s="141">
        <f>IF(AND('Resumo das informações'!$H$61&lt;&gt;"SIM",'Resumo das informações'!$F$61&gt;0,'Resumo das informações'!$G$61&gt;='Proteção Familiar'!$DT28),'Resumo das informações'!$F$61,0)</f>
        <v>0</v>
      </c>
      <c r="DV28" s="141">
        <f>IF(AND('Resumo das informações'!$H$62&lt;&gt;"SIM",'Resumo das informações'!$F$62&gt;0,'Resumo das informações'!$G$62&gt;='Proteção Familiar'!$DT28),'Resumo das informações'!$F$62,0)</f>
        <v>0</v>
      </c>
      <c r="DW28" s="141">
        <f>IF(AND('Resumo das informações'!$H$63&lt;&gt;"SIM",'Resumo das informações'!$F$63&gt;0,'Resumo das informações'!$G$63&gt;='Proteção Familiar'!$DT28),'Resumo das informações'!$F$63,0)</f>
        <v>0</v>
      </c>
      <c r="DX28" s="141">
        <f>IF(AND('Resumo das informações'!$H$64&lt;&gt;"SIM",'Resumo das informações'!$F$64&gt;0,'Resumo das informações'!$G$64&gt;='Proteção Familiar'!$DT28),'Resumo das informações'!$F$64,0)</f>
        <v>0</v>
      </c>
      <c r="DY28" s="141">
        <f>IF(AND('Resumo das informações'!$H$65&lt;&gt;"SIM",'Resumo das informações'!$F$65&gt;0,'Resumo das informações'!$G$65&gt;='Proteção Familiar'!$DT28),'Resumo das informações'!$F$65,0)</f>
        <v>0</v>
      </c>
      <c r="DZ28" s="141">
        <f t="shared" si="6"/>
        <v>0</v>
      </c>
      <c r="EA28" s="1"/>
      <c r="EB28" s="1"/>
      <c r="EC28" s="1"/>
      <c r="ED28" s="1"/>
    </row>
    <row r="29" spans="1:134" ht="15" customHeight="1" x14ac:dyDescent="0.25">
      <c r="A29" s="1"/>
      <c r="B29" s="1"/>
      <c r="C29" s="7"/>
      <c r="D29" s="646"/>
      <c r="E29" s="724"/>
      <c r="F29" s="808"/>
      <c r="G29" s="650"/>
      <c r="H29" s="724"/>
      <c r="I29" s="651"/>
      <c r="J29" s="380"/>
      <c r="K29" s="646"/>
      <c r="L29" s="724"/>
      <c r="M29" s="724"/>
      <c r="N29" s="724"/>
      <c r="O29" s="808"/>
      <c r="P29" s="650"/>
      <c r="Q29" s="724"/>
      <c r="R29" s="651"/>
      <c r="S29" s="35"/>
      <c r="T29" s="17"/>
      <c r="U29" s="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332"/>
      <c r="AP29" s="1"/>
      <c r="AQ29" s="1"/>
      <c r="AR29" s="1"/>
      <c r="AS29" s="1"/>
      <c r="AT29" s="1"/>
      <c r="AU29" s="1"/>
      <c r="AV29" s="332">
        <f>'Investimentos - Não Aposentado'!AV29</f>
        <v>47</v>
      </c>
      <c r="AW29" s="335">
        <f>'Investimentos - Não Aposentado'!AW29</f>
        <v>6628034.7294724556</v>
      </c>
      <c r="AX29" s="335">
        <f>'Investimentos - Não Aposentado'!AX29</f>
        <v>6572388.2106211726</v>
      </c>
      <c r="AY29" s="335">
        <f>'Investimentos - Não Aposentado'!AY29</f>
        <v>5551020.7798487497</v>
      </c>
      <c r="AZ29" s="335" t="e">
        <f>'Investimentos - Não Aposentado'!AZ29</f>
        <v>#VALUE!</v>
      </c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326"/>
      <c r="BN29" s="141"/>
      <c r="BO29" s="1"/>
      <c r="BP29" s="1"/>
      <c r="BQ29" s="1"/>
      <c r="BR29" s="141">
        <f t="shared" si="7"/>
        <v>2304000</v>
      </c>
      <c r="BS29" s="335">
        <f t="shared" si="8"/>
        <v>44</v>
      </c>
      <c r="BT29" s="141">
        <f t="shared" si="9"/>
        <v>2504000</v>
      </c>
      <c r="BU29" s="1"/>
      <c r="BV29" s="141"/>
      <c r="BW29" s="1"/>
      <c r="BX29" s="1"/>
      <c r="BY29" s="1"/>
      <c r="BZ29" s="1"/>
      <c r="CA29" s="1"/>
      <c r="CB29" s="1"/>
      <c r="CC29" s="326">
        <f t="shared" si="10"/>
        <v>44</v>
      </c>
      <c r="CD29" s="141" t="str">
        <f>IF(AND($CC29&lt;=5,$CC29&gt;0),'Resumo das informações'!$F$49*12,"")</f>
        <v/>
      </c>
      <c r="CE29" s="141" t="str">
        <f>IF(AND($CC29&lt;=14,$CC29&gt;=6),'Resumo das informações'!$F$50*12,"")</f>
        <v/>
      </c>
      <c r="CF29" s="141" t="str">
        <f>IF(AND($CC29&lt;=17,$CC29&gt;=15),'Resumo das informações'!$F$51*12,"")</f>
        <v/>
      </c>
      <c r="CG29" s="141" t="str">
        <f>IF(AND($CC29&lt;=22,$CC29&gt;=18),'Resumo das informações'!$F$52*12,"")</f>
        <v/>
      </c>
      <c r="CH29" s="141" t="str">
        <f>IF(AND($CC29&lt;=24,$CC29&gt;=23),'Resumo das informações'!$F$53*12,"")</f>
        <v/>
      </c>
      <c r="CI29" s="141">
        <f t="shared" si="0"/>
        <v>0</v>
      </c>
      <c r="CJ29" s="1"/>
      <c r="CK29" s="326">
        <f t="shared" si="11"/>
        <v>0</v>
      </c>
      <c r="CL29" s="141" t="str">
        <f>IF(AND($CK29&lt;=5,$CK29&gt;0),'Resumo das informações'!$F$49*12,"")</f>
        <v/>
      </c>
      <c r="CM29" s="141" t="str">
        <f>IF(AND($CK29&lt;=14,$CK29&gt;=6),'Resumo das informações'!$F$50*12,"")</f>
        <v/>
      </c>
      <c r="CN29" s="141" t="str">
        <f>IF(AND($CK29&lt;=17,$CK29&gt;=15),'Resumo das informações'!$F$51*12,"")</f>
        <v/>
      </c>
      <c r="CO29" s="141" t="str">
        <f>IF(AND($CK29&lt;=22,$CK29&gt;=18),'Resumo das informações'!$F$52*12,"")</f>
        <v/>
      </c>
      <c r="CP29" s="141" t="str">
        <f>IF(AND($CK29&lt;=24,$CK29&gt;=23),'Resumo das informações'!$F$53*12,"")</f>
        <v/>
      </c>
      <c r="CQ29" s="141">
        <f t="shared" si="1"/>
        <v>0</v>
      </c>
      <c r="CR29" s="1"/>
      <c r="CS29" s="326">
        <f t="shared" si="12"/>
        <v>0</v>
      </c>
      <c r="CT29" s="141" t="str">
        <f>IF(AND($CS29&lt;=5,$CS29&gt;0),'Resumo das informações'!$F$49*12,"")</f>
        <v/>
      </c>
      <c r="CU29" s="141" t="str">
        <f>IF(AND($CS29&lt;=14,$CS29&gt;=6),'Resumo das informações'!$F$50*12,"")</f>
        <v/>
      </c>
      <c r="CV29" s="141" t="str">
        <f>IF(AND($CS29&lt;=17,$CS29&gt;=15),'Resumo das informações'!$F$51*12,"")</f>
        <v/>
      </c>
      <c r="CW29" s="141" t="str">
        <f>IF(AND($CS29&lt;=22,$CS29&gt;=18),'Resumo das informações'!$F$52*12,"")</f>
        <v/>
      </c>
      <c r="CX29" s="141" t="str">
        <f>IF(AND($CS29&lt;=24,$CS29&gt;=23),'Resumo das informações'!$F$53*12,"")</f>
        <v/>
      </c>
      <c r="CY29" s="141">
        <f t="shared" si="2"/>
        <v>0</v>
      </c>
      <c r="CZ29" s="1"/>
      <c r="DA29" s="326">
        <f t="shared" si="13"/>
        <v>0</v>
      </c>
      <c r="DB29" s="141" t="str">
        <f>IF(AND($DA29&lt;=5,$DA29&gt;0),'Resumo das informações'!$F$49*12,"")</f>
        <v/>
      </c>
      <c r="DC29" s="141" t="str">
        <f>IF(AND($DA29&lt;=14,$DA29&gt;=6),'Resumo das informações'!$F$50*12,"")</f>
        <v/>
      </c>
      <c r="DD29" s="141" t="str">
        <f>IF(AND($DA29&lt;=17,$DA29&gt;=15),'Resumo das informações'!$F$51*12,"")</f>
        <v/>
      </c>
      <c r="DE29" s="141" t="str">
        <f>IF(AND($DA29&lt;=22,$DA29&gt;=18),'Resumo das informações'!$F$52*12,"")</f>
        <v/>
      </c>
      <c r="DF29" s="141" t="str">
        <f>IF(AND($DA29&lt;=24,$DA29&gt;=23),'Resumo das informações'!$F$53*12,"")</f>
        <v/>
      </c>
      <c r="DG29" s="141">
        <f t="shared" si="3"/>
        <v>0</v>
      </c>
      <c r="DH29" s="1"/>
      <c r="DI29" s="141">
        <f t="shared" si="4"/>
        <v>0</v>
      </c>
      <c r="DJ29" s="141">
        <f t="shared" si="14"/>
        <v>0</v>
      </c>
      <c r="DK29" s="1"/>
      <c r="DL29" s="326">
        <v>21</v>
      </c>
      <c r="DM29" s="141">
        <f>IF(AND('Resumo das informações'!$G$36="F",'Resumo das informações'!$I$36&gt;='Proteção Familiar'!$DL29),Dados_montanteprojeto1,0)</f>
        <v>0</v>
      </c>
      <c r="DN29" s="141">
        <f>IF(AND('Resumo das informações'!$G$37="F",'Resumo das informações'!$I$37&gt;='Proteção Familiar'!$DL29),Dados_montanteprojeto2,0)</f>
        <v>0</v>
      </c>
      <c r="DO29" s="141">
        <f>IF(AND('Resumo das informações'!$G$38="F",'Resumo das informações'!$I$38&gt;='Proteção Familiar'!$DL29),Dados_montanteprojeto3,0)</f>
        <v>0</v>
      </c>
      <c r="DP29" s="141">
        <f t="shared" si="5"/>
        <v>0</v>
      </c>
      <c r="DQ29" s="1"/>
      <c r="DR29" s="1"/>
      <c r="DS29" s="1"/>
      <c r="DT29" s="326">
        <v>21</v>
      </c>
      <c r="DU29" s="141">
        <f>IF(AND('Resumo das informações'!$H$61&lt;&gt;"SIM",'Resumo das informações'!$F$61&gt;0,'Resumo das informações'!$G$61&gt;='Proteção Familiar'!$DT29),'Resumo das informações'!$F$61,0)</f>
        <v>0</v>
      </c>
      <c r="DV29" s="141">
        <f>IF(AND('Resumo das informações'!$H$62&lt;&gt;"SIM",'Resumo das informações'!$F$62&gt;0,'Resumo das informações'!$G$62&gt;='Proteção Familiar'!$DT29),'Resumo das informações'!$F$62,0)</f>
        <v>0</v>
      </c>
      <c r="DW29" s="141">
        <f>IF(AND('Resumo das informações'!$H$63&lt;&gt;"SIM",'Resumo das informações'!$F$63&gt;0,'Resumo das informações'!$G$63&gt;='Proteção Familiar'!$DT29),'Resumo das informações'!$F$63,0)</f>
        <v>0</v>
      </c>
      <c r="DX29" s="141">
        <f>IF(AND('Resumo das informações'!$H$64&lt;&gt;"SIM",'Resumo das informações'!$F$64&gt;0,'Resumo das informações'!$G$64&gt;='Proteção Familiar'!$DT29),'Resumo das informações'!$F$64,0)</f>
        <v>0</v>
      </c>
      <c r="DY29" s="141">
        <f>IF(AND('Resumo das informações'!$H$65&lt;&gt;"SIM",'Resumo das informações'!$F$65&gt;0,'Resumo das informações'!$G$65&gt;='Proteção Familiar'!$DT29),'Resumo das informações'!$F$65,0)</f>
        <v>0</v>
      </c>
      <c r="DZ29" s="141">
        <f t="shared" si="6"/>
        <v>0</v>
      </c>
      <c r="EA29" s="1"/>
      <c r="EB29" s="1"/>
      <c r="EC29" s="1"/>
      <c r="ED29" s="1"/>
    </row>
    <row r="30" spans="1:134" ht="15.75" customHeight="1" x14ac:dyDescent="0.25">
      <c r="A30" s="1"/>
      <c r="B30" s="1"/>
      <c r="C30" s="7"/>
      <c r="D30" s="35"/>
      <c r="E30" s="79"/>
      <c r="F30" s="79"/>
      <c r="G30" s="79"/>
      <c r="H30" s="79"/>
      <c r="I30" s="79"/>
      <c r="J30" s="146"/>
      <c r="K30" s="79"/>
      <c r="L30" s="79"/>
      <c r="M30" s="306"/>
      <c r="N30" s="79"/>
      <c r="O30" s="79"/>
      <c r="P30" s="79"/>
      <c r="Q30" s="79"/>
      <c r="R30" s="79"/>
      <c r="S30" s="35"/>
      <c r="T30" s="17"/>
      <c r="U30" s="9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332"/>
      <c r="AP30" s="1"/>
      <c r="AQ30" s="1"/>
      <c r="AR30" s="1"/>
      <c r="AS30" s="1"/>
      <c r="AT30" s="1"/>
      <c r="AU30" s="1"/>
      <c r="AV30" s="332">
        <f>'Investimentos - Não Aposentado'!AV30</f>
        <v>48</v>
      </c>
      <c r="AW30" s="335">
        <f>'Investimentos - Não Aposentado'!AW30</f>
        <v>7085076.4234118685</v>
      </c>
      <c r="AX30" s="335">
        <f>'Investimentos - Não Aposentado'!AX30</f>
        <v>7024910.9595895391</v>
      </c>
      <c r="AY30" s="335">
        <f>'Investimentos - Não Aposentado'!AY30</f>
        <v>5888214.0665120604</v>
      </c>
      <c r="AZ30" s="335" t="e">
        <f>'Investimentos - Não Aposentado'!AZ30</f>
        <v>#VALUE!</v>
      </c>
      <c r="BA30" s="1"/>
      <c r="BB30" s="1">
        <f>Dados_rendaaposentadoria*12</f>
        <v>480000</v>
      </c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326"/>
      <c r="BN30" s="141"/>
      <c r="BO30" s="1"/>
      <c r="BP30" s="1"/>
      <c r="BQ30" s="1"/>
      <c r="BR30" s="141">
        <f t="shared" si="7"/>
        <v>2184000</v>
      </c>
      <c r="BS30" s="335">
        <f t="shared" si="8"/>
        <v>45</v>
      </c>
      <c r="BT30" s="141">
        <f t="shared" si="9"/>
        <v>2384000</v>
      </c>
      <c r="BU30" s="1"/>
      <c r="BV30" s="141"/>
      <c r="BW30" s="1"/>
      <c r="BX30" s="1"/>
      <c r="BY30" s="1"/>
      <c r="BZ30" s="1"/>
      <c r="CA30" s="1"/>
      <c r="CB30" s="1"/>
      <c r="CC30" s="326">
        <f t="shared" si="10"/>
        <v>45</v>
      </c>
      <c r="CD30" s="141" t="str">
        <f>IF(AND($CC30&lt;=5,$CC30&gt;0),'Resumo das informações'!$F$49*12,"")</f>
        <v/>
      </c>
      <c r="CE30" s="141" t="str">
        <f>IF(AND($CC30&lt;=14,$CC30&gt;=6),'Resumo das informações'!$F$50*12,"")</f>
        <v/>
      </c>
      <c r="CF30" s="141" t="str">
        <f>IF(AND($CC30&lt;=17,$CC30&gt;=15),'Resumo das informações'!$F$51*12,"")</f>
        <v/>
      </c>
      <c r="CG30" s="141" t="str">
        <f>IF(AND($CC30&lt;=22,$CC30&gt;=18),'Resumo das informações'!$F$52*12,"")</f>
        <v/>
      </c>
      <c r="CH30" s="141" t="str">
        <f>IF(AND($CC30&lt;=24,$CC30&gt;=23),'Resumo das informações'!$F$53*12,"")</f>
        <v/>
      </c>
      <c r="CI30" s="141">
        <f t="shared" si="0"/>
        <v>0</v>
      </c>
      <c r="CJ30" s="1"/>
      <c r="CK30" s="326">
        <f t="shared" si="11"/>
        <v>0</v>
      </c>
      <c r="CL30" s="141" t="str">
        <f>IF(AND($CK30&lt;=5,$CK30&gt;0),'Resumo das informações'!$F$49*12,"")</f>
        <v/>
      </c>
      <c r="CM30" s="141" t="str">
        <f>IF(AND($CK30&lt;=14,$CK30&gt;=6),'Resumo das informações'!$F$50*12,"")</f>
        <v/>
      </c>
      <c r="CN30" s="141" t="str">
        <f>IF(AND($CK30&lt;=17,$CK30&gt;=15),'Resumo das informações'!$F$51*12,"")</f>
        <v/>
      </c>
      <c r="CO30" s="141" t="str">
        <f>IF(AND($CK30&lt;=22,$CK30&gt;=18),'Resumo das informações'!$F$52*12,"")</f>
        <v/>
      </c>
      <c r="CP30" s="141" t="str">
        <f>IF(AND($CK30&lt;=24,$CK30&gt;=23),'Resumo das informações'!$F$53*12,"")</f>
        <v/>
      </c>
      <c r="CQ30" s="141">
        <f t="shared" si="1"/>
        <v>0</v>
      </c>
      <c r="CR30" s="1"/>
      <c r="CS30" s="326">
        <f t="shared" si="12"/>
        <v>0</v>
      </c>
      <c r="CT30" s="141" t="str">
        <f>IF(AND($CS30&lt;=5,$CS30&gt;0),'Resumo das informações'!$F$49*12,"")</f>
        <v/>
      </c>
      <c r="CU30" s="141" t="str">
        <f>IF(AND($CS30&lt;=14,$CS30&gt;=6),'Resumo das informações'!$F$50*12,"")</f>
        <v/>
      </c>
      <c r="CV30" s="141" t="str">
        <f>IF(AND($CS30&lt;=17,$CS30&gt;=15),'Resumo das informações'!$F$51*12,"")</f>
        <v/>
      </c>
      <c r="CW30" s="141" t="str">
        <f>IF(AND($CS30&lt;=22,$CS30&gt;=18),'Resumo das informações'!$F$52*12,"")</f>
        <v/>
      </c>
      <c r="CX30" s="141" t="str">
        <f>IF(AND($CS30&lt;=24,$CS30&gt;=23),'Resumo das informações'!$F$53*12,"")</f>
        <v/>
      </c>
      <c r="CY30" s="141">
        <f t="shared" si="2"/>
        <v>0</v>
      </c>
      <c r="CZ30" s="1"/>
      <c r="DA30" s="326">
        <f t="shared" si="13"/>
        <v>0</v>
      </c>
      <c r="DB30" s="141" t="str">
        <f>IF(AND($DA30&lt;=5,$DA30&gt;0),'Resumo das informações'!$F$49*12,"")</f>
        <v/>
      </c>
      <c r="DC30" s="141" t="str">
        <f>IF(AND($DA30&lt;=14,$DA30&gt;=6),'Resumo das informações'!$F$50*12,"")</f>
        <v/>
      </c>
      <c r="DD30" s="141" t="str">
        <f>IF(AND($DA30&lt;=17,$DA30&gt;=15),'Resumo das informações'!$F$51*12,"")</f>
        <v/>
      </c>
      <c r="DE30" s="141" t="str">
        <f>IF(AND($DA30&lt;=22,$DA30&gt;=18),'Resumo das informações'!$F$52*12,"")</f>
        <v/>
      </c>
      <c r="DF30" s="141" t="str">
        <f>IF(AND($DA30&lt;=24,$DA30&gt;=23),'Resumo das informações'!$F$53*12,"")</f>
        <v/>
      </c>
      <c r="DG30" s="141">
        <f t="shared" si="3"/>
        <v>0</v>
      </c>
      <c r="DH30" s="1"/>
      <c r="DI30" s="141">
        <f t="shared" si="4"/>
        <v>0</v>
      </c>
      <c r="DJ30" s="141">
        <f t="shared" si="14"/>
        <v>0</v>
      </c>
      <c r="DK30" s="1"/>
      <c r="DL30" s="326">
        <v>22</v>
      </c>
      <c r="DM30" s="141">
        <f>IF(AND('Resumo das informações'!$G$36="F",'Resumo das informações'!$I$36&gt;='Proteção Familiar'!$DL30),Dados_montanteprojeto1,0)</f>
        <v>0</v>
      </c>
      <c r="DN30" s="141">
        <f>IF(AND('Resumo das informações'!$G$37="F",'Resumo das informações'!$I$37&gt;='Proteção Familiar'!$DL30),Dados_montanteprojeto2,0)</f>
        <v>0</v>
      </c>
      <c r="DO30" s="141">
        <f>IF(AND('Resumo das informações'!$G$38="F",'Resumo das informações'!$I$38&gt;='Proteção Familiar'!$DL30),Dados_montanteprojeto3,0)</f>
        <v>0</v>
      </c>
      <c r="DP30" s="141">
        <f t="shared" si="5"/>
        <v>0</v>
      </c>
      <c r="DQ30" s="1"/>
      <c r="DR30" s="1"/>
      <c r="DS30" s="1"/>
      <c r="DT30" s="326">
        <v>22</v>
      </c>
      <c r="DU30" s="141">
        <f>IF(AND('Resumo das informações'!$H$61&lt;&gt;"SIM",'Resumo das informações'!$F$61&gt;0,'Resumo das informações'!$G$61&gt;='Proteção Familiar'!$DT30),'Resumo das informações'!$F$61,0)</f>
        <v>0</v>
      </c>
      <c r="DV30" s="141">
        <f>IF(AND('Resumo das informações'!$H$62&lt;&gt;"SIM",'Resumo das informações'!$F$62&gt;0,'Resumo das informações'!$G$62&gt;='Proteção Familiar'!$DT30),'Resumo das informações'!$F$62,0)</f>
        <v>0</v>
      </c>
      <c r="DW30" s="141">
        <f>IF(AND('Resumo das informações'!$H$63&lt;&gt;"SIM",'Resumo das informações'!$F$63&gt;0,'Resumo das informações'!$G$63&gt;='Proteção Familiar'!$DT30),'Resumo das informações'!$F$63,0)</f>
        <v>0</v>
      </c>
      <c r="DX30" s="141">
        <f>IF(AND('Resumo das informações'!$H$64&lt;&gt;"SIM",'Resumo das informações'!$F$64&gt;0,'Resumo das informações'!$G$64&gt;='Proteção Familiar'!$DT30),'Resumo das informações'!$F$64,0)</f>
        <v>0</v>
      </c>
      <c r="DY30" s="141">
        <f>IF(AND('Resumo das informações'!$H$65&lt;&gt;"SIM",'Resumo das informações'!$F$65&gt;0,'Resumo das informações'!$G$65&gt;='Proteção Familiar'!$DT30),'Resumo das informações'!$F$65,0)</f>
        <v>0</v>
      </c>
      <c r="DZ30" s="141">
        <f t="shared" si="6"/>
        <v>0</v>
      </c>
      <c r="EA30" s="1"/>
      <c r="EB30" s="1"/>
      <c r="EC30" s="1"/>
      <c r="ED30" s="1"/>
    </row>
    <row r="31" spans="1:134" ht="15.75" customHeight="1" x14ac:dyDescent="0.25">
      <c r="A31" s="1"/>
      <c r="B31" s="1"/>
      <c r="C31" s="7"/>
      <c r="D31" s="35"/>
      <c r="E31" s="79"/>
      <c r="F31" s="79"/>
      <c r="G31" s="79"/>
      <c r="H31" s="79"/>
      <c r="I31" s="79"/>
      <c r="J31" s="146"/>
      <c r="K31" s="79"/>
      <c r="L31" s="79"/>
      <c r="M31" s="306"/>
      <c r="N31" s="306"/>
      <c r="O31" s="381"/>
      <c r="P31" s="381"/>
      <c r="Q31" s="381"/>
      <c r="R31" s="79"/>
      <c r="S31" s="35"/>
      <c r="T31" s="17"/>
      <c r="U31" s="9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332"/>
      <c r="AP31" s="1"/>
      <c r="AQ31" s="1"/>
      <c r="AR31" s="1"/>
      <c r="AS31" s="1"/>
      <c r="AT31" s="1"/>
      <c r="AU31" s="1"/>
      <c r="AV31" s="332">
        <f>'Investimentos - Não Aposentado'!AV31</f>
        <v>49</v>
      </c>
      <c r="AW31" s="335">
        <f>'Investimentos - Não Aposentado'!AW31</f>
        <v>7569496.4603698738</v>
      </c>
      <c r="AX31" s="335">
        <f>'Investimentos - Não Aposentado'!AX31</f>
        <v>7504541.3514912762</v>
      </c>
      <c r="AY31" s="335">
        <f>'Investimentos - Não Aposentado'!AY31</f>
        <v>6242245.2860669773</v>
      </c>
      <c r="AZ31" s="335" t="e">
        <f>'Investimentos - Não Aposentado'!AZ31</f>
        <v>#VALUE!</v>
      </c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326"/>
      <c r="BN31" s="141"/>
      <c r="BO31" s="1"/>
      <c r="BP31" s="1"/>
      <c r="BQ31" s="1"/>
      <c r="BR31" s="141">
        <f t="shared" si="7"/>
        <v>2064000</v>
      </c>
      <c r="BS31" s="335">
        <f t="shared" si="8"/>
        <v>46</v>
      </c>
      <c r="BT31" s="141">
        <f t="shared" si="9"/>
        <v>2264000</v>
      </c>
      <c r="BU31" s="1"/>
      <c r="BV31" s="141"/>
      <c r="BW31" s="1"/>
      <c r="BX31" s="1"/>
      <c r="BY31" s="1"/>
      <c r="BZ31" s="1"/>
      <c r="CA31" s="1"/>
      <c r="CB31" s="1"/>
      <c r="CC31" s="326">
        <f t="shared" si="10"/>
        <v>46</v>
      </c>
      <c r="CD31" s="141" t="str">
        <f>IF(AND($CC31&lt;=5,$CC31&gt;0),'Resumo das informações'!$F$49*12,"")</f>
        <v/>
      </c>
      <c r="CE31" s="141" t="str">
        <f>IF(AND($CC31&lt;=14,$CC31&gt;=6),'Resumo das informações'!$F$50*12,"")</f>
        <v/>
      </c>
      <c r="CF31" s="141" t="str">
        <f>IF(AND($CC31&lt;=17,$CC31&gt;=15),'Resumo das informações'!$F$51*12,"")</f>
        <v/>
      </c>
      <c r="CG31" s="141" t="str">
        <f>IF(AND($CC31&lt;=22,$CC31&gt;=18),'Resumo das informações'!$F$52*12,"")</f>
        <v/>
      </c>
      <c r="CH31" s="141" t="str">
        <f>IF(AND($CC31&lt;=24,$CC31&gt;=23),'Resumo das informações'!$F$53*12,"")</f>
        <v/>
      </c>
      <c r="CI31" s="141">
        <f t="shared" si="0"/>
        <v>0</v>
      </c>
      <c r="CJ31" s="1"/>
      <c r="CK31" s="326">
        <f t="shared" si="11"/>
        <v>0</v>
      </c>
      <c r="CL31" s="141" t="str">
        <f>IF(AND($CK31&lt;=5,$CK31&gt;0),'Resumo das informações'!$F$49*12,"")</f>
        <v/>
      </c>
      <c r="CM31" s="141" t="str">
        <f>IF(AND($CK31&lt;=14,$CK31&gt;=6),'Resumo das informações'!$F$50*12,"")</f>
        <v/>
      </c>
      <c r="CN31" s="141" t="str">
        <f>IF(AND($CK31&lt;=17,$CK31&gt;=15),'Resumo das informações'!$F$51*12,"")</f>
        <v/>
      </c>
      <c r="CO31" s="141" t="str">
        <f>IF(AND($CK31&lt;=22,$CK31&gt;=18),'Resumo das informações'!$F$52*12,"")</f>
        <v/>
      </c>
      <c r="CP31" s="141" t="str">
        <f>IF(AND($CK31&lt;=24,$CK31&gt;=23),'Resumo das informações'!$F$53*12,"")</f>
        <v/>
      </c>
      <c r="CQ31" s="141">
        <f t="shared" si="1"/>
        <v>0</v>
      </c>
      <c r="CR31" s="1"/>
      <c r="CS31" s="326">
        <f t="shared" si="12"/>
        <v>0</v>
      </c>
      <c r="CT31" s="141" t="str">
        <f>IF(AND($CS31&lt;=5,$CS31&gt;0),'Resumo das informações'!$F$49*12,"")</f>
        <v/>
      </c>
      <c r="CU31" s="141" t="str">
        <f>IF(AND($CS31&lt;=14,$CS31&gt;=6),'Resumo das informações'!$F$50*12,"")</f>
        <v/>
      </c>
      <c r="CV31" s="141" t="str">
        <f>IF(AND($CS31&lt;=17,$CS31&gt;=15),'Resumo das informações'!$F$51*12,"")</f>
        <v/>
      </c>
      <c r="CW31" s="141" t="str">
        <f>IF(AND($CS31&lt;=22,$CS31&gt;=18),'Resumo das informações'!$F$52*12,"")</f>
        <v/>
      </c>
      <c r="CX31" s="141" t="str">
        <f>IF(AND($CS31&lt;=24,$CS31&gt;=23),'Resumo das informações'!$F$53*12,"")</f>
        <v/>
      </c>
      <c r="CY31" s="141">
        <f t="shared" si="2"/>
        <v>0</v>
      </c>
      <c r="CZ31" s="1"/>
      <c r="DA31" s="326">
        <f t="shared" si="13"/>
        <v>0</v>
      </c>
      <c r="DB31" s="141" t="str">
        <f>IF(AND($DA31&lt;=5,$DA31&gt;0),'Resumo das informações'!$F$49*12,"")</f>
        <v/>
      </c>
      <c r="DC31" s="141" t="str">
        <f>IF(AND($DA31&lt;=14,$DA31&gt;=6),'Resumo das informações'!$F$50*12,"")</f>
        <v/>
      </c>
      <c r="DD31" s="141" t="str">
        <f>IF(AND($DA31&lt;=17,$DA31&gt;=15),'Resumo das informações'!$F$51*12,"")</f>
        <v/>
      </c>
      <c r="DE31" s="141" t="str">
        <f>IF(AND($DA31&lt;=22,$DA31&gt;=18),'Resumo das informações'!$F$52*12,"")</f>
        <v/>
      </c>
      <c r="DF31" s="141" t="str">
        <f>IF(AND($DA31&lt;=24,$DA31&gt;=23),'Resumo das informações'!$F$53*12,"")</f>
        <v/>
      </c>
      <c r="DG31" s="141">
        <f t="shared" si="3"/>
        <v>0</v>
      </c>
      <c r="DH31" s="1"/>
      <c r="DI31" s="141">
        <f t="shared" si="4"/>
        <v>0</v>
      </c>
      <c r="DJ31" s="141">
        <f t="shared" si="14"/>
        <v>0</v>
      </c>
      <c r="DK31" s="1"/>
      <c r="DL31" s="326">
        <v>23</v>
      </c>
      <c r="DM31" s="141">
        <f>IF(AND('Resumo das informações'!$G$36="F",'Resumo das informações'!$I$36&gt;='Proteção Familiar'!$DL31),Dados_montanteprojeto1,0)</f>
        <v>0</v>
      </c>
      <c r="DN31" s="141">
        <f>IF(AND('Resumo das informações'!$G$37="F",'Resumo das informações'!$I$37&gt;='Proteção Familiar'!$DL31),Dados_montanteprojeto2,0)</f>
        <v>0</v>
      </c>
      <c r="DO31" s="141">
        <f>IF(AND('Resumo das informações'!$G$38="F",'Resumo das informações'!$I$38&gt;='Proteção Familiar'!$DL31),Dados_montanteprojeto3,0)</f>
        <v>0</v>
      </c>
      <c r="DP31" s="141">
        <f t="shared" si="5"/>
        <v>0</v>
      </c>
      <c r="DQ31" s="1"/>
      <c r="DR31" s="1"/>
      <c r="DS31" s="1"/>
      <c r="DT31" s="326">
        <v>23</v>
      </c>
      <c r="DU31" s="141">
        <f>IF(AND('Resumo das informações'!$H$61&lt;&gt;"SIM",'Resumo das informações'!$F$61&gt;0,'Resumo das informações'!$G$61&gt;='Proteção Familiar'!$DT31),'Resumo das informações'!$F$61,0)</f>
        <v>0</v>
      </c>
      <c r="DV31" s="141">
        <f>IF(AND('Resumo das informações'!$H$62&lt;&gt;"SIM",'Resumo das informações'!$F$62&gt;0,'Resumo das informações'!$G$62&gt;='Proteção Familiar'!$DT31),'Resumo das informações'!$F$62,0)</f>
        <v>0</v>
      </c>
      <c r="DW31" s="141">
        <f>IF(AND('Resumo das informações'!$H$63&lt;&gt;"SIM",'Resumo das informações'!$F$63&gt;0,'Resumo das informações'!$G$63&gt;='Proteção Familiar'!$DT31),'Resumo das informações'!$F$63,0)</f>
        <v>0</v>
      </c>
      <c r="DX31" s="141">
        <f>IF(AND('Resumo das informações'!$H$64&lt;&gt;"SIM",'Resumo das informações'!$F$64&gt;0,'Resumo das informações'!$G$64&gt;='Proteção Familiar'!$DT31),'Resumo das informações'!$F$64,0)</f>
        <v>0</v>
      </c>
      <c r="DY31" s="141">
        <f>IF(AND('Resumo das informações'!$H$65&lt;&gt;"SIM",'Resumo das informações'!$F$65&gt;0,'Resumo das informações'!$G$65&gt;='Proteção Familiar'!$DT31),'Resumo das informações'!$F$65,0)</f>
        <v>0</v>
      </c>
      <c r="DZ31" s="141">
        <f t="shared" si="6"/>
        <v>0</v>
      </c>
      <c r="EA31" s="1"/>
      <c r="EB31" s="1"/>
      <c r="EC31" s="1"/>
      <c r="ED31" s="1"/>
    </row>
    <row r="32" spans="1:134" ht="15.75" customHeight="1" x14ac:dyDescent="0.25">
      <c r="A32" s="1"/>
      <c r="B32" s="1"/>
      <c r="C32" s="7"/>
      <c r="D32" s="35"/>
      <c r="E32" s="79"/>
      <c r="F32" s="79"/>
      <c r="G32" s="79"/>
      <c r="H32" s="79"/>
      <c r="I32" s="79"/>
      <c r="J32" s="175"/>
      <c r="K32" s="79"/>
      <c r="L32" s="79"/>
      <c r="M32" s="306"/>
      <c r="N32" s="306"/>
      <c r="O32" s="381"/>
      <c r="P32" s="381"/>
      <c r="Q32" s="381"/>
      <c r="R32" s="79"/>
      <c r="S32" s="35"/>
      <c r="T32" s="17"/>
      <c r="U32" s="9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32"/>
      <c r="AP32" s="1"/>
      <c r="AQ32" s="1"/>
      <c r="AR32" s="1"/>
      <c r="AS32" s="1"/>
      <c r="AT32" s="1"/>
      <c r="AU32" s="1"/>
      <c r="AV32" s="332">
        <f>'Investimentos - Não Aposentado'!AV32</f>
        <v>50</v>
      </c>
      <c r="AW32" s="335">
        <f>'Investimentos - Não Aposentado'!AW32</f>
        <v>8082934.8956770543</v>
      </c>
      <c r="AX32" s="335">
        <f>'Investimentos - Não Aposentado'!AX32</f>
        <v>8012903.2258064514</v>
      </c>
      <c r="AY32" s="335">
        <f>'Investimentos - Não Aposentado'!AY32</f>
        <v>6613955.2499865517</v>
      </c>
      <c r="AZ32" s="335" t="e">
        <f>'Investimentos - Não Aposentado'!AZ32</f>
        <v>#VALUE!</v>
      </c>
      <c r="BA32" s="141" t="e">
        <f>AZ31*(1+'Proteção Familiar'!i_realaposentadoria)-BB30</f>
        <v>#VALUE!</v>
      </c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326"/>
      <c r="BN32" s="141"/>
      <c r="BO32" s="1"/>
      <c r="BP32" s="1"/>
      <c r="BQ32" s="1"/>
      <c r="BR32" s="141">
        <f t="shared" si="7"/>
        <v>1944000</v>
      </c>
      <c r="BS32" s="335">
        <f t="shared" si="8"/>
        <v>47</v>
      </c>
      <c r="BT32" s="141">
        <f t="shared" si="9"/>
        <v>2144000</v>
      </c>
      <c r="BU32" s="1"/>
      <c r="BV32" s="141"/>
      <c r="BW32" s="1"/>
      <c r="BX32" s="1"/>
      <c r="BY32" s="1"/>
      <c r="BZ32" s="1"/>
      <c r="CA32" s="1"/>
      <c r="CB32" s="1"/>
      <c r="CC32" s="326">
        <f t="shared" si="10"/>
        <v>47</v>
      </c>
      <c r="CD32" s="141" t="str">
        <f>IF(AND($CC32&lt;=5,$CC32&gt;0),'Resumo das informações'!$F$49*12,"")</f>
        <v/>
      </c>
      <c r="CE32" s="141" t="str">
        <f>IF(AND($CC32&lt;=14,$CC32&gt;=6),'Resumo das informações'!$F$50*12,"")</f>
        <v/>
      </c>
      <c r="CF32" s="141" t="str">
        <f>IF(AND($CC32&lt;=17,$CC32&gt;=15),'Resumo das informações'!$F$51*12,"")</f>
        <v/>
      </c>
      <c r="CG32" s="141" t="str">
        <f>IF(AND($CC32&lt;=22,$CC32&gt;=18),'Resumo das informações'!$F$52*12,"")</f>
        <v/>
      </c>
      <c r="CH32" s="141" t="str">
        <f>IF(AND($CC32&lt;=24,$CC32&gt;=23),'Resumo das informações'!$F$53*12,"")</f>
        <v/>
      </c>
      <c r="CI32" s="141">
        <f t="shared" si="0"/>
        <v>0</v>
      </c>
      <c r="CJ32" s="1"/>
      <c r="CK32" s="326">
        <f t="shared" si="11"/>
        <v>0</v>
      </c>
      <c r="CL32" s="141" t="str">
        <f>IF(AND($CK32&lt;=5,$CK32&gt;0),'Resumo das informações'!$F$49*12,"")</f>
        <v/>
      </c>
      <c r="CM32" s="141" t="str">
        <f>IF(AND($CK32&lt;=14,$CK32&gt;=6),'Resumo das informações'!$F$50*12,"")</f>
        <v/>
      </c>
      <c r="CN32" s="141" t="str">
        <f>IF(AND($CK32&lt;=17,$CK32&gt;=15),'Resumo das informações'!$F$51*12,"")</f>
        <v/>
      </c>
      <c r="CO32" s="141" t="str">
        <f>IF(AND($CK32&lt;=22,$CK32&gt;=18),'Resumo das informações'!$F$52*12,"")</f>
        <v/>
      </c>
      <c r="CP32" s="141" t="str">
        <f>IF(AND($CK32&lt;=24,$CK32&gt;=23),'Resumo das informações'!$F$53*12,"")</f>
        <v/>
      </c>
      <c r="CQ32" s="141">
        <f t="shared" si="1"/>
        <v>0</v>
      </c>
      <c r="CR32" s="1"/>
      <c r="CS32" s="326">
        <f t="shared" si="12"/>
        <v>0</v>
      </c>
      <c r="CT32" s="141" t="str">
        <f>IF(AND($CS32&lt;=5,$CS32&gt;0),'Resumo das informações'!$F$49*12,"")</f>
        <v/>
      </c>
      <c r="CU32" s="141" t="str">
        <f>IF(AND($CS32&lt;=14,$CS32&gt;=6),'Resumo das informações'!$F$50*12,"")</f>
        <v/>
      </c>
      <c r="CV32" s="141" t="str">
        <f>IF(AND($CS32&lt;=17,$CS32&gt;=15),'Resumo das informações'!$F$51*12,"")</f>
        <v/>
      </c>
      <c r="CW32" s="141" t="str">
        <f>IF(AND($CS32&lt;=22,$CS32&gt;=18),'Resumo das informações'!$F$52*12,"")</f>
        <v/>
      </c>
      <c r="CX32" s="141" t="str">
        <f>IF(AND($CS32&lt;=24,$CS32&gt;=23),'Resumo das informações'!$F$53*12,"")</f>
        <v/>
      </c>
      <c r="CY32" s="141">
        <f t="shared" si="2"/>
        <v>0</v>
      </c>
      <c r="CZ32" s="1"/>
      <c r="DA32" s="326">
        <f t="shared" si="13"/>
        <v>0</v>
      </c>
      <c r="DB32" s="141" t="str">
        <f>IF(AND($DA32&lt;=5,$DA32&gt;0),'Resumo das informações'!$F$49*12,"")</f>
        <v/>
      </c>
      <c r="DC32" s="141" t="str">
        <f>IF(AND($DA32&lt;=14,$DA32&gt;=6),'Resumo das informações'!$F$50*12,"")</f>
        <v/>
      </c>
      <c r="DD32" s="141" t="str">
        <f>IF(AND($DA32&lt;=17,$DA32&gt;=15),'Resumo das informações'!$F$51*12,"")</f>
        <v/>
      </c>
      <c r="DE32" s="141" t="str">
        <f>IF(AND($DA32&lt;=22,$DA32&gt;=18),'Resumo das informações'!$F$52*12,"")</f>
        <v/>
      </c>
      <c r="DF32" s="141" t="str">
        <f>IF(AND($DA32&lt;=24,$DA32&gt;=23),'Resumo das informações'!$F$53*12,"")</f>
        <v/>
      </c>
      <c r="DG32" s="141">
        <f t="shared" si="3"/>
        <v>0</v>
      </c>
      <c r="DH32" s="1"/>
      <c r="DI32" s="141">
        <f t="shared" si="4"/>
        <v>0</v>
      </c>
      <c r="DJ32" s="141">
        <f t="shared" si="14"/>
        <v>0</v>
      </c>
      <c r="DK32" s="1"/>
      <c r="DL32" s="326">
        <v>24</v>
      </c>
      <c r="DM32" s="141">
        <f>IF(AND('Resumo das informações'!$G$36="F",'Resumo das informações'!$I$36&gt;='Proteção Familiar'!$DL32),Dados_montanteprojeto1,0)</f>
        <v>0</v>
      </c>
      <c r="DN32" s="141">
        <f>IF(AND('Resumo das informações'!$G$37="F",'Resumo das informações'!$I$37&gt;='Proteção Familiar'!$DL32),Dados_montanteprojeto2,0)</f>
        <v>0</v>
      </c>
      <c r="DO32" s="141">
        <f>IF(AND('Resumo das informações'!$G$38="F",'Resumo das informações'!$I$38&gt;='Proteção Familiar'!$DL32),Dados_montanteprojeto3,0)</f>
        <v>0</v>
      </c>
      <c r="DP32" s="141">
        <f t="shared" si="5"/>
        <v>0</v>
      </c>
      <c r="DQ32" s="1"/>
      <c r="DR32" s="1"/>
      <c r="DS32" s="1"/>
      <c r="DT32" s="326">
        <v>24</v>
      </c>
      <c r="DU32" s="141">
        <f>IF(AND('Resumo das informações'!$H$61&lt;&gt;"SIM",'Resumo das informações'!$F$61&gt;0,'Resumo das informações'!$G$61&gt;='Proteção Familiar'!$DT32),'Resumo das informações'!$F$61,0)</f>
        <v>0</v>
      </c>
      <c r="DV32" s="141">
        <f>IF(AND('Resumo das informações'!$H$62&lt;&gt;"SIM",'Resumo das informações'!$F$62&gt;0,'Resumo das informações'!$G$62&gt;='Proteção Familiar'!$DT32),'Resumo das informações'!$F$62,0)</f>
        <v>0</v>
      </c>
      <c r="DW32" s="141">
        <f>IF(AND('Resumo das informações'!$H$63&lt;&gt;"SIM",'Resumo das informações'!$F$63&gt;0,'Resumo das informações'!$G$63&gt;='Proteção Familiar'!$DT32),'Resumo das informações'!$F$63,0)</f>
        <v>0</v>
      </c>
      <c r="DX32" s="141">
        <f>IF(AND('Resumo das informações'!$H$64&lt;&gt;"SIM",'Resumo das informações'!$F$64&gt;0,'Resumo das informações'!$G$64&gt;='Proteção Familiar'!$DT32),'Resumo das informações'!$F$64,0)</f>
        <v>0</v>
      </c>
      <c r="DY32" s="141">
        <f>IF(AND('Resumo das informações'!$H$65&lt;&gt;"SIM",'Resumo das informações'!$F$65&gt;0,'Resumo das informações'!$G$65&gt;='Proteção Familiar'!$DT32),'Resumo das informações'!$F$65,0)</f>
        <v>0</v>
      </c>
      <c r="DZ32" s="141">
        <f t="shared" si="6"/>
        <v>0</v>
      </c>
      <c r="EA32" s="1"/>
      <c r="EB32" s="1"/>
      <c r="EC32" s="1"/>
      <c r="ED32" s="1"/>
    </row>
    <row r="33" spans="1:134" ht="15.75" customHeight="1" x14ac:dyDescent="0.25">
      <c r="A33" s="1"/>
      <c r="B33" s="1"/>
      <c r="C33" s="7"/>
      <c r="D33" s="35"/>
      <c r="E33" s="79"/>
      <c r="F33" s="79"/>
      <c r="G33" s="79"/>
      <c r="H33" s="79"/>
      <c r="I33" s="79"/>
      <c r="J33" s="146"/>
      <c r="K33" s="79"/>
      <c r="L33" s="79"/>
      <c r="M33" s="306"/>
      <c r="N33" s="306"/>
      <c r="O33" s="381"/>
      <c r="P33" s="381"/>
      <c r="Q33" s="381"/>
      <c r="R33" s="79"/>
      <c r="S33" s="35"/>
      <c r="T33" s="17"/>
      <c r="U33" s="9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32"/>
      <c r="AP33" s="1"/>
      <c r="AQ33" s="1"/>
      <c r="AR33" s="1"/>
      <c r="AS33" s="1"/>
      <c r="AT33" s="1"/>
      <c r="AU33" s="1"/>
      <c r="AV33" s="332">
        <f>'Investimentos - Não Aposentado'!AV33</f>
        <v>51</v>
      </c>
      <c r="AW33" s="335">
        <f>'Investimentos - Não Aposentado'!AW33</f>
        <v>8087130.0295243748</v>
      </c>
      <c r="AX33" s="335">
        <f>'Investimentos - Não Aposentado'!AX33</f>
        <v>8012903.2258064505</v>
      </c>
      <c r="AY33" s="335">
        <f>'Investimentos - Não Aposentado'!AY33</f>
        <v>6530153.535492992</v>
      </c>
      <c r="AZ33" s="335" t="e">
        <f>'Investimentos - Não Aposentado'!AZ33</f>
        <v>#VALUE!</v>
      </c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327"/>
      <c r="BN33" s="141"/>
      <c r="BO33" s="1"/>
      <c r="BP33" s="1"/>
      <c r="BQ33" s="1"/>
      <c r="BR33" s="141">
        <f t="shared" si="7"/>
        <v>1824000</v>
      </c>
      <c r="BS33" s="335">
        <f t="shared" si="8"/>
        <v>48</v>
      </c>
      <c r="BT33" s="141">
        <f t="shared" si="9"/>
        <v>2024000</v>
      </c>
      <c r="BU33" s="1"/>
      <c r="BV33" s="14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41">
        <f>SUM(CI9:CI32)</f>
        <v>0</v>
      </c>
      <c r="CJ33" s="1"/>
      <c r="CK33" s="1"/>
      <c r="CL33" s="1"/>
      <c r="CM33" s="1"/>
      <c r="CN33" s="1"/>
      <c r="CO33" s="1"/>
      <c r="CP33" s="1"/>
      <c r="CQ33" s="141">
        <f>SUM(CQ9:CQ32)</f>
        <v>0</v>
      </c>
      <c r="CR33" s="1"/>
      <c r="CS33" s="1"/>
      <c r="CT33" s="1"/>
      <c r="CU33" s="1"/>
      <c r="CV33" s="1"/>
      <c r="CW33" s="1"/>
      <c r="CX33" s="1"/>
      <c r="CY33" s="141">
        <f>SUM(CY9:CY32)</f>
        <v>0</v>
      </c>
      <c r="CZ33" s="1"/>
      <c r="DA33" s="1"/>
      <c r="DB33" s="1"/>
      <c r="DC33" s="1"/>
      <c r="DD33" s="1"/>
      <c r="DE33" s="1"/>
      <c r="DF33" s="1"/>
      <c r="DG33" s="141">
        <f>SUM(DG9:DG32)</f>
        <v>0</v>
      </c>
      <c r="DH33" s="1"/>
      <c r="DI33" s="1"/>
      <c r="DJ33" s="1"/>
      <c r="DK33" s="1"/>
      <c r="DL33" s="326">
        <v>25</v>
      </c>
      <c r="DM33" s="141">
        <f>IF(AND('Resumo das informações'!$G$36="F",'Resumo das informações'!$I$36&gt;='Proteção Familiar'!$DL33),Dados_montanteprojeto1,0)</f>
        <v>0</v>
      </c>
      <c r="DN33" s="141">
        <f>IF(AND('Resumo das informações'!$G$37="F",'Resumo das informações'!$I$37&gt;='Proteção Familiar'!$DL33),Dados_montanteprojeto2,0)</f>
        <v>0</v>
      </c>
      <c r="DO33" s="141">
        <f>IF(AND('Resumo das informações'!$G$38="F",'Resumo das informações'!$I$38&gt;='Proteção Familiar'!$DL33),Dados_montanteprojeto3,0)</f>
        <v>0</v>
      </c>
      <c r="DP33" s="141">
        <f t="shared" si="5"/>
        <v>0</v>
      </c>
      <c r="DQ33" s="1"/>
      <c r="DR33" s="1"/>
      <c r="DS33" s="1"/>
      <c r="DT33" s="326">
        <v>25</v>
      </c>
      <c r="DU33" s="141">
        <f>IF(AND('Resumo das informações'!$H$61&lt;&gt;"SIM",'Resumo das informações'!$F$61&gt;0,'Resumo das informações'!$G$61&gt;='Proteção Familiar'!$DT33),'Resumo das informações'!$F$61,0)</f>
        <v>0</v>
      </c>
      <c r="DV33" s="141">
        <f>IF(AND('Resumo das informações'!$H$62&lt;&gt;"SIM",'Resumo das informações'!$F$62&gt;0,'Resumo das informações'!$G$62&gt;='Proteção Familiar'!$DT33),'Resumo das informações'!$F$62,0)</f>
        <v>0</v>
      </c>
      <c r="DW33" s="141">
        <f>IF(AND('Resumo das informações'!$H$63&lt;&gt;"SIM",'Resumo das informações'!$F$63&gt;0,'Resumo das informações'!$G$63&gt;='Proteção Familiar'!$DT33),'Resumo das informações'!$F$63,0)</f>
        <v>0</v>
      </c>
      <c r="DX33" s="141">
        <f>IF(AND('Resumo das informações'!$H$64&lt;&gt;"SIM",'Resumo das informações'!$F$64&gt;0,'Resumo das informações'!$G$64&gt;='Proteção Familiar'!$DT33),'Resumo das informações'!$F$64,0)</f>
        <v>0</v>
      </c>
      <c r="DY33" s="141">
        <f>IF(AND('Resumo das informações'!$H$65&lt;&gt;"SIM",'Resumo das informações'!$F$65&gt;0,'Resumo das informações'!$G$65&gt;='Proteção Familiar'!$DT33),'Resumo das informações'!$F$65,0)</f>
        <v>0</v>
      </c>
      <c r="DZ33" s="141">
        <f t="shared" si="6"/>
        <v>0</v>
      </c>
      <c r="EA33" s="1"/>
      <c r="EB33" s="1"/>
      <c r="EC33" s="1"/>
      <c r="ED33" s="1"/>
    </row>
    <row r="34" spans="1:134" ht="11.25" customHeight="1" x14ac:dyDescent="0.25">
      <c r="A34" s="1"/>
      <c r="B34" s="1"/>
      <c r="C34" s="7"/>
      <c r="D34" s="35"/>
      <c r="E34" s="79"/>
      <c r="F34" s="79"/>
      <c r="G34" s="79"/>
      <c r="H34" s="79"/>
      <c r="I34" s="79"/>
      <c r="J34" s="146"/>
      <c r="K34" s="79"/>
      <c r="L34" s="79"/>
      <c r="M34" s="306"/>
      <c r="N34" s="306"/>
      <c r="O34" s="381"/>
      <c r="P34" s="381"/>
      <c r="Q34" s="381"/>
      <c r="R34" s="79"/>
      <c r="S34" s="35"/>
      <c r="T34" s="17"/>
      <c r="U34" s="9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332"/>
      <c r="AP34" s="1"/>
      <c r="AQ34" s="1"/>
      <c r="AR34" s="1"/>
      <c r="AS34" s="1"/>
      <c r="AT34" s="1"/>
      <c r="AU34" s="1"/>
      <c r="AV34" s="332">
        <f>'Investimentos - Não Aposentado'!AV34</f>
        <v>52</v>
      </c>
      <c r="AW34" s="335">
        <f>'Investimentos - Não Aposentado'!AW34</f>
        <v>8091576.4660755936</v>
      </c>
      <c r="AX34" s="335">
        <f>'Investimentos - Não Aposentado'!AX34</f>
        <v>8012903.2258064505</v>
      </c>
      <c r="AY34" s="335">
        <f>'Investimentos - Não Aposentado'!AY34</f>
        <v>6441331.8149138279</v>
      </c>
      <c r="AZ34" s="335" t="e">
        <f>'Investimentos - Não Aposentado'!AZ34</f>
        <v>#VALUE!</v>
      </c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327"/>
      <c r="BN34" s="141"/>
      <c r="BO34" s="1"/>
      <c r="BP34" s="1"/>
      <c r="BQ34" s="1"/>
      <c r="BR34" s="141">
        <f t="shared" si="7"/>
        <v>1704000</v>
      </c>
      <c r="BS34" s="335">
        <f t="shared" si="8"/>
        <v>49</v>
      </c>
      <c r="BT34" s="141">
        <f t="shared" si="9"/>
        <v>1904000</v>
      </c>
      <c r="BU34" s="1"/>
      <c r="BV34" s="14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326">
        <v>26</v>
      </c>
      <c r="DM34" s="141">
        <f>IF(AND('Resumo das informações'!$G$36="F",'Resumo das informações'!$I$36&gt;='Proteção Familiar'!$DL34),Dados_montanteprojeto1,0)</f>
        <v>0</v>
      </c>
      <c r="DN34" s="141">
        <f>IF(AND('Resumo das informações'!$G$37="F",'Resumo das informações'!$I$37&gt;='Proteção Familiar'!$DL34),Dados_montanteprojeto2,0)</f>
        <v>0</v>
      </c>
      <c r="DO34" s="141">
        <f>IF(AND('Resumo das informações'!$G$38="F",'Resumo das informações'!$I$38&gt;='Proteção Familiar'!$DL34),Dados_montanteprojeto3,0)</f>
        <v>0</v>
      </c>
      <c r="DP34" s="141">
        <f t="shared" si="5"/>
        <v>0</v>
      </c>
      <c r="DQ34" s="1"/>
      <c r="DR34" s="1"/>
      <c r="DS34" s="1"/>
      <c r="DT34" s="326">
        <v>26</v>
      </c>
      <c r="DU34" s="141">
        <f>IF(AND('Resumo das informações'!$H$61&lt;&gt;"SIM",'Resumo das informações'!$F$61&gt;0,'Resumo das informações'!$G$61&gt;='Proteção Familiar'!$DT34),'Resumo das informações'!$F$61,0)</f>
        <v>0</v>
      </c>
      <c r="DV34" s="141">
        <f>IF(AND('Resumo das informações'!$H$62&lt;&gt;"SIM",'Resumo das informações'!$F$62&gt;0,'Resumo das informações'!$G$62&gt;='Proteção Familiar'!$DT34),'Resumo das informações'!$F$62,0)</f>
        <v>0</v>
      </c>
      <c r="DW34" s="141">
        <f>IF(AND('Resumo das informações'!$H$63&lt;&gt;"SIM",'Resumo das informações'!$F$63&gt;0,'Resumo das informações'!$G$63&gt;='Proteção Familiar'!$DT34),'Resumo das informações'!$F$63,0)</f>
        <v>0</v>
      </c>
      <c r="DX34" s="141">
        <f>IF(AND('Resumo das informações'!$H$64&lt;&gt;"SIM",'Resumo das informações'!$F$64&gt;0,'Resumo das informações'!$G$64&gt;='Proteção Familiar'!$DT34),'Resumo das informações'!$F$64,0)</f>
        <v>0</v>
      </c>
      <c r="DY34" s="141">
        <f>IF(AND('Resumo das informações'!$H$65&lt;&gt;"SIM",'Resumo das informações'!$F$65&gt;0,'Resumo das informações'!$G$65&gt;='Proteção Familiar'!$DT34),'Resumo das informações'!$F$65,0)</f>
        <v>0</v>
      </c>
      <c r="DZ34" s="141">
        <f t="shared" si="6"/>
        <v>0</v>
      </c>
      <c r="EA34" s="1"/>
      <c r="EB34" s="1"/>
      <c r="EC34" s="1"/>
      <c r="ED34" s="1"/>
    </row>
    <row r="35" spans="1:134" ht="21.75" customHeight="1" x14ac:dyDescent="0.25">
      <c r="A35" s="1"/>
      <c r="B35" s="1"/>
      <c r="C35" s="7"/>
      <c r="D35" s="35"/>
      <c r="E35" s="382" t="s">
        <v>155</v>
      </c>
      <c r="F35" s="383" t="s">
        <v>32</v>
      </c>
      <c r="G35" s="384" t="s">
        <v>203</v>
      </c>
      <c r="H35" s="384"/>
      <c r="I35" s="385" t="s">
        <v>204</v>
      </c>
      <c r="J35" s="146"/>
      <c r="K35" s="79"/>
      <c r="L35" s="79"/>
      <c r="M35" s="79"/>
      <c r="N35" s="79"/>
      <c r="O35" s="79"/>
      <c r="P35" s="79"/>
      <c r="Q35" s="79"/>
      <c r="R35" s="79"/>
      <c r="S35" s="35"/>
      <c r="T35" s="17"/>
      <c r="U35" s="9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332"/>
      <c r="AP35" s="1"/>
      <c r="AQ35" s="1"/>
      <c r="AR35" s="1"/>
      <c r="AS35" s="1"/>
      <c r="AT35" s="1"/>
      <c r="AU35" s="1"/>
      <c r="AV35" s="332">
        <f>'Investimentos - Não Aposentado'!AV35</f>
        <v>53</v>
      </c>
      <c r="AW35" s="335">
        <f>'Investimentos - Não Aposentado'!AW35</f>
        <v>8096289.2592124883</v>
      </c>
      <c r="AX35" s="335">
        <f>'Investimentos - Não Aposentado'!AX35</f>
        <v>8012903.2258064505</v>
      </c>
      <c r="AY35" s="335">
        <f>'Investimentos - Não Aposentado'!AY35</f>
        <v>6347189.3729086658</v>
      </c>
      <c r="AZ35" s="335" t="e">
        <f>'Investimentos - Não Aposentado'!AZ35</f>
        <v>#VALUE!</v>
      </c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327"/>
      <c r="BN35" s="141"/>
      <c r="BO35" s="1"/>
      <c r="BP35" s="1"/>
      <c r="BQ35" s="1"/>
      <c r="BR35" s="141">
        <f t="shared" si="7"/>
        <v>1584000</v>
      </c>
      <c r="BS35" s="335">
        <f t="shared" si="8"/>
        <v>50</v>
      </c>
      <c r="BT35" s="141">
        <f t="shared" si="9"/>
        <v>1784000</v>
      </c>
      <c r="BU35" s="1"/>
      <c r="BV35" s="14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326">
        <v>27</v>
      </c>
      <c r="DM35" s="141">
        <f>IF(AND('Resumo das informações'!$G$36="F",'Resumo das informações'!$I$36&gt;='Proteção Familiar'!$DL35),Dados_montanteprojeto1,0)</f>
        <v>0</v>
      </c>
      <c r="DN35" s="141">
        <f>IF(AND('Resumo das informações'!$G$37="F",'Resumo das informações'!$I$37&gt;='Proteção Familiar'!$DL35),Dados_montanteprojeto2,0)</f>
        <v>0</v>
      </c>
      <c r="DO35" s="141">
        <f>IF(AND('Resumo das informações'!$G$38="F",'Resumo das informações'!$I$38&gt;='Proteção Familiar'!$DL35),Dados_montanteprojeto3,0)</f>
        <v>0</v>
      </c>
      <c r="DP35" s="141">
        <f t="shared" si="5"/>
        <v>0</v>
      </c>
      <c r="DQ35" s="1"/>
      <c r="DR35" s="1"/>
      <c r="DS35" s="1"/>
      <c r="DT35" s="326">
        <v>27</v>
      </c>
      <c r="DU35" s="141">
        <f>IF(AND('Resumo das informações'!$H$61&lt;&gt;"SIM",'Resumo das informações'!$F$61&gt;0,'Resumo das informações'!$G$61&gt;='Proteção Familiar'!$DT35),'Resumo das informações'!$F$61,0)</f>
        <v>0</v>
      </c>
      <c r="DV35" s="141">
        <f>IF(AND('Resumo das informações'!$H$62&lt;&gt;"SIM",'Resumo das informações'!$F$62&gt;0,'Resumo das informações'!$G$62&gt;='Proteção Familiar'!$DT35),'Resumo das informações'!$F$62,0)</f>
        <v>0</v>
      </c>
      <c r="DW35" s="141">
        <f>IF(AND('Resumo das informações'!$H$63&lt;&gt;"SIM",'Resumo das informações'!$F$63&gt;0,'Resumo das informações'!$G$63&gt;='Proteção Familiar'!$DT35),'Resumo das informações'!$F$63,0)</f>
        <v>0</v>
      </c>
      <c r="DX35" s="141">
        <f>IF(AND('Resumo das informações'!$H$64&lt;&gt;"SIM",'Resumo das informações'!$F$64&gt;0,'Resumo das informações'!$G$64&gt;='Proteção Familiar'!$DT35),'Resumo das informações'!$F$64,0)</f>
        <v>0</v>
      </c>
      <c r="DY35" s="141">
        <f>IF(AND('Resumo das informações'!$H$65&lt;&gt;"SIM",'Resumo das informações'!$F$65&gt;0,'Resumo das informações'!$G$65&gt;='Proteção Familiar'!$DT35),'Resumo das informações'!$F$65,0)</f>
        <v>0</v>
      </c>
      <c r="DZ35" s="141">
        <f t="shared" si="6"/>
        <v>0</v>
      </c>
      <c r="EA35" s="1"/>
      <c r="EB35" s="1"/>
      <c r="EC35" s="1"/>
      <c r="ED35" s="1"/>
    </row>
    <row r="36" spans="1:134" ht="15.75" customHeight="1" x14ac:dyDescent="0.25">
      <c r="A36" s="1"/>
      <c r="B36" s="1"/>
      <c r="C36" s="7"/>
      <c r="D36" s="35"/>
      <c r="E36" s="285" t="str">
        <f>'Resumo das informações'!E18</f>
        <v>Carteira</v>
      </c>
      <c r="F36" s="386">
        <f>'Resumo das informações'!F18</f>
        <v>1000000</v>
      </c>
      <c r="G36" s="387" t="str">
        <f t="shared" ref="G36:G40" si="17">IF(F36&gt;0,"Sim","")</f>
        <v>Sim</v>
      </c>
      <c r="H36" s="387"/>
      <c r="I36" s="388" t="str">
        <f t="shared" ref="I36:I39" si="18">IF(F36&gt;0,"Sim","")</f>
        <v>Sim</v>
      </c>
      <c r="J36" s="146"/>
      <c r="K36" s="801"/>
      <c r="L36" s="569"/>
      <c r="M36" s="306"/>
      <c r="N36" s="801"/>
      <c r="O36" s="569"/>
      <c r="P36" s="79"/>
      <c r="Q36" s="801"/>
      <c r="R36" s="569"/>
      <c r="S36" s="35"/>
      <c r="T36" s="17"/>
      <c r="U36" s="9"/>
      <c r="V36" s="1"/>
      <c r="W36" s="1"/>
      <c r="X36" s="1"/>
      <c r="Y36" s="1"/>
      <c r="Z36" s="612" t="s">
        <v>113</v>
      </c>
      <c r="AA36" s="613"/>
      <c r="AB36" s="614"/>
      <c r="AC36" s="618">
        <f>IFERROR(PMT('Proteção Familiar'!i_real_atual,'Proteção Familiar'!n,F115,-'Proteção Familiar'!FV,0),0)</f>
        <v>0</v>
      </c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332"/>
      <c r="AP36" s="1"/>
      <c r="AQ36" s="1"/>
      <c r="AR36" s="1"/>
      <c r="AS36" s="1"/>
      <c r="AT36" s="1"/>
      <c r="AU36" s="1"/>
      <c r="AV36" s="332">
        <f>'Investimentos - Não Aposentado'!AV36</f>
        <v>54</v>
      </c>
      <c r="AW36" s="335">
        <f>'Investimentos - Não Aposentado'!AW36</f>
        <v>8101284.3645952661</v>
      </c>
      <c r="AX36" s="335">
        <f>'Investimentos - Não Aposentado'!AX36</f>
        <v>8012903.2258064505</v>
      </c>
      <c r="AY36" s="335">
        <f>'Investimentos - Não Aposentado'!AY36</f>
        <v>6247407.4802713105</v>
      </c>
      <c r="AZ36" s="335" t="e">
        <f>'Investimentos - Não Aposentado'!AZ36</f>
        <v>#VALUE!</v>
      </c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327"/>
      <c r="BN36" s="141"/>
      <c r="BO36" s="1"/>
      <c r="BP36" s="1"/>
      <c r="BQ36" s="1"/>
      <c r="BR36" s="141">
        <f t="shared" si="7"/>
        <v>1464000</v>
      </c>
      <c r="BS36" s="335">
        <f t="shared" si="8"/>
        <v>51</v>
      </c>
      <c r="BT36" s="141">
        <f t="shared" si="9"/>
        <v>1664000</v>
      </c>
      <c r="BU36" s="1"/>
      <c r="BV36" s="14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326">
        <v>28</v>
      </c>
      <c r="DM36" s="141">
        <f>IF(AND('Resumo das informações'!$G$36="F",'Resumo das informações'!$I$36&gt;='Proteção Familiar'!$DL36),Dados_montanteprojeto1,0)</f>
        <v>0</v>
      </c>
      <c r="DN36" s="141">
        <f>IF(AND('Resumo das informações'!$G$37="F",'Resumo das informações'!$I$37&gt;='Proteção Familiar'!$DL36),Dados_montanteprojeto2,0)</f>
        <v>0</v>
      </c>
      <c r="DO36" s="141">
        <f>IF(AND('Resumo das informações'!$G$38="F",'Resumo das informações'!$I$38&gt;='Proteção Familiar'!$DL36),Dados_montanteprojeto3,0)</f>
        <v>0</v>
      </c>
      <c r="DP36" s="141">
        <f t="shared" si="5"/>
        <v>0</v>
      </c>
      <c r="DQ36" s="1"/>
      <c r="DR36" s="1"/>
      <c r="DS36" s="1"/>
      <c r="DT36" s="326">
        <v>28</v>
      </c>
      <c r="DU36" s="141">
        <f>IF(AND('Resumo das informações'!$H$61&lt;&gt;"SIM",'Resumo das informações'!$F$61&gt;0,'Resumo das informações'!$G$61&gt;='Proteção Familiar'!$DT36),'Resumo das informações'!$F$61,0)</f>
        <v>0</v>
      </c>
      <c r="DV36" s="141">
        <f>IF(AND('Resumo das informações'!$H$62&lt;&gt;"SIM",'Resumo das informações'!$F$62&gt;0,'Resumo das informações'!$G$62&gt;='Proteção Familiar'!$DT36),'Resumo das informações'!$F$62,0)</f>
        <v>0</v>
      </c>
      <c r="DW36" s="141">
        <f>IF(AND('Resumo das informações'!$H$63&lt;&gt;"SIM",'Resumo das informações'!$F$63&gt;0,'Resumo das informações'!$G$63&gt;='Proteção Familiar'!$DT36),'Resumo das informações'!$F$63,0)</f>
        <v>0</v>
      </c>
      <c r="DX36" s="141">
        <f>IF(AND('Resumo das informações'!$H$64&lt;&gt;"SIM",'Resumo das informações'!$F$64&gt;0,'Resumo das informações'!$G$64&gt;='Proteção Familiar'!$DT36),'Resumo das informações'!$F$64,0)</f>
        <v>0</v>
      </c>
      <c r="DY36" s="141">
        <f>IF(AND('Resumo das informações'!$H$65&lt;&gt;"SIM",'Resumo das informações'!$F$65&gt;0,'Resumo das informações'!$G$65&gt;='Proteção Familiar'!$DT36),'Resumo das informações'!$F$65,0)</f>
        <v>0</v>
      </c>
      <c r="DZ36" s="141">
        <f t="shared" si="6"/>
        <v>0</v>
      </c>
      <c r="EA36" s="1"/>
      <c r="EB36" s="1"/>
      <c r="EC36" s="1"/>
      <c r="ED36" s="1"/>
    </row>
    <row r="37" spans="1:134" ht="15.75" customHeight="1" x14ac:dyDescent="0.3">
      <c r="A37" s="1"/>
      <c r="B37" s="1"/>
      <c r="C37" s="7"/>
      <c r="D37" s="35"/>
      <c r="E37" s="294">
        <f>'Resumo das informações'!E19</f>
        <v>0</v>
      </c>
      <c r="F37" s="389">
        <f>'Resumo das informações'!F19</f>
        <v>0</v>
      </c>
      <c r="G37" s="390" t="str">
        <f t="shared" si="17"/>
        <v/>
      </c>
      <c r="H37" s="390"/>
      <c r="I37" s="391" t="str">
        <f t="shared" si="18"/>
        <v/>
      </c>
      <c r="J37" s="35"/>
      <c r="K37" s="802"/>
      <c r="L37" s="569"/>
      <c r="M37" s="94"/>
      <c r="N37" s="802"/>
      <c r="O37" s="569"/>
      <c r="P37" s="79"/>
      <c r="Q37" s="802"/>
      <c r="R37" s="569"/>
      <c r="S37" s="35"/>
      <c r="T37" s="17"/>
      <c r="U37" s="9"/>
      <c r="V37" s="1"/>
      <c r="W37" s="1"/>
      <c r="X37" s="1"/>
      <c r="Y37" s="1"/>
      <c r="Z37" s="615"/>
      <c r="AA37" s="616"/>
      <c r="AB37" s="617"/>
      <c r="AC37" s="61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332"/>
      <c r="AP37" s="1"/>
      <c r="AQ37" s="1"/>
      <c r="AR37" s="1"/>
      <c r="AS37" s="1"/>
      <c r="AT37" s="1"/>
      <c r="AU37" s="1"/>
      <c r="AV37" s="332">
        <f>'Investimentos - Não Aposentado'!AV37</f>
        <v>55</v>
      </c>
      <c r="AW37" s="335">
        <f>'Investimentos - Não Aposentado'!AW37</f>
        <v>8106578.6936821323</v>
      </c>
      <c r="AX37" s="335">
        <f>'Investimentos - Não Aposentado'!AX37</f>
        <v>8012903.2258064505</v>
      </c>
      <c r="AY37" s="335">
        <f>'Investimentos - Não Aposentado'!AY37</f>
        <v>6141648.3148382874</v>
      </c>
      <c r="AZ37" s="335" t="e">
        <f>'Investimentos - Não Aposentado'!AZ37</f>
        <v>#VALUE!</v>
      </c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327"/>
      <c r="BN37" s="141"/>
      <c r="BO37" s="1"/>
      <c r="BP37" s="1"/>
      <c r="BQ37" s="1"/>
      <c r="BR37" s="141">
        <f t="shared" si="7"/>
        <v>1344000</v>
      </c>
      <c r="BS37" s="335">
        <f t="shared" si="8"/>
        <v>52</v>
      </c>
      <c r="BT37" s="141">
        <f t="shared" si="9"/>
        <v>1544000</v>
      </c>
      <c r="BU37" s="1"/>
      <c r="BV37" s="14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326">
        <v>29</v>
      </c>
      <c r="DM37" s="141">
        <f>IF(AND('Resumo das informações'!$G$36="F",'Resumo das informações'!$I$36&gt;='Proteção Familiar'!$DL37),Dados_montanteprojeto1,0)</f>
        <v>0</v>
      </c>
      <c r="DN37" s="141">
        <f>IF(AND('Resumo das informações'!$G$37="F",'Resumo das informações'!$I$37&gt;='Proteção Familiar'!$DL37),Dados_montanteprojeto2,0)</f>
        <v>0</v>
      </c>
      <c r="DO37" s="141">
        <f>IF(AND('Resumo das informações'!$G$38="F",'Resumo das informações'!$I$38&gt;='Proteção Familiar'!$DL37),Dados_montanteprojeto3,0)</f>
        <v>0</v>
      </c>
      <c r="DP37" s="141">
        <f t="shared" si="5"/>
        <v>0</v>
      </c>
      <c r="DQ37" s="1"/>
      <c r="DR37" s="1"/>
      <c r="DS37" s="1"/>
      <c r="DT37" s="326">
        <v>29</v>
      </c>
      <c r="DU37" s="141">
        <f>IF(AND('Resumo das informações'!$H$61&lt;&gt;"SIM",'Resumo das informações'!$F$61&gt;0,'Resumo das informações'!$G$61&gt;='Proteção Familiar'!$DT37),'Resumo das informações'!$F$61,0)</f>
        <v>0</v>
      </c>
      <c r="DV37" s="141">
        <f>IF(AND('Resumo das informações'!$H$62&lt;&gt;"SIM",'Resumo das informações'!$F$62&gt;0,'Resumo das informações'!$G$62&gt;='Proteção Familiar'!$DT37),'Resumo das informações'!$F$62,0)</f>
        <v>0</v>
      </c>
      <c r="DW37" s="141">
        <f>IF(AND('Resumo das informações'!$H$63&lt;&gt;"SIM",'Resumo das informações'!$F$63&gt;0,'Resumo das informações'!$G$63&gt;='Proteção Familiar'!$DT37),'Resumo das informações'!$F$63,0)</f>
        <v>0</v>
      </c>
      <c r="DX37" s="141">
        <f>IF(AND('Resumo das informações'!$H$64&lt;&gt;"SIM",'Resumo das informações'!$F$64&gt;0,'Resumo das informações'!$G$64&gt;='Proteção Familiar'!$DT37),'Resumo das informações'!$F$64,0)</f>
        <v>0</v>
      </c>
      <c r="DY37" s="141">
        <f>IF(AND('Resumo das informações'!$H$65&lt;&gt;"SIM",'Resumo das informações'!$F$65&gt;0,'Resumo das informações'!$G$65&gt;='Proteção Familiar'!$DT37),'Resumo das informações'!$F$65,0)</f>
        <v>0</v>
      </c>
      <c r="DZ37" s="141">
        <f t="shared" si="6"/>
        <v>0</v>
      </c>
      <c r="EA37" s="1"/>
      <c r="EB37" s="1"/>
      <c r="EC37" s="1"/>
      <c r="ED37" s="1"/>
    </row>
    <row r="38" spans="1:134" ht="15.75" customHeight="1" x14ac:dyDescent="0.25">
      <c r="A38" s="1"/>
      <c r="B38" s="1"/>
      <c r="C38" s="7"/>
      <c r="D38" s="35"/>
      <c r="E38" s="285">
        <f>'Resumo das informações'!E20</f>
        <v>0</v>
      </c>
      <c r="F38" s="386">
        <f>'Resumo das informações'!F20</f>
        <v>0</v>
      </c>
      <c r="G38" s="387" t="str">
        <f t="shared" si="17"/>
        <v/>
      </c>
      <c r="H38" s="387"/>
      <c r="I38" s="388" t="str">
        <f t="shared" si="18"/>
        <v/>
      </c>
      <c r="J38" s="35"/>
      <c r="K38" s="79"/>
      <c r="L38" s="79"/>
      <c r="M38" s="79"/>
      <c r="N38" s="79"/>
      <c r="O38" s="79"/>
      <c r="P38" s="94"/>
      <c r="Q38" s="79"/>
      <c r="R38" s="79"/>
      <c r="S38" s="35"/>
      <c r="T38" s="17"/>
      <c r="U38" s="9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332"/>
      <c r="AP38" s="1"/>
      <c r="AQ38" s="1"/>
      <c r="AR38" s="1"/>
      <c r="AS38" s="1"/>
      <c r="AT38" s="1"/>
      <c r="AU38" s="1"/>
      <c r="AV38" s="332">
        <f>'Investimentos - Não Aposentado'!AV38</f>
        <v>56</v>
      </c>
      <c r="AW38" s="335">
        <f>'Investimentos - Não Aposentado'!AW38</f>
        <v>8112190.1709848307</v>
      </c>
      <c r="AX38" s="335">
        <f>'Investimentos - Não Aposentado'!AX38</f>
        <v>8012903.2258064505</v>
      </c>
      <c r="AY38" s="335">
        <f>'Investimentos - Não Aposentado'!AY38</f>
        <v>6029553.8177561369</v>
      </c>
      <c r="AZ38" s="335" t="e">
        <f>'Investimentos - Não Aposentado'!AZ38</f>
        <v>#VALUE!</v>
      </c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327"/>
      <c r="BN38" s="141"/>
      <c r="BO38" s="1"/>
      <c r="BP38" s="1"/>
      <c r="BQ38" s="1"/>
      <c r="BR38" s="141">
        <f t="shared" si="7"/>
        <v>1224000</v>
      </c>
      <c r="BS38" s="335">
        <f t="shared" si="8"/>
        <v>53</v>
      </c>
      <c r="BT38" s="141">
        <f t="shared" si="9"/>
        <v>1424000</v>
      </c>
      <c r="BU38" s="1"/>
      <c r="BV38" s="14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326">
        <v>30</v>
      </c>
      <c r="DM38" s="141">
        <f>IF(AND('Resumo das informações'!$G$36="F",'Resumo das informações'!$I$36&gt;='Proteção Familiar'!$DL38),Dados_montanteprojeto1,0)</f>
        <v>0</v>
      </c>
      <c r="DN38" s="141">
        <f>IF(AND('Resumo das informações'!$G$37="F",'Resumo das informações'!$I$37&gt;='Proteção Familiar'!$DL38),Dados_montanteprojeto2,0)</f>
        <v>0</v>
      </c>
      <c r="DO38" s="141">
        <f>IF(AND('Resumo das informações'!$G$38="F",'Resumo das informações'!$I$38&gt;='Proteção Familiar'!$DL38),Dados_montanteprojeto3,0)</f>
        <v>0</v>
      </c>
      <c r="DP38" s="141">
        <f t="shared" si="5"/>
        <v>0</v>
      </c>
      <c r="DQ38" s="1"/>
      <c r="DR38" s="1"/>
      <c r="DS38" s="1"/>
      <c r="DT38" s="326">
        <v>30</v>
      </c>
      <c r="DU38" s="141">
        <f>IF(AND('Resumo das informações'!$H$61&lt;&gt;"SIM",'Resumo das informações'!$F$61&gt;0,'Resumo das informações'!$G$61&gt;='Proteção Familiar'!$DT38),'Resumo das informações'!$F$61,0)</f>
        <v>0</v>
      </c>
      <c r="DV38" s="141">
        <f>IF(AND('Resumo das informações'!$H$62&lt;&gt;"SIM",'Resumo das informações'!$F$62&gt;0,'Resumo das informações'!$G$62&gt;='Proteção Familiar'!$DT38),'Resumo das informações'!$F$62,0)</f>
        <v>0</v>
      </c>
      <c r="DW38" s="141">
        <f>IF(AND('Resumo das informações'!$H$63&lt;&gt;"SIM",'Resumo das informações'!$F$63&gt;0,'Resumo das informações'!$G$63&gt;='Proteção Familiar'!$DT38),'Resumo das informações'!$F$63,0)</f>
        <v>0</v>
      </c>
      <c r="DX38" s="141">
        <f>IF(AND('Resumo das informações'!$H$64&lt;&gt;"SIM",'Resumo das informações'!$F$64&gt;0,'Resumo das informações'!$G$64&gt;='Proteção Familiar'!$DT38),'Resumo das informações'!$F$64,0)</f>
        <v>0</v>
      </c>
      <c r="DY38" s="141">
        <f>IF(AND('Resumo das informações'!$H$65&lt;&gt;"SIM",'Resumo das informações'!$F$65&gt;0,'Resumo das informações'!$G$65&gt;='Proteção Familiar'!$DT38),'Resumo das informações'!$F$65,0)</f>
        <v>0</v>
      </c>
      <c r="DZ38" s="141">
        <f t="shared" si="6"/>
        <v>0</v>
      </c>
      <c r="EA38" s="1"/>
      <c r="EB38" s="1"/>
      <c r="EC38" s="1"/>
      <c r="ED38" s="1"/>
    </row>
    <row r="39" spans="1:134" ht="15.75" customHeight="1" x14ac:dyDescent="0.25">
      <c r="A39" s="1"/>
      <c r="B39" s="1"/>
      <c r="C39" s="7"/>
      <c r="D39" s="35"/>
      <c r="E39" s="294">
        <f>'Resumo das informações'!E21</f>
        <v>0</v>
      </c>
      <c r="F39" s="392">
        <f>'Resumo das informações'!F21</f>
        <v>0</v>
      </c>
      <c r="G39" s="390" t="str">
        <f t="shared" si="17"/>
        <v/>
      </c>
      <c r="H39" s="390"/>
      <c r="I39" s="391" t="str">
        <f t="shared" si="18"/>
        <v/>
      </c>
      <c r="J39" s="146"/>
      <c r="K39" s="801"/>
      <c r="L39" s="569"/>
      <c r="M39" s="156"/>
      <c r="N39" s="801"/>
      <c r="O39" s="569"/>
      <c r="P39" s="94"/>
      <c r="Q39" s="801"/>
      <c r="R39" s="569"/>
      <c r="S39" s="35"/>
      <c r="T39" s="17"/>
      <c r="U39" s="9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332"/>
      <c r="AP39" s="1"/>
      <c r="AQ39" s="1"/>
      <c r="AR39" s="1"/>
      <c r="AS39" s="1"/>
      <c r="AT39" s="1"/>
      <c r="AU39" s="1"/>
      <c r="AV39" s="332">
        <f>'Investimentos - Não Aposentado'!AV39</f>
        <v>57</v>
      </c>
      <c r="AW39" s="335">
        <f>'Investimentos - Não Aposentado'!AW39</f>
        <v>8118137.7947539706</v>
      </c>
      <c r="AX39" s="335">
        <f>'Investimentos - Não Aposentado'!AX39</f>
        <v>8012903.2258064505</v>
      </c>
      <c r="AY39" s="335">
        <f>'Investimentos - Não Aposentado'!AY39</f>
        <v>5910744.481235248</v>
      </c>
      <c r="AZ39" s="335" t="e">
        <f>'Investimentos - Não Aposentado'!AZ39</f>
        <v>#VALUE!</v>
      </c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327"/>
      <c r="BN39" s="141"/>
      <c r="BO39" s="1"/>
      <c r="BP39" s="1"/>
      <c r="BQ39" s="1"/>
      <c r="BR39" s="141">
        <f t="shared" si="7"/>
        <v>1104000</v>
      </c>
      <c r="BS39" s="335">
        <f t="shared" si="8"/>
        <v>54</v>
      </c>
      <c r="BT39" s="141">
        <f t="shared" si="9"/>
        <v>1304000</v>
      </c>
      <c r="BU39" s="1"/>
      <c r="BV39" s="14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326">
        <v>31</v>
      </c>
      <c r="DM39" s="141">
        <f>IF(AND('Resumo das informações'!$G$36="F",'Resumo das informações'!$I$36&gt;='Proteção Familiar'!$DL39),Dados_montanteprojeto1,0)</f>
        <v>0</v>
      </c>
      <c r="DN39" s="141">
        <f>IF(AND('Resumo das informações'!$G$37="F",'Resumo das informações'!$I$37&gt;='Proteção Familiar'!$DL39),Dados_montanteprojeto2,0)</f>
        <v>0</v>
      </c>
      <c r="DO39" s="141">
        <f>IF(AND('Resumo das informações'!$G$38="F",'Resumo das informações'!$I$38&gt;='Proteção Familiar'!$DL39),Dados_montanteprojeto3,0)</f>
        <v>0</v>
      </c>
      <c r="DP39" s="141">
        <f t="shared" si="5"/>
        <v>0</v>
      </c>
      <c r="DQ39" s="1"/>
      <c r="DR39" s="1"/>
      <c r="DS39" s="1"/>
      <c r="DT39" s="326">
        <v>31</v>
      </c>
      <c r="DU39" s="141">
        <f>IF(AND('Resumo das informações'!$H$61&lt;&gt;"SIM",'Resumo das informações'!$F$61&gt;0,'Resumo das informações'!$G$61&gt;='Proteção Familiar'!$DT39),'Resumo das informações'!$F$61,0)</f>
        <v>0</v>
      </c>
      <c r="DV39" s="141">
        <f>IF(AND('Resumo das informações'!$H$62&lt;&gt;"SIM",'Resumo das informações'!$F$62&gt;0,'Resumo das informações'!$G$62&gt;='Proteção Familiar'!$DT39),'Resumo das informações'!$F$62,0)</f>
        <v>0</v>
      </c>
      <c r="DW39" s="141">
        <f>IF(AND('Resumo das informações'!$H$63&lt;&gt;"SIM",'Resumo das informações'!$F$63&gt;0,'Resumo das informações'!$G$63&gt;='Proteção Familiar'!$DT39),'Resumo das informações'!$F$63,0)</f>
        <v>0</v>
      </c>
      <c r="DX39" s="141">
        <f>IF(AND('Resumo das informações'!$H$64&lt;&gt;"SIM",'Resumo das informações'!$F$64&gt;0,'Resumo das informações'!$G$64&gt;='Proteção Familiar'!$DT39),'Resumo das informações'!$F$64,0)</f>
        <v>0</v>
      </c>
      <c r="DY39" s="141">
        <f>IF(AND('Resumo das informações'!$H$65&lt;&gt;"SIM",'Resumo das informações'!$F$65&gt;0,'Resumo das informações'!$G$65&gt;='Proteção Familiar'!$DT39),'Resumo das informações'!$F$65,0)</f>
        <v>0</v>
      </c>
      <c r="DZ39" s="141">
        <f t="shared" si="6"/>
        <v>0</v>
      </c>
      <c r="EA39" s="1"/>
      <c r="EB39" s="1"/>
      <c r="EC39" s="1"/>
      <c r="ED39" s="1"/>
    </row>
    <row r="40" spans="1:134" ht="15.75" customHeight="1" x14ac:dyDescent="0.3">
      <c r="A40" s="1"/>
      <c r="B40" s="1"/>
      <c r="C40" s="7"/>
      <c r="D40" s="35"/>
      <c r="E40" s="285" t="str">
        <f>IF(F40&gt;0,'Resumo das informações'!E22,"")</f>
        <v/>
      </c>
      <c r="F40" s="386">
        <f>'Resumo das informações'!F22</f>
        <v>0</v>
      </c>
      <c r="G40" s="387" t="str">
        <f t="shared" si="17"/>
        <v/>
      </c>
      <c r="H40" s="387"/>
      <c r="I40" s="388" t="str">
        <f>IF(F40&gt;0,"Não","")</f>
        <v/>
      </c>
      <c r="J40" s="146"/>
      <c r="K40" s="798"/>
      <c r="L40" s="569"/>
      <c r="M40" s="306"/>
      <c r="N40" s="798"/>
      <c r="O40" s="569"/>
      <c r="P40" s="79"/>
      <c r="Q40" s="798"/>
      <c r="R40" s="569"/>
      <c r="S40" s="35"/>
      <c r="T40" s="17"/>
      <c r="U40" s="9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332"/>
      <c r="AP40" s="1"/>
      <c r="AQ40" s="1"/>
      <c r="AR40" s="1"/>
      <c r="AS40" s="1"/>
      <c r="AT40" s="1"/>
      <c r="AU40" s="1"/>
      <c r="AV40" s="332">
        <f>'Investimentos - Não Aposentado'!AV40</f>
        <v>58</v>
      </c>
      <c r="AW40" s="335">
        <f>'Investimentos - Não Aposentado'!AW40</f>
        <v>8124441.7012996189</v>
      </c>
      <c r="AX40" s="335">
        <f>'Investimentos - Não Aposentado'!AX40</f>
        <v>8012903.2258064505</v>
      </c>
      <c r="AY40" s="335">
        <f>'Investimentos - Não Aposentado'!AY40</f>
        <v>5784818.0636860551</v>
      </c>
      <c r="AZ40" s="335" t="e">
        <f>'Investimentos - Não Aposentado'!AZ40</f>
        <v>#VALUE!</v>
      </c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327"/>
      <c r="BN40" s="141"/>
      <c r="BO40" s="1"/>
      <c r="BP40" s="1"/>
      <c r="BQ40" s="1"/>
      <c r="BR40" s="141">
        <f t="shared" si="7"/>
        <v>984000</v>
      </c>
      <c r="BS40" s="335">
        <f t="shared" si="8"/>
        <v>55</v>
      </c>
      <c r="BT40" s="141">
        <f t="shared" si="9"/>
        <v>1184000</v>
      </c>
      <c r="BU40" s="1"/>
      <c r="BV40" s="14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326">
        <v>32</v>
      </c>
      <c r="DM40" s="141">
        <f>IF(AND('Resumo das informações'!$G$36="F",'Resumo das informações'!$I$36&gt;='Proteção Familiar'!$DL40),Dados_montanteprojeto1,0)</f>
        <v>0</v>
      </c>
      <c r="DN40" s="141">
        <f>IF(AND('Resumo das informações'!$G$37="F",'Resumo das informações'!$I$37&gt;='Proteção Familiar'!$DL40),Dados_montanteprojeto2,0)</f>
        <v>0</v>
      </c>
      <c r="DO40" s="141">
        <f>IF(AND('Resumo das informações'!$G$38="F",'Resumo das informações'!$I$38&gt;='Proteção Familiar'!$DL40),Dados_montanteprojeto3,0)</f>
        <v>0</v>
      </c>
      <c r="DP40" s="141">
        <f t="shared" si="5"/>
        <v>0</v>
      </c>
      <c r="DQ40" s="1"/>
      <c r="DR40" s="1"/>
      <c r="DS40" s="1"/>
      <c r="DT40" s="326">
        <v>32</v>
      </c>
      <c r="DU40" s="141">
        <f>IF(AND('Resumo das informações'!$H$61&lt;&gt;"SIM",'Resumo das informações'!$F$61&gt;0,'Resumo das informações'!$G$61&gt;='Proteção Familiar'!$DT40),'Resumo das informações'!$F$61,0)</f>
        <v>0</v>
      </c>
      <c r="DV40" s="141">
        <f>IF(AND('Resumo das informações'!$H$62&lt;&gt;"SIM",'Resumo das informações'!$F$62&gt;0,'Resumo das informações'!$G$62&gt;='Proteção Familiar'!$DT40),'Resumo das informações'!$F$62,0)</f>
        <v>0</v>
      </c>
      <c r="DW40" s="141">
        <f>IF(AND('Resumo das informações'!$H$63&lt;&gt;"SIM",'Resumo das informações'!$F$63&gt;0,'Resumo das informações'!$G$63&gt;='Proteção Familiar'!$DT40),'Resumo das informações'!$F$63,0)</f>
        <v>0</v>
      </c>
      <c r="DX40" s="141">
        <f>IF(AND('Resumo das informações'!$H$64&lt;&gt;"SIM",'Resumo das informações'!$F$64&gt;0,'Resumo das informações'!$G$64&gt;='Proteção Familiar'!$DT40),'Resumo das informações'!$F$64,0)</f>
        <v>0</v>
      </c>
      <c r="DY40" s="141">
        <f>IF(AND('Resumo das informações'!$H$65&lt;&gt;"SIM",'Resumo das informações'!$F$65&gt;0,'Resumo das informações'!$G$65&gt;='Proteção Familiar'!$DT40),'Resumo das informações'!$F$65,0)</f>
        <v>0</v>
      </c>
      <c r="DZ40" s="141">
        <f t="shared" si="6"/>
        <v>0</v>
      </c>
      <c r="EA40" s="1"/>
      <c r="EB40" s="1"/>
      <c r="EC40" s="1"/>
      <c r="ED40" s="1"/>
    </row>
    <row r="41" spans="1:134" ht="15.75" customHeight="1" x14ac:dyDescent="0.25">
      <c r="A41" s="1"/>
      <c r="B41" s="1"/>
      <c r="C41" s="7"/>
      <c r="D41" s="35"/>
      <c r="E41" s="294" t="str">
        <f>'Resumo das informações'!E27</f>
        <v>Casa Própria</v>
      </c>
      <c r="F41" s="392">
        <f>'Resumo das informações'!F27:G27</f>
        <v>0</v>
      </c>
      <c r="G41" s="390" t="str">
        <f>IF('Resumo das informações'!H27=0," ",'Resumo das informações'!H27)</f>
        <v>Não</v>
      </c>
      <c r="H41" s="390"/>
      <c r="I41" s="391" t="str">
        <f t="shared" ref="I41:I45" si="19">IF(F41&gt;0,"Sim","")</f>
        <v/>
      </c>
      <c r="J41" s="146"/>
      <c r="K41" s="94"/>
      <c r="L41" s="94"/>
      <c r="M41" s="79"/>
      <c r="N41" s="94"/>
      <c r="O41" s="94"/>
      <c r="P41" s="306"/>
      <c r="Q41" s="94"/>
      <c r="R41" s="94"/>
      <c r="S41" s="35"/>
      <c r="T41" s="17"/>
      <c r="U41" s="9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332"/>
      <c r="AP41" s="1"/>
      <c r="AQ41" s="1"/>
      <c r="AR41" s="1"/>
      <c r="AS41" s="1"/>
      <c r="AT41" s="1"/>
      <c r="AU41" s="1"/>
      <c r="AV41" s="332">
        <f>'Investimentos - Não Aposentado'!AV41</f>
        <v>59</v>
      </c>
      <c r="AW41" s="335">
        <f>'Investimentos - Não Aposentado'!AW41</f>
        <v>8131123.2331649102</v>
      </c>
      <c r="AX41" s="335">
        <f>'Investimentos - Não Aposentado'!AX41</f>
        <v>8012903.2258064505</v>
      </c>
      <c r="AY41" s="335">
        <f>'Investimentos - Não Aposentado'!AY41</f>
        <v>5651348.2278875383</v>
      </c>
      <c r="AZ41" s="335" t="e">
        <f>'Investimentos - Não Aposentado'!AZ41</f>
        <v>#VALUE!</v>
      </c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327"/>
      <c r="BN41" s="141"/>
      <c r="BO41" s="1"/>
      <c r="BP41" s="1"/>
      <c r="BQ41" s="1"/>
      <c r="BR41" s="141">
        <f t="shared" si="7"/>
        <v>864000</v>
      </c>
      <c r="BS41" s="335">
        <f t="shared" si="8"/>
        <v>56</v>
      </c>
      <c r="BT41" s="141">
        <f t="shared" si="9"/>
        <v>1064000</v>
      </c>
      <c r="BU41" s="1"/>
      <c r="BV41" s="14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326">
        <v>33</v>
      </c>
      <c r="DM41" s="141">
        <f>IF(AND('Resumo das informações'!$G$36="F",'Resumo das informações'!$I$36&gt;='Proteção Familiar'!$DL41),Dados_montanteprojeto1,0)</f>
        <v>0</v>
      </c>
      <c r="DN41" s="141">
        <f>IF(AND('Resumo das informações'!$G$37="F",'Resumo das informações'!$I$37&gt;='Proteção Familiar'!$DL41),Dados_montanteprojeto2,0)</f>
        <v>0</v>
      </c>
      <c r="DO41" s="141">
        <f>IF(AND('Resumo das informações'!$G$38="F",'Resumo das informações'!$I$38&gt;='Proteção Familiar'!$DL41),Dados_montanteprojeto3,0)</f>
        <v>0</v>
      </c>
      <c r="DP41" s="141">
        <f t="shared" si="5"/>
        <v>0</v>
      </c>
      <c r="DQ41" s="1"/>
      <c r="DR41" s="1"/>
      <c r="DS41" s="1"/>
      <c r="DT41" s="326">
        <v>33</v>
      </c>
      <c r="DU41" s="141">
        <f>IF(AND('Resumo das informações'!$H$61&lt;&gt;"SIM",'Resumo das informações'!$F$61&gt;0,'Resumo das informações'!$G$61&gt;='Proteção Familiar'!$DT41),'Resumo das informações'!$F$61,0)</f>
        <v>0</v>
      </c>
      <c r="DV41" s="141">
        <f>IF(AND('Resumo das informações'!$H$62&lt;&gt;"SIM",'Resumo das informações'!$F$62&gt;0,'Resumo das informações'!$G$62&gt;='Proteção Familiar'!$DT41),'Resumo das informações'!$F$62,0)</f>
        <v>0</v>
      </c>
      <c r="DW41" s="141">
        <f>IF(AND('Resumo das informações'!$H$63&lt;&gt;"SIM",'Resumo das informações'!$F$63&gt;0,'Resumo das informações'!$G$63&gt;='Proteção Familiar'!$DT41),'Resumo das informações'!$F$63,0)</f>
        <v>0</v>
      </c>
      <c r="DX41" s="141">
        <f>IF(AND('Resumo das informações'!$H$64&lt;&gt;"SIM",'Resumo das informações'!$F$64&gt;0,'Resumo das informações'!$G$64&gt;='Proteção Familiar'!$DT41),'Resumo das informações'!$F$64,0)</f>
        <v>0</v>
      </c>
      <c r="DY41" s="141">
        <f>IF(AND('Resumo das informações'!$H$65&lt;&gt;"SIM",'Resumo das informações'!$F$65&gt;0,'Resumo das informações'!$G$65&gt;='Proteção Familiar'!$DT41),'Resumo das informações'!$F$65,0)</f>
        <v>0</v>
      </c>
      <c r="DZ41" s="141">
        <f t="shared" si="6"/>
        <v>0</v>
      </c>
      <c r="EA41" s="1"/>
      <c r="EB41" s="1"/>
      <c r="EC41" s="1"/>
      <c r="ED41" s="1"/>
    </row>
    <row r="42" spans="1:134" ht="15.75" customHeight="1" x14ac:dyDescent="0.25">
      <c r="A42" s="1"/>
      <c r="B42" s="1"/>
      <c r="C42" s="7"/>
      <c r="D42" s="35"/>
      <c r="E42" s="285" t="str">
        <f>'Resumo das informações'!E28</f>
        <v>Veículo</v>
      </c>
      <c r="F42" s="386">
        <f>'Resumo das informações'!F28:G28</f>
        <v>0</v>
      </c>
      <c r="G42" s="387" t="str">
        <f>IF('Resumo das informações'!H28=0," ",'Resumo das informações'!H28)</f>
        <v>Sim</v>
      </c>
      <c r="H42" s="387"/>
      <c r="I42" s="388" t="str">
        <f t="shared" si="19"/>
        <v/>
      </c>
      <c r="J42" s="146"/>
      <c r="K42" s="799"/>
      <c r="L42" s="569"/>
      <c r="M42" s="156"/>
      <c r="N42" s="799"/>
      <c r="O42" s="569"/>
      <c r="P42" s="79"/>
      <c r="Q42" s="799"/>
      <c r="R42" s="569"/>
      <c r="S42" s="35"/>
      <c r="T42" s="17"/>
      <c r="U42" s="9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332"/>
      <c r="AP42" s="1"/>
      <c r="AQ42" s="1"/>
      <c r="AR42" s="1"/>
      <c r="AS42" s="1"/>
      <c r="AT42" s="1"/>
      <c r="AU42" s="1"/>
      <c r="AV42" s="332">
        <f>'Investimentos - Não Aposentado'!AV42</f>
        <v>60</v>
      </c>
      <c r="AW42" s="335">
        <f>'Investimentos - Não Aposentado'!AW42</f>
        <v>8138205.011383485</v>
      </c>
      <c r="AX42" s="335">
        <f>'Investimentos - Não Aposentado'!AX42</f>
        <v>8012903.2258064505</v>
      </c>
      <c r="AY42" s="335">
        <f>'Investimentos - Não Aposentado'!AY42</f>
        <v>5509883.0975774201</v>
      </c>
      <c r="AZ42" s="335" t="e">
        <f>'Investimentos - Não Aposentado'!AZ42</f>
        <v>#VALUE!</v>
      </c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327"/>
      <c r="BN42" s="141"/>
      <c r="BO42" s="1"/>
      <c r="BP42" s="1"/>
      <c r="BQ42" s="1"/>
      <c r="BR42" s="141">
        <f t="shared" ref="BR42:BR73" si="20">IF(BR41-Total_Gastos_Anual&lt;=0,0,BR41-Total_Gastos_Anual)</f>
        <v>744000</v>
      </c>
      <c r="BS42" s="335">
        <f t="shared" si="8"/>
        <v>57</v>
      </c>
      <c r="BT42" s="141">
        <f t="shared" ref="BT42:BT73" si="21">BR42+DJ41+DP42+DZ42+Total_Planej_Sucessão</f>
        <v>944000</v>
      </c>
      <c r="BU42" s="1"/>
      <c r="BV42" s="14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326">
        <v>34</v>
      </c>
      <c r="DM42" s="141">
        <f>IF(AND('Resumo das informações'!$G$36="F",'Resumo das informações'!$I$36&gt;='Proteção Familiar'!$DL42),Dados_montanteprojeto1,0)</f>
        <v>0</v>
      </c>
      <c r="DN42" s="141">
        <f>IF(AND('Resumo das informações'!$G$37="F",'Resumo das informações'!$I$37&gt;='Proteção Familiar'!$DL42),Dados_montanteprojeto2,0)</f>
        <v>0</v>
      </c>
      <c r="DO42" s="141">
        <f>IF(AND('Resumo das informações'!$G$38="F",'Resumo das informações'!$I$38&gt;='Proteção Familiar'!$DL42),Dados_montanteprojeto3,0)</f>
        <v>0</v>
      </c>
      <c r="DP42" s="141">
        <f t="shared" si="5"/>
        <v>0</v>
      </c>
      <c r="DQ42" s="1"/>
      <c r="DR42" s="1"/>
      <c r="DS42" s="1"/>
      <c r="DT42" s="326">
        <v>34</v>
      </c>
      <c r="DU42" s="141">
        <f>IF(AND('Resumo das informações'!$H$61&lt;&gt;"SIM",'Resumo das informações'!$F$61&gt;0,'Resumo das informações'!$G$61&gt;='Proteção Familiar'!$DT42),'Resumo das informações'!$F$61,0)</f>
        <v>0</v>
      </c>
      <c r="DV42" s="141">
        <f>IF(AND('Resumo das informações'!$H$62&lt;&gt;"SIM",'Resumo das informações'!$F$62&gt;0,'Resumo das informações'!$G$62&gt;='Proteção Familiar'!$DT42),'Resumo das informações'!$F$62,0)</f>
        <v>0</v>
      </c>
      <c r="DW42" s="141">
        <f>IF(AND('Resumo das informações'!$H$63&lt;&gt;"SIM",'Resumo das informações'!$F$63&gt;0,'Resumo das informações'!$G$63&gt;='Proteção Familiar'!$DT42),'Resumo das informações'!$F$63,0)</f>
        <v>0</v>
      </c>
      <c r="DX42" s="141">
        <f>IF(AND('Resumo das informações'!$H$64&lt;&gt;"SIM",'Resumo das informações'!$F$64&gt;0,'Resumo das informações'!$G$64&gt;='Proteção Familiar'!$DT42),'Resumo das informações'!$F$64,0)</f>
        <v>0</v>
      </c>
      <c r="DY42" s="141">
        <f>IF(AND('Resumo das informações'!$H$65&lt;&gt;"SIM",'Resumo das informações'!$F$65&gt;0,'Resumo das informações'!$G$65&gt;='Proteção Familiar'!$DT42),'Resumo das informações'!$F$65,0)</f>
        <v>0</v>
      </c>
      <c r="DZ42" s="141">
        <f t="shared" si="6"/>
        <v>0</v>
      </c>
      <c r="EA42" s="1"/>
      <c r="EB42" s="1"/>
      <c r="EC42" s="1"/>
      <c r="ED42" s="1"/>
    </row>
    <row r="43" spans="1:134" ht="15.75" customHeight="1" x14ac:dyDescent="0.3">
      <c r="A43" s="1"/>
      <c r="B43" s="1"/>
      <c r="C43" s="7"/>
      <c r="D43" s="35"/>
      <c r="E43" s="294">
        <f>'Resumo das informações'!E29</f>
        <v>0</v>
      </c>
      <c r="F43" s="392">
        <f>'Resumo das informações'!F29:G29</f>
        <v>0</v>
      </c>
      <c r="G43" s="390" t="str">
        <f>IF('Resumo das informações'!H29=0," ",'Resumo das informações'!H29)</f>
        <v xml:space="preserve"> </v>
      </c>
      <c r="H43" s="390"/>
      <c r="I43" s="391" t="str">
        <f t="shared" si="19"/>
        <v/>
      </c>
      <c r="J43" s="146"/>
      <c r="K43" s="800"/>
      <c r="L43" s="569"/>
      <c r="M43" s="79"/>
      <c r="N43" s="800"/>
      <c r="O43" s="569"/>
      <c r="P43" s="94"/>
      <c r="Q43" s="800"/>
      <c r="R43" s="569"/>
      <c r="S43" s="35"/>
      <c r="T43" s="17"/>
      <c r="U43" s="9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332"/>
      <c r="AP43" s="1"/>
      <c r="AQ43" s="1"/>
      <c r="AR43" s="1"/>
      <c r="AS43" s="1"/>
      <c r="AT43" s="1"/>
      <c r="AU43" s="1"/>
      <c r="AV43" s="332">
        <f>'Investimentos - Não Aposentado'!AV43</f>
        <v>61</v>
      </c>
      <c r="AW43" s="335">
        <f>'Investimentos - Não Aposentado'!AW43</f>
        <v>8145711.0120653939</v>
      </c>
      <c r="AX43" s="335">
        <f>'Investimentos - Não Aposentado'!AX43</f>
        <v>8012903.2258064505</v>
      </c>
      <c r="AY43" s="335">
        <f>'Investimentos - Não Aposentado'!AY43</f>
        <v>5359943.7275772272</v>
      </c>
      <c r="AZ43" s="335" t="e">
        <f>'Investimentos - Não Aposentado'!AZ43</f>
        <v>#VALUE!</v>
      </c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327"/>
      <c r="BN43" s="141"/>
      <c r="BO43" s="1"/>
      <c r="BP43" s="1"/>
      <c r="BQ43" s="1"/>
      <c r="BR43" s="141">
        <f t="shared" si="20"/>
        <v>624000</v>
      </c>
      <c r="BS43" s="335">
        <f t="shared" si="8"/>
        <v>58</v>
      </c>
      <c r="BT43" s="141">
        <f t="shared" si="21"/>
        <v>824000</v>
      </c>
      <c r="BU43" s="1"/>
      <c r="BV43" s="14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326">
        <v>35</v>
      </c>
      <c r="DM43" s="141">
        <f>IF(AND('Resumo das informações'!$G$36="F",'Resumo das informações'!$I$36&gt;='Proteção Familiar'!$DL43),Dados_montanteprojeto1,0)</f>
        <v>0</v>
      </c>
      <c r="DN43" s="141">
        <f>IF(AND('Resumo das informações'!$G$37="F",'Resumo das informações'!$I$37&gt;='Proteção Familiar'!$DL43),Dados_montanteprojeto2,0)</f>
        <v>0</v>
      </c>
      <c r="DO43" s="141">
        <f>IF(AND('Resumo das informações'!$G$38="F",'Resumo das informações'!$I$38&gt;='Proteção Familiar'!$DL43),Dados_montanteprojeto3,0)</f>
        <v>0</v>
      </c>
      <c r="DP43" s="141">
        <f t="shared" si="5"/>
        <v>0</v>
      </c>
      <c r="DQ43" s="1"/>
      <c r="DR43" s="1"/>
      <c r="DS43" s="1"/>
      <c r="DT43" s="326">
        <v>35</v>
      </c>
      <c r="DU43" s="141">
        <f>IF(AND('Resumo das informações'!$H$61&lt;&gt;"SIM",'Resumo das informações'!$F$61&gt;0,'Resumo das informações'!$G$61&gt;='Proteção Familiar'!$DT43),'Resumo das informações'!$F$61,0)</f>
        <v>0</v>
      </c>
      <c r="DV43" s="141">
        <f>IF(AND('Resumo das informações'!$H$62&lt;&gt;"SIM",'Resumo das informações'!$F$62&gt;0,'Resumo das informações'!$G$62&gt;='Proteção Familiar'!$DT43),'Resumo das informações'!$F$62,0)</f>
        <v>0</v>
      </c>
      <c r="DW43" s="141">
        <f>IF(AND('Resumo das informações'!$H$63&lt;&gt;"SIM",'Resumo das informações'!$F$63&gt;0,'Resumo das informações'!$G$63&gt;='Proteção Familiar'!$DT43),'Resumo das informações'!$F$63,0)</f>
        <v>0</v>
      </c>
      <c r="DX43" s="141">
        <f>IF(AND('Resumo das informações'!$H$64&lt;&gt;"SIM",'Resumo das informações'!$F$64&gt;0,'Resumo das informações'!$G$64&gt;='Proteção Familiar'!$DT43),'Resumo das informações'!$F$64,0)</f>
        <v>0</v>
      </c>
      <c r="DY43" s="141">
        <f>IF(AND('Resumo das informações'!$H$65&lt;&gt;"SIM",'Resumo das informações'!$F$65&gt;0,'Resumo das informações'!$G$65&gt;='Proteção Familiar'!$DT43),'Resumo das informações'!$F$65,0)</f>
        <v>0</v>
      </c>
      <c r="DZ43" s="141">
        <f t="shared" si="6"/>
        <v>0</v>
      </c>
      <c r="EA43" s="1"/>
      <c r="EB43" s="1"/>
      <c r="EC43" s="1"/>
      <c r="ED43" s="1"/>
    </row>
    <row r="44" spans="1:134" ht="15.75" customHeight="1" x14ac:dyDescent="0.25">
      <c r="A44" s="1"/>
      <c r="B44" s="1"/>
      <c r="C44" s="7"/>
      <c r="D44" s="35"/>
      <c r="E44" s="285">
        <f>'Resumo das informações'!E30</f>
        <v>0</v>
      </c>
      <c r="F44" s="386">
        <f>'Resumo das informações'!F30:G30</f>
        <v>0</v>
      </c>
      <c r="G44" s="387" t="str">
        <f>IF('Resumo das informações'!H30=0," ",'Resumo das informações'!H30)</f>
        <v xml:space="preserve"> </v>
      </c>
      <c r="H44" s="387"/>
      <c r="I44" s="388" t="str">
        <f t="shared" si="19"/>
        <v/>
      </c>
      <c r="J44" s="146"/>
      <c r="K44" s="79"/>
      <c r="L44" s="79"/>
      <c r="M44" s="79"/>
      <c r="N44" s="79"/>
      <c r="O44" s="79"/>
      <c r="P44" s="79"/>
      <c r="Q44" s="79"/>
      <c r="R44" s="79"/>
      <c r="S44" s="35"/>
      <c r="T44" s="17"/>
      <c r="U44" s="9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332"/>
      <c r="AP44" s="1"/>
      <c r="AQ44" s="1"/>
      <c r="AR44" s="1"/>
      <c r="AS44" s="1"/>
      <c r="AT44" s="1"/>
      <c r="AU44" s="1"/>
      <c r="AV44" s="332">
        <f>'Investimentos - Não Aposentado'!AV44</f>
        <v>62</v>
      </c>
      <c r="AW44" s="335">
        <f>'Investimentos - Não Aposentado'!AW44</f>
        <v>8153666.6475707609</v>
      </c>
      <c r="AX44" s="335">
        <f>'Investimentos - Não Aposentado'!AX44</f>
        <v>8012903.2258064505</v>
      </c>
      <c r="AY44" s="335">
        <f>'Investimentos - Não Aposentado'!AY44</f>
        <v>5201022.4822726743</v>
      </c>
      <c r="AZ44" s="335" t="e">
        <f>'Investimentos - Não Aposentado'!AZ44</f>
        <v>#VALUE!</v>
      </c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327"/>
      <c r="BN44" s="141"/>
      <c r="BO44" s="1"/>
      <c r="BP44" s="1"/>
      <c r="BQ44" s="1"/>
      <c r="BR44" s="141">
        <f t="shared" si="20"/>
        <v>504000</v>
      </c>
      <c r="BS44" s="335">
        <f t="shared" si="8"/>
        <v>59</v>
      </c>
      <c r="BT44" s="141">
        <f t="shared" si="21"/>
        <v>704000</v>
      </c>
      <c r="BU44" s="1"/>
      <c r="BV44" s="14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326">
        <v>36</v>
      </c>
      <c r="DM44" s="141">
        <f>IF(AND('Resumo das informações'!$G$36="F",'Resumo das informações'!$I$36&gt;='Proteção Familiar'!$DL44),Dados_montanteprojeto1,0)</f>
        <v>0</v>
      </c>
      <c r="DN44" s="141">
        <f>IF(AND('Resumo das informações'!$G$37="F",'Resumo das informações'!$I$37&gt;='Proteção Familiar'!$DL44),Dados_montanteprojeto2,0)</f>
        <v>0</v>
      </c>
      <c r="DO44" s="141">
        <f>IF(AND('Resumo das informações'!$G$38="F",'Resumo das informações'!$I$38&gt;='Proteção Familiar'!$DL44),Dados_montanteprojeto3,0)</f>
        <v>0</v>
      </c>
      <c r="DP44" s="141">
        <f t="shared" si="5"/>
        <v>0</v>
      </c>
      <c r="DQ44" s="1"/>
      <c r="DR44" s="1"/>
      <c r="DS44" s="1"/>
      <c r="DT44" s="326">
        <v>36</v>
      </c>
      <c r="DU44" s="141">
        <f>IF(AND('Resumo das informações'!$H$61&lt;&gt;"SIM",'Resumo das informações'!$F$61&gt;0,'Resumo das informações'!$G$61&gt;='Proteção Familiar'!$DT44),'Resumo das informações'!$F$61,0)</f>
        <v>0</v>
      </c>
      <c r="DV44" s="141">
        <f>IF(AND('Resumo das informações'!$H$62&lt;&gt;"SIM",'Resumo das informações'!$F$62&gt;0,'Resumo das informações'!$G$62&gt;='Proteção Familiar'!$DT44),'Resumo das informações'!$F$62,0)</f>
        <v>0</v>
      </c>
      <c r="DW44" s="141">
        <f>IF(AND('Resumo das informações'!$H$63&lt;&gt;"SIM",'Resumo das informações'!$F$63&gt;0,'Resumo das informações'!$G$63&gt;='Proteção Familiar'!$DT44),'Resumo das informações'!$F$63,0)</f>
        <v>0</v>
      </c>
      <c r="DX44" s="141">
        <f>IF(AND('Resumo das informações'!$H$64&lt;&gt;"SIM",'Resumo das informações'!$F$64&gt;0,'Resumo das informações'!$G$64&gt;='Proteção Familiar'!$DT44),'Resumo das informações'!$F$64,0)</f>
        <v>0</v>
      </c>
      <c r="DY44" s="141">
        <f>IF(AND('Resumo das informações'!$H$65&lt;&gt;"SIM",'Resumo das informações'!$F$65&gt;0,'Resumo das informações'!$G$65&gt;='Proteção Familiar'!$DT44),'Resumo das informações'!$F$65,0)</f>
        <v>0</v>
      </c>
      <c r="DZ44" s="141">
        <f t="shared" si="6"/>
        <v>0</v>
      </c>
      <c r="EA44" s="1"/>
      <c r="EB44" s="1"/>
      <c r="EC44" s="1"/>
      <c r="ED44" s="1"/>
    </row>
    <row r="45" spans="1:134" ht="15.75" customHeight="1" x14ac:dyDescent="0.25">
      <c r="A45" s="1"/>
      <c r="B45" s="1"/>
      <c r="C45" s="7"/>
      <c r="D45" s="35"/>
      <c r="E45" s="294">
        <f>'Resumo das informações'!E31</f>
        <v>0</v>
      </c>
      <c r="F45" s="392">
        <f>'Resumo das informações'!F31:G31</f>
        <v>0</v>
      </c>
      <c r="G45" s="390" t="str">
        <f>IF('Resumo das informações'!H31=0," ",'Resumo das informações'!H31)</f>
        <v xml:space="preserve"> </v>
      </c>
      <c r="H45" s="390"/>
      <c r="I45" s="391" t="str">
        <f t="shared" si="19"/>
        <v/>
      </c>
      <c r="J45" s="146"/>
      <c r="K45" s="799"/>
      <c r="L45" s="569"/>
      <c r="M45" s="393"/>
      <c r="N45" s="799"/>
      <c r="O45" s="569"/>
      <c r="P45" s="306"/>
      <c r="Q45" s="799"/>
      <c r="R45" s="569"/>
      <c r="S45" s="35"/>
      <c r="T45" s="17"/>
      <c r="U45" s="9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332"/>
      <c r="AP45" s="1"/>
      <c r="AQ45" s="1"/>
      <c r="AR45" s="1"/>
      <c r="AS45" s="1"/>
      <c r="AT45" s="1"/>
      <c r="AU45" s="1"/>
      <c r="AV45" s="332">
        <f>'Investimentos - Não Aposentado'!AV45</f>
        <v>63</v>
      </c>
      <c r="AW45" s="335">
        <f>'Investimentos - Não Aposentado'!AW45</f>
        <v>8162098.8525460139</v>
      </c>
      <c r="AX45" s="335">
        <f>'Investimentos - Não Aposentado'!AX45</f>
        <v>8012903.2258064505</v>
      </c>
      <c r="AY45" s="335">
        <f>'Investimentos - Não Aposentado'!AY45</f>
        <v>5032581.3169595394</v>
      </c>
      <c r="AZ45" s="335" t="e">
        <f>'Investimentos - Não Aposentado'!AZ45</f>
        <v>#VALUE!</v>
      </c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327"/>
      <c r="BN45" s="141"/>
      <c r="BO45" s="1"/>
      <c r="BP45" s="1"/>
      <c r="BQ45" s="1"/>
      <c r="BR45" s="141">
        <f t="shared" si="20"/>
        <v>384000</v>
      </c>
      <c r="BS45" s="335">
        <f t="shared" si="8"/>
        <v>60</v>
      </c>
      <c r="BT45" s="141">
        <f t="shared" si="21"/>
        <v>584000</v>
      </c>
      <c r="BU45" s="1"/>
      <c r="BV45" s="14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326">
        <v>37</v>
      </c>
      <c r="DM45" s="141">
        <f>IF(AND('Resumo das informações'!$G$36="F",'Resumo das informações'!$I$36&gt;='Proteção Familiar'!$DL45),Dados_montanteprojeto1,0)</f>
        <v>0</v>
      </c>
      <c r="DN45" s="141">
        <f>IF(AND('Resumo das informações'!$G$37="F",'Resumo das informações'!$I$37&gt;='Proteção Familiar'!$DL45),Dados_montanteprojeto2,0)</f>
        <v>0</v>
      </c>
      <c r="DO45" s="141">
        <f>IF(AND('Resumo das informações'!$G$38="F",'Resumo das informações'!$I$38&gt;='Proteção Familiar'!$DL45),Dados_montanteprojeto3,0)</f>
        <v>0</v>
      </c>
      <c r="DP45" s="141">
        <f t="shared" si="5"/>
        <v>0</v>
      </c>
      <c r="DQ45" s="1"/>
      <c r="DR45" s="1"/>
      <c r="DS45" s="1"/>
      <c r="DT45" s="326">
        <v>37</v>
      </c>
      <c r="DU45" s="141">
        <f>IF(AND('Resumo das informações'!$H$61&lt;&gt;"SIM",'Resumo das informações'!$F$61&gt;0,'Resumo das informações'!$G$61&gt;='Proteção Familiar'!$DT45),'Resumo das informações'!$F$61,0)</f>
        <v>0</v>
      </c>
      <c r="DV45" s="141">
        <f>IF(AND('Resumo das informações'!$H$62&lt;&gt;"SIM",'Resumo das informações'!$F$62&gt;0,'Resumo das informações'!$G$62&gt;='Proteção Familiar'!$DT45),'Resumo das informações'!$F$62,0)</f>
        <v>0</v>
      </c>
      <c r="DW45" s="141">
        <f>IF(AND('Resumo das informações'!$H$63&lt;&gt;"SIM",'Resumo das informações'!$F$63&gt;0,'Resumo das informações'!$G$63&gt;='Proteção Familiar'!$DT45),'Resumo das informações'!$F$63,0)</f>
        <v>0</v>
      </c>
      <c r="DX45" s="141">
        <f>IF(AND('Resumo das informações'!$H$64&lt;&gt;"SIM",'Resumo das informações'!$F$64&gt;0,'Resumo das informações'!$G$64&gt;='Proteção Familiar'!$DT45),'Resumo das informações'!$F$64,0)</f>
        <v>0</v>
      </c>
      <c r="DY45" s="141">
        <f>IF(AND('Resumo das informações'!$H$65&lt;&gt;"SIM",'Resumo das informações'!$F$65&gt;0,'Resumo das informações'!$G$65&gt;='Proteção Familiar'!$DT45),'Resumo das informações'!$F$65,0)</f>
        <v>0</v>
      </c>
      <c r="DZ45" s="141">
        <f t="shared" si="6"/>
        <v>0</v>
      </c>
      <c r="EA45" s="1"/>
      <c r="EB45" s="1"/>
      <c r="EC45" s="1"/>
      <c r="ED45" s="1"/>
    </row>
    <row r="46" spans="1:134" ht="15.75" customHeight="1" x14ac:dyDescent="0.3">
      <c r="A46" s="1"/>
      <c r="B46" s="1"/>
      <c r="C46" s="7"/>
      <c r="D46" s="35"/>
      <c r="E46" s="285" t="s">
        <v>71</v>
      </c>
      <c r="F46" s="386">
        <f>'Resumo das informações'!F70</f>
        <v>0</v>
      </c>
      <c r="G46" s="387" t="str">
        <f t="shared" ref="G46:G50" si="22">IF(F46&gt;0,"Sim","")</f>
        <v/>
      </c>
      <c r="H46" s="387"/>
      <c r="I46" s="388" t="s">
        <v>47</v>
      </c>
      <c r="J46" s="146"/>
      <c r="K46" s="800"/>
      <c r="L46" s="569"/>
      <c r="M46" s="79"/>
      <c r="N46" s="800"/>
      <c r="O46" s="569"/>
      <c r="P46" s="79"/>
      <c r="Q46" s="800"/>
      <c r="R46" s="569"/>
      <c r="S46" s="35"/>
      <c r="T46" s="17"/>
      <c r="U46" s="9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332"/>
      <c r="AP46" s="1"/>
      <c r="AQ46" s="1"/>
      <c r="AR46" s="1"/>
      <c r="AS46" s="1"/>
      <c r="AT46" s="1"/>
      <c r="AU46" s="1"/>
      <c r="AV46" s="332">
        <f>'Investimentos - Não Aposentado'!AV46</f>
        <v>64</v>
      </c>
      <c r="AW46" s="335">
        <f>'Investimentos - Não Aposentado'!AW46</f>
        <v>8171036.1751139872</v>
      </c>
      <c r="AX46" s="335">
        <f>'Investimentos - Não Aposentado'!AX46</f>
        <v>8012903.2258064505</v>
      </c>
      <c r="AY46" s="335">
        <f>'Investimentos - Não Aposentado'!AY46</f>
        <v>4854049.9562363429</v>
      </c>
      <c r="AZ46" s="335" t="e">
        <f>'Investimentos - Não Aposentado'!AZ46</f>
        <v>#VALUE!</v>
      </c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327"/>
      <c r="BN46" s="141"/>
      <c r="BO46" s="1"/>
      <c r="BP46" s="1"/>
      <c r="BQ46" s="1"/>
      <c r="BR46" s="141">
        <f t="shared" si="20"/>
        <v>264000</v>
      </c>
      <c r="BS46" s="335">
        <f t="shared" si="8"/>
        <v>61</v>
      </c>
      <c r="BT46" s="141">
        <f t="shared" si="21"/>
        <v>464000</v>
      </c>
      <c r="BU46" s="1"/>
      <c r="BV46" s="14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326">
        <v>38</v>
      </c>
      <c r="DM46" s="141">
        <f>IF(AND('Resumo das informações'!$G$36="F",'Resumo das informações'!$I$36&gt;='Proteção Familiar'!$DL46),Dados_montanteprojeto1,0)</f>
        <v>0</v>
      </c>
      <c r="DN46" s="141">
        <f>IF(AND('Resumo das informações'!$G$37="F",'Resumo das informações'!$I$37&gt;='Proteção Familiar'!$DL46),Dados_montanteprojeto2,0)</f>
        <v>0</v>
      </c>
      <c r="DO46" s="141">
        <f>IF(AND('Resumo das informações'!$G$38="F",'Resumo das informações'!$I$38&gt;='Proteção Familiar'!$DL46),Dados_montanteprojeto3,0)</f>
        <v>0</v>
      </c>
      <c r="DP46" s="141">
        <f t="shared" si="5"/>
        <v>0</v>
      </c>
      <c r="DQ46" s="1"/>
      <c r="DR46" s="1"/>
      <c r="DS46" s="1"/>
      <c r="DT46" s="326">
        <v>38</v>
      </c>
      <c r="DU46" s="141">
        <f>IF(AND('Resumo das informações'!$H$61&lt;&gt;"SIM",'Resumo das informações'!$F$61&gt;0,'Resumo das informações'!$G$61&gt;='Proteção Familiar'!$DT46),'Resumo das informações'!$F$61,0)</f>
        <v>0</v>
      </c>
      <c r="DV46" s="141">
        <f>IF(AND('Resumo das informações'!$H$62&lt;&gt;"SIM",'Resumo das informações'!$F$62&gt;0,'Resumo das informações'!$G$62&gt;='Proteção Familiar'!$DT46),'Resumo das informações'!$F$62,0)</f>
        <v>0</v>
      </c>
      <c r="DW46" s="141">
        <f>IF(AND('Resumo das informações'!$H$63&lt;&gt;"SIM",'Resumo das informações'!$F$63&gt;0,'Resumo das informações'!$G$63&gt;='Proteção Familiar'!$DT46),'Resumo das informações'!$F$63,0)</f>
        <v>0</v>
      </c>
      <c r="DX46" s="141">
        <f>IF(AND('Resumo das informações'!$H$64&lt;&gt;"SIM",'Resumo das informações'!$F$64&gt;0,'Resumo das informações'!$G$64&gt;='Proteção Familiar'!$DT46),'Resumo das informações'!$F$64,0)</f>
        <v>0</v>
      </c>
      <c r="DY46" s="141">
        <f>IF(AND('Resumo das informações'!$H$65&lt;&gt;"SIM",'Resumo das informações'!$F$65&gt;0,'Resumo das informações'!$G$65&gt;='Proteção Familiar'!$DT46),'Resumo das informações'!$F$65,0)</f>
        <v>0</v>
      </c>
      <c r="DZ46" s="141">
        <f t="shared" si="6"/>
        <v>0</v>
      </c>
      <c r="EA46" s="1"/>
      <c r="EB46" s="1"/>
      <c r="EC46" s="1"/>
      <c r="ED46" s="1"/>
    </row>
    <row r="47" spans="1:134" ht="15.75" customHeight="1" x14ac:dyDescent="0.25">
      <c r="A47" s="1"/>
      <c r="B47" s="1"/>
      <c r="C47" s="7"/>
      <c r="D47" s="35"/>
      <c r="E47" s="294" t="s">
        <v>205</v>
      </c>
      <c r="F47" s="392">
        <f>'Resumo das informações'!F71</f>
        <v>0</v>
      </c>
      <c r="G47" s="390" t="str">
        <f t="shared" si="22"/>
        <v/>
      </c>
      <c r="H47" s="390"/>
      <c r="I47" s="391" t="s">
        <v>47</v>
      </c>
      <c r="J47" s="35"/>
      <c r="K47" s="79"/>
      <c r="L47" s="79"/>
      <c r="M47" s="79"/>
      <c r="N47" s="79"/>
      <c r="O47" s="79"/>
      <c r="P47" s="394"/>
      <c r="Q47" s="79"/>
      <c r="R47" s="79"/>
      <c r="S47" s="35"/>
      <c r="T47" s="17"/>
      <c r="U47" s="9"/>
      <c r="V47" s="1"/>
      <c r="W47" s="1"/>
      <c r="X47" s="1"/>
      <c r="Y47" s="1"/>
      <c r="Z47" s="1"/>
      <c r="AA47" s="605" t="s">
        <v>115</v>
      </c>
      <c r="AB47" s="569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332"/>
      <c r="AP47" s="1"/>
      <c r="AQ47" s="1"/>
      <c r="AR47" s="1"/>
      <c r="AS47" s="1"/>
      <c r="AT47" s="1"/>
      <c r="AU47" s="1"/>
      <c r="AV47" s="332">
        <f>'Investimentos - Não Aposentado'!AV47</f>
        <v>65</v>
      </c>
      <c r="AW47" s="335">
        <f>'Investimentos - Não Aposentado'!AW47</f>
        <v>8180508.8735266123</v>
      </c>
      <c r="AX47" s="335">
        <f>'Investimentos - Não Aposentado'!AX47</f>
        <v>8012903.2258064505</v>
      </c>
      <c r="AY47" s="335">
        <f>'Investimentos - Não Aposentado'!AY47</f>
        <v>4664823.9632765874</v>
      </c>
      <c r="AZ47" s="335" t="e">
        <f>'Investimentos - Não Aposentado'!AZ47</f>
        <v>#VALUE!</v>
      </c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327"/>
      <c r="BN47" s="141"/>
      <c r="BO47" s="1"/>
      <c r="BP47" s="1"/>
      <c r="BQ47" s="1"/>
      <c r="BR47" s="141">
        <f t="shared" si="20"/>
        <v>144000</v>
      </c>
      <c r="BS47" s="335">
        <f t="shared" si="8"/>
        <v>62</v>
      </c>
      <c r="BT47" s="141">
        <f t="shared" si="21"/>
        <v>344000</v>
      </c>
      <c r="BU47" s="1"/>
      <c r="BV47" s="14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326">
        <v>39</v>
      </c>
      <c r="DM47" s="141">
        <f>IF(AND('Resumo das informações'!$G$36="F",'Resumo das informações'!$I$36&gt;='Proteção Familiar'!$DL47),Dados_montanteprojeto1,0)</f>
        <v>0</v>
      </c>
      <c r="DN47" s="141">
        <f>IF(AND('Resumo das informações'!$G$37="F",'Resumo das informações'!$I$37&gt;='Proteção Familiar'!$DL47),Dados_montanteprojeto2,0)</f>
        <v>0</v>
      </c>
      <c r="DO47" s="141">
        <f>IF(AND('Resumo das informações'!$G$38="F",'Resumo das informações'!$I$38&gt;='Proteção Familiar'!$DL47),Dados_montanteprojeto3,0)</f>
        <v>0</v>
      </c>
      <c r="DP47" s="141">
        <f t="shared" si="5"/>
        <v>0</v>
      </c>
      <c r="DQ47" s="1"/>
      <c r="DR47" s="1"/>
      <c r="DS47" s="1"/>
      <c r="DT47" s="326">
        <v>39</v>
      </c>
      <c r="DU47" s="141">
        <f>IF(AND('Resumo das informações'!$H$61&lt;&gt;"SIM",'Resumo das informações'!$F$61&gt;0,'Resumo das informações'!$G$61&gt;='Proteção Familiar'!$DT47),'Resumo das informações'!$F$61,0)</f>
        <v>0</v>
      </c>
      <c r="DV47" s="141">
        <f>IF(AND('Resumo das informações'!$H$62&lt;&gt;"SIM",'Resumo das informações'!$F$62&gt;0,'Resumo das informações'!$G$62&gt;='Proteção Familiar'!$DT47),'Resumo das informações'!$F$62,0)</f>
        <v>0</v>
      </c>
      <c r="DW47" s="141">
        <f>IF(AND('Resumo das informações'!$H$63&lt;&gt;"SIM",'Resumo das informações'!$F$63&gt;0,'Resumo das informações'!$G$63&gt;='Proteção Familiar'!$DT47),'Resumo das informações'!$F$63,0)</f>
        <v>0</v>
      </c>
      <c r="DX47" s="141">
        <f>IF(AND('Resumo das informações'!$H$64&lt;&gt;"SIM",'Resumo das informações'!$F$64&gt;0,'Resumo das informações'!$G$64&gt;='Proteção Familiar'!$DT47),'Resumo das informações'!$F$64,0)</f>
        <v>0</v>
      </c>
      <c r="DY47" s="141">
        <f>IF(AND('Resumo das informações'!$H$65&lt;&gt;"SIM",'Resumo das informações'!$F$65&gt;0,'Resumo das informações'!$G$65&gt;='Proteção Familiar'!$DT47),'Resumo das informações'!$F$65,0)</f>
        <v>0</v>
      </c>
      <c r="DZ47" s="141">
        <f t="shared" si="6"/>
        <v>0</v>
      </c>
      <c r="EA47" s="1"/>
      <c r="EB47" s="1"/>
      <c r="EC47" s="1"/>
      <c r="ED47" s="1"/>
    </row>
    <row r="48" spans="1:134" ht="15.75" customHeight="1" x14ac:dyDescent="0.25">
      <c r="A48" s="1"/>
      <c r="B48" s="1"/>
      <c r="C48" s="7"/>
      <c r="D48" s="35"/>
      <c r="E48" s="285" t="s">
        <v>206</v>
      </c>
      <c r="F48" s="386">
        <f>SUMIF('Resumo das informações'!H27:H31,"Não",'Resumo das informações'!I27:I31)*(Dados_vida-Dados_idade)*12</f>
        <v>0</v>
      </c>
      <c r="G48" s="387" t="str">
        <f t="shared" si="22"/>
        <v/>
      </c>
      <c r="H48" s="387"/>
      <c r="I48" s="388" t="s">
        <v>47</v>
      </c>
      <c r="J48" s="35"/>
      <c r="K48" s="769"/>
      <c r="L48" s="569"/>
      <c r="M48" s="79"/>
      <c r="N48" s="769"/>
      <c r="O48" s="569"/>
      <c r="P48" s="79"/>
      <c r="Q48" s="769"/>
      <c r="R48" s="569"/>
      <c r="S48" s="35"/>
      <c r="T48" s="17"/>
      <c r="U48" s="9"/>
      <c r="V48" s="1"/>
      <c r="W48" s="1"/>
      <c r="X48" s="1"/>
      <c r="Y48" s="1"/>
      <c r="Z48" s="1"/>
      <c r="AA48" s="189" t="s">
        <v>117</v>
      </c>
      <c r="AB48" s="190">
        <f>'Proteção Familiar'!i_atual</f>
        <v>9.7000000000000003E-2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332"/>
      <c r="AP48" s="1"/>
      <c r="AQ48" s="1"/>
      <c r="AR48" s="1"/>
      <c r="AS48" s="1"/>
      <c r="AT48" s="1"/>
      <c r="AU48" s="1"/>
      <c r="AV48" s="332">
        <f>'Investimentos - Não Aposentado'!AV48</f>
        <v>66</v>
      </c>
      <c r="AW48" s="335">
        <f>'Investimentos - Não Aposentado'!AW48</f>
        <v>8190549.0186074339</v>
      </c>
      <c r="AX48" s="335">
        <f>'Investimentos - Não Aposentado'!AX48</f>
        <v>8012903.2258064505</v>
      </c>
      <c r="AY48" s="335">
        <f>'Investimentos - Não Aposentado'!AY48</f>
        <v>4464262.6934438804</v>
      </c>
      <c r="AZ48" s="335" t="e">
        <f>'Investimentos - Não Aposentado'!AZ48</f>
        <v>#VALUE!</v>
      </c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327"/>
      <c r="BN48" s="141"/>
      <c r="BO48" s="1"/>
      <c r="BP48" s="1"/>
      <c r="BQ48" s="1"/>
      <c r="BR48" s="141">
        <f t="shared" si="20"/>
        <v>24000</v>
      </c>
      <c r="BS48" s="335">
        <f t="shared" si="8"/>
        <v>63</v>
      </c>
      <c r="BT48" s="141">
        <f t="shared" si="21"/>
        <v>224000</v>
      </c>
      <c r="BU48" s="1"/>
      <c r="BV48" s="14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326">
        <v>40</v>
      </c>
      <c r="DM48" s="141">
        <f>IF(AND('Resumo das informações'!$G$36="F",'Resumo das informações'!$I$36&gt;='Proteção Familiar'!$DL48),Dados_montanteprojeto1,0)</f>
        <v>0</v>
      </c>
      <c r="DN48" s="141">
        <f>IF(AND('Resumo das informações'!$G$37="F",'Resumo das informações'!$I$37&gt;='Proteção Familiar'!$DL48),Dados_montanteprojeto2,0)</f>
        <v>0</v>
      </c>
      <c r="DO48" s="141">
        <f>IF(AND('Resumo das informações'!$G$38="F",'Resumo das informações'!$I$38&gt;='Proteção Familiar'!$DL48),Dados_montanteprojeto3,0)</f>
        <v>0</v>
      </c>
      <c r="DP48" s="141">
        <f t="shared" si="5"/>
        <v>0</v>
      </c>
      <c r="DQ48" s="1"/>
      <c r="DR48" s="1"/>
      <c r="DS48" s="1"/>
      <c r="DT48" s="326">
        <v>40</v>
      </c>
      <c r="DU48" s="141">
        <f>IF(AND('Resumo das informações'!$H$61&lt;&gt;"SIM",'Resumo das informações'!$F$61&gt;0,'Resumo das informações'!$G$61&gt;='Proteção Familiar'!$DT48),'Resumo das informações'!$F$61,0)</f>
        <v>0</v>
      </c>
      <c r="DV48" s="141">
        <f>IF(AND('Resumo das informações'!$H$62&lt;&gt;"SIM",'Resumo das informações'!$F$62&gt;0,'Resumo das informações'!$G$62&gt;='Proteção Familiar'!$DT48),'Resumo das informações'!$F$62,0)</f>
        <v>0</v>
      </c>
      <c r="DW48" s="141">
        <f>IF(AND('Resumo das informações'!$H$63&lt;&gt;"SIM",'Resumo das informações'!$F$63&gt;0,'Resumo das informações'!$G$63&gt;='Proteção Familiar'!$DT48),'Resumo das informações'!$F$63,0)</f>
        <v>0</v>
      </c>
      <c r="DX48" s="141">
        <f>IF(AND('Resumo das informações'!$H$64&lt;&gt;"SIM",'Resumo das informações'!$F$64&gt;0,'Resumo das informações'!$G$64&gt;='Proteção Familiar'!$DT48),'Resumo das informações'!$F$64,0)</f>
        <v>0</v>
      </c>
      <c r="DY48" s="141">
        <f>IF(AND('Resumo das informações'!$H$65&lt;&gt;"SIM",'Resumo das informações'!$F$65&gt;0,'Resumo das informações'!$G$65&gt;='Proteção Familiar'!$DT48),'Resumo das informações'!$F$65,0)</f>
        <v>0</v>
      </c>
      <c r="DZ48" s="141">
        <f t="shared" si="6"/>
        <v>0</v>
      </c>
      <c r="EA48" s="1"/>
      <c r="EB48" s="1"/>
      <c r="EC48" s="1"/>
      <c r="ED48" s="1"/>
    </row>
    <row r="49" spans="1:134" ht="15.75" customHeight="1" x14ac:dyDescent="0.25">
      <c r="A49" s="1"/>
      <c r="B49" s="1"/>
      <c r="C49" s="7"/>
      <c r="D49" s="35"/>
      <c r="E49" s="294" t="s">
        <v>207</v>
      </c>
      <c r="F49" s="392">
        <f>(dados_receitaaposentadoria*0.8)*(Dados_vida-Dados_idade)*12</f>
        <v>0</v>
      </c>
      <c r="G49" s="390" t="str">
        <f t="shared" si="22"/>
        <v/>
      </c>
      <c r="H49" s="390"/>
      <c r="I49" s="391" t="s">
        <v>47</v>
      </c>
      <c r="J49" s="35"/>
      <c r="K49" s="395"/>
      <c r="L49" s="395"/>
      <c r="M49" s="79"/>
      <c r="N49" s="395"/>
      <c r="O49" s="395"/>
      <c r="P49" s="79"/>
      <c r="Q49" s="395"/>
      <c r="R49" s="395"/>
      <c r="S49" s="35"/>
      <c r="T49" s="17"/>
      <c r="U49" s="9"/>
      <c r="V49" s="1"/>
      <c r="W49" s="1"/>
      <c r="X49" s="1"/>
      <c r="Y49" s="1"/>
      <c r="Z49" s="1"/>
      <c r="AA49" s="189" t="s">
        <v>122</v>
      </c>
      <c r="AB49" s="190">
        <f>'Proteção Familiar'!inflação</f>
        <v>3.5000000000000003E-2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332"/>
      <c r="AP49" s="1"/>
      <c r="AQ49" s="1"/>
      <c r="AR49" s="1"/>
      <c r="AS49" s="1"/>
      <c r="AT49" s="1"/>
      <c r="AU49" s="1"/>
      <c r="AV49" s="332">
        <f>'Investimentos - Não Aposentado'!AV49</f>
        <v>67</v>
      </c>
      <c r="AW49" s="335">
        <f>'Investimentos - Não Aposentado'!AW49</f>
        <v>8201190.6023307778</v>
      </c>
      <c r="AX49" s="335">
        <f>'Investimentos - Não Aposentado'!AX49</f>
        <v>8012903.2258064505</v>
      </c>
      <c r="AY49" s="335">
        <f>'Investimentos - Não Aposentado'!AY49</f>
        <v>4251687.1253216779</v>
      </c>
      <c r="AZ49" s="335" t="e">
        <f>'Investimentos - Não Aposentado'!AZ49</f>
        <v>#VALUE!</v>
      </c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327"/>
      <c r="BN49" s="141"/>
      <c r="BO49" s="1"/>
      <c r="BP49" s="1"/>
      <c r="BQ49" s="1"/>
      <c r="BR49" s="141">
        <f t="shared" si="20"/>
        <v>0</v>
      </c>
      <c r="BS49" s="335">
        <f t="shared" si="8"/>
        <v>64</v>
      </c>
      <c r="BT49" s="141">
        <f t="shared" si="21"/>
        <v>200000</v>
      </c>
      <c r="BU49" s="1"/>
      <c r="BV49" s="14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</row>
    <row r="50" spans="1:134" ht="15.75" customHeight="1" x14ac:dyDescent="0.3">
      <c r="A50" s="1"/>
      <c r="B50" s="1"/>
      <c r="C50" s="7"/>
      <c r="D50" s="35"/>
      <c r="E50" s="396"/>
      <c r="F50" s="397"/>
      <c r="G50" s="398" t="str">
        <f t="shared" si="22"/>
        <v/>
      </c>
      <c r="H50" s="399" t="s">
        <v>208</v>
      </c>
      <c r="I50" s="400">
        <v>0.12</v>
      </c>
      <c r="J50" s="35"/>
      <c r="K50" s="401"/>
      <c r="L50" s="401"/>
      <c r="M50" s="79"/>
      <c r="N50" s="402"/>
      <c r="O50" s="402"/>
      <c r="P50" s="394"/>
      <c r="Q50" s="402"/>
      <c r="R50" s="402"/>
      <c r="S50" s="35"/>
      <c r="T50" s="17"/>
      <c r="U50" s="9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32"/>
      <c r="AP50" s="1"/>
      <c r="AQ50" s="1"/>
      <c r="AR50" s="1"/>
      <c r="AS50" s="1"/>
      <c r="AT50" s="1"/>
      <c r="AU50" s="1"/>
      <c r="AV50" s="332">
        <f>'Investimentos - Não Aposentado'!AV50</f>
        <v>68</v>
      </c>
      <c r="AW50" s="335">
        <f>'Investimentos - Não Aposentado'!AW50</f>
        <v>8212469.6529051811</v>
      </c>
      <c r="AX50" s="335">
        <f>'Investimentos - Não Aposentado'!AX50</f>
        <v>8012903.2258064505</v>
      </c>
      <c r="AY50" s="335">
        <f>'Investimentos - Não Aposentado'!AY50</f>
        <v>4026377.5618143771</v>
      </c>
      <c r="AZ50" s="335" t="e">
        <f>'Investimentos - Não Aposentado'!AZ50</f>
        <v>#VALUE!</v>
      </c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327"/>
      <c r="BN50" s="141"/>
      <c r="BO50" s="1"/>
      <c r="BP50" s="1"/>
      <c r="BQ50" s="1"/>
      <c r="BR50" s="141">
        <f t="shared" si="20"/>
        <v>0</v>
      </c>
      <c r="BS50" s="335">
        <f t="shared" si="8"/>
        <v>65</v>
      </c>
      <c r="BT50" s="141">
        <f t="shared" si="21"/>
        <v>200000</v>
      </c>
      <c r="BU50" s="1"/>
      <c r="BV50" s="14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</row>
    <row r="51" spans="1:134" ht="21" customHeight="1" x14ac:dyDescent="0.25">
      <c r="A51" s="1"/>
      <c r="B51" s="1"/>
      <c r="C51" s="7"/>
      <c r="D51" s="35"/>
      <c r="E51" s="403" t="s">
        <v>209</v>
      </c>
      <c r="F51" s="404">
        <f>SUM(F36:F40)+SUM(F46:F50)+Total_Imóveis_Vendáveis</f>
        <v>1000000</v>
      </c>
      <c r="G51" s="770" t="s">
        <v>210</v>
      </c>
      <c r="H51" s="727"/>
      <c r="I51" s="405">
        <f>(SUM(F36:F45)-F40)</f>
        <v>1000000</v>
      </c>
      <c r="J51" s="35"/>
      <c r="K51" s="79"/>
      <c r="L51" s="79"/>
      <c r="M51" s="79"/>
      <c r="N51" s="79"/>
      <c r="O51" s="79"/>
      <c r="P51" s="79"/>
      <c r="Q51" s="79"/>
      <c r="R51" s="79"/>
      <c r="S51" s="35"/>
      <c r="T51" s="17"/>
      <c r="U51" s="9"/>
      <c r="V51" s="1"/>
      <c r="W51" s="1"/>
      <c r="X51" s="1"/>
      <c r="Y51" s="1"/>
      <c r="Z51" s="1"/>
      <c r="AA51" s="206" t="s">
        <v>123</v>
      </c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332"/>
      <c r="AP51" s="1"/>
      <c r="AQ51" s="1"/>
      <c r="AR51" s="1"/>
      <c r="AS51" s="1"/>
      <c r="AT51" s="1"/>
      <c r="AU51" s="1"/>
      <c r="AV51" s="332">
        <f>'Investimentos - Não Aposentado'!AV51</f>
        <v>69</v>
      </c>
      <c r="AW51" s="335">
        <f>'Investimentos - Não Aposentado'!AW51</f>
        <v>8224424.3567507081</v>
      </c>
      <c r="AX51" s="335">
        <f>'Investimentos - Não Aposentado'!AX51</f>
        <v>8012903.2258064505</v>
      </c>
      <c r="AY51" s="335">
        <f>'Investimentos - Não Aposentado'!AY51</f>
        <v>3787571.1935365908</v>
      </c>
      <c r="AZ51" s="335" t="e">
        <f>'Investimentos - Não Aposentado'!AZ51</f>
        <v>#VALUE!</v>
      </c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327"/>
      <c r="BN51" s="141"/>
      <c r="BO51" s="1"/>
      <c r="BP51" s="1"/>
      <c r="BQ51" s="1"/>
      <c r="BR51" s="141">
        <f t="shared" si="20"/>
        <v>0</v>
      </c>
      <c r="BS51" s="335">
        <f t="shared" si="8"/>
        <v>66</v>
      </c>
      <c r="BT51" s="141">
        <f t="shared" si="21"/>
        <v>200000</v>
      </c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</row>
    <row r="52" spans="1:134" ht="15.75" customHeight="1" x14ac:dyDescent="0.25">
      <c r="A52" s="1"/>
      <c r="B52" s="1"/>
      <c r="C52" s="7"/>
      <c r="D52" s="35"/>
      <c r="E52" s="406"/>
      <c r="F52" s="100"/>
      <c r="G52" s="771"/>
      <c r="H52" s="583"/>
      <c r="I52" s="407"/>
      <c r="J52" s="35"/>
      <c r="K52" s="772"/>
      <c r="L52" s="577"/>
      <c r="M52" s="79"/>
      <c r="N52" s="772"/>
      <c r="O52" s="577"/>
      <c r="P52" s="79"/>
      <c r="Q52" s="772"/>
      <c r="R52" s="577"/>
      <c r="S52" s="35"/>
      <c r="T52" s="17"/>
      <c r="U52" s="9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332"/>
      <c r="AP52" s="1"/>
      <c r="AQ52" s="1"/>
      <c r="AR52" s="1"/>
      <c r="AS52" s="1"/>
      <c r="AT52" s="1"/>
      <c r="AU52" s="1"/>
      <c r="AV52" s="332">
        <f>'Investimentos - Não Aposentado'!AV52</f>
        <v>70</v>
      </c>
      <c r="AW52" s="335">
        <f>'Investimentos - Não Aposentado'!AW52</f>
        <v>8237095.1877831183</v>
      </c>
      <c r="AX52" s="335">
        <f>'Investimentos - Não Aposentado'!AX52</f>
        <v>8012903.2258064505</v>
      </c>
      <c r="AY52" s="335">
        <f>'Investimentos - Não Aposentado'!AY52</f>
        <v>3534459.5162411979</v>
      </c>
      <c r="AZ52" s="335" t="e">
        <f>'Investimentos - Não Aposentado'!AZ52</f>
        <v>#VALUE!</v>
      </c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327"/>
      <c r="BN52" s="141"/>
      <c r="BO52" s="1"/>
      <c r="BP52" s="1"/>
      <c r="BQ52" s="1"/>
      <c r="BR52" s="141">
        <f t="shared" si="20"/>
        <v>0</v>
      </c>
      <c r="BS52" s="335">
        <f t="shared" si="8"/>
        <v>67</v>
      </c>
      <c r="BT52" s="141">
        <f t="shared" si="21"/>
        <v>200000</v>
      </c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</row>
    <row r="53" spans="1:134" ht="15.75" customHeight="1" x14ac:dyDescent="0.25">
      <c r="A53" s="1"/>
      <c r="B53" s="1"/>
      <c r="C53" s="7"/>
      <c r="D53" s="35"/>
      <c r="E53" s="406"/>
      <c r="F53" s="100"/>
      <c r="G53" s="771"/>
      <c r="H53" s="583"/>
      <c r="I53" s="408"/>
      <c r="J53" s="35"/>
      <c r="K53" s="580"/>
      <c r="L53" s="581"/>
      <c r="M53" s="79"/>
      <c r="N53" s="580"/>
      <c r="O53" s="581"/>
      <c r="P53" s="79"/>
      <c r="Q53" s="580"/>
      <c r="R53" s="581"/>
      <c r="S53" s="35"/>
      <c r="T53" s="17"/>
      <c r="U53" s="9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32"/>
      <c r="AP53" s="1"/>
      <c r="AQ53" s="1"/>
      <c r="AR53" s="1"/>
      <c r="AS53" s="1"/>
      <c r="AT53" s="1"/>
      <c r="AU53" s="1"/>
      <c r="AV53" s="332">
        <f>'Investimentos - Não Aposentado'!AV53</f>
        <v>71</v>
      </c>
      <c r="AW53" s="335">
        <f>'Investimentos - Não Aposentado'!AW53</f>
        <v>8250525.0444425903</v>
      </c>
      <c r="AX53" s="335">
        <f>'Investimentos - Não Aposentado'!AX53</f>
        <v>8012903.2258064505</v>
      </c>
      <c r="AY53" s="335">
        <f>'Investimentos - Não Aposentado'!AY53</f>
        <v>3266185.5935426028</v>
      </c>
      <c r="AZ53" s="335" t="e">
        <f>'Investimentos - Não Aposentado'!AZ53</f>
        <v>#VALUE!</v>
      </c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327"/>
      <c r="BN53" s="141"/>
      <c r="BO53" s="1"/>
      <c r="BP53" s="1"/>
      <c r="BQ53" s="1"/>
      <c r="BR53" s="141">
        <f t="shared" si="20"/>
        <v>0</v>
      </c>
      <c r="BS53" s="335">
        <f t="shared" si="8"/>
        <v>68</v>
      </c>
      <c r="BT53" s="141">
        <f t="shared" si="21"/>
        <v>200000</v>
      </c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</row>
    <row r="54" spans="1:134" ht="15.75" customHeight="1" x14ac:dyDescent="0.25">
      <c r="A54" s="1"/>
      <c r="B54" s="1"/>
      <c r="C54" s="7"/>
      <c r="D54" s="35"/>
      <c r="E54" s="409" t="s">
        <v>211</v>
      </c>
      <c r="F54" s="410" t="s">
        <v>32</v>
      </c>
      <c r="G54" s="411" t="s">
        <v>212</v>
      </c>
      <c r="H54" s="411"/>
      <c r="I54" s="412" t="s">
        <v>213</v>
      </c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17"/>
      <c r="U54" s="9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32"/>
      <c r="AP54" s="1"/>
      <c r="AQ54" s="1"/>
      <c r="AR54" s="1"/>
      <c r="AS54" s="1"/>
      <c r="AT54" s="1"/>
      <c r="AU54" s="1"/>
      <c r="AV54" s="332">
        <f>'Investimentos - Não Aposentado'!AV54</f>
        <v>72</v>
      </c>
      <c r="AW54" s="335">
        <f>'Investimentos - Não Aposentado'!AW54</f>
        <v>8264759.3949309383</v>
      </c>
      <c r="AX54" s="335">
        <f>'Investimentos - Não Aposentado'!AX54</f>
        <v>8012903.2258064505</v>
      </c>
      <c r="AY54" s="335">
        <f>'Investimentos - Não Aposentado'!AY54</f>
        <v>2981841.1556678601</v>
      </c>
      <c r="AZ54" s="335" t="e">
        <f>'Investimentos - Não Aposentado'!AZ54</f>
        <v>#VALUE!</v>
      </c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327"/>
      <c r="BN54" s="141"/>
      <c r="BO54" s="1"/>
      <c r="BP54" s="1"/>
      <c r="BQ54" s="1"/>
      <c r="BR54" s="141">
        <f t="shared" si="20"/>
        <v>0</v>
      </c>
      <c r="BS54" s="335">
        <f t="shared" si="8"/>
        <v>69</v>
      </c>
      <c r="BT54" s="141">
        <f t="shared" si="21"/>
        <v>200000</v>
      </c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</row>
    <row r="55" spans="1:134" ht="15.75" customHeight="1" x14ac:dyDescent="0.25">
      <c r="A55" s="1"/>
      <c r="B55" s="1"/>
      <c r="C55" s="7"/>
      <c r="D55" s="100"/>
      <c r="E55" s="285" t="s">
        <v>159</v>
      </c>
      <c r="F55" s="286">
        <f>Total_Educação</f>
        <v>0</v>
      </c>
      <c r="G55" s="413" t="str">
        <f>IF(BL21&lt;=0,"Não Necessário",BL21)</f>
        <v>Não Necessário</v>
      </c>
      <c r="H55" s="387"/>
      <c r="I55" s="414">
        <f>IF(G55="Não Necessário",0,IF(24-SMALL('Resumo das informações'!F8:F11,1)&gt;(Dados_aposentadoria-Dados_idade),(Dados_aposentadoria-Dados_idade),24-SMALL('Resumo das informações'!F8:F11,1)))</f>
        <v>0</v>
      </c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17"/>
      <c r="U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332"/>
      <c r="AP55" s="1"/>
      <c r="AQ55" s="1"/>
      <c r="AR55" s="1"/>
      <c r="AS55" s="1"/>
      <c r="AT55" s="1"/>
      <c r="AU55" s="1"/>
      <c r="AV55" s="332">
        <f>'Investimentos - Não Aposentado'!AV55</f>
        <v>73</v>
      </c>
      <c r="AW55" s="335">
        <f>'Investimentos - Não Aposentado'!AW55</f>
        <v>8279846.4311490227</v>
      </c>
      <c r="AX55" s="335">
        <f>'Investimentos - Não Aposentado'!AX55</f>
        <v>8012903.2258064505</v>
      </c>
      <c r="AY55" s="335">
        <f>'Investimentos - Não Aposentado'!AY55</f>
        <v>2680463.524413181</v>
      </c>
      <c r="AZ55" s="335" t="e">
        <f>'Investimentos - Não Aposentado'!AZ55</f>
        <v>#VALUE!</v>
      </c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327"/>
      <c r="BN55" s="141"/>
      <c r="BO55" s="1"/>
      <c r="BP55" s="1"/>
      <c r="BQ55" s="1"/>
      <c r="BR55" s="141">
        <f t="shared" si="20"/>
        <v>0</v>
      </c>
      <c r="BS55" s="335">
        <f t="shared" si="8"/>
        <v>70</v>
      </c>
      <c r="BT55" s="141">
        <f t="shared" si="21"/>
        <v>200000</v>
      </c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</row>
    <row r="56" spans="1:134" ht="15.75" customHeight="1" x14ac:dyDescent="0.25">
      <c r="A56" s="1"/>
      <c r="B56" s="1"/>
      <c r="C56" s="7"/>
      <c r="D56" s="100"/>
      <c r="E56" s="294" t="s">
        <v>160</v>
      </c>
      <c r="F56" s="295">
        <f>Total_Padrão_de_Vida</f>
        <v>4704000</v>
      </c>
      <c r="G56" s="415">
        <f t="shared" ref="G56:G57" si="23">IF(BL19&lt;=0,"Não Necessário",BL19)</f>
        <v>3704000</v>
      </c>
      <c r="H56" s="390"/>
      <c r="I56" s="416">
        <f>IF(G56="Não Necessário",0,Total_Idade_Aposentadoria-Total_Idade)</f>
        <v>26</v>
      </c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221"/>
      <c r="U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332"/>
      <c r="AP56" s="1"/>
      <c r="AQ56" s="1"/>
      <c r="AR56" s="1"/>
      <c r="AS56" s="1"/>
      <c r="AT56" s="1"/>
      <c r="AU56" s="1"/>
      <c r="AV56" s="332">
        <f>'Investimentos - Não Aposentado'!AV56</f>
        <v>74</v>
      </c>
      <c r="AW56" s="335">
        <f>'Investimentos - Não Aposentado'!AW56</f>
        <v>8295837.231855534</v>
      </c>
      <c r="AX56" s="335">
        <f>'Investimentos - Não Aposentado'!AX56</f>
        <v>8012903.2258064505</v>
      </c>
      <c r="AY56" s="335">
        <f>'Investimentos - Não Aposentado'!AY56</f>
        <v>2361032.3538949369</v>
      </c>
      <c r="AZ56" s="335" t="e">
        <f>'Investimentos - Não Aposentado'!AZ56</f>
        <v>#VALUE!</v>
      </c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327"/>
      <c r="BN56" s="141"/>
      <c r="BO56" s="1"/>
      <c r="BP56" s="1"/>
      <c r="BQ56" s="1"/>
      <c r="BR56" s="141">
        <f t="shared" si="20"/>
        <v>0</v>
      </c>
      <c r="BS56" s="335">
        <f t="shared" si="8"/>
        <v>71</v>
      </c>
      <c r="BT56" s="141">
        <f t="shared" si="21"/>
        <v>200000</v>
      </c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</row>
    <row r="57" spans="1:134" ht="15.75" customHeight="1" x14ac:dyDescent="0.25">
      <c r="A57" s="1"/>
      <c r="B57" s="1"/>
      <c r="C57" s="7"/>
      <c r="D57" s="100"/>
      <c r="E57" s="285" t="s">
        <v>162</v>
      </c>
      <c r="F57" s="286">
        <f>Total_Projetos_F+Total_Financiamentos</f>
        <v>0</v>
      </c>
      <c r="G57" s="413" t="str">
        <f t="shared" si="23"/>
        <v>Não Necessário</v>
      </c>
      <c r="H57" s="387"/>
      <c r="I57" s="414">
        <f>IF(G57="Não Necessário",0,IF(LARGE(ED8:ED15,1)&lt;I56,LARGE(ED8:ED15,1),I56))</f>
        <v>0</v>
      </c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221"/>
      <c r="U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332"/>
      <c r="AP57" s="1"/>
      <c r="AQ57" s="1"/>
      <c r="AR57" s="1"/>
      <c r="AS57" s="1"/>
      <c r="AT57" s="1"/>
      <c r="AU57" s="1"/>
      <c r="AV57" s="332">
        <f>'Investimentos - Não Aposentado'!AV57</f>
        <v>75</v>
      </c>
      <c r="AW57" s="335">
        <f>'Investimentos - Não Aposentado'!AW57</f>
        <v>8312785.9355995376</v>
      </c>
      <c r="AX57" s="335">
        <f>'Investimentos - Não Aposentado'!AX57</f>
        <v>8012903.2258064505</v>
      </c>
      <c r="AY57" s="335">
        <f>'Investimentos - Não Aposentado'!AY57</f>
        <v>2022466.176060624</v>
      </c>
      <c r="AZ57" s="335" t="e">
        <f>'Investimentos - Não Aposentado'!AZ57</f>
        <v>#VALUE!</v>
      </c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327"/>
      <c r="BN57" s="141"/>
      <c r="BO57" s="1"/>
      <c r="BP57" s="1"/>
      <c r="BQ57" s="1"/>
      <c r="BR57" s="141">
        <f t="shared" si="20"/>
        <v>0</v>
      </c>
      <c r="BS57" s="335">
        <f t="shared" si="8"/>
        <v>72</v>
      </c>
      <c r="BT57" s="141">
        <f t="shared" si="21"/>
        <v>200000</v>
      </c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</row>
    <row r="58" spans="1:134" ht="15.75" customHeight="1" x14ac:dyDescent="0.25">
      <c r="A58" s="1"/>
      <c r="B58" s="1"/>
      <c r="C58" s="7"/>
      <c r="D58" s="100"/>
      <c r="E58" s="294" t="s">
        <v>214</v>
      </c>
      <c r="F58" s="295">
        <f>I51*I50</f>
        <v>120000</v>
      </c>
      <c r="G58" s="415">
        <f>IF(F58=0,"Não Necessário",F58)</f>
        <v>120000</v>
      </c>
      <c r="H58" s="390"/>
      <c r="I58" s="174" t="s">
        <v>215</v>
      </c>
      <c r="J58" s="658"/>
      <c r="K58" s="569"/>
      <c r="L58" s="658"/>
      <c r="M58" s="569"/>
      <c r="N58" s="658"/>
      <c r="O58" s="569"/>
      <c r="P58" s="658"/>
      <c r="Q58" s="569"/>
      <c r="R58" s="79"/>
      <c r="S58" s="79"/>
      <c r="T58" s="221"/>
      <c r="U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332"/>
      <c r="AP58" s="1"/>
      <c r="AQ58" s="1"/>
      <c r="AR58" s="1"/>
      <c r="AS58" s="1"/>
      <c r="AT58" s="1"/>
      <c r="AU58" s="1"/>
      <c r="AV58" s="332">
        <f>'Investimentos - Não Aposentado'!AV58</f>
        <v>76</v>
      </c>
      <c r="AW58" s="335">
        <f>'Investimentos - Não Aposentado'!AW58</f>
        <v>8330749.9240122642</v>
      </c>
      <c r="AX58" s="335">
        <f>'Investimentos - Não Aposentado'!AX58</f>
        <v>8012903.2258064505</v>
      </c>
      <c r="AY58" s="335">
        <f>'Investimentos - Não Aposentado'!AY58</f>
        <v>1663618.7392642554</v>
      </c>
      <c r="AZ58" s="335" t="e">
        <f>'Investimentos - Não Aposentado'!AZ58</f>
        <v>#VALUE!</v>
      </c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327"/>
      <c r="BN58" s="141"/>
      <c r="BO58" s="1"/>
      <c r="BP58" s="1"/>
      <c r="BQ58" s="1"/>
      <c r="BR58" s="141">
        <f t="shared" si="20"/>
        <v>0</v>
      </c>
      <c r="BS58" s="335">
        <f t="shared" si="8"/>
        <v>73</v>
      </c>
      <c r="BT58" s="141">
        <f t="shared" si="21"/>
        <v>200000</v>
      </c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</row>
    <row r="59" spans="1:134" ht="15.75" customHeight="1" x14ac:dyDescent="0.25">
      <c r="A59" s="1"/>
      <c r="B59" s="1"/>
      <c r="C59" s="7"/>
      <c r="D59" s="100"/>
      <c r="E59" s="285" t="s">
        <v>216</v>
      </c>
      <c r="F59" s="286">
        <v>20000</v>
      </c>
      <c r="G59" s="413">
        <f t="shared" ref="G59:G60" si="24">F59</f>
        <v>20000</v>
      </c>
      <c r="H59" s="387"/>
      <c r="I59" s="169" t="s">
        <v>215</v>
      </c>
      <c r="J59" s="79"/>
      <c r="K59" s="291"/>
      <c r="L59" s="417"/>
      <c r="M59" s="291"/>
      <c r="N59" s="79"/>
      <c r="O59" s="291"/>
      <c r="P59" s="765"/>
      <c r="Q59" s="569"/>
      <c r="R59" s="79"/>
      <c r="S59" s="79"/>
      <c r="T59" s="221"/>
      <c r="U59" s="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332"/>
      <c r="AP59" s="1"/>
      <c r="AQ59" s="1"/>
      <c r="AR59" s="1"/>
      <c r="AS59" s="1"/>
      <c r="AT59" s="1"/>
      <c r="AU59" s="1"/>
      <c r="AV59" s="332">
        <f>'Investimentos - Não Aposentado'!AV59</f>
        <v>77</v>
      </c>
      <c r="AW59" s="335">
        <f>'Investimentos - Não Aposentado'!AW59</f>
        <v>8349790.0160786994</v>
      </c>
      <c r="AX59" s="335">
        <f>'Investimentos - Não Aposentado'!AX59</f>
        <v>8012903.2258064505</v>
      </c>
      <c r="AY59" s="335">
        <f>'Investimentos - Não Aposentado'!AY59</f>
        <v>1283275.1275100368</v>
      </c>
      <c r="AZ59" s="335" t="e">
        <f>'Investimentos - Não Aposentado'!AZ59</f>
        <v>#VALUE!</v>
      </c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327"/>
      <c r="BN59" s="141"/>
      <c r="BO59" s="1"/>
      <c r="BP59" s="1"/>
      <c r="BQ59" s="1"/>
      <c r="BR59" s="141">
        <f t="shared" si="20"/>
        <v>0</v>
      </c>
      <c r="BS59" s="335">
        <f t="shared" si="8"/>
        <v>74</v>
      </c>
      <c r="BT59" s="141">
        <f t="shared" si="21"/>
        <v>200000</v>
      </c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</row>
    <row r="60" spans="1:134" ht="15.75" customHeight="1" x14ac:dyDescent="0.25">
      <c r="A60" s="1"/>
      <c r="B60" s="1"/>
      <c r="C60" s="7"/>
      <c r="D60" s="100"/>
      <c r="E60" s="418" t="s">
        <v>217</v>
      </c>
      <c r="F60" s="419">
        <f>Dados_despesaatual*6</f>
        <v>60000</v>
      </c>
      <c r="G60" s="420">
        <f t="shared" si="24"/>
        <v>60000</v>
      </c>
      <c r="H60" s="421"/>
      <c r="I60" s="422" t="s">
        <v>215</v>
      </c>
      <c r="J60" s="79"/>
      <c r="K60" s="291"/>
      <c r="L60" s="79"/>
      <c r="M60" s="291"/>
      <c r="N60" s="79"/>
      <c r="O60" s="291"/>
      <c r="P60" s="423"/>
      <c r="Q60" s="423"/>
      <c r="R60" s="79"/>
      <c r="S60" s="79"/>
      <c r="T60" s="221"/>
      <c r="U60" s="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332"/>
      <c r="AP60" s="1"/>
      <c r="AQ60" s="1"/>
      <c r="AR60" s="1"/>
      <c r="AS60" s="1"/>
      <c r="AT60" s="1"/>
      <c r="AU60" s="1"/>
      <c r="AV60" s="332">
        <f>'Investimentos - Não Aposentado'!AV60</f>
        <v>78</v>
      </c>
      <c r="AW60" s="335">
        <f>'Investimentos - Não Aposentado'!AW60</f>
        <v>8369970.674046699</v>
      </c>
      <c r="AX60" s="335">
        <f>'Investimentos - Não Aposentado'!AX60</f>
        <v>8012903.2258064505</v>
      </c>
      <c r="AY60" s="335">
        <f>'Investimentos - Não Aposentado'!AY60</f>
        <v>880147.64722561394</v>
      </c>
      <c r="AZ60" s="335" t="e">
        <f>'Investimentos - Não Aposentado'!AZ60</f>
        <v>#VALUE!</v>
      </c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327"/>
      <c r="BN60" s="141"/>
      <c r="BO60" s="1"/>
      <c r="BP60" s="1"/>
      <c r="BQ60" s="1"/>
      <c r="BR60" s="141">
        <f t="shared" si="20"/>
        <v>0</v>
      </c>
      <c r="BS60" s="335">
        <f t="shared" si="8"/>
        <v>75</v>
      </c>
      <c r="BT60" s="141">
        <f t="shared" si="21"/>
        <v>200000</v>
      </c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</row>
    <row r="61" spans="1:134" ht="21" customHeight="1" x14ac:dyDescent="0.25">
      <c r="A61" s="1"/>
      <c r="B61" s="1"/>
      <c r="C61" s="7"/>
      <c r="D61" s="100"/>
      <c r="E61" s="403" t="s">
        <v>218</v>
      </c>
      <c r="F61" s="424">
        <f>SUM(F55:F57)</f>
        <v>4704000</v>
      </c>
      <c r="G61" s="425" t="s">
        <v>219</v>
      </c>
      <c r="H61" s="426"/>
      <c r="I61" s="427">
        <f>BM6</f>
        <v>7012903.2258064514</v>
      </c>
      <c r="J61" s="79"/>
      <c r="K61" s="291"/>
      <c r="L61" s="79"/>
      <c r="M61" s="291"/>
      <c r="N61" s="79"/>
      <c r="O61" s="291"/>
      <c r="P61" s="423"/>
      <c r="Q61" s="423"/>
      <c r="R61" s="79"/>
      <c r="S61" s="79"/>
      <c r="T61" s="221"/>
      <c r="U61" s="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332"/>
      <c r="AP61" s="1"/>
      <c r="AQ61" s="1"/>
      <c r="AR61" s="1"/>
      <c r="AS61" s="1"/>
      <c r="AT61" s="1"/>
      <c r="AU61" s="1"/>
      <c r="AV61" s="332">
        <f>'Investimentos - Não Aposentado'!AV61</f>
        <v>79</v>
      </c>
      <c r="AW61" s="335">
        <f>'Investimentos - Não Aposentado'!AW61</f>
        <v>8391360.2216707524</v>
      </c>
      <c r="AX61" s="335">
        <f>'Investimentos - Não Aposentado'!AX61</f>
        <v>8012903.2258064505</v>
      </c>
      <c r="AY61" s="335">
        <f>'Investimentos - Não Aposentado'!AY61</f>
        <v>452871.46763912903</v>
      </c>
      <c r="AZ61" s="335" t="e">
        <f>'Investimentos - Não Aposentado'!AZ61</f>
        <v>#VALUE!</v>
      </c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327"/>
      <c r="BN61" s="141"/>
      <c r="BO61" s="1"/>
      <c r="BP61" s="1"/>
      <c r="BQ61" s="1"/>
      <c r="BR61" s="141">
        <f t="shared" si="20"/>
        <v>0</v>
      </c>
      <c r="BS61" s="335">
        <f t="shared" si="8"/>
        <v>76</v>
      </c>
      <c r="BT61" s="141">
        <f t="shared" si="21"/>
        <v>200000</v>
      </c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</row>
    <row r="62" spans="1:134" ht="15.75" customHeight="1" x14ac:dyDescent="0.25">
      <c r="A62" s="1"/>
      <c r="B62" s="1"/>
      <c r="C62" s="7"/>
      <c r="D62" s="114"/>
      <c r="E62" s="160"/>
      <c r="F62" s="160"/>
      <c r="G62" s="160" t="s">
        <v>220</v>
      </c>
      <c r="H62" s="79"/>
      <c r="I62" s="79"/>
      <c r="J62" s="79"/>
      <c r="K62" s="291"/>
      <c r="L62" s="79"/>
      <c r="M62" s="291"/>
      <c r="N62" s="79"/>
      <c r="O62" s="291"/>
      <c r="P62" s="423"/>
      <c r="Q62" s="423"/>
      <c r="R62" s="79"/>
      <c r="S62" s="79"/>
      <c r="T62" s="221"/>
      <c r="U62" s="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32"/>
      <c r="AP62" s="1"/>
      <c r="AQ62" s="1"/>
      <c r="AR62" s="1"/>
      <c r="AS62" s="1"/>
      <c r="AT62" s="1"/>
      <c r="AU62" s="1"/>
      <c r="AV62" s="332">
        <f>'Investimentos - Não Aposentado'!AV62</f>
        <v>80</v>
      </c>
      <c r="AW62" s="335">
        <f>'Investimentos - Não Aposentado'!AW62</f>
        <v>8414031.0755292904</v>
      </c>
      <c r="AX62" s="335">
        <f>'Investimentos - Não Aposentado'!AX62</f>
        <v>8012903.2258064505</v>
      </c>
      <c r="AY62" s="335">
        <f>'Investimentos - Não Aposentado'!AY62</f>
        <v>1.2031523510813713E-7</v>
      </c>
      <c r="AZ62" s="335" t="e">
        <f>'Investimentos - Não Aposentado'!AZ62</f>
        <v>#VALUE!</v>
      </c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327"/>
      <c r="BN62" s="141"/>
      <c r="BO62" s="1"/>
      <c r="BP62" s="1"/>
      <c r="BQ62" s="1"/>
      <c r="BR62" s="141">
        <f t="shared" si="20"/>
        <v>0</v>
      </c>
      <c r="BS62" s="335">
        <f t="shared" si="8"/>
        <v>77</v>
      </c>
      <c r="BT62" s="141">
        <f t="shared" si="21"/>
        <v>200000</v>
      </c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</row>
    <row r="63" spans="1:134" ht="15.75" customHeight="1" x14ac:dyDescent="0.25">
      <c r="A63" s="1"/>
      <c r="B63" s="1"/>
      <c r="C63" s="7"/>
      <c r="D63" s="114"/>
      <c r="E63" s="764"/>
      <c r="F63" s="598"/>
      <c r="G63" s="569"/>
      <c r="H63" s="79"/>
      <c r="I63" s="79"/>
      <c r="J63" s="79"/>
      <c r="K63" s="291"/>
      <c r="L63" s="79"/>
      <c r="M63" s="291"/>
      <c r="N63" s="79"/>
      <c r="O63" s="35"/>
      <c r="P63" s="35"/>
      <c r="Q63" s="79"/>
      <c r="R63" s="79"/>
      <c r="S63" s="79"/>
      <c r="T63" s="221"/>
      <c r="U63" s="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332"/>
      <c r="AP63" s="1"/>
      <c r="AQ63" s="1"/>
      <c r="AR63" s="1"/>
      <c r="AS63" s="1"/>
      <c r="AT63" s="1"/>
      <c r="AU63" s="1"/>
      <c r="AV63" s="332">
        <f>'Investimentos - Não Aposentado'!AV63</f>
        <v>81</v>
      </c>
      <c r="AW63" s="335">
        <f>'Investimentos - Não Aposentado'!AW63</f>
        <v>8438059.9901986774</v>
      </c>
      <c r="AX63" s="335">
        <f>'Investimentos - Não Aposentado'!AX63</f>
        <v>8012903.2258064505</v>
      </c>
      <c r="AY63" s="335">
        <f>'Investimentos - Não Aposentado'!AY63</f>
        <v>-479999.99999987247</v>
      </c>
      <c r="AZ63" s="335" t="e">
        <f>'Investimentos - Não Aposentado'!AZ63</f>
        <v>#VALUE!</v>
      </c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327"/>
      <c r="BN63" s="141"/>
      <c r="BO63" s="1"/>
      <c r="BP63" s="1"/>
      <c r="BQ63" s="1"/>
      <c r="BR63" s="141">
        <f t="shared" si="20"/>
        <v>0</v>
      </c>
      <c r="BS63" s="335">
        <f t="shared" si="8"/>
        <v>78</v>
      </c>
      <c r="BT63" s="141">
        <f t="shared" si="21"/>
        <v>200000</v>
      </c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</row>
    <row r="64" spans="1:134" ht="15.75" customHeight="1" x14ac:dyDescent="0.25">
      <c r="A64" s="1"/>
      <c r="B64" s="1"/>
      <c r="C64" s="7"/>
      <c r="D64" s="35"/>
      <c r="E64" s="185"/>
      <c r="F64" s="185"/>
      <c r="G64" s="146"/>
      <c r="H64" s="220"/>
      <c r="I64" s="220"/>
      <c r="J64" s="220"/>
      <c r="K64" s="428"/>
      <c r="L64" s="147"/>
      <c r="M64" s="58"/>
      <c r="N64" s="58"/>
      <c r="O64" s="35"/>
      <c r="P64" s="35"/>
      <c r="Q64" s="146"/>
      <c r="R64" s="35"/>
      <c r="S64" s="35"/>
      <c r="T64" s="17"/>
      <c r="U64" s="9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332"/>
      <c r="AP64" s="1"/>
      <c r="AQ64" s="1"/>
      <c r="AR64" s="1"/>
      <c r="AS64" s="1"/>
      <c r="AT64" s="1"/>
      <c r="AU64" s="1"/>
      <c r="AV64" s="332">
        <f>'Investimentos - Não Aposentado'!AV64</f>
        <v>82</v>
      </c>
      <c r="AW64" s="335">
        <f>'Investimentos - Não Aposentado'!AW64</f>
        <v>8463528.3181139603</v>
      </c>
      <c r="AX64" s="335">
        <f>'Investimentos - Não Aposentado'!AX64</f>
        <v>8012903.2258064505</v>
      </c>
      <c r="AY64" s="335">
        <f>'Investimentos - Não Aposentado'!AY64</f>
        <v>-988753.62318827061</v>
      </c>
      <c r="AZ64" s="335" t="e">
        <f>'Investimentos - Não Aposentado'!AZ64</f>
        <v>#VALUE!</v>
      </c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327"/>
      <c r="BN64" s="141"/>
      <c r="BO64" s="1"/>
      <c r="BP64" s="1"/>
      <c r="BQ64" s="1"/>
      <c r="BR64" s="141">
        <f t="shared" si="20"/>
        <v>0</v>
      </c>
      <c r="BS64" s="335">
        <f t="shared" si="8"/>
        <v>79</v>
      </c>
      <c r="BT64" s="141">
        <f t="shared" si="21"/>
        <v>200000</v>
      </c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</row>
    <row r="65" spans="1:134" ht="15.75" customHeight="1" x14ac:dyDescent="0.25">
      <c r="A65" s="1"/>
      <c r="B65" s="1"/>
      <c r="C65" s="7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17"/>
      <c r="U65" s="9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32"/>
      <c r="AP65" s="1"/>
      <c r="AQ65" s="1"/>
      <c r="AR65" s="1"/>
      <c r="AS65" s="1"/>
      <c r="AT65" s="1"/>
      <c r="AU65" s="1"/>
      <c r="AV65" s="332">
        <f>'Investimentos - Não Aposentado'!AV65</f>
        <v>83</v>
      </c>
      <c r="AW65" s="335">
        <f>'Investimentos - Não Aposentado'!AW65</f>
        <v>8490522.2849961501</v>
      </c>
      <c r="AX65" s="335">
        <f>'Investimentos - Não Aposentado'!AX65</f>
        <v>8012903.2258064505</v>
      </c>
      <c r="AY65" s="335">
        <f>'Investimentos - Não Aposentado'!AY65</f>
        <v>-1527983.3088285341</v>
      </c>
      <c r="AZ65" s="335" t="e">
        <f>'Investimentos - Não Aposentado'!AZ65</f>
        <v>#VALUE!</v>
      </c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327"/>
      <c r="BN65" s="141"/>
      <c r="BO65" s="1"/>
      <c r="BP65" s="1"/>
      <c r="BQ65" s="1"/>
      <c r="BR65" s="141">
        <f t="shared" si="20"/>
        <v>0</v>
      </c>
      <c r="BS65" s="335">
        <f t="shared" si="8"/>
        <v>80</v>
      </c>
      <c r="BT65" s="141">
        <f t="shared" si="21"/>
        <v>200000</v>
      </c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</row>
    <row r="66" spans="1:134" ht="15.75" customHeight="1" x14ac:dyDescent="0.25">
      <c r="A66" s="1"/>
      <c r="B66" s="1"/>
      <c r="C66" s="7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17"/>
      <c r="U66" s="9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32"/>
      <c r="AP66" s="1"/>
      <c r="AQ66" s="1"/>
      <c r="AR66" s="1"/>
      <c r="AS66" s="1"/>
      <c r="AT66" s="1"/>
      <c r="AU66" s="1"/>
      <c r="AV66" s="332">
        <f>'Investimentos - Não Aposentado'!AV66</f>
        <v>84</v>
      </c>
      <c r="AW66" s="335">
        <f>'Investimentos - Não Aposentado'!AW66</f>
        <v>8519133.2817785274</v>
      </c>
      <c r="AX66" s="335">
        <f>'Investimentos - Não Aposentado'!AX66</f>
        <v>8012903.2258064505</v>
      </c>
      <c r="AY66" s="335">
        <f>'Investimentos - Não Aposentado'!AY66</f>
        <v>-2099514.676120678</v>
      </c>
      <c r="AZ66" s="335" t="e">
        <f>'Investimentos - Não Aposentado'!AZ66</f>
        <v>#VALUE!</v>
      </c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327"/>
      <c r="BN66" s="141"/>
      <c r="BO66" s="1"/>
      <c r="BP66" s="1"/>
      <c r="BQ66" s="1"/>
      <c r="BR66" s="141">
        <f t="shared" si="20"/>
        <v>0</v>
      </c>
      <c r="BS66" s="335">
        <f t="shared" si="8"/>
        <v>81</v>
      </c>
      <c r="BT66" s="141">
        <f t="shared" si="21"/>
        <v>200000</v>
      </c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</row>
    <row r="67" spans="1:134" ht="15.75" customHeight="1" x14ac:dyDescent="0.25">
      <c r="A67" s="1"/>
      <c r="B67" s="1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5"/>
      <c r="T67" s="225"/>
      <c r="U67" s="9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32"/>
      <c r="AP67" s="1"/>
      <c r="AQ67" s="1"/>
      <c r="AR67" s="1"/>
      <c r="AS67" s="1"/>
      <c r="AT67" s="1"/>
      <c r="AU67" s="1"/>
      <c r="AV67" s="332">
        <f>'Investimentos - Não Aposentado'!AV67</f>
        <v>85</v>
      </c>
      <c r="AW67" s="335">
        <f>'Investimentos - Não Aposentado'!AW67</f>
        <v>8549458.1740203332</v>
      </c>
      <c r="AX67" s="335">
        <f>'Investimentos - Não Aposentado'!AX67</f>
        <v>8012903.2258064505</v>
      </c>
      <c r="AY67" s="335">
        <f>'Investimentos - Não Aposentado'!AY67</f>
        <v>-2705282.70502839</v>
      </c>
      <c r="AZ67" s="335" t="e">
        <f>'Investimentos - Não Aposentado'!AZ67</f>
        <v>#VALUE!</v>
      </c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327"/>
      <c r="BN67" s="141"/>
      <c r="BO67" s="1"/>
      <c r="BP67" s="1"/>
      <c r="BQ67" s="1"/>
      <c r="BR67" s="141">
        <f t="shared" si="20"/>
        <v>0</v>
      </c>
      <c r="BS67" s="335">
        <f t="shared" si="8"/>
        <v>82</v>
      </c>
      <c r="BT67" s="141">
        <f t="shared" si="21"/>
        <v>200000</v>
      </c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</row>
    <row r="68" spans="1:134" ht="15.75" customHeight="1" x14ac:dyDescent="0.25">
      <c r="A68" s="1"/>
      <c r="B68" s="1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9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32"/>
      <c r="AP68" s="1"/>
      <c r="AQ68" s="1"/>
      <c r="AR68" s="1"/>
      <c r="AS68" s="1"/>
      <c r="AT68" s="1"/>
      <c r="AU68" s="1"/>
      <c r="AV68" s="332">
        <f>'Investimentos - Não Aposentado'!AV68</f>
        <v>86</v>
      </c>
      <c r="AW68" s="335">
        <f>'Investimentos - Não Aposentado'!AW68</f>
        <v>8581599.6298553683</v>
      </c>
      <c r="AX68" s="335">
        <f>'Investimentos - Não Aposentado'!AX68</f>
        <v>8012903.2258064505</v>
      </c>
      <c r="AY68" s="335">
        <f>'Investimentos - Não Aposentado'!AY68</f>
        <v>-3347338.2873585932</v>
      </c>
      <c r="AZ68" s="335" t="e">
        <f>'Investimentos - Não Aposentado'!AZ68</f>
        <v>#VALUE!</v>
      </c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327"/>
      <c r="BN68" s="141"/>
      <c r="BO68" s="1"/>
      <c r="BP68" s="1"/>
      <c r="BQ68" s="1"/>
      <c r="BR68" s="141">
        <f t="shared" si="20"/>
        <v>0</v>
      </c>
      <c r="BS68" s="335">
        <f t="shared" si="8"/>
        <v>83</v>
      </c>
      <c r="BT68" s="141">
        <f t="shared" si="21"/>
        <v>200000</v>
      </c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</row>
    <row r="69" spans="1:134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235"/>
      <c r="L69" s="1"/>
      <c r="M69" s="1"/>
      <c r="N69" s="1"/>
      <c r="O69" s="1"/>
      <c r="P69" s="1"/>
      <c r="Q69" s="1"/>
      <c r="R69" s="1"/>
      <c r="S69" s="1"/>
      <c r="T69" s="1"/>
      <c r="U69" s="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32"/>
      <c r="AP69" s="1"/>
      <c r="AQ69" s="1"/>
      <c r="AR69" s="1"/>
      <c r="AS69" s="1"/>
      <c r="AT69" s="1"/>
      <c r="AU69" s="1"/>
      <c r="AV69" s="332">
        <f>'Investimentos - Não Aposentado'!AV69</f>
        <v>87</v>
      </c>
      <c r="AW69" s="335">
        <f>'Investimentos - Não Aposentado'!AW69</f>
        <v>8615666.4675858356</v>
      </c>
      <c r="AX69" s="335">
        <f>'Investimentos - Não Aposentado'!AX69</f>
        <v>8012903.2258064505</v>
      </c>
      <c r="AY69" s="335">
        <f>'Investimentos - Não Aposentado'!AY69</f>
        <v>-4027855.1702728276</v>
      </c>
      <c r="AZ69" s="335" t="e">
        <f>'Investimentos - Não Aposentado'!AZ69</f>
        <v>#VALUE!</v>
      </c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327"/>
      <c r="BN69" s="141"/>
      <c r="BO69" s="1"/>
      <c r="BP69" s="1"/>
      <c r="BQ69" s="1"/>
      <c r="BR69" s="141">
        <f t="shared" si="20"/>
        <v>0</v>
      </c>
      <c r="BS69" s="335">
        <f t="shared" si="8"/>
        <v>84</v>
      </c>
      <c r="BT69" s="141">
        <f t="shared" si="21"/>
        <v>200000</v>
      </c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</row>
    <row r="70" spans="1:134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235"/>
      <c r="L70" s="1"/>
      <c r="M70" s="1"/>
      <c r="N70" s="1"/>
      <c r="O70" s="1"/>
      <c r="P70" s="1"/>
      <c r="Q70" s="1"/>
      <c r="R70" s="1"/>
      <c r="S70" s="1"/>
      <c r="T70" s="1"/>
      <c r="U70" s="9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32"/>
      <c r="AP70" s="1"/>
      <c r="AQ70" s="1"/>
      <c r="AR70" s="1"/>
      <c r="AS70" s="1"/>
      <c r="AT70" s="1"/>
      <c r="AU70" s="1"/>
      <c r="AV70" s="332">
        <f>'Investimentos - Não Aposentado'!AV70</f>
        <v>88</v>
      </c>
      <c r="AW70" s="335">
        <f>'Investimentos - Não Aposentado'!AW70</f>
        <v>8651774.0240982231</v>
      </c>
      <c r="AX70" s="335">
        <f>'Investimentos - Não Aposentado'!AX70</f>
        <v>8012903.2258064505</v>
      </c>
      <c r="AY70" s="335">
        <f>'Investimentos - Não Aposentado'!AY70</f>
        <v>-4749137.3157384461</v>
      </c>
      <c r="AZ70" s="335" t="e">
        <f>'Investimentos - Não Aposentado'!AZ70</f>
        <v>#VALUE!</v>
      </c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327"/>
      <c r="BN70" s="141"/>
      <c r="BO70" s="1"/>
      <c r="BP70" s="1"/>
      <c r="BQ70" s="1"/>
      <c r="BR70" s="141">
        <f t="shared" si="20"/>
        <v>0</v>
      </c>
      <c r="BS70" s="335">
        <f t="shared" si="8"/>
        <v>85</v>
      </c>
      <c r="BT70" s="141">
        <f t="shared" si="21"/>
        <v>200000</v>
      </c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</row>
    <row r="71" spans="1:134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235"/>
      <c r="L71" s="1"/>
      <c r="M71" s="1"/>
      <c r="N71" s="1"/>
      <c r="O71" s="1"/>
      <c r="P71" s="1"/>
      <c r="Q71" s="1"/>
      <c r="R71" s="1"/>
      <c r="S71" s="1"/>
      <c r="T71" s="1"/>
      <c r="U71" s="9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32"/>
      <c r="AP71" s="1"/>
      <c r="AQ71" s="1"/>
      <c r="AR71" s="1"/>
      <c r="AS71" s="1"/>
      <c r="AT71" s="1"/>
      <c r="AU71" s="1"/>
      <c r="AV71" s="332">
        <f>'Investimentos - Não Aposentado'!AV71</f>
        <v>89</v>
      </c>
      <c r="AW71" s="335">
        <f>'Investimentos - Não Aposentado'!AW71</f>
        <v>8690044.5453485511</v>
      </c>
      <c r="AX71" s="335">
        <f>'Investimentos - Não Aposentado'!AX71</f>
        <v>8012903.2258064505</v>
      </c>
      <c r="AY71" s="335">
        <f>'Investimentos - Não Aposentado'!AY71</f>
        <v>-5513626.7008358212</v>
      </c>
      <c r="AZ71" s="335" t="e">
        <f>'Investimentos - Não Aposentado'!AZ71</f>
        <v>#VALUE!</v>
      </c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327"/>
      <c r="BN71" s="141"/>
      <c r="BO71" s="1"/>
      <c r="BP71" s="1"/>
      <c r="BQ71" s="1"/>
      <c r="BR71" s="141">
        <f t="shared" si="20"/>
        <v>0</v>
      </c>
      <c r="BS71" s="335">
        <f t="shared" si="8"/>
        <v>86</v>
      </c>
      <c r="BT71" s="141">
        <f t="shared" si="21"/>
        <v>200000</v>
      </c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</row>
    <row r="72" spans="1:134" ht="15.75" customHeight="1" x14ac:dyDescent="0.25">
      <c r="A72" s="1"/>
      <c r="B72" s="1"/>
      <c r="C72" s="1"/>
      <c r="D72" s="1"/>
      <c r="E72" s="1"/>
      <c r="F72" s="1"/>
      <c r="G72" s="1"/>
      <c r="H72" s="1"/>
      <c r="I72" s="236"/>
      <c r="J72" s="1"/>
      <c r="K72" s="1"/>
      <c r="L72" s="1"/>
      <c r="M72" s="1"/>
      <c r="N72" s="1"/>
      <c r="O72" s="1"/>
      <c r="P72" s="1"/>
      <c r="Q72" s="1"/>
      <c r="R72" s="141"/>
      <c r="S72" s="1"/>
      <c r="T72" s="1"/>
      <c r="U72" s="9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332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327"/>
      <c r="BN72" s="141"/>
      <c r="BO72" s="1"/>
      <c r="BP72" s="1"/>
      <c r="BQ72" s="1"/>
      <c r="BR72" s="141">
        <f t="shared" si="20"/>
        <v>0</v>
      </c>
      <c r="BS72" s="335">
        <f t="shared" si="8"/>
        <v>87</v>
      </c>
      <c r="BT72" s="141">
        <f t="shared" si="21"/>
        <v>200000</v>
      </c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</row>
    <row r="73" spans="1:134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54"/>
      <c r="O73" s="1"/>
      <c r="P73" s="1"/>
      <c r="Q73" s="1"/>
      <c r="R73" s="1"/>
      <c r="S73" s="1"/>
      <c r="T73" s="1"/>
      <c r="U73" s="9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332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327"/>
      <c r="BN73" s="141"/>
      <c r="BO73" s="1"/>
      <c r="BP73" s="1"/>
      <c r="BQ73" s="1"/>
      <c r="BR73" s="141">
        <f t="shared" si="20"/>
        <v>0</v>
      </c>
      <c r="BS73" s="335">
        <f t="shared" si="8"/>
        <v>88</v>
      </c>
      <c r="BT73" s="141">
        <f t="shared" si="21"/>
        <v>200000</v>
      </c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</row>
    <row r="74" spans="1:134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9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429"/>
      <c r="AP74" s="352"/>
      <c r="AQ74" s="352"/>
      <c r="AR74" s="352"/>
      <c r="AS74" s="352"/>
      <c r="AT74" s="352"/>
      <c r="AU74" s="352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327"/>
      <c r="BN74" s="141"/>
      <c r="BO74" s="1"/>
      <c r="BP74" s="1"/>
      <c r="BQ74" s="1"/>
      <c r="BR74" s="141">
        <f t="shared" ref="BR74:BR79" si="25">IF(BR73-Total_Gastos_Anual&lt;=0,0,BR73-Total_Gastos_Anual)</f>
        <v>0</v>
      </c>
      <c r="BS74" s="335">
        <f t="shared" si="8"/>
        <v>89</v>
      </c>
      <c r="BT74" s="141">
        <f t="shared" ref="BT74:BT79" si="26">BR74+DJ73+DP74+DZ74+Total_Planej_Sucessão</f>
        <v>200000</v>
      </c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</row>
    <row r="75" spans="1:134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9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326"/>
      <c r="BN75" s="1"/>
      <c r="BO75" s="1"/>
      <c r="BP75" s="1"/>
      <c r="BQ75" s="1"/>
      <c r="BR75" s="141">
        <f t="shared" si="25"/>
        <v>0</v>
      </c>
      <c r="BS75" s="335">
        <f t="shared" si="8"/>
        <v>90</v>
      </c>
      <c r="BT75" s="141">
        <f t="shared" si="26"/>
        <v>200000</v>
      </c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</row>
    <row r="76" spans="1:134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9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326"/>
      <c r="BN76" s="1"/>
      <c r="BO76" s="1"/>
      <c r="BP76" s="1"/>
      <c r="BQ76" s="1"/>
      <c r="BR76" s="141">
        <f t="shared" si="25"/>
        <v>0</v>
      </c>
      <c r="BS76" s="335">
        <f t="shared" si="8"/>
        <v>91</v>
      </c>
      <c r="BT76" s="141">
        <f t="shared" si="26"/>
        <v>200000</v>
      </c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</row>
    <row r="77" spans="1:134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9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326"/>
      <c r="BN77" s="1"/>
      <c r="BO77" s="1"/>
      <c r="BP77" s="1"/>
      <c r="BQ77" s="1"/>
      <c r="BR77" s="141">
        <f t="shared" si="25"/>
        <v>0</v>
      </c>
      <c r="BS77" s="335">
        <f t="shared" si="8"/>
        <v>92</v>
      </c>
      <c r="BT77" s="141">
        <f t="shared" si="26"/>
        <v>200000</v>
      </c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</row>
    <row r="78" spans="1:134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766" t="s">
        <v>126</v>
      </c>
      <c r="P78" s="660"/>
      <c r="Q78" s="1"/>
      <c r="R78" s="1"/>
      <c r="S78" s="1"/>
      <c r="T78" s="1"/>
      <c r="U78" s="9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326"/>
      <c r="BN78" s="1"/>
      <c r="BO78" s="1"/>
      <c r="BP78" s="1"/>
      <c r="BQ78" s="1"/>
      <c r="BR78" s="141">
        <f t="shared" si="25"/>
        <v>0</v>
      </c>
      <c r="BS78" s="335">
        <f t="shared" si="8"/>
        <v>93</v>
      </c>
      <c r="BT78" s="141">
        <f t="shared" si="26"/>
        <v>200000</v>
      </c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</row>
    <row r="79" spans="1:134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767">
        <f>PV('Proteção Familiar'!i_realaposentadoria,Dados_vida-Q121,-'Proteção Familiar'!Renda_aposentadoria*12,-'Proteção Familiar'!FV_desejado,0)</f>
        <v>5082659.9420946827</v>
      </c>
      <c r="P79" s="660"/>
      <c r="Q79" s="1"/>
      <c r="R79" s="1"/>
      <c r="S79" s="1"/>
      <c r="T79" s="1"/>
      <c r="U79" s="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326"/>
      <c r="BN79" s="1"/>
      <c r="BO79" s="1"/>
      <c r="BP79" s="1"/>
      <c r="BQ79" s="1"/>
      <c r="BR79" s="141">
        <f t="shared" si="25"/>
        <v>0</v>
      </c>
      <c r="BS79" s="335">
        <f t="shared" si="8"/>
        <v>94</v>
      </c>
      <c r="BT79" s="141">
        <f t="shared" si="26"/>
        <v>200000</v>
      </c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</row>
    <row r="80" spans="1:134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9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326"/>
      <c r="BN80" s="1"/>
      <c r="BO80" s="1"/>
      <c r="BP80" s="1"/>
      <c r="BQ80" s="1"/>
      <c r="BR80" s="141"/>
      <c r="BS80" s="335"/>
      <c r="BT80" s="14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</row>
    <row r="81" spans="1:134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326"/>
      <c r="BN81" s="1"/>
      <c r="BO81" s="1"/>
      <c r="BP81" s="1"/>
      <c r="BQ81" s="1"/>
      <c r="BR81" s="141"/>
      <c r="BS81" s="335"/>
      <c r="BT81" s="14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</row>
    <row r="82" spans="1:134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9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326"/>
      <c r="BN82" s="1"/>
      <c r="BO82" s="1"/>
      <c r="BP82" s="1"/>
      <c r="BQ82" s="1"/>
      <c r="BR82" s="141"/>
      <c r="BS82" s="335"/>
      <c r="BT82" s="14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</row>
    <row r="83" spans="1:134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9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326"/>
      <c r="BN83" s="1"/>
      <c r="BO83" s="1"/>
      <c r="BP83" s="1"/>
      <c r="BQ83" s="1"/>
      <c r="BR83" s="141"/>
      <c r="BS83" s="335"/>
      <c r="BT83" s="14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</row>
    <row r="84" spans="1:134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9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326"/>
      <c r="BN84" s="1"/>
      <c r="BO84" s="1"/>
      <c r="BP84" s="1"/>
      <c r="BQ84" s="1"/>
      <c r="BR84" s="141"/>
      <c r="BS84" s="335"/>
      <c r="BT84" s="14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</row>
    <row r="85" spans="1:134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9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326"/>
      <c r="BN85" s="1"/>
      <c r="BO85" s="1"/>
      <c r="BP85" s="1"/>
      <c r="BQ85" s="1"/>
      <c r="BR85" s="141"/>
      <c r="BS85" s="335"/>
      <c r="BT85" s="14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</row>
    <row r="86" spans="1:134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9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326"/>
      <c r="BN86" s="1"/>
      <c r="BO86" s="1"/>
      <c r="BP86" s="1"/>
      <c r="BQ86" s="1"/>
      <c r="BR86" s="141"/>
      <c r="BS86" s="335"/>
      <c r="BT86" s="14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</row>
    <row r="87" spans="1:134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9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326"/>
      <c r="BN87" s="1"/>
      <c r="BO87" s="1"/>
      <c r="BP87" s="1"/>
      <c r="BQ87" s="1"/>
      <c r="BR87" s="141"/>
      <c r="BS87" s="335"/>
      <c r="BT87" s="14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</row>
    <row r="88" spans="1:134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9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326"/>
      <c r="BN88" s="1"/>
      <c r="BO88" s="1"/>
      <c r="BP88" s="1"/>
      <c r="BQ88" s="1"/>
      <c r="BR88" s="141"/>
      <c r="BS88" s="335"/>
      <c r="BT88" s="14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</row>
    <row r="89" spans="1:134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326"/>
      <c r="BN89" s="1"/>
      <c r="BO89" s="1"/>
      <c r="BP89" s="1"/>
      <c r="BQ89" s="1"/>
      <c r="BR89" s="141"/>
      <c r="BS89" s="335"/>
      <c r="BT89" s="14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</row>
    <row r="90" spans="1:134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9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326"/>
      <c r="BN90" s="1"/>
      <c r="BO90" s="1"/>
      <c r="BP90" s="1"/>
      <c r="BQ90" s="1"/>
      <c r="BR90" s="141"/>
      <c r="BS90" s="335"/>
      <c r="BT90" s="14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</row>
    <row r="91" spans="1:134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9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326"/>
      <c r="BN91" s="1"/>
      <c r="BO91" s="1"/>
      <c r="BP91" s="1"/>
      <c r="BQ91" s="1"/>
      <c r="BR91" s="141"/>
      <c r="BS91" s="335"/>
      <c r="BT91" s="14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</row>
    <row r="92" spans="1:134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9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326"/>
      <c r="BN92" s="1"/>
      <c r="BO92" s="1"/>
      <c r="BP92" s="1"/>
      <c r="BQ92" s="1"/>
      <c r="BR92" s="141"/>
      <c r="BS92" s="335"/>
      <c r="BT92" s="14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</row>
    <row r="93" spans="1:134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9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326"/>
      <c r="BN93" s="1"/>
      <c r="BO93" s="1"/>
      <c r="BP93" s="1"/>
      <c r="BQ93" s="1"/>
      <c r="BR93" s="141"/>
      <c r="BS93" s="335"/>
      <c r="BT93" s="14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</row>
    <row r="94" spans="1:134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9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326"/>
      <c r="BN94" s="1"/>
      <c r="BO94" s="1"/>
      <c r="BP94" s="1"/>
      <c r="BQ94" s="1"/>
      <c r="BR94" s="141"/>
      <c r="BS94" s="335"/>
      <c r="BT94" s="14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</row>
    <row r="95" spans="1:134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326"/>
      <c r="BN95" s="1"/>
      <c r="BO95" s="1"/>
      <c r="BP95" s="1"/>
      <c r="BQ95" s="1"/>
      <c r="BR95" s="141"/>
      <c r="BS95" s="335"/>
      <c r="BT95" s="14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</row>
    <row r="96" spans="1:134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9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326"/>
      <c r="BN96" s="1"/>
      <c r="BO96" s="1"/>
      <c r="BP96" s="1"/>
      <c r="BQ96" s="1"/>
      <c r="BR96" s="141"/>
      <c r="BS96" s="335"/>
      <c r="BT96" s="14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</row>
    <row r="97" spans="1:134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9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326"/>
      <c r="BN97" s="1"/>
      <c r="BO97" s="1"/>
      <c r="BP97" s="1"/>
      <c r="BQ97" s="1"/>
      <c r="BR97" s="141"/>
      <c r="BS97" s="335"/>
      <c r="BT97" s="14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</row>
    <row r="98" spans="1:134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9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326"/>
      <c r="BN98" s="1"/>
      <c r="BO98" s="1"/>
      <c r="BP98" s="1"/>
      <c r="BQ98" s="1"/>
      <c r="BR98" s="141"/>
      <c r="BS98" s="335"/>
      <c r="BT98" s="14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</row>
    <row r="99" spans="1:134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326"/>
      <c r="BN99" s="1"/>
      <c r="BO99" s="1"/>
      <c r="BP99" s="1"/>
      <c r="BQ99" s="1"/>
      <c r="BR99" s="141"/>
      <c r="BS99" s="335"/>
      <c r="BT99" s="14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</row>
    <row r="100" spans="1:134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9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326"/>
      <c r="BN100" s="1"/>
      <c r="BO100" s="1"/>
      <c r="BP100" s="1"/>
      <c r="BQ100" s="1"/>
      <c r="BR100" s="141"/>
      <c r="BS100" s="335"/>
      <c r="BT100" s="14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</row>
    <row r="101" spans="1:134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9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326"/>
      <c r="BN101" s="1"/>
      <c r="BO101" s="1"/>
      <c r="BP101" s="1"/>
      <c r="BQ101" s="1"/>
      <c r="BR101" s="141"/>
      <c r="BS101" s="335"/>
      <c r="BT101" s="14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</row>
    <row r="102" spans="1:134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9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326"/>
      <c r="BN102" s="1"/>
      <c r="BO102" s="1"/>
      <c r="BP102" s="1"/>
      <c r="BQ102" s="1"/>
      <c r="BR102" s="141"/>
      <c r="BS102" s="335"/>
      <c r="BT102" s="14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</row>
    <row r="103" spans="1:134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9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326"/>
      <c r="BN103" s="1"/>
      <c r="BO103" s="1"/>
      <c r="BP103" s="1"/>
      <c r="BQ103" s="1"/>
      <c r="BR103" s="141"/>
      <c r="BS103" s="335"/>
      <c r="BT103" s="14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</row>
    <row r="104" spans="1:134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326"/>
      <c r="BN104" s="1"/>
      <c r="BO104" s="1"/>
      <c r="BP104" s="1"/>
      <c r="BQ104" s="1"/>
      <c r="BR104" s="141"/>
      <c r="BS104" s="335"/>
      <c r="BT104" s="14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</row>
    <row r="105" spans="1:134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9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326"/>
      <c r="BN105" s="1"/>
      <c r="BO105" s="1"/>
      <c r="BP105" s="1"/>
      <c r="BQ105" s="1"/>
      <c r="BR105" s="141"/>
      <c r="BS105" s="335"/>
      <c r="BT105" s="14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</row>
    <row r="106" spans="1:134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9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326"/>
      <c r="BN106" s="1"/>
      <c r="BO106" s="1"/>
      <c r="BP106" s="1"/>
      <c r="BQ106" s="1"/>
      <c r="BR106" s="141"/>
      <c r="BS106" s="335"/>
      <c r="BT106" s="14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</row>
    <row r="107" spans="1:134" ht="15.75" customHeight="1" x14ac:dyDescent="0.25">
      <c r="A107" s="1"/>
      <c r="B107" s="1"/>
      <c r="C107" s="430"/>
      <c r="D107" s="768"/>
      <c r="E107" s="569"/>
      <c r="F107" s="431"/>
      <c r="G107" s="431"/>
      <c r="H107" s="431"/>
      <c r="I107" s="431"/>
      <c r="J107" s="431"/>
      <c r="K107" s="206"/>
      <c r="L107" s="230"/>
      <c r="M107" s="233"/>
      <c r="N107" s="233"/>
      <c r="O107" s="234"/>
      <c r="P107" s="234"/>
      <c r="Q107" s="234"/>
      <c r="R107" s="1"/>
      <c r="S107" s="1"/>
      <c r="T107" s="101"/>
      <c r="U107" s="9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326"/>
      <c r="BN107" s="1"/>
      <c r="BO107" s="1"/>
      <c r="BP107" s="1"/>
      <c r="BQ107" s="1"/>
      <c r="BR107" s="141"/>
      <c r="BS107" s="335"/>
      <c r="BT107" s="14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</row>
    <row r="108" spans="1:134" ht="15.75" customHeight="1" x14ac:dyDescent="0.25">
      <c r="A108" s="1"/>
      <c r="B108" s="1"/>
      <c r="C108" s="430"/>
      <c r="D108" s="1"/>
      <c r="E108" s="1"/>
      <c r="F108" s="1"/>
      <c r="G108" s="1"/>
      <c r="H108" s="1"/>
      <c r="I108" s="431"/>
      <c r="J108" s="431"/>
      <c r="K108" s="1"/>
      <c r="L108" s="1"/>
      <c r="M108" s="233"/>
      <c r="N108" s="233"/>
      <c r="O108" s="234"/>
      <c r="P108" s="234"/>
      <c r="Q108" s="234"/>
      <c r="R108" s="1"/>
      <c r="S108" s="1"/>
      <c r="T108" s="101"/>
      <c r="U108" s="9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326"/>
      <c r="BN108" s="1"/>
      <c r="BO108" s="1"/>
      <c r="BP108" s="1"/>
      <c r="BQ108" s="1"/>
      <c r="BR108" s="141"/>
      <c r="BS108" s="335"/>
      <c r="BT108" s="14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</row>
    <row r="109" spans="1:134" ht="15.75" customHeight="1" x14ac:dyDescent="0.3">
      <c r="A109" s="1"/>
      <c r="B109" s="1"/>
      <c r="C109" s="430"/>
      <c r="D109" s="1"/>
      <c r="E109" s="432" t="s">
        <v>31</v>
      </c>
      <c r="F109" s="433" t="s">
        <v>32</v>
      </c>
      <c r="G109" s="433" t="s">
        <v>107</v>
      </c>
      <c r="H109" s="433" t="s">
        <v>108</v>
      </c>
      <c r="I109" s="434" t="s">
        <v>109</v>
      </c>
      <c r="J109" s="234"/>
      <c r="K109" s="763" t="s">
        <v>110</v>
      </c>
      <c r="L109" s="569"/>
      <c r="M109" s="233"/>
      <c r="N109" s="763" t="s">
        <v>111</v>
      </c>
      <c r="O109" s="569"/>
      <c r="P109" s="234"/>
      <c r="Q109" s="763" t="s">
        <v>112</v>
      </c>
      <c r="R109" s="569"/>
      <c r="S109" s="1"/>
      <c r="T109" s="101"/>
      <c r="U109" s="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326"/>
      <c r="BN109" s="1"/>
      <c r="BO109" s="1"/>
      <c r="BP109" s="1"/>
      <c r="BQ109" s="1"/>
      <c r="BR109" s="141"/>
      <c r="BS109" s="335"/>
      <c r="BT109" s="14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</row>
    <row r="110" spans="1:134" ht="15.75" customHeight="1" x14ac:dyDescent="0.25">
      <c r="A110" s="1"/>
      <c r="B110" s="1"/>
      <c r="C110" s="430"/>
      <c r="D110" s="1"/>
      <c r="E110" s="334" t="str">
        <f>'Resumo das informações'!E18</f>
        <v>Carteira</v>
      </c>
      <c r="F110" s="335">
        <f>'Resumo das informações'!F18</f>
        <v>1000000</v>
      </c>
      <c r="G110" s="235">
        <f>'Resumo das informações'!G18</f>
        <v>1</v>
      </c>
      <c r="H110" s="435">
        <f t="shared" ref="H110:H114" si="27">I110*$H$158</f>
        <v>9.7000000000000003E-2</v>
      </c>
      <c r="I110" s="436">
        <f>'Resumo das informações'!H18</f>
        <v>1</v>
      </c>
      <c r="J110" s="234"/>
      <c r="K110" s="1"/>
      <c r="L110" s="1"/>
      <c r="M110" s="233"/>
      <c r="N110" s="1"/>
      <c r="O110" s="1"/>
      <c r="P110" s="1"/>
      <c r="Q110" s="1"/>
      <c r="R110" s="1"/>
      <c r="S110" s="1"/>
      <c r="T110" s="101"/>
      <c r="U110" s="9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326"/>
      <c r="BN110" s="1"/>
      <c r="BO110" s="1"/>
      <c r="BP110" s="1"/>
      <c r="BQ110" s="1"/>
      <c r="BR110" s="141"/>
      <c r="BS110" s="335"/>
      <c r="BT110" s="14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</row>
    <row r="111" spans="1:134" ht="15.75" customHeight="1" x14ac:dyDescent="0.25">
      <c r="A111" s="1"/>
      <c r="B111" s="1"/>
      <c r="C111" s="430"/>
      <c r="D111" s="1"/>
      <c r="E111" s="334">
        <f>'Resumo das informações'!E19</f>
        <v>0</v>
      </c>
      <c r="F111" s="335">
        <f>'Resumo das informações'!F19</f>
        <v>0</v>
      </c>
      <c r="G111" s="235">
        <f>'Resumo das informações'!G19</f>
        <v>0</v>
      </c>
      <c r="H111" s="435">
        <f t="shared" si="27"/>
        <v>0</v>
      </c>
      <c r="I111" s="436">
        <f>'Resumo das informações'!H19</f>
        <v>0</v>
      </c>
      <c r="J111" s="234"/>
      <c r="K111" s="1"/>
      <c r="L111" s="1"/>
      <c r="M111" s="233"/>
      <c r="N111" s="1"/>
      <c r="O111" s="1"/>
      <c r="P111" s="1"/>
      <c r="Q111" s="1"/>
      <c r="R111" s="1"/>
      <c r="S111" s="1"/>
      <c r="T111" s="101"/>
      <c r="U111" s="9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326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</row>
    <row r="112" spans="1:134" ht="15.75" customHeight="1" x14ac:dyDescent="0.25">
      <c r="A112" s="1"/>
      <c r="B112" s="1"/>
      <c r="C112" s="430"/>
      <c r="D112" s="1"/>
      <c r="E112" s="334">
        <f>'Resumo das informações'!E20</f>
        <v>0</v>
      </c>
      <c r="F112" s="335">
        <f>'Resumo das informações'!F20</f>
        <v>0</v>
      </c>
      <c r="G112" s="235">
        <f>'Resumo das informações'!G20</f>
        <v>0</v>
      </c>
      <c r="H112" s="435">
        <f t="shared" si="27"/>
        <v>0</v>
      </c>
      <c r="I112" s="436">
        <f>'Resumo das informações'!H20</f>
        <v>0</v>
      </c>
      <c r="J112" s="234"/>
      <c r="K112" s="1"/>
      <c r="L112" s="1"/>
      <c r="M112" s="233"/>
      <c r="N112" s="233"/>
      <c r="O112" s="234"/>
      <c r="P112" s="234"/>
      <c r="Q112" s="234"/>
      <c r="R112" s="1"/>
      <c r="S112" s="1"/>
      <c r="T112" s="101"/>
      <c r="U112" s="9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326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</row>
    <row r="113" spans="1:134" ht="15.75" customHeight="1" x14ac:dyDescent="0.25">
      <c r="A113" s="1"/>
      <c r="B113" s="1"/>
      <c r="C113" s="430"/>
      <c r="D113" s="1"/>
      <c r="E113" s="334">
        <f>'Resumo das informações'!E21</f>
        <v>0</v>
      </c>
      <c r="F113" s="335">
        <f>'Resumo das informações'!F21</f>
        <v>0</v>
      </c>
      <c r="G113" s="235">
        <f>'Resumo das informações'!G21</f>
        <v>0</v>
      </c>
      <c r="H113" s="435">
        <f t="shared" si="27"/>
        <v>0</v>
      </c>
      <c r="I113" s="436">
        <f>'Resumo das informações'!H21</f>
        <v>0</v>
      </c>
      <c r="J113" s="437"/>
      <c r="K113" s="1"/>
      <c r="L113" s="1"/>
      <c r="M113" s="233"/>
      <c r="N113" s="233"/>
      <c r="O113" s="234"/>
      <c r="P113" s="234"/>
      <c r="Q113" s="234"/>
      <c r="R113" s="1"/>
      <c r="S113" s="1"/>
      <c r="T113" s="101"/>
      <c r="U113" s="9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326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</row>
    <row r="114" spans="1:134" ht="15.75" customHeight="1" x14ac:dyDescent="0.25">
      <c r="A114" s="1"/>
      <c r="B114" s="1"/>
      <c r="C114" s="430"/>
      <c r="D114" s="1"/>
      <c r="E114" s="334" t="str">
        <f>'Resumo das informações'!E22</f>
        <v>Previdência</v>
      </c>
      <c r="F114" s="335">
        <f>'Resumo das informações'!F22</f>
        <v>0</v>
      </c>
      <c r="G114" s="235">
        <f>'Resumo das informações'!G22</f>
        <v>0</v>
      </c>
      <c r="H114" s="435">
        <f t="shared" si="27"/>
        <v>0</v>
      </c>
      <c r="I114" s="436">
        <f>'Resumo das informações'!H22</f>
        <v>0</v>
      </c>
      <c r="J114" s="234"/>
      <c r="K114" s="1"/>
      <c r="L114" s="1"/>
      <c r="M114" s="233"/>
      <c r="N114" s="233"/>
      <c r="O114" s="234"/>
      <c r="P114" s="234"/>
      <c r="Q114" s="234"/>
      <c r="R114" s="1"/>
      <c r="S114" s="1"/>
      <c r="T114" s="101"/>
      <c r="U114" s="9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326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</row>
    <row r="115" spans="1:134" ht="15.75" customHeight="1" x14ac:dyDescent="0.25">
      <c r="A115" s="1"/>
      <c r="B115" s="1"/>
      <c r="C115" s="430"/>
      <c r="D115" s="1"/>
      <c r="E115" s="438" t="s">
        <v>39</v>
      </c>
      <c r="F115" s="439">
        <f>SUM(F110:F114)</f>
        <v>1000000</v>
      </c>
      <c r="G115" s="440">
        <v>1</v>
      </c>
      <c r="H115" s="441">
        <f>$G$110*H110+$G$111*H111+$G$112*H112+$G$113*H113+$G$114*H114</f>
        <v>9.7000000000000003E-2</v>
      </c>
      <c r="I115" s="442">
        <f>'Resumo das informações'!H23</f>
        <v>1</v>
      </c>
      <c r="J115" s="234"/>
      <c r="K115" s="1"/>
      <c r="L115" s="1"/>
      <c r="M115" s="233"/>
      <c r="N115" s="233"/>
      <c r="O115" s="234"/>
      <c r="P115" s="234"/>
      <c r="Q115" s="234"/>
      <c r="R115" s="1"/>
      <c r="S115" s="1"/>
      <c r="T115" s="101"/>
      <c r="U115" s="9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326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</row>
    <row r="116" spans="1:134" ht="15.75" customHeight="1" x14ac:dyDescent="0.25">
      <c r="A116" s="1"/>
      <c r="B116" s="1"/>
      <c r="C116" s="430"/>
      <c r="D116" s="1"/>
      <c r="E116" s="1"/>
      <c r="F116" s="1"/>
      <c r="G116" s="1"/>
      <c r="H116" s="1"/>
      <c r="I116" s="1"/>
      <c r="J116" s="234"/>
      <c r="K116" s="1"/>
      <c r="L116" s="1"/>
      <c r="M116" s="1"/>
      <c r="N116" s="1"/>
      <c r="O116" s="1"/>
      <c r="P116" s="1"/>
      <c r="Q116" s="1"/>
      <c r="R116" s="1"/>
      <c r="S116" s="1"/>
      <c r="T116" s="101"/>
      <c r="U116" s="9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326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</row>
    <row r="117" spans="1:134" ht="15.75" customHeight="1" x14ac:dyDescent="0.25">
      <c r="A117" s="1"/>
      <c r="B117" s="1"/>
      <c r="C117" s="430"/>
      <c r="D117" s="1"/>
      <c r="E117" s="1"/>
      <c r="F117" s="756" t="s">
        <v>82</v>
      </c>
      <c r="G117" s="762"/>
      <c r="H117" s="757"/>
      <c r="I117" s="1"/>
      <c r="J117" s="234"/>
      <c r="K117" s="756" t="s">
        <v>82</v>
      </c>
      <c r="L117" s="757"/>
      <c r="M117" s="233"/>
      <c r="N117" s="756" t="s">
        <v>82</v>
      </c>
      <c r="O117" s="757"/>
      <c r="P117" s="430"/>
      <c r="Q117" s="756" t="s">
        <v>82</v>
      </c>
      <c r="R117" s="757"/>
      <c r="S117" s="1"/>
      <c r="T117" s="101"/>
      <c r="U117" s="9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326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</row>
    <row r="118" spans="1:134" ht="15.75" customHeight="1" x14ac:dyDescent="0.3">
      <c r="A118" s="1"/>
      <c r="B118" s="1"/>
      <c r="C118" s="430"/>
      <c r="D118" s="1"/>
      <c r="E118" s="443"/>
      <c r="F118" s="760">
        <f>'Proteção Familiar'!PMT_atual</f>
        <v>0</v>
      </c>
      <c r="G118" s="761"/>
      <c r="H118" s="759"/>
      <c r="I118" s="443"/>
      <c r="J118" s="1"/>
      <c r="K118" s="760">
        <f>'Proteção Familiar'!PMT_atual</f>
        <v>0</v>
      </c>
      <c r="L118" s="759"/>
      <c r="M118" s="326"/>
      <c r="N118" s="760">
        <v>35000</v>
      </c>
      <c r="O118" s="759"/>
      <c r="P118" s="1"/>
      <c r="Q118" s="760">
        <v>36000</v>
      </c>
      <c r="R118" s="759"/>
      <c r="S118" s="1"/>
      <c r="T118" s="101"/>
      <c r="U118" s="9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326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</row>
    <row r="119" spans="1:134" ht="15.75" customHeight="1" x14ac:dyDescent="0.25">
      <c r="A119" s="1"/>
      <c r="B119" s="1"/>
      <c r="C119" s="430"/>
      <c r="D119" s="1"/>
      <c r="E119" s="443"/>
      <c r="F119" s="1"/>
      <c r="G119" s="1"/>
      <c r="H119" s="443"/>
      <c r="I119" s="443"/>
      <c r="J119" s="1"/>
      <c r="K119" s="1"/>
      <c r="L119" s="1"/>
      <c r="M119" s="1"/>
      <c r="N119" s="1"/>
      <c r="O119" s="1"/>
      <c r="P119" s="326"/>
      <c r="Q119" s="1"/>
      <c r="R119" s="1"/>
      <c r="S119" s="1"/>
      <c r="T119" s="101"/>
      <c r="U119" s="9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326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</row>
    <row r="120" spans="1:134" ht="15.75" customHeight="1" x14ac:dyDescent="0.25">
      <c r="A120" s="1"/>
      <c r="B120" s="1"/>
      <c r="C120" s="430"/>
      <c r="D120" s="1"/>
      <c r="E120" s="1"/>
      <c r="F120" s="756" t="s">
        <v>114</v>
      </c>
      <c r="G120" s="762"/>
      <c r="H120" s="757"/>
      <c r="I120" s="1"/>
      <c r="J120" s="234"/>
      <c r="K120" s="756" t="s">
        <v>114</v>
      </c>
      <c r="L120" s="757"/>
      <c r="M120" s="206"/>
      <c r="N120" s="756" t="s">
        <v>114</v>
      </c>
      <c r="O120" s="757"/>
      <c r="P120" s="326"/>
      <c r="Q120" s="756" t="s">
        <v>114</v>
      </c>
      <c r="R120" s="757"/>
      <c r="S120" s="1"/>
      <c r="T120" s="101"/>
      <c r="U120" s="9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326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</row>
    <row r="121" spans="1:134" ht="15.75" customHeight="1" x14ac:dyDescent="0.3">
      <c r="A121" s="1"/>
      <c r="B121" s="1"/>
      <c r="C121" s="430"/>
      <c r="D121" s="1"/>
      <c r="E121" s="444"/>
      <c r="F121" s="758">
        <f>Dados_aposentadoria</f>
        <v>50</v>
      </c>
      <c r="G121" s="761"/>
      <c r="H121" s="759"/>
      <c r="I121" s="234"/>
      <c r="J121" s="234"/>
      <c r="K121" s="758">
        <f>Dados_aposentadoria</f>
        <v>50</v>
      </c>
      <c r="L121" s="759"/>
      <c r="M121" s="233"/>
      <c r="N121" s="758">
        <v>66</v>
      </c>
      <c r="O121" s="759"/>
      <c r="P121" s="1"/>
      <c r="Q121" s="758">
        <v>65</v>
      </c>
      <c r="R121" s="759"/>
      <c r="S121" s="1"/>
      <c r="T121" s="101"/>
      <c r="U121" s="9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326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</row>
    <row r="122" spans="1:134" ht="15.75" customHeight="1" x14ac:dyDescent="0.25">
      <c r="A122" s="1"/>
      <c r="B122" s="1"/>
      <c r="C122" s="430"/>
      <c r="D122" s="1"/>
      <c r="E122" s="1"/>
      <c r="F122" s="326"/>
      <c r="G122" s="326"/>
      <c r="H122" s="1"/>
      <c r="I122" s="1"/>
      <c r="J122" s="234"/>
      <c r="K122" s="326"/>
      <c r="L122" s="326"/>
      <c r="M122" s="1"/>
      <c r="N122" s="326"/>
      <c r="O122" s="326"/>
      <c r="P122" s="233"/>
      <c r="Q122" s="326"/>
      <c r="R122" s="326"/>
      <c r="S122" s="1"/>
      <c r="T122" s="101"/>
      <c r="U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326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</row>
    <row r="123" spans="1:134" ht="15.75" customHeight="1" x14ac:dyDescent="0.25">
      <c r="A123" s="1"/>
      <c r="B123" s="1"/>
      <c r="C123" s="430"/>
      <c r="D123" s="1"/>
      <c r="E123" s="1"/>
      <c r="F123" s="797">
        <f>Dados_vida</f>
        <v>80</v>
      </c>
      <c r="G123" s="762"/>
      <c r="H123" s="757"/>
      <c r="I123" s="443"/>
      <c r="J123" s="234"/>
      <c r="K123" s="797">
        <f>Dados_vida</f>
        <v>80</v>
      </c>
      <c r="L123" s="757"/>
      <c r="M123" s="206"/>
      <c r="N123" s="797">
        <f>Dados_vida</f>
        <v>80</v>
      </c>
      <c r="O123" s="757"/>
      <c r="P123" s="1"/>
      <c r="Q123" s="797">
        <f>Dados_vida</f>
        <v>80</v>
      </c>
      <c r="R123" s="757"/>
      <c r="S123" s="1"/>
      <c r="T123" s="101"/>
      <c r="U123" s="9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326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</row>
    <row r="124" spans="1:134" ht="15.75" customHeight="1" x14ac:dyDescent="0.3">
      <c r="A124" s="1"/>
      <c r="B124" s="1"/>
      <c r="C124" s="430"/>
      <c r="D124" s="1"/>
      <c r="E124" s="1"/>
      <c r="F124" s="791">
        <f>VLOOKUP(F123,AV5:AY74,2,)</f>
        <v>8414031.0755292904</v>
      </c>
      <c r="G124" s="761"/>
      <c r="H124" s="759"/>
      <c r="I124" s="443"/>
      <c r="J124" s="234"/>
      <c r="K124" s="791">
        <f>'Proteção Familiar'!FV</f>
        <v>8012903.2258064514</v>
      </c>
      <c r="L124" s="759"/>
      <c r="M124" s="1"/>
      <c r="N124" s="791">
        <f>'Proteção Familiar'!FV</f>
        <v>8012903.2258064514</v>
      </c>
      <c r="O124" s="759"/>
      <c r="P124" s="326"/>
      <c r="Q124" s="791">
        <v>1000000</v>
      </c>
      <c r="R124" s="759"/>
      <c r="S124" s="1"/>
      <c r="T124" s="101"/>
      <c r="U124" s="9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326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</row>
    <row r="125" spans="1:134" ht="15.75" customHeight="1" x14ac:dyDescent="0.25">
      <c r="A125" s="1"/>
      <c r="B125" s="1"/>
      <c r="C125" s="430"/>
      <c r="D125" s="1"/>
      <c r="E125" s="1"/>
      <c r="F125" s="1"/>
      <c r="G125" s="1"/>
      <c r="H125" s="234"/>
      <c r="I125" s="234"/>
      <c r="J125" s="234"/>
      <c r="K125" s="1"/>
      <c r="L125" s="1"/>
      <c r="M125" s="1"/>
      <c r="N125" s="1"/>
      <c r="O125" s="1"/>
      <c r="P125" s="1"/>
      <c r="Q125" s="1"/>
      <c r="R125" s="1"/>
      <c r="S125" s="1"/>
      <c r="T125" s="101"/>
      <c r="U125" s="9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326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</row>
    <row r="126" spans="1:134" ht="15.75" customHeight="1" x14ac:dyDescent="0.25">
      <c r="A126" s="1"/>
      <c r="B126" s="1"/>
      <c r="C126" s="430"/>
      <c r="D126" s="1"/>
      <c r="E126" s="1"/>
      <c r="F126" s="797">
        <f>Dados_aposentadoria</f>
        <v>50</v>
      </c>
      <c r="G126" s="762"/>
      <c r="H126" s="757"/>
      <c r="I126" s="234"/>
      <c r="J126" s="234"/>
      <c r="K126" s="797">
        <f>Dados_aposentadoria</f>
        <v>50</v>
      </c>
      <c r="L126" s="757"/>
      <c r="M126" s="445"/>
      <c r="N126" s="797">
        <f>N121</f>
        <v>66</v>
      </c>
      <c r="O126" s="757"/>
      <c r="P126" s="233"/>
      <c r="Q126" s="797">
        <f>Q121</f>
        <v>65</v>
      </c>
      <c r="R126" s="757"/>
      <c r="S126" s="1"/>
      <c r="T126" s="101"/>
      <c r="U126" s="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326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</row>
    <row r="127" spans="1:134" ht="15.75" customHeight="1" x14ac:dyDescent="0.3">
      <c r="A127" s="1"/>
      <c r="B127" s="1"/>
      <c r="C127" s="430"/>
      <c r="D127" s="1"/>
      <c r="E127" s="1"/>
      <c r="F127" s="791">
        <f>VLOOKUP(F126,AV5:AY74,2,0)</f>
        <v>8082934.8956770543</v>
      </c>
      <c r="G127" s="761"/>
      <c r="H127" s="759"/>
      <c r="I127" s="446"/>
      <c r="J127" s="234"/>
      <c r="K127" s="791">
        <f>VLOOKUP(K126,AV5:AY74,3,0)</f>
        <v>8012903.2258064514</v>
      </c>
      <c r="L127" s="759"/>
      <c r="M127" s="1"/>
      <c r="N127" s="791">
        <f>'Proteção Familiar'!FV</f>
        <v>8012903.2258064514</v>
      </c>
      <c r="O127" s="759"/>
      <c r="P127" s="1"/>
      <c r="Q127" s="791">
        <f>O79</f>
        <v>5082659.9420946827</v>
      </c>
      <c r="R127" s="759"/>
      <c r="S127" s="1"/>
      <c r="T127" s="101"/>
      <c r="U127" s="9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326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</row>
    <row r="128" spans="1:134" ht="15.75" customHeight="1" x14ac:dyDescent="0.25">
      <c r="A128" s="1"/>
      <c r="B128" s="1"/>
      <c r="C128" s="430"/>
      <c r="D128" s="1"/>
      <c r="E128" s="1"/>
      <c r="F128" s="1"/>
      <c r="G128" s="1"/>
      <c r="H128" s="443"/>
      <c r="I128" s="443"/>
      <c r="J128" s="1"/>
      <c r="K128" s="1"/>
      <c r="L128" s="1"/>
      <c r="M128" s="1"/>
      <c r="N128" s="1"/>
      <c r="O128" s="1"/>
      <c r="P128" s="447"/>
      <c r="Q128" s="1"/>
      <c r="R128" s="1"/>
      <c r="S128" s="1"/>
      <c r="T128" s="101"/>
      <c r="U128" s="9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326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</row>
    <row r="129" spans="1:134" ht="15.75" customHeight="1" x14ac:dyDescent="0.25">
      <c r="A129" s="1"/>
      <c r="B129" s="1"/>
      <c r="C129" s="430"/>
      <c r="D129" s="1"/>
      <c r="E129" s="1"/>
      <c r="F129" s="792" t="s">
        <v>153</v>
      </c>
      <c r="G129" s="762"/>
      <c r="H129" s="757"/>
      <c r="I129" s="443"/>
      <c r="J129" s="1"/>
      <c r="K129" s="793" t="s">
        <v>116</v>
      </c>
      <c r="L129" s="660"/>
      <c r="M129" s="1"/>
      <c r="N129" s="793" t="s">
        <v>116</v>
      </c>
      <c r="O129" s="660"/>
      <c r="P129" s="1"/>
      <c r="Q129" s="793" t="s">
        <v>116</v>
      </c>
      <c r="R129" s="660"/>
      <c r="S129" s="1"/>
      <c r="T129" s="101"/>
      <c r="U129" s="9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326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</row>
    <row r="130" spans="1:134" ht="15.75" customHeight="1" x14ac:dyDescent="0.3">
      <c r="A130" s="1"/>
      <c r="B130" s="1"/>
      <c r="C130" s="430"/>
      <c r="D130" s="1"/>
      <c r="E130" s="1"/>
      <c r="F130" s="448" t="s">
        <v>118</v>
      </c>
      <c r="G130" s="449"/>
      <c r="H130" s="450" t="s">
        <v>119</v>
      </c>
      <c r="I130" s="1"/>
      <c r="J130" s="1"/>
      <c r="K130" s="451" t="s">
        <v>118</v>
      </c>
      <c r="L130" s="452" t="s">
        <v>119</v>
      </c>
      <c r="M130" s="1"/>
      <c r="N130" s="453" t="s">
        <v>118</v>
      </c>
      <c r="O130" s="454" t="s">
        <v>119</v>
      </c>
      <c r="P130" s="1"/>
      <c r="Q130" s="453" t="s">
        <v>118</v>
      </c>
      <c r="R130" s="454" t="s">
        <v>119</v>
      </c>
      <c r="S130" s="1"/>
      <c r="T130" s="101"/>
      <c r="U130" s="9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326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</row>
    <row r="131" spans="1:134" ht="15.75" customHeight="1" x14ac:dyDescent="0.3">
      <c r="A131" s="1"/>
      <c r="B131" s="1"/>
      <c r="C131" s="430"/>
      <c r="D131" s="1"/>
      <c r="E131" s="1"/>
      <c r="F131" s="455">
        <f>'Proteção Familiar'!i_atual</f>
        <v>9.7000000000000003E-2</v>
      </c>
      <c r="G131" s="456"/>
      <c r="H131" s="457">
        <f>(1+AB48)/(1+AB49)-1</f>
        <v>5.9903381642512077E-2</v>
      </c>
      <c r="I131" s="446"/>
      <c r="J131" s="1"/>
      <c r="K131" s="455">
        <f>(1+IFERROR(RATE('Proteção Familiar'!n,-K118,-'Proteção Familiar'!PV,'Proteção Familiar'!FV,0),0))*(1+'Proteção Familiar'!inflação)-1</f>
        <v>3.499999999999992E-2</v>
      </c>
      <c r="L131" s="457">
        <f>(1+K131)/(1+'Proteção Familiar'!inflação)-1</f>
        <v>0</v>
      </c>
      <c r="M131" s="1"/>
      <c r="N131" s="458">
        <f>(1+IFERROR(RATE(N121-Dados_idade,-N118,-'Proteção Familiar'!PV,'Proteção Familiar'!FV,0),0))*(1+'Proteção Familiar'!inflação)-1</f>
        <v>7.3327620715805564E-2</v>
      </c>
      <c r="O131" s="459">
        <f>(1+N131)/(1+'Proteção Familiar'!inflação)-1</f>
        <v>3.7031517599812158E-2</v>
      </c>
      <c r="P131" s="447"/>
      <c r="Q131" s="458">
        <f>(1+IFERROR(RATE(Q121-Dados_idade,-Q118,-'Proteção Familiar'!PV,O79,0),0))*(1+'Proteção Familiar'!inflação)-1</f>
        <v>5.9661119756300174E-2</v>
      </c>
      <c r="R131" s="459">
        <f>(1+Q131)/(1+'Proteção Familiar'!inflação)-1</f>
        <v>2.3827168846666913E-2</v>
      </c>
      <c r="S131" s="1"/>
      <c r="T131" s="101"/>
      <c r="U131" s="9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326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</row>
    <row r="132" spans="1:134" ht="15.75" customHeight="1" x14ac:dyDescent="0.25">
      <c r="A132" s="1"/>
      <c r="B132" s="1"/>
      <c r="C132" s="430"/>
      <c r="D132" s="1"/>
      <c r="E132" s="1"/>
      <c r="F132" s="1"/>
      <c r="G132" s="1"/>
      <c r="H132" s="443"/>
      <c r="I132" s="443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01"/>
      <c r="U132" s="9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326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</row>
    <row r="133" spans="1:134" ht="15.75" customHeight="1" x14ac:dyDescent="0.25">
      <c r="A133" s="1"/>
      <c r="B133" s="1"/>
      <c r="C133" s="430"/>
      <c r="D133" s="1"/>
      <c r="E133" s="1"/>
      <c r="F133" s="795"/>
      <c r="G133" s="748"/>
      <c r="H133" s="577"/>
      <c r="I133" s="443"/>
      <c r="J133" s="1"/>
      <c r="K133" s="794" t="str">
        <f>IF(VLOOKUP(perfil,'Resumo das informações'!$W$11:$X$14,2,0)*dados_cdi&gt;'Proteção Familiar'!K131,"Dentro do perfil de risco","Fora do perfil de risco")</f>
        <v>Dentro do perfil de risco</v>
      </c>
      <c r="L133" s="783"/>
      <c r="M133" s="1"/>
      <c r="N133" s="794" t="str">
        <f>IF(VLOOKUP(perfil,'Resumo das informações'!$W$11:$X$14,2,0)*dados_cdi&gt;'Proteção Familiar'!N131,"Dentro do perfil de risco","Fora do perfil de risco")</f>
        <v>Dentro do perfil de risco</v>
      </c>
      <c r="O133" s="783"/>
      <c r="P133" s="1"/>
      <c r="Q133" s="794" t="str">
        <f>IF(VLOOKUP(perfil,'Resumo das informações'!$W$11:$X$14,2,0)*dados_cdi&gt;'Proteção Familiar'!Q131,"Dentro do perfil de risco","Fora do perfil de risco")</f>
        <v>Dentro do perfil de risco</v>
      </c>
      <c r="R133" s="783"/>
      <c r="S133" s="1"/>
      <c r="T133" s="101"/>
      <c r="U133" s="9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326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</row>
    <row r="134" spans="1:134" ht="15.75" customHeight="1" x14ac:dyDescent="0.25">
      <c r="A134" s="1"/>
      <c r="B134" s="1"/>
      <c r="C134" s="430"/>
      <c r="D134" s="1"/>
      <c r="E134" s="1"/>
      <c r="F134" s="580"/>
      <c r="G134" s="796"/>
      <c r="H134" s="581"/>
      <c r="I134" s="1"/>
      <c r="J134" s="1"/>
      <c r="K134" s="776"/>
      <c r="L134" s="785"/>
      <c r="M134" s="1"/>
      <c r="N134" s="776"/>
      <c r="O134" s="785"/>
      <c r="P134" s="1"/>
      <c r="Q134" s="776"/>
      <c r="R134" s="785"/>
      <c r="S134" s="1"/>
      <c r="T134" s="101"/>
      <c r="U134" s="9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326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</row>
    <row r="135" spans="1:134" ht="15.75" customHeight="1" x14ac:dyDescent="0.25">
      <c r="A135" s="1"/>
      <c r="B135" s="1"/>
      <c r="C135" s="430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01"/>
      <c r="U135" s="9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326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</row>
    <row r="136" spans="1:134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9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326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</row>
    <row r="137" spans="1:134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9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326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</row>
    <row r="138" spans="1:134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9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326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</row>
    <row r="139" spans="1:134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02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326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</row>
    <row r="140" spans="1:134" ht="15.75" customHeight="1" x14ac:dyDescent="0.25">
      <c r="A140" s="1"/>
      <c r="B140" s="1"/>
      <c r="C140" s="1"/>
      <c r="D140" s="1"/>
      <c r="E140" s="1"/>
      <c r="F140" s="1"/>
      <c r="G140" s="773" t="s">
        <v>221</v>
      </c>
      <c r="H140" s="774"/>
      <c r="I140" s="660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9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326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</row>
    <row r="141" spans="1:134" ht="15.75" customHeight="1" x14ac:dyDescent="0.25">
      <c r="A141" s="1"/>
      <c r="B141" s="1"/>
      <c r="C141" s="1"/>
      <c r="D141" s="1"/>
      <c r="E141" s="1"/>
      <c r="F141" s="1"/>
      <c r="G141" s="775" t="s">
        <v>201</v>
      </c>
      <c r="H141" s="577"/>
      <c r="I141" s="778">
        <f>('Proteção Familiar'!Renda_aposentadoria*12)/'Proteção Familiar'!i_realaposentadoria</f>
        <v>8012903.2258064514</v>
      </c>
      <c r="J141" s="1"/>
      <c r="K141" s="780" t="s">
        <v>79</v>
      </c>
      <c r="L141" s="781"/>
      <c r="M141" s="782" t="str">
        <f>perfil</f>
        <v>Agressivo</v>
      </c>
      <c r="N141" s="783"/>
      <c r="O141" s="1"/>
      <c r="P141" s="1"/>
      <c r="Q141" s="1"/>
      <c r="R141" s="1"/>
      <c r="S141" s="1"/>
      <c r="T141" s="1"/>
      <c r="U141" s="9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326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</row>
    <row r="142" spans="1:134" ht="15.75" customHeight="1" x14ac:dyDescent="0.25">
      <c r="A142" s="1"/>
      <c r="B142" s="1"/>
      <c r="C142" s="1"/>
      <c r="D142" s="1"/>
      <c r="E142" s="1"/>
      <c r="F142" s="1"/>
      <c r="G142" s="776"/>
      <c r="H142" s="777"/>
      <c r="I142" s="779"/>
      <c r="J142" s="1"/>
      <c r="K142" s="655"/>
      <c r="L142" s="579"/>
      <c r="M142" s="578"/>
      <c r="N142" s="627"/>
      <c r="O142" s="1"/>
      <c r="P142" s="1"/>
      <c r="Q142" s="1"/>
      <c r="R142" s="1"/>
      <c r="S142" s="1"/>
      <c r="T142" s="1"/>
      <c r="U142" s="9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326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</row>
    <row r="143" spans="1:134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02"/>
      <c r="J143" s="1"/>
      <c r="K143" s="776"/>
      <c r="L143" s="777"/>
      <c r="M143" s="784"/>
      <c r="N143" s="785"/>
      <c r="O143" s="1"/>
      <c r="P143" s="1"/>
      <c r="Q143" s="1"/>
      <c r="R143" s="1"/>
      <c r="S143" s="1"/>
      <c r="T143" s="1"/>
      <c r="U143" s="9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326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</row>
    <row r="144" spans="1:134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02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9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326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</row>
    <row r="145" spans="1:134" ht="15.75" customHeight="1" x14ac:dyDescent="0.25">
      <c r="A145" s="1"/>
      <c r="B145" s="1"/>
      <c r="C145" s="1"/>
      <c r="D145" s="1"/>
      <c r="E145" s="1"/>
      <c r="F145" s="1"/>
      <c r="G145" s="773" t="s">
        <v>222</v>
      </c>
      <c r="H145" s="774"/>
      <c r="I145" s="660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9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326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</row>
    <row r="146" spans="1:134" ht="15.75" customHeight="1" x14ac:dyDescent="0.25">
      <c r="A146" s="1"/>
      <c r="B146" s="1"/>
      <c r="C146" s="1"/>
      <c r="D146" s="1"/>
      <c r="E146" s="1"/>
      <c r="F146" s="1"/>
      <c r="G146" s="788" t="s">
        <v>223</v>
      </c>
      <c r="H146" s="781"/>
      <c r="I146" s="789">
        <f>PV('Proteção Familiar'!i_realaposentadoria,'Resumo das informações'!I8-'Investimentos - Não Aposentado'!H6,-'Proteção Familiar'!Renda_aposentadoria*12,0,0)</f>
        <v>6613955.2499865303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9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326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</row>
    <row r="147" spans="1:134" ht="15.75" customHeight="1" x14ac:dyDescent="0.25">
      <c r="A147" s="1"/>
      <c r="B147" s="1"/>
      <c r="C147" s="1"/>
      <c r="D147" s="1"/>
      <c r="E147" s="1"/>
      <c r="F147" s="1"/>
      <c r="G147" s="776"/>
      <c r="H147" s="777"/>
      <c r="I147" s="779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9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326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</row>
    <row r="148" spans="1:134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9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326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</row>
    <row r="149" spans="1:134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326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</row>
    <row r="150" spans="1:134" ht="15.75" customHeight="1" x14ac:dyDescent="0.25">
      <c r="A150" s="1"/>
      <c r="B150" s="1"/>
      <c r="C150" s="1"/>
      <c r="D150" s="1"/>
      <c r="E150" s="1"/>
      <c r="F150" s="1"/>
      <c r="G150" s="773" t="s">
        <v>224</v>
      </c>
      <c r="H150" s="774"/>
      <c r="I150" s="660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9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326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</row>
    <row r="151" spans="1:134" ht="15.75" customHeight="1" x14ac:dyDescent="0.25">
      <c r="A151" s="1"/>
      <c r="B151" s="1"/>
      <c r="C151" s="1"/>
      <c r="D151" s="1"/>
      <c r="E151" s="1"/>
      <c r="F151" s="1"/>
      <c r="G151" s="790" t="s">
        <v>202</v>
      </c>
      <c r="H151" s="781"/>
      <c r="I151" s="789">
        <f>FV('Proteção Familiar'!i_real_atual,'Proteção Familiar'!n,-'Proteção Familiar'!PMT_atual,-'Proteção Familiar'!PV,0)</f>
        <v>1000000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9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326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</row>
    <row r="152" spans="1:134" ht="15.75" customHeight="1" x14ac:dyDescent="0.25">
      <c r="A152" s="1"/>
      <c r="B152" s="1"/>
      <c r="C152" s="1"/>
      <c r="D152" s="1"/>
      <c r="E152" s="1"/>
      <c r="F152" s="1"/>
      <c r="G152" s="776"/>
      <c r="H152" s="777"/>
      <c r="I152" s="779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9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326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</row>
    <row r="153" spans="1:134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9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326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</row>
    <row r="154" spans="1:134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9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326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</row>
    <row r="155" spans="1:134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9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326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</row>
    <row r="156" spans="1:134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9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326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</row>
    <row r="157" spans="1:134" ht="15.75" customHeight="1" x14ac:dyDescent="0.25">
      <c r="A157" s="1"/>
      <c r="B157" s="1"/>
      <c r="C157" s="1"/>
      <c r="D157" s="766" t="s">
        <v>124</v>
      </c>
      <c r="E157" s="774"/>
      <c r="F157" s="774"/>
      <c r="G157" s="774"/>
      <c r="H157" s="774"/>
      <c r="I157" s="774"/>
      <c r="J157" s="774"/>
      <c r="K157" s="774"/>
      <c r="L157" s="774"/>
      <c r="M157" s="774"/>
      <c r="N157" s="774"/>
      <c r="O157" s="774"/>
      <c r="P157" s="774"/>
      <c r="Q157" s="774"/>
      <c r="R157" s="660"/>
      <c r="S157" s="1"/>
      <c r="T157" s="1"/>
      <c r="U157" s="9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326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</row>
    <row r="158" spans="1:134" ht="15.75" customHeight="1" x14ac:dyDescent="0.25">
      <c r="A158" s="1"/>
      <c r="B158" s="1"/>
      <c r="C158" s="1"/>
      <c r="D158" s="786" t="s">
        <v>54</v>
      </c>
      <c r="E158" s="787"/>
      <c r="F158" s="460">
        <f>dados_inflação</f>
        <v>3.5000000000000003E-2</v>
      </c>
      <c r="G158" s="461" t="s">
        <v>125</v>
      </c>
      <c r="H158" s="460">
        <f>dados_cdi</f>
        <v>9.7000000000000003E-2</v>
      </c>
      <c r="I158" s="786" t="s">
        <v>154</v>
      </c>
      <c r="J158" s="787"/>
      <c r="K158" s="462">
        <f>dados_rentabilidade_aposentadoria</f>
        <v>9.7000000000000003E-2</v>
      </c>
      <c r="L158" s="786" t="s">
        <v>56</v>
      </c>
      <c r="M158" s="774"/>
      <c r="N158" s="774"/>
      <c r="O158" s="787"/>
      <c r="P158" s="463"/>
      <c r="Q158" s="464"/>
      <c r="R158" s="460">
        <f>dados_jurorealaposentadoria</f>
        <v>5.9903381642512077E-2</v>
      </c>
      <c r="S158" s="1"/>
      <c r="T158" s="1"/>
      <c r="U158" s="9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326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</row>
    <row r="159" spans="1:134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326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</row>
    <row r="160" spans="1:134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9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326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</row>
    <row r="161" spans="1:134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9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326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</row>
    <row r="162" spans="1:134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9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326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</row>
    <row r="163" spans="1:134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9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326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</row>
    <row r="164" spans="1:134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9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326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</row>
    <row r="165" spans="1:134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9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326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</row>
    <row r="166" spans="1:134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9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326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</row>
    <row r="167" spans="1:134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9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326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</row>
    <row r="168" spans="1:134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9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326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</row>
    <row r="169" spans="1:134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326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</row>
    <row r="170" spans="1:134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9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326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</row>
    <row r="171" spans="1:134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9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326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</row>
    <row r="172" spans="1:134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9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326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</row>
    <row r="173" spans="1:134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9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326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</row>
    <row r="174" spans="1:134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9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326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</row>
    <row r="175" spans="1:134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9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326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</row>
    <row r="176" spans="1:134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9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326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</row>
    <row r="177" spans="1:134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9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326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</row>
    <row r="178" spans="1:134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9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326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</row>
    <row r="179" spans="1:134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9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326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</row>
    <row r="180" spans="1:134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9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326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</row>
    <row r="181" spans="1:134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9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326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</row>
    <row r="182" spans="1:134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9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326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</row>
    <row r="183" spans="1:134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9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326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</row>
    <row r="184" spans="1:134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9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326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</row>
    <row r="185" spans="1:134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9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326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</row>
    <row r="186" spans="1:134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9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326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</row>
    <row r="187" spans="1:134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9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326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</row>
    <row r="188" spans="1:134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9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326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</row>
    <row r="189" spans="1:134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9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326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</row>
    <row r="190" spans="1:134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9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326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</row>
    <row r="191" spans="1:134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9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326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</row>
    <row r="192" spans="1:134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9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326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</row>
    <row r="193" spans="1:134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9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326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</row>
    <row r="194" spans="1:134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9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326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</row>
    <row r="195" spans="1:134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9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326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</row>
    <row r="196" spans="1:134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9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326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</row>
    <row r="197" spans="1:134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9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326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</row>
    <row r="198" spans="1:134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9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326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</row>
    <row r="199" spans="1:134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9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326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</row>
    <row r="200" spans="1:134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9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326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</row>
    <row r="201" spans="1:134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9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326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</row>
    <row r="202" spans="1:134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9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326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</row>
    <row r="203" spans="1:134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9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326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</row>
    <row r="204" spans="1:134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9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326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</row>
    <row r="205" spans="1:134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9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326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</row>
    <row r="206" spans="1:134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9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326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</row>
    <row r="207" spans="1:134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9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326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</row>
    <row r="208" spans="1:134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9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326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</row>
    <row r="209" spans="1:134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9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326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</row>
    <row r="210" spans="1:134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9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326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</row>
    <row r="211" spans="1:134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9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326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</row>
    <row r="212" spans="1:134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9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326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</row>
    <row r="213" spans="1:134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9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326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</row>
    <row r="214" spans="1:134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9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326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</row>
    <row r="215" spans="1:134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9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326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</row>
    <row r="216" spans="1:134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9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326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</row>
    <row r="217" spans="1:134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9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326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</row>
    <row r="218" spans="1:134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9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326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</row>
    <row r="219" spans="1:134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9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326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</row>
    <row r="220" spans="1:134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9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326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</row>
    <row r="221" spans="1:134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9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326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</row>
    <row r="222" spans="1:134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9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326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</row>
    <row r="223" spans="1:134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9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326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</row>
    <row r="224" spans="1:134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9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326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</row>
    <row r="225" spans="1:134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9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326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</row>
    <row r="226" spans="1:134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9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326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</row>
    <row r="227" spans="1:134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9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326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</row>
    <row r="228" spans="1:134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9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326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</row>
    <row r="229" spans="1:134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9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326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</row>
    <row r="230" spans="1:134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9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326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</row>
    <row r="231" spans="1:134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9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326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</row>
    <row r="232" spans="1:134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9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326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</row>
    <row r="233" spans="1:134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9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326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</row>
    <row r="234" spans="1:134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9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326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</row>
    <row r="235" spans="1:134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9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326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</row>
    <row r="236" spans="1:134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9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326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</row>
    <row r="237" spans="1:134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9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326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</row>
    <row r="238" spans="1:134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9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326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</row>
    <row r="239" spans="1:134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9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326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</row>
    <row r="240" spans="1:134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9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326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</row>
    <row r="241" spans="1:134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9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326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</row>
    <row r="242" spans="1:134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9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326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</row>
    <row r="243" spans="1:134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9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326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</row>
    <row r="244" spans="1:134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9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326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</row>
    <row r="245" spans="1:134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9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326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</row>
    <row r="246" spans="1:134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9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326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</row>
    <row r="247" spans="1:134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9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326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</row>
    <row r="248" spans="1:134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9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326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</row>
    <row r="249" spans="1:134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9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326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</row>
    <row r="250" spans="1:134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9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326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</row>
    <row r="251" spans="1:134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9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326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</row>
    <row r="252" spans="1:134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9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326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</row>
    <row r="253" spans="1:134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9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326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</row>
    <row r="254" spans="1:134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9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326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</row>
    <row r="255" spans="1:134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9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326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</row>
    <row r="256" spans="1:134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9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326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</row>
    <row r="257" spans="1:134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9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326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</row>
    <row r="258" spans="1:134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9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326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</row>
    <row r="259" spans="1:134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9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326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</row>
    <row r="260" spans="1:134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9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326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</row>
    <row r="261" spans="1:134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9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326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</row>
    <row r="262" spans="1:134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9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326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</row>
    <row r="263" spans="1:134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9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326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</row>
    <row r="264" spans="1:134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9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326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</row>
    <row r="265" spans="1:134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9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326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</row>
    <row r="266" spans="1:134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9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326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</row>
    <row r="267" spans="1:134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9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326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</row>
    <row r="268" spans="1:134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9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326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</row>
    <row r="269" spans="1:134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9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326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</row>
    <row r="270" spans="1:134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9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326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</row>
    <row r="271" spans="1:134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9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326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</row>
    <row r="272" spans="1:134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9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326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</row>
    <row r="273" spans="1:134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9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326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</row>
    <row r="274" spans="1:134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9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326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</row>
    <row r="275" spans="1:134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9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326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</row>
    <row r="276" spans="1:134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9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326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</row>
    <row r="277" spans="1:134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9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326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</row>
    <row r="278" spans="1:134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9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326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</row>
    <row r="279" spans="1:134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9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326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</row>
    <row r="280" spans="1:134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9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326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</row>
    <row r="281" spans="1:134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9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326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</row>
    <row r="282" spans="1:134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9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326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</row>
    <row r="283" spans="1:134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9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326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</row>
    <row r="284" spans="1:134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9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326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</row>
    <row r="285" spans="1:134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9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326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</row>
    <row r="286" spans="1:134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9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326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</row>
    <row r="287" spans="1:134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9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326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</row>
    <row r="288" spans="1:134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9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326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</row>
    <row r="289" spans="1:134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9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326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</row>
    <row r="290" spans="1:134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9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326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</row>
    <row r="291" spans="1:134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9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326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</row>
    <row r="292" spans="1:134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9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326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</row>
    <row r="293" spans="1:134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9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326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</row>
    <row r="294" spans="1:134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9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326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</row>
    <row r="295" spans="1:134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9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326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</row>
    <row r="296" spans="1:134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9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326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</row>
    <row r="297" spans="1:134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9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326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</row>
    <row r="298" spans="1:134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9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326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</row>
    <row r="299" spans="1:134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9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326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</row>
    <row r="300" spans="1:134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9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326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</row>
    <row r="301" spans="1:134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9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326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</row>
    <row r="302" spans="1:134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9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326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</row>
    <row r="303" spans="1:134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9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326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</row>
    <row r="304" spans="1:134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9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326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</row>
    <row r="305" spans="1:134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9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326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</row>
    <row r="306" spans="1:134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9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326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</row>
    <row r="307" spans="1:134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9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326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</row>
    <row r="308" spans="1:134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9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326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</row>
    <row r="309" spans="1:134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9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326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</row>
    <row r="310" spans="1:134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9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326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</row>
    <row r="311" spans="1:134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9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326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</row>
    <row r="312" spans="1:134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9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326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</row>
    <row r="313" spans="1:134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9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326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</row>
    <row r="314" spans="1:134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9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326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</row>
    <row r="315" spans="1:134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9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326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</row>
    <row r="316" spans="1:134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9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326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</row>
    <row r="317" spans="1:134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9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326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</row>
    <row r="318" spans="1:134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9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326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</row>
    <row r="319" spans="1:134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9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326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</row>
    <row r="320" spans="1:134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9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326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</row>
    <row r="321" spans="1:134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9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326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</row>
    <row r="322" spans="1:134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9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326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</row>
    <row r="323" spans="1:134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9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326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</row>
    <row r="324" spans="1:134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9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326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</row>
    <row r="325" spans="1:134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9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326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</row>
    <row r="326" spans="1:134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9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326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</row>
    <row r="327" spans="1:134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9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326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</row>
    <row r="328" spans="1:134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9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326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</row>
    <row r="329" spans="1:134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9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326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</row>
    <row r="330" spans="1:134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9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326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</row>
    <row r="331" spans="1:134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9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326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</row>
    <row r="332" spans="1:134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9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326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</row>
    <row r="333" spans="1:134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9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326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</row>
    <row r="334" spans="1:134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9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326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</row>
    <row r="335" spans="1:134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9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326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</row>
    <row r="336" spans="1:134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9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326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</row>
    <row r="337" spans="1:134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9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326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</row>
    <row r="338" spans="1:134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9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326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</row>
    <row r="339" spans="1:134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9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326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</row>
    <row r="340" spans="1:134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9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326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</row>
    <row r="341" spans="1:134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9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326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</row>
    <row r="342" spans="1:134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9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326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</row>
    <row r="343" spans="1:134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9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326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</row>
    <row r="344" spans="1:134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9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326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</row>
    <row r="345" spans="1:134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9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326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</row>
    <row r="346" spans="1:134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9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326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</row>
    <row r="347" spans="1:134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9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326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</row>
    <row r="348" spans="1:134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9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326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</row>
    <row r="349" spans="1:134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9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326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</row>
    <row r="350" spans="1:134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9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326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</row>
    <row r="351" spans="1:134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9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326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</row>
    <row r="352" spans="1:134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9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326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</row>
    <row r="353" spans="1:134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9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326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</row>
    <row r="354" spans="1:134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9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326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</row>
    <row r="355" spans="1:134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9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326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</row>
    <row r="356" spans="1:134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9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326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</row>
    <row r="357" spans="1:134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9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326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</row>
    <row r="358" spans="1:134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9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326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</row>
  </sheetData>
  <mergeCells count="123">
    <mergeCell ref="AO2:AZ3"/>
    <mergeCell ref="AE3:AF3"/>
    <mergeCell ref="F5:H5"/>
    <mergeCell ref="L5:M5"/>
    <mergeCell ref="J6:K6"/>
    <mergeCell ref="X6:Y6"/>
    <mergeCell ref="F7:H7"/>
    <mergeCell ref="X7:Y7"/>
    <mergeCell ref="L6:M6"/>
    <mergeCell ref="L7:M7"/>
    <mergeCell ref="AE10:AE11"/>
    <mergeCell ref="AF10:AF11"/>
    <mergeCell ref="E16:E17"/>
    <mergeCell ref="D27:I27"/>
    <mergeCell ref="K27:R27"/>
    <mergeCell ref="D26:E26"/>
    <mergeCell ref="D28:F29"/>
    <mergeCell ref="G28:I29"/>
    <mergeCell ref="K28:O29"/>
    <mergeCell ref="P28:R29"/>
    <mergeCell ref="K36:L36"/>
    <mergeCell ref="N36:O36"/>
    <mergeCell ref="Q36:R36"/>
    <mergeCell ref="Z36:AB37"/>
    <mergeCell ref="AC36:AC37"/>
    <mergeCell ref="K37:L37"/>
    <mergeCell ref="N37:O37"/>
    <mergeCell ref="Q37:R37"/>
    <mergeCell ref="K39:L39"/>
    <mergeCell ref="N39:O39"/>
    <mergeCell ref="Q39:R39"/>
    <mergeCell ref="K40:L40"/>
    <mergeCell ref="N40:O40"/>
    <mergeCell ref="Q40:R40"/>
    <mergeCell ref="N42:O42"/>
    <mergeCell ref="Q42:R42"/>
    <mergeCell ref="N45:O45"/>
    <mergeCell ref="N46:O46"/>
    <mergeCell ref="AA47:AB47"/>
    <mergeCell ref="K42:L42"/>
    <mergeCell ref="K43:L43"/>
    <mergeCell ref="N43:O43"/>
    <mergeCell ref="Q43:R43"/>
    <mergeCell ref="K45:L45"/>
    <mergeCell ref="Q45:R45"/>
    <mergeCell ref="Q46:R46"/>
    <mergeCell ref="K46:L46"/>
    <mergeCell ref="F123:H123"/>
    <mergeCell ref="K123:L123"/>
    <mergeCell ref="N123:O123"/>
    <mergeCell ref="Q123:R123"/>
    <mergeCell ref="K124:L124"/>
    <mergeCell ref="N124:O124"/>
    <mergeCell ref="Q124:R124"/>
    <mergeCell ref="F124:H124"/>
    <mergeCell ref="F126:H126"/>
    <mergeCell ref="K126:L126"/>
    <mergeCell ref="N126:O126"/>
    <mergeCell ref="Q126:R126"/>
    <mergeCell ref="F127:H127"/>
    <mergeCell ref="K127:L127"/>
    <mergeCell ref="N127:O127"/>
    <mergeCell ref="F129:H129"/>
    <mergeCell ref="K129:L129"/>
    <mergeCell ref="N129:O129"/>
    <mergeCell ref="Q129:R129"/>
    <mergeCell ref="K133:L134"/>
    <mergeCell ref="N133:O134"/>
    <mergeCell ref="Q133:R134"/>
    <mergeCell ref="F133:H134"/>
    <mergeCell ref="Q127:R127"/>
    <mergeCell ref="G140:I140"/>
    <mergeCell ref="G141:H142"/>
    <mergeCell ref="I141:I142"/>
    <mergeCell ref="K141:L143"/>
    <mergeCell ref="M141:N143"/>
    <mergeCell ref="G145:I145"/>
    <mergeCell ref="I158:J158"/>
    <mergeCell ref="L158:O158"/>
    <mergeCell ref="G146:H147"/>
    <mergeCell ref="I146:I147"/>
    <mergeCell ref="G150:I150"/>
    <mergeCell ref="G151:H152"/>
    <mergeCell ref="I151:I152"/>
    <mergeCell ref="D157:R157"/>
    <mergeCell ref="D158:E158"/>
    <mergeCell ref="K48:L48"/>
    <mergeCell ref="N48:O48"/>
    <mergeCell ref="Q48:R48"/>
    <mergeCell ref="G51:H51"/>
    <mergeCell ref="G52:H52"/>
    <mergeCell ref="K52:L53"/>
    <mergeCell ref="G53:H53"/>
    <mergeCell ref="N52:O53"/>
    <mergeCell ref="Q52:R53"/>
    <mergeCell ref="J58:K58"/>
    <mergeCell ref="L58:M58"/>
    <mergeCell ref="N58:O58"/>
    <mergeCell ref="P58:Q58"/>
    <mergeCell ref="E63:G63"/>
    <mergeCell ref="P59:Q59"/>
    <mergeCell ref="O78:P78"/>
    <mergeCell ref="O79:P79"/>
    <mergeCell ref="D107:E107"/>
    <mergeCell ref="K109:L109"/>
    <mergeCell ref="N109:O109"/>
    <mergeCell ref="Q109:R109"/>
    <mergeCell ref="F117:H117"/>
    <mergeCell ref="K117:L117"/>
    <mergeCell ref="N117:O117"/>
    <mergeCell ref="Q117:R117"/>
    <mergeCell ref="K118:L118"/>
    <mergeCell ref="N118:O118"/>
    <mergeCell ref="Q118:R118"/>
    <mergeCell ref="Q120:R120"/>
    <mergeCell ref="Q121:R121"/>
    <mergeCell ref="F118:H118"/>
    <mergeCell ref="F120:H120"/>
    <mergeCell ref="K120:L120"/>
    <mergeCell ref="N120:O120"/>
    <mergeCell ref="F121:H121"/>
    <mergeCell ref="K121:L121"/>
    <mergeCell ref="N121:O121"/>
  </mergeCells>
  <conditionalFormatting sqref="AE10">
    <cfRule type="containsText" dxfId="20" priority="1" operator="containsText" text="Superavit">
      <formula>NOT(ISERROR(SEARCH(("Superavit"),(AE10))))</formula>
    </cfRule>
  </conditionalFormatting>
  <conditionalFormatting sqref="AE10">
    <cfRule type="containsText" dxfId="19" priority="2" operator="containsText" text="deficit">
      <formula>NOT(ISERROR(SEARCH(("deficit"),(AE10))))</formula>
    </cfRule>
  </conditionalFormatting>
  <conditionalFormatting sqref="K133 N133 Q133">
    <cfRule type="containsText" dxfId="18" priority="3" operator="containsText" text="Dentro do perfil">
      <formula>NOT(ISERROR(SEARCH(("Dentro do perfil"),(K133))))</formula>
    </cfRule>
  </conditionalFormatting>
  <conditionalFormatting sqref="K133 N133 Q133">
    <cfRule type="containsText" dxfId="17" priority="4" operator="containsText" text="Fora do perfil">
      <formula>NOT(ISERROR(SEARCH(("Fora do perfil"),(K133))))</formula>
    </cfRule>
  </conditionalFormatting>
  <conditionalFormatting sqref="F133">
    <cfRule type="containsText" dxfId="16" priority="5" operator="containsText" text="Dentro do perfil">
      <formula>NOT(ISERROR(SEARCH(("Dentro do perfil"),(F133))))</formula>
    </cfRule>
  </conditionalFormatting>
  <conditionalFormatting sqref="F133">
    <cfRule type="containsText" dxfId="15" priority="6" operator="containsText" text="Fora do perfil">
      <formula>NOT(ISERROR(SEARCH(("Fora do perfil"),(F133))))</formula>
    </cfRule>
  </conditionalFormatting>
  <conditionalFormatting sqref="E16:E17">
    <cfRule type="colorScale" priority="7">
      <colorScale>
        <cfvo type="formula" val="0"/>
        <cfvo type="formula" val="0.5"/>
        <cfvo type="formula" val="1"/>
        <color rgb="FFFF0000"/>
        <color rgb="FFFFEB84"/>
        <color rgb="FF00B050"/>
      </colorScale>
    </cfRule>
  </conditionalFormatting>
  <conditionalFormatting sqref="E16:E17">
    <cfRule type="colorScale" priority="8">
      <colorScale>
        <cfvo type="formula" val="0"/>
        <cfvo type="formula" val="5"/>
        <cfvo type="formula" val="10"/>
        <color rgb="FFFF0000"/>
        <color rgb="FFFFFF00"/>
        <color rgb="FF279D27"/>
      </colorScale>
    </cfRule>
  </conditionalFormatting>
  <conditionalFormatting sqref="F124:H124">
    <cfRule type="cellIs" dxfId="14" priority="9" operator="lessThan">
      <formula>0</formula>
    </cfRule>
  </conditionalFormatting>
  <conditionalFormatting sqref="K52 N52 Q52">
    <cfRule type="containsText" dxfId="13" priority="10" operator="containsText" text="Dentro do perfil">
      <formula>NOT(ISERROR(SEARCH(("Dentro do perfil"),(K52))))</formula>
    </cfRule>
  </conditionalFormatting>
  <conditionalFormatting sqref="K52 N52 Q52">
    <cfRule type="containsText" dxfId="12" priority="11" operator="containsText" text="Fora do perfil">
      <formula>NOT(ISERROR(SEARCH(("Fora do perfil"),(K52))))</formula>
    </cfRule>
  </conditionalFormatting>
  <conditionalFormatting sqref="D28 G28">
    <cfRule type="expression" dxfId="11" priority="12">
      <formula>$G$28="Não Necessário"</formula>
    </cfRule>
  </conditionalFormatting>
  <conditionalFormatting sqref="D28 G28">
    <cfRule type="expression" dxfId="10" priority="13">
      <formula>$G$28&gt;0</formula>
    </cfRule>
  </conditionalFormatting>
  <conditionalFormatting sqref="K28">
    <cfRule type="expression" dxfId="9" priority="14">
      <formula>$P$28&gt;0</formula>
    </cfRule>
  </conditionalFormatting>
  <conditionalFormatting sqref="P28">
    <cfRule type="expression" dxfId="8" priority="15">
      <formula>$P$28&gt;0</formula>
    </cfRule>
  </conditionalFormatting>
  <dataValidations count="1">
    <dataValidation type="list" allowBlank="1" showErrorMessage="1" sqref="AO6" xr:uid="{00000000-0002-0000-0500-000000000000}">
      <formula1>$BH$3:$BH$6</formula1>
    </dataValidation>
  </dataValidations>
  <pageMargins left="0.25" right="0.25" top="0.75" bottom="0.75" header="0" footer="0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BG1000"/>
  <sheetViews>
    <sheetView showGridLines="0" workbookViewId="0"/>
  </sheetViews>
  <sheetFormatPr defaultColWidth="12.625" defaultRowHeight="15" customHeight="1" x14ac:dyDescent="0.2"/>
  <cols>
    <col min="1" max="3" width="8" customWidth="1"/>
    <col min="4" max="4" width="12.625" customWidth="1"/>
    <col min="5" max="5" width="14.375" customWidth="1"/>
    <col min="6" max="6" width="11.625" customWidth="1"/>
    <col min="7" max="7" width="17.875" customWidth="1"/>
    <col min="8" max="8" width="13.125" customWidth="1"/>
    <col min="9" max="9" width="12.375" customWidth="1"/>
    <col min="10" max="10" width="13.375" customWidth="1"/>
    <col min="11" max="11" width="11.75" customWidth="1"/>
    <col min="12" max="12" width="11.5" customWidth="1"/>
    <col min="13" max="14" width="8" customWidth="1"/>
    <col min="15" max="15" width="10.875" customWidth="1"/>
    <col min="16" max="16" width="19.25" customWidth="1"/>
    <col min="17" max="17" width="11.375" customWidth="1"/>
    <col min="18" max="20" width="8" customWidth="1"/>
    <col min="21" max="21" width="11.5" customWidth="1"/>
    <col min="22" max="22" width="8" customWidth="1"/>
    <col min="23" max="23" width="9.125" customWidth="1"/>
    <col min="24" max="24" width="7.875" customWidth="1"/>
    <col min="25" max="25" width="17.875" customWidth="1"/>
    <col min="26" max="27" width="11.75" customWidth="1"/>
    <col min="28" max="28" width="16" customWidth="1"/>
    <col min="29" max="29" width="14.25" customWidth="1"/>
    <col min="30" max="30" width="16.375" customWidth="1"/>
    <col min="31" max="31" width="13.375" customWidth="1"/>
    <col min="32" max="32" width="11.625" customWidth="1"/>
    <col min="33" max="33" width="19.25" customWidth="1"/>
    <col min="34" max="34" width="8" customWidth="1"/>
    <col min="35" max="35" width="12.125" customWidth="1"/>
    <col min="36" max="38" width="11.75" customWidth="1"/>
    <col min="39" max="39" width="15.25" customWidth="1"/>
    <col min="40" max="59" width="8" customWidth="1"/>
  </cols>
  <sheetData>
    <row r="1" spans="1:59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830" t="s">
        <v>225</v>
      </c>
      <c r="X1" s="842"/>
      <c r="Y1" s="842"/>
      <c r="Z1" s="842"/>
      <c r="AA1" s="842"/>
      <c r="AB1" s="842"/>
      <c r="AC1" s="842"/>
      <c r="AD1" s="719"/>
      <c r="AE1" s="846" t="s">
        <v>111</v>
      </c>
      <c r="AF1" s="613"/>
      <c r="AG1" s="613"/>
      <c r="AH1" s="613"/>
      <c r="AI1" s="613"/>
      <c r="AJ1" s="613"/>
      <c r="AK1" s="613"/>
      <c r="AL1" s="67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</row>
    <row r="2" spans="1:59" x14ac:dyDescent="0.25">
      <c r="A2" s="35"/>
      <c r="B2" s="465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7"/>
      <c r="S2" s="35"/>
      <c r="T2" s="35"/>
      <c r="U2" s="468" t="s">
        <v>226</v>
      </c>
      <c r="V2" s="469" t="s">
        <v>227</v>
      </c>
      <c r="W2" s="468" t="s">
        <v>185</v>
      </c>
      <c r="X2" s="470" t="s">
        <v>228</v>
      </c>
      <c r="Y2" s="470" t="s">
        <v>229</v>
      </c>
      <c r="Z2" s="470" t="s">
        <v>230</v>
      </c>
      <c r="AA2" s="470" t="s">
        <v>231</v>
      </c>
      <c r="AB2" s="470" t="s">
        <v>232</v>
      </c>
      <c r="AC2" s="470" t="s">
        <v>233</v>
      </c>
      <c r="AD2" s="471" t="s">
        <v>234</v>
      </c>
      <c r="AE2" s="472" t="s">
        <v>235</v>
      </c>
      <c r="AF2" s="473" t="s">
        <v>185</v>
      </c>
      <c r="AG2" s="473" t="s">
        <v>228</v>
      </c>
      <c r="AH2" s="473" t="s">
        <v>229</v>
      </c>
      <c r="AI2" s="473" t="s">
        <v>230</v>
      </c>
      <c r="AJ2" s="473" t="s">
        <v>231</v>
      </c>
      <c r="AK2" s="474" t="s">
        <v>236</v>
      </c>
      <c r="AL2" s="475" t="s">
        <v>232</v>
      </c>
      <c r="AM2" s="476" t="s">
        <v>237</v>
      </c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</row>
    <row r="3" spans="1:59" ht="25.5" customHeight="1" x14ac:dyDescent="0.35">
      <c r="A3" s="35"/>
      <c r="B3" s="477"/>
      <c r="C3" s="847" t="s">
        <v>238</v>
      </c>
      <c r="D3" s="842"/>
      <c r="E3" s="842"/>
      <c r="F3" s="842"/>
      <c r="G3" s="842"/>
      <c r="H3" s="842"/>
      <c r="I3" s="842"/>
      <c r="J3" s="842"/>
      <c r="K3" s="842"/>
      <c r="L3" s="842"/>
      <c r="M3" s="842"/>
      <c r="N3" s="842"/>
      <c r="O3" s="842"/>
      <c r="P3" s="842"/>
      <c r="Q3" s="719"/>
      <c r="R3" s="478"/>
      <c r="S3" s="35"/>
      <c r="T3" s="35"/>
      <c r="U3" s="479">
        <f t="shared" ref="U3:U23" si="0">IF(AND(Z3=0,AA3=0),0,PMT_atual)</f>
        <v>60000</v>
      </c>
      <c r="V3" s="480">
        <v>0</v>
      </c>
      <c r="W3" s="481" t="str">
        <f t="shared" ref="W3:W23" si="1">IF(V3&lt;$J$8,$K$8,IF(V3&lt;$J$8,-$K$8,0))</f>
        <v/>
      </c>
      <c r="X3" s="482" t="str">
        <f t="shared" ref="X3:X23" si="2">IF(V3&lt;$J$9,$K$9,IF(V3&lt;$J$9,-$K$9,0))</f>
        <v/>
      </c>
      <c r="Y3" s="482" t="str">
        <f t="shared" ref="Y3:Y23" si="3">IF(V3&lt;$J$10,$K$10,IF(V3&lt;$J$10,-$K$10,0))</f>
        <v/>
      </c>
      <c r="Z3" s="482">
        <f t="shared" ref="Z3:Z23" si="4">SUM(W3:Y3)</f>
        <v>0</v>
      </c>
      <c r="AA3" s="482">
        <f>PV</f>
        <v>1000000</v>
      </c>
      <c r="AB3" s="483">
        <f>PV</f>
        <v>1000000</v>
      </c>
      <c r="AC3" s="484">
        <f>PV</f>
        <v>1000000</v>
      </c>
      <c r="AD3" s="485">
        <f>PV</f>
        <v>1000000</v>
      </c>
      <c r="AE3" s="486">
        <f t="shared" ref="AE3:AE23" si="5">IF(AND(AI3=0,AJ3=0),0,$I$47)</f>
        <v>45000</v>
      </c>
      <c r="AF3" s="487" t="str">
        <f t="shared" ref="AF3:AF23" si="6">IF(V3&lt;$J$47,$K$8,IF(V3&lt;$J$47,-$K$8,0))</f>
        <v/>
      </c>
      <c r="AG3" s="487" t="str">
        <f t="shared" ref="AG3:AG23" si="7">IF(V3&lt;$L$47,$K$9,IF(V3&lt;$L$47,-$K$9,0))</f>
        <v/>
      </c>
      <c r="AH3" s="487" t="str">
        <f t="shared" ref="AH3:AH23" si="8">IF(V3&lt;$N$47,$K$10,IF(V3&lt;$N$47,-$K$10,0))</f>
        <v/>
      </c>
      <c r="AI3" s="487">
        <f t="shared" ref="AI3:AI23" si="9">SUM(AF3:AH3)</f>
        <v>0</v>
      </c>
      <c r="AJ3" s="488">
        <f>PV</f>
        <v>1000000</v>
      </c>
      <c r="AK3" s="489">
        <f t="shared" ref="AK3:AK23" si="10">IF(MAX($J$47:$N$47)=V3,$Q$47,0)</f>
        <v>0</v>
      </c>
      <c r="AL3" s="490">
        <f>PV</f>
        <v>1000000</v>
      </c>
      <c r="AM3" s="490">
        <f>PV</f>
        <v>1000000</v>
      </c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</row>
    <row r="4" spans="1:59" x14ac:dyDescent="0.25">
      <c r="A4" s="35"/>
      <c r="B4" s="477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478"/>
      <c r="S4" s="35"/>
      <c r="T4" s="35"/>
      <c r="U4" s="479">
        <f t="shared" si="0"/>
        <v>0</v>
      </c>
      <c r="V4" s="480">
        <v>1</v>
      </c>
      <c r="W4" s="481" t="str">
        <f t="shared" si="1"/>
        <v/>
      </c>
      <c r="X4" s="482" t="str">
        <f t="shared" si="2"/>
        <v/>
      </c>
      <c r="Y4" s="482" t="str">
        <f t="shared" si="3"/>
        <v/>
      </c>
      <c r="Z4" s="482">
        <f t="shared" si="4"/>
        <v>0</v>
      </c>
      <c r="AA4" s="482">
        <f t="shared" ref="AA4:AA23" si="11">Z4-Z3</f>
        <v>0</v>
      </c>
      <c r="AB4" s="483">
        <f t="shared" ref="AB4:AB23" si="12">U4+AA4</f>
        <v>0</v>
      </c>
      <c r="AC4" s="484">
        <f t="shared" ref="AC4:AC23" si="13">(AC3*(1+i_real_atual)+AB4)</f>
        <v>1059903.381642512</v>
      </c>
      <c r="AD4" s="485" t="e">
        <f t="shared" ref="AD4:AD23" si="14">(AD3*(1+$AC$24)+AB4)</f>
        <v>#NUM!</v>
      </c>
      <c r="AE4" s="486">
        <f t="shared" si="5"/>
        <v>0</v>
      </c>
      <c r="AF4" s="487" t="str">
        <f t="shared" si="6"/>
        <v/>
      </c>
      <c r="AG4" s="487" t="str">
        <f t="shared" si="7"/>
        <v/>
      </c>
      <c r="AH4" s="487" t="str">
        <f t="shared" si="8"/>
        <v/>
      </c>
      <c r="AI4" s="487">
        <f t="shared" si="9"/>
        <v>0</v>
      </c>
      <c r="AJ4" s="488">
        <f t="shared" ref="AJ4:AJ23" si="15">AI4-AI3</f>
        <v>0</v>
      </c>
      <c r="AK4" s="489">
        <f t="shared" si="10"/>
        <v>0</v>
      </c>
      <c r="AL4" s="490">
        <f t="shared" ref="AL4:AL23" si="16">AE4+AJ4+AK4</f>
        <v>0</v>
      </c>
      <c r="AM4" s="485" t="e">
        <f t="shared" ref="AM4:AM23" si="17">(AM3*(1+TIR_2)+AL4)</f>
        <v>#NUM!</v>
      </c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</row>
    <row r="5" spans="1:59" x14ac:dyDescent="0.25">
      <c r="A5" s="35"/>
      <c r="B5" s="477"/>
      <c r="C5" s="491" t="s">
        <v>8</v>
      </c>
      <c r="D5" s="848" t="str">
        <f>Dados_Nome</f>
        <v>Marcos</v>
      </c>
      <c r="E5" s="774"/>
      <c r="F5" s="660"/>
      <c r="G5" s="491" t="s">
        <v>9</v>
      </c>
      <c r="H5" s="492">
        <f>Dados_idade</f>
        <v>24</v>
      </c>
      <c r="I5" s="818" t="s">
        <v>93</v>
      </c>
      <c r="J5" s="774"/>
      <c r="K5" s="774"/>
      <c r="L5" s="849">
        <f>Dados_poupancamensal*12</f>
        <v>0</v>
      </c>
      <c r="M5" s="660"/>
      <c r="N5" s="850" t="s">
        <v>239</v>
      </c>
      <c r="O5" s="774"/>
      <c r="P5" s="851" t="str">
        <f>perfil</f>
        <v>Agressivo</v>
      </c>
      <c r="Q5" s="660"/>
      <c r="R5" s="478"/>
      <c r="S5" s="35"/>
      <c r="T5" s="35"/>
      <c r="U5" s="479">
        <f t="shared" si="0"/>
        <v>0</v>
      </c>
      <c r="V5" s="480">
        <v>2</v>
      </c>
      <c r="W5" s="481" t="str">
        <f t="shared" si="1"/>
        <v/>
      </c>
      <c r="X5" s="482" t="str">
        <f t="shared" si="2"/>
        <v/>
      </c>
      <c r="Y5" s="482" t="str">
        <f t="shared" si="3"/>
        <v/>
      </c>
      <c r="Z5" s="482">
        <f t="shared" si="4"/>
        <v>0</v>
      </c>
      <c r="AA5" s="482">
        <f t="shared" si="11"/>
        <v>0</v>
      </c>
      <c r="AB5" s="483">
        <f t="shared" si="12"/>
        <v>0</v>
      </c>
      <c r="AC5" s="484">
        <f t="shared" si="13"/>
        <v>1123395.1784172326</v>
      </c>
      <c r="AD5" s="485" t="e">
        <f t="shared" si="14"/>
        <v>#NUM!</v>
      </c>
      <c r="AE5" s="486">
        <f t="shared" si="5"/>
        <v>0</v>
      </c>
      <c r="AF5" s="487" t="str">
        <f t="shared" si="6"/>
        <v/>
      </c>
      <c r="AG5" s="487" t="str">
        <f t="shared" si="7"/>
        <v/>
      </c>
      <c r="AH5" s="487" t="str">
        <f t="shared" si="8"/>
        <v/>
      </c>
      <c r="AI5" s="487">
        <f t="shared" si="9"/>
        <v>0</v>
      </c>
      <c r="AJ5" s="488">
        <f t="shared" si="15"/>
        <v>0</v>
      </c>
      <c r="AK5" s="489">
        <f t="shared" si="10"/>
        <v>0</v>
      </c>
      <c r="AL5" s="490">
        <f t="shared" si="16"/>
        <v>0</v>
      </c>
      <c r="AM5" s="485" t="e">
        <f t="shared" si="17"/>
        <v>#NUM!</v>
      </c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</row>
    <row r="6" spans="1:59" x14ac:dyDescent="0.25">
      <c r="A6" s="35"/>
      <c r="B6" s="477"/>
      <c r="C6" s="35"/>
      <c r="D6" s="19"/>
      <c r="E6" s="146"/>
      <c r="F6" s="146"/>
      <c r="G6" s="146"/>
      <c r="H6" s="19"/>
      <c r="I6" s="147"/>
      <c r="J6" s="148"/>
      <c r="K6" s="148"/>
      <c r="L6" s="147"/>
      <c r="M6" s="19"/>
      <c r="N6" s="139"/>
      <c r="O6" s="139"/>
      <c r="P6" s="139"/>
      <c r="Q6" s="140"/>
      <c r="R6" s="478"/>
      <c r="S6" s="35"/>
      <c r="T6" s="35"/>
      <c r="U6" s="479">
        <f t="shared" si="0"/>
        <v>0</v>
      </c>
      <c r="V6" s="480">
        <v>3</v>
      </c>
      <c r="W6" s="481" t="str">
        <f t="shared" si="1"/>
        <v/>
      </c>
      <c r="X6" s="482" t="str">
        <f t="shared" si="2"/>
        <v/>
      </c>
      <c r="Y6" s="482" t="str">
        <f t="shared" si="3"/>
        <v/>
      </c>
      <c r="Z6" s="482">
        <f t="shared" si="4"/>
        <v>0</v>
      </c>
      <c r="AA6" s="482">
        <f t="shared" si="11"/>
        <v>0</v>
      </c>
      <c r="AB6" s="483">
        <f t="shared" si="12"/>
        <v>0</v>
      </c>
      <c r="AC6" s="484">
        <f t="shared" si="13"/>
        <v>1190690.3485253181</v>
      </c>
      <c r="AD6" s="485" t="e">
        <f t="shared" si="14"/>
        <v>#NUM!</v>
      </c>
      <c r="AE6" s="486">
        <f t="shared" si="5"/>
        <v>0</v>
      </c>
      <c r="AF6" s="487" t="str">
        <f t="shared" si="6"/>
        <v/>
      </c>
      <c r="AG6" s="487" t="str">
        <f t="shared" si="7"/>
        <v/>
      </c>
      <c r="AH6" s="487" t="str">
        <f t="shared" si="8"/>
        <v/>
      </c>
      <c r="AI6" s="487">
        <f t="shared" si="9"/>
        <v>0</v>
      </c>
      <c r="AJ6" s="488">
        <f t="shared" si="15"/>
        <v>0</v>
      </c>
      <c r="AK6" s="489">
        <f t="shared" si="10"/>
        <v>0</v>
      </c>
      <c r="AL6" s="490">
        <f t="shared" si="16"/>
        <v>0</v>
      </c>
      <c r="AM6" s="485" t="e">
        <f t="shared" si="17"/>
        <v>#NUM!</v>
      </c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</row>
    <row r="7" spans="1:59" x14ac:dyDescent="0.25">
      <c r="A7" s="35"/>
      <c r="B7" s="477"/>
      <c r="C7" s="35"/>
      <c r="D7" s="35"/>
      <c r="E7" s="35"/>
      <c r="F7" s="35"/>
      <c r="G7" s="841" t="s">
        <v>173</v>
      </c>
      <c r="H7" s="842"/>
      <c r="I7" s="842"/>
      <c r="J7" s="494" t="s">
        <v>240</v>
      </c>
      <c r="K7" s="830" t="s">
        <v>52</v>
      </c>
      <c r="L7" s="719"/>
      <c r="M7" s="138"/>
      <c r="N7" s="35"/>
      <c r="O7" s="35"/>
      <c r="P7" s="139" t="s">
        <v>241</v>
      </c>
      <c r="Q7" s="35"/>
      <c r="R7" s="478"/>
      <c r="S7" s="35"/>
      <c r="T7" s="35"/>
      <c r="U7" s="479">
        <f t="shared" si="0"/>
        <v>0</v>
      </c>
      <c r="V7" s="480">
        <v>4</v>
      </c>
      <c r="W7" s="481" t="str">
        <f t="shared" si="1"/>
        <v/>
      </c>
      <c r="X7" s="482" t="str">
        <f t="shared" si="2"/>
        <v/>
      </c>
      <c r="Y7" s="482" t="str">
        <f t="shared" si="3"/>
        <v/>
      </c>
      <c r="Z7" s="482">
        <f t="shared" si="4"/>
        <v>0</v>
      </c>
      <c r="AA7" s="482">
        <f t="shared" si="11"/>
        <v>0</v>
      </c>
      <c r="AB7" s="483">
        <f t="shared" si="12"/>
        <v>0</v>
      </c>
      <c r="AC7" s="484">
        <f t="shared" si="13"/>
        <v>1262016.726891086</v>
      </c>
      <c r="AD7" s="485" t="e">
        <f t="shared" si="14"/>
        <v>#NUM!</v>
      </c>
      <c r="AE7" s="486">
        <f t="shared" si="5"/>
        <v>0</v>
      </c>
      <c r="AF7" s="487" t="str">
        <f t="shared" si="6"/>
        <v/>
      </c>
      <c r="AG7" s="487" t="str">
        <f t="shared" si="7"/>
        <v/>
      </c>
      <c r="AH7" s="487" t="str">
        <f t="shared" si="8"/>
        <v/>
      </c>
      <c r="AI7" s="487">
        <f t="shared" si="9"/>
        <v>0</v>
      </c>
      <c r="AJ7" s="488">
        <f t="shared" si="15"/>
        <v>0</v>
      </c>
      <c r="AK7" s="489">
        <f t="shared" si="10"/>
        <v>0</v>
      </c>
      <c r="AL7" s="490">
        <f t="shared" si="16"/>
        <v>0</v>
      </c>
      <c r="AM7" s="485" t="e">
        <f t="shared" si="17"/>
        <v>#NUM!</v>
      </c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</row>
    <row r="8" spans="1:59" x14ac:dyDescent="0.25">
      <c r="A8" s="35"/>
      <c r="B8" s="477"/>
      <c r="C8" s="35"/>
      <c r="D8" s="35"/>
      <c r="E8" s="35"/>
      <c r="F8" s="35"/>
      <c r="G8" s="843" t="str">
        <f>IF(Dados_Projeto1=0,"",Dados_Projeto1)</f>
        <v/>
      </c>
      <c r="H8" s="601"/>
      <c r="I8" s="602"/>
      <c r="J8" s="495" t="str">
        <f>IF(dados_prazoprojeto1=0,"",dados_prazoprojeto1)</f>
        <v/>
      </c>
      <c r="K8" s="844" t="str">
        <f>IF(Dados_montanteprojeto1=0,"",Dados_montanteprojeto1)</f>
        <v/>
      </c>
      <c r="L8" s="602"/>
      <c r="M8" s="139"/>
      <c r="N8" s="139"/>
      <c r="O8" s="139"/>
      <c r="P8" s="140"/>
      <c r="Q8" s="35"/>
      <c r="R8" s="478"/>
      <c r="S8" s="35"/>
      <c r="T8" s="35"/>
      <c r="U8" s="479">
        <f t="shared" si="0"/>
        <v>0</v>
      </c>
      <c r="V8" s="480">
        <v>5</v>
      </c>
      <c r="W8" s="481" t="str">
        <f t="shared" si="1"/>
        <v/>
      </c>
      <c r="X8" s="482" t="str">
        <f t="shared" si="2"/>
        <v/>
      </c>
      <c r="Y8" s="482" t="str">
        <f t="shared" si="3"/>
        <v/>
      </c>
      <c r="Z8" s="482">
        <f t="shared" si="4"/>
        <v>0</v>
      </c>
      <c r="AA8" s="482">
        <f t="shared" si="11"/>
        <v>0</v>
      </c>
      <c r="AB8" s="483">
        <f t="shared" si="12"/>
        <v>0</v>
      </c>
      <c r="AC8" s="484">
        <f t="shared" si="13"/>
        <v>1337615.7965212767</v>
      </c>
      <c r="AD8" s="485" t="e">
        <f t="shared" si="14"/>
        <v>#NUM!</v>
      </c>
      <c r="AE8" s="486">
        <f t="shared" si="5"/>
        <v>0</v>
      </c>
      <c r="AF8" s="487" t="str">
        <f t="shared" si="6"/>
        <v/>
      </c>
      <c r="AG8" s="487" t="str">
        <f t="shared" si="7"/>
        <v/>
      </c>
      <c r="AH8" s="487" t="str">
        <f t="shared" si="8"/>
        <v/>
      </c>
      <c r="AI8" s="487">
        <f t="shared" si="9"/>
        <v>0</v>
      </c>
      <c r="AJ8" s="488">
        <f t="shared" si="15"/>
        <v>0</v>
      </c>
      <c r="AK8" s="489">
        <f t="shared" si="10"/>
        <v>0</v>
      </c>
      <c r="AL8" s="490">
        <f t="shared" si="16"/>
        <v>0</v>
      </c>
      <c r="AM8" s="485" t="e">
        <f t="shared" si="17"/>
        <v>#NUM!</v>
      </c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</row>
    <row r="9" spans="1:59" x14ac:dyDescent="0.25">
      <c r="A9" s="35"/>
      <c r="B9" s="477"/>
      <c r="C9" s="35"/>
      <c r="D9" s="35"/>
      <c r="E9" s="35"/>
      <c r="F9" s="35"/>
      <c r="G9" s="845" t="str">
        <f>IF(Dados_projeto2=0,"",Dados_projeto2)</f>
        <v/>
      </c>
      <c r="H9" s="598"/>
      <c r="I9" s="837"/>
      <c r="J9" s="496" t="str">
        <f>IF(dados_prazoprojeto2=0,"",dados_prazoprojeto2)</f>
        <v/>
      </c>
      <c r="K9" s="836" t="str">
        <f>IF(Dados_montanteprojeto2=0,"",Dados_montanteprojeto2)</f>
        <v/>
      </c>
      <c r="L9" s="837"/>
      <c r="M9" s="139"/>
      <c r="N9" s="139"/>
      <c r="O9" s="139"/>
      <c r="P9" s="140"/>
      <c r="Q9" s="35"/>
      <c r="R9" s="478"/>
      <c r="S9" s="35"/>
      <c r="T9" s="35"/>
      <c r="U9" s="479">
        <f t="shared" si="0"/>
        <v>0</v>
      </c>
      <c r="V9" s="480">
        <v>6</v>
      </c>
      <c r="W9" s="481" t="str">
        <f t="shared" si="1"/>
        <v/>
      </c>
      <c r="X9" s="482" t="str">
        <f t="shared" si="2"/>
        <v/>
      </c>
      <c r="Y9" s="482" t="str">
        <f t="shared" si="3"/>
        <v/>
      </c>
      <c r="Z9" s="482">
        <f t="shared" si="4"/>
        <v>0</v>
      </c>
      <c r="AA9" s="482">
        <f t="shared" si="11"/>
        <v>0</v>
      </c>
      <c r="AB9" s="483">
        <f t="shared" si="12"/>
        <v>0</v>
      </c>
      <c r="AC9" s="484">
        <f t="shared" si="13"/>
        <v>1417743.5060713436</v>
      </c>
      <c r="AD9" s="485" t="e">
        <f t="shared" si="14"/>
        <v>#NUM!</v>
      </c>
      <c r="AE9" s="486">
        <f t="shared" si="5"/>
        <v>0</v>
      </c>
      <c r="AF9" s="487" t="str">
        <f t="shared" si="6"/>
        <v/>
      </c>
      <c r="AG9" s="487" t="str">
        <f t="shared" si="7"/>
        <v/>
      </c>
      <c r="AH9" s="487" t="str">
        <f t="shared" si="8"/>
        <v/>
      </c>
      <c r="AI9" s="487">
        <f t="shared" si="9"/>
        <v>0</v>
      </c>
      <c r="AJ9" s="488">
        <f t="shared" si="15"/>
        <v>0</v>
      </c>
      <c r="AK9" s="489">
        <f t="shared" si="10"/>
        <v>0</v>
      </c>
      <c r="AL9" s="490">
        <f t="shared" si="16"/>
        <v>0</v>
      </c>
      <c r="AM9" s="485" t="e">
        <f t="shared" si="17"/>
        <v>#NUM!</v>
      </c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</row>
    <row r="10" spans="1:59" x14ac:dyDescent="0.25">
      <c r="A10" s="35"/>
      <c r="B10" s="477"/>
      <c r="C10" s="35"/>
      <c r="D10" s="35"/>
      <c r="E10" s="35"/>
      <c r="F10" s="35"/>
      <c r="G10" s="833" t="str">
        <f>IF(Dados_projeto3=0,"",Dados_projeto3)</f>
        <v/>
      </c>
      <c r="H10" s="834"/>
      <c r="I10" s="835"/>
      <c r="J10" s="496" t="str">
        <f>IF(dados_prazoprojeto3=0,"",dados_prazoprojeto3)</f>
        <v/>
      </c>
      <c r="K10" s="838" t="str">
        <f>IF(Dados_montanteprojeto3=0,"",Dados_montanteprojeto3)</f>
        <v/>
      </c>
      <c r="L10" s="835"/>
      <c r="M10" s="139"/>
      <c r="N10" s="139"/>
      <c r="O10" s="139"/>
      <c r="P10" s="140"/>
      <c r="Q10" s="35"/>
      <c r="R10" s="478"/>
      <c r="S10" s="35"/>
      <c r="T10" s="35"/>
      <c r="U10" s="479">
        <f t="shared" si="0"/>
        <v>0</v>
      </c>
      <c r="V10" s="480">
        <v>7</v>
      </c>
      <c r="W10" s="481" t="str">
        <f t="shared" si="1"/>
        <v/>
      </c>
      <c r="X10" s="482" t="str">
        <f t="shared" si="2"/>
        <v/>
      </c>
      <c r="Y10" s="482" t="str">
        <f t="shared" si="3"/>
        <v/>
      </c>
      <c r="Z10" s="482">
        <f t="shared" si="4"/>
        <v>0</v>
      </c>
      <c r="AA10" s="482">
        <f t="shared" si="11"/>
        <v>0</v>
      </c>
      <c r="AB10" s="483">
        <f t="shared" si="12"/>
        <v>0</v>
      </c>
      <c r="AC10" s="484">
        <f t="shared" si="13"/>
        <v>1502671.1363867284</v>
      </c>
      <c r="AD10" s="485" t="e">
        <f t="shared" si="14"/>
        <v>#NUM!</v>
      </c>
      <c r="AE10" s="486">
        <f t="shared" si="5"/>
        <v>0</v>
      </c>
      <c r="AF10" s="487">
        <f t="shared" si="6"/>
        <v>0</v>
      </c>
      <c r="AG10" s="487" t="str">
        <f t="shared" si="7"/>
        <v/>
      </c>
      <c r="AH10" s="487" t="str">
        <f t="shared" si="8"/>
        <v/>
      </c>
      <c r="AI10" s="487">
        <f t="shared" si="9"/>
        <v>0</v>
      </c>
      <c r="AJ10" s="488">
        <f t="shared" si="15"/>
        <v>0</v>
      </c>
      <c r="AK10" s="489">
        <f t="shared" si="10"/>
        <v>0</v>
      </c>
      <c r="AL10" s="490">
        <f t="shared" si="16"/>
        <v>0</v>
      </c>
      <c r="AM10" s="485" t="e">
        <f t="shared" si="17"/>
        <v>#NUM!</v>
      </c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</row>
    <row r="11" spans="1:59" x14ac:dyDescent="0.25">
      <c r="A11" s="35"/>
      <c r="B11" s="477"/>
      <c r="C11" s="138"/>
      <c r="D11" s="35"/>
      <c r="E11" s="35"/>
      <c r="F11" s="35"/>
      <c r="G11" s="497"/>
      <c r="H11" s="158"/>
      <c r="I11" s="497"/>
      <c r="J11" s="493" t="s">
        <v>242</v>
      </c>
      <c r="K11" s="839">
        <f>SUM(K8:K10)</f>
        <v>0</v>
      </c>
      <c r="L11" s="719"/>
      <c r="M11" s="58"/>
      <c r="N11" s="146"/>
      <c r="O11" s="146"/>
      <c r="P11" s="146"/>
      <c r="Q11" s="35"/>
      <c r="R11" s="478"/>
      <c r="S11" s="35"/>
      <c r="T11" s="35"/>
      <c r="U11" s="479">
        <f t="shared" si="0"/>
        <v>0</v>
      </c>
      <c r="V11" s="480">
        <v>8</v>
      </c>
      <c r="W11" s="481" t="str">
        <f t="shared" si="1"/>
        <v/>
      </c>
      <c r="X11" s="482" t="str">
        <f t="shared" si="2"/>
        <v/>
      </c>
      <c r="Y11" s="482" t="str">
        <f t="shared" si="3"/>
        <v/>
      </c>
      <c r="Z11" s="482">
        <f t="shared" si="4"/>
        <v>0</v>
      </c>
      <c r="AA11" s="482">
        <f t="shared" si="11"/>
        <v>0</v>
      </c>
      <c r="AB11" s="483">
        <f t="shared" si="12"/>
        <v>0</v>
      </c>
      <c r="AC11" s="484">
        <f t="shared" si="13"/>
        <v>1592686.2189528898</v>
      </c>
      <c r="AD11" s="485" t="e">
        <f t="shared" si="14"/>
        <v>#NUM!</v>
      </c>
      <c r="AE11" s="486">
        <f t="shared" si="5"/>
        <v>0</v>
      </c>
      <c r="AF11" s="487">
        <f t="shared" si="6"/>
        <v>0</v>
      </c>
      <c r="AG11" s="487" t="str">
        <f t="shared" si="7"/>
        <v/>
      </c>
      <c r="AH11" s="487" t="str">
        <f t="shared" si="8"/>
        <v/>
      </c>
      <c r="AI11" s="487">
        <f t="shared" si="9"/>
        <v>0</v>
      </c>
      <c r="AJ11" s="488">
        <f t="shared" si="15"/>
        <v>0</v>
      </c>
      <c r="AK11" s="489">
        <f t="shared" si="10"/>
        <v>0</v>
      </c>
      <c r="AL11" s="490">
        <f t="shared" si="16"/>
        <v>0</v>
      </c>
      <c r="AM11" s="485" t="e">
        <f t="shared" si="17"/>
        <v>#NUM!</v>
      </c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</row>
    <row r="12" spans="1:59" x14ac:dyDescent="0.25">
      <c r="A12" s="35"/>
      <c r="B12" s="477"/>
      <c r="C12" s="35"/>
      <c r="D12" s="19"/>
      <c r="E12" s="158"/>
      <c r="F12" s="498"/>
      <c r="G12" s="35"/>
      <c r="H12" s="158"/>
      <c r="I12" s="158"/>
      <c r="J12" s="19"/>
      <c r="K12" s="147"/>
      <c r="L12" s="58"/>
      <c r="M12" s="58"/>
      <c r="N12" s="146"/>
      <c r="O12" s="146"/>
      <c r="P12" s="146"/>
      <c r="Q12" s="35"/>
      <c r="R12" s="478"/>
      <c r="S12" s="35"/>
      <c r="T12" s="35"/>
      <c r="U12" s="479">
        <f t="shared" si="0"/>
        <v>0</v>
      </c>
      <c r="V12" s="480">
        <v>9</v>
      </c>
      <c r="W12" s="481" t="str">
        <f t="shared" si="1"/>
        <v/>
      </c>
      <c r="X12" s="482" t="str">
        <f t="shared" si="2"/>
        <v/>
      </c>
      <c r="Y12" s="482" t="str">
        <f t="shared" si="3"/>
        <v/>
      </c>
      <c r="Z12" s="482">
        <f t="shared" si="4"/>
        <v>0</v>
      </c>
      <c r="AA12" s="482">
        <f t="shared" si="11"/>
        <v>0</v>
      </c>
      <c r="AB12" s="483">
        <f t="shared" si="12"/>
        <v>0</v>
      </c>
      <c r="AC12" s="484">
        <f t="shared" si="13"/>
        <v>1688093.5093635942</v>
      </c>
      <c r="AD12" s="485" t="e">
        <f t="shared" si="14"/>
        <v>#NUM!</v>
      </c>
      <c r="AE12" s="486">
        <f t="shared" si="5"/>
        <v>0</v>
      </c>
      <c r="AF12" s="487">
        <f t="shared" si="6"/>
        <v>0</v>
      </c>
      <c r="AG12" s="487" t="str">
        <f t="shared" si="7"/>
        <v/>
      </c>
      <c r="AH12" s="487" t="str">
        <f t="shared" si="8"/>
        <v/>
      </c>
      <c r="AI12" s="487">
        <f t="shared" si="9"/>
        <v>0</v>
      </c>
      <c r="AJ12" s="488">
        <f t="shared" si="15"/>
        <v>0</v>
      </c>
      <c r="AK12" s="489">
        <f t="shared" si="10"/>
        <v>0</v>
      </c>
      <c r="AL12" s="490">
        <f t="shared" si="16"/>
        <v>0</v>
      </c>
      <c r="AM12" s="485" t="e">
        <f t="shared" si="17"/>
        <v>#NUM!</v>
      </c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</row>
    <row r="13" spans="1:59" x14ac:dyDescent="0.25">
      <c r="A13" s="35"/>
      <c r="B13" s="477"/>
      <c r="C13" s="35"/>
      <c r="D13" s="19"/>
      <c r="E13" s="158"/>
      <c r="F13" s="158"/>
      <c r="G13" s="158"/>
      <c r="H13" s="158"/>
      <c r="I13" s="158"/>
      <c r="J13" s="19"/>
      <c r="K13" s="147"/>
      <c r="L13" s="58"/>
      <c r="M13" s="58"/>
      <c r="N13" s="146"/>
      <c r="O13" s="146"/>
      <c r="P13" s="146"/>
      <c r="Q13" s="35"/>
      <c r="R13" s="478"/>
      <c r="S13" s="35"/>
      <c r="T13" s="35"/>
      <c r="U13" s="479">
        <f t="shared" si="0"/>
        <v>0</v>
      </c>
      <c r="V13" s="480">
        <v>10</v>
      </c>
      <c r="W13" s="481" t="str">
        <f t="shared" si="1"/>
        <v/>
      </c>
      <c r="X13" s="482" t="str">
        <f t="shared" si="2"/>
        <v/>
      </c>
      <c r="Y13" s="482" t="str">
        <f t="shared" si="3"/>
        <v/>
      </c>
      <c r="Z13" s="482">
        <f t="shared" si="4"/>
        <v>0</v>
      </c>
      <c r="AA13" s="482">
        <f t="shared" si="11"/>
        <v>0</v>
      </c>
      <c r="AB13" s="483">
        <f t="shared" si="12"/>
        <v>0</v>
      </c>
      <c r="AC13" s="484">
        <f t="shared" si="13"/>
        <v>1789216.0191032491</v>
      </c>
      <c r="AD13" s="485" t="e">
        <f t="shared" si="14"/>
        <v>#NUM!</v>
      </c>
      <c r="AE13" s="486">
        <f t="shared" si="5"/>
        <v>0</v>
      </c>
      <c r="AF13" s="487">
        <f t="shared" si="6"/>
        <v>0</v>
      </c>
      <c r="AG13" s="487" t="str">
        <f t="shared" si="7"/>
        <v/>
      </c>
      <c r="AH13" s="487">
        <f t="shared" si="8"/>
        <v>0</v>
      </c>
      <c r="AI13" s="487">
        <f t="shared" si="9"/>
        <v>0</v>
      </c>
      <c r="AJ13" s="488">
        <f t="shared" si="15"/>
        <v>0</v>
      </c>
      <c r="AK13" s="489">
        <f t="shared" si="10"/>
        <v>0</v>
      </c>
      <c r="AL13" s="490">
        <f t="shared" si="16"/>
        <v>0</v>
      </c>
      <c r="AM13" s="485" t="e">
        <f t="shared" si="17"/>
        <v>#NUM!</v>
      </c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</row>
    <row r="14" spans="1:59" x14ac:dyDescent="0.25">
      <c r="A14" s="35"/>
      <c r="B14" s="477"/>
      <c r="C14" s="840" t="s">
        <v>243</v>
      </c>
      <c r="D14" s="695"/>
      <c r="E14" s="499"/>
      <c r="F14" s="499"/>
      <c r="G14" s="499"/>
      <c r="H14" s="499"/>
      <c r="I14" s="499"/>
      <c r="J14" s="500"/>
      <c r="K14" s="501"/>
      <c r="L14" s="502"/>
      <c r="M14" s="502"/>
      <c r="N14" s="503"/>
      <c r="O14" s="503"/>
      <c r="P14" s="503"/>
      <c r="Q14" s="6"/>
      <c r="R14" s="478"/>
      <c r="S14" s="35"/>
      <c r="T14" s="35"/>
      <c r="U14" s="479">
        <f t="shared" si="0"/>
        <v>0</v>
      </c>
      <c r="V14" s="480">
        <v>11</v>
      </c>
      <c r="W14" s="481" t="str">
        <f t="shared" si="1"/>
        <v/>
      </c>
      <c r="X14" s="482" t="str">
        <f t="shared" si="2"/>
        <v/>
      </c>
      <c r="Y14" s="482" t="str">
        <f t="shared" si="3"/>
        <v/>
      </c>
      <c r="Z14" s="482">
        <f t="shared" si="4"/>
        <v>0</v>
      </c>
      <c r="AA14" s="482">
        <f t="shared" si="11"/>
        <v>0</v>
      </c>
      <c r="AB14" s="483">
        <f t="shared" si="12"/>
        <v>0</v>
      </c>
      <c r="AC14" s="484">
        <f t="shared" si="13"/>
        <v>1896396.1091364871</v>
      </c>
      <c r="AD14" s="485" t="e">
        <f t="shared" si="14"/>
        <v>#NUM!</v>
      </c>
      <c r="AE14" s="486">
        <f t="shared" si="5"/>
        <v>0</v>
      </c>
      <c r="AF14" s="487">
        <f t="shared" si="6"/>
        <v>0</v>
      </c>
      <c r="AG14" s="487" t="str">
        <f t="shared" si="7"/>
        <v/>
      </c>
      <c r="AH14" s="487">
        <f t="shared" si="8"/>
        <v>0</v>
      </c>
      <c r="AI14" s="487">
        <f t="shared" si="9"/>
        <v>0</v>
      </c>
      <c r="AJ14" s="488">
        <f t="shared" si="15"/>
        <v>0</v>
      </c>
      <c r="AK14" s="489">
        <f t="shared" si="10"/>
        <v>0</v>
      </c>
      <c r="AL14" s="490">
        <f t="shared" si="16"/>
        <v>0</v>
      </c>
      <c r="AM14" s="485" t="e">
        <f t="shared" si="17"/>
        <v>#NUM!</v>
      </c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</row>
    <row r="15" spans="1:59" x14ac:dyDescent="0.25">
      <c r="A15" s="35"/>
      <c r="B15" s="477"/>
      <c r="C15" s="7"/>
      <c r="D15" s="35"/>
      <c r="E15" s="35"/>
      <c r="F15" s="35"/>
      <c r="G15" s="35"/>
      <c r="H15" s="158"/>
      <c r="I15" s="158"/>
      <c r="J15" s="829" t="str">
        <f>IF(VLOOKUP(perfil,'Resumo das informações'!$W$10:$X$14,2,0)*dados_cdi&gt;i_atual,"Dentro do perfil de risco","Fora do perfil de risco")</f>
        <v>Dentro do perfil de risco</v>
      </c>
      <c r="K15" s="719"/>
      <c r="L15" s="58"/>
      <c r="M15" s="58"/>
      <c r="N15" s="146"/>
      <c r="O15" s="146"/>
      <c r="P15" s="146"/>
      <c r="Q15" s="17"/>
      <c r="R15" s="478"/>
      <c r="S15" s="35"/>
      <c r="T15" s="35"/>
      <c r="U15" s="479">
        <f t="shared" si="0"/>
        <v>0</v>
      </c>
      <c r="V15" s="480">
        <v>12</v>
      </c>
      <c r="W15" s="481" t="str">
        <f t="shared" si="1"/>
        <v/>
      </c>
      <c r="X15" s="482" t="str">
        <f t="shared" si="2"/>
        <v/>
      </c>
      <c r="Y15" s="482" t="str">
        <f t="shared" si="3"/>
        <v/>
      </c>
      <c r="Z15" s="482">
        <f t="shared" si="4"/>
        <v>0</v>
      </c>
      <c r="AA15" s="482">
        <f t="shared" si="11"/>
        <v>0</v>
      </c>
      <c r="AB15" s="483">
        <f t="shared" si="12"/>
        <v>0</v>
      </c>
      <c r="AC15" s="484">
        <f t="shared" si="13"/>
        <v>2009996.649007465</v>
      </c>
      <c r="AD15" s="485" t="e">
        <f t="shared" si="14"/>
        <v>#NUM!</v>
      </c>
      <c r="AE15" s="486">
        <f t="shared" si="5"/>
        <v>0</v>
      </c>
      <c r="AF15" s="487">
        <f t="shared" si="6"/>
        <v>0</v>
      </c>
      <c r="AG15" s="487" t="str">
        <f t="shared" si="7"/>
        <v/>
      </c>
      <c r="AH15" s="487">
        <f t="shared" si="8"/>
        <v>0</v>
      </c>
      <c r="AI15" s="487">
        <f t="shared" si="9"/>
        <v>0</v>
      </c>
      <c r="AJ15" s="488">
        <f t="shared" si="15"/>
        <v>0</v>
      </c>
      <c r="AK15" s="489">
        <f t="shared" si="10"/>
        <v>0</v>
      </c>
      <c r="AL15" s="490">
        <f t="shared" si="16"/>
        <v>0</v>
      </c>
      <c r="AM15" s="485" t="e">
        <f t="shared" si="17"/>
        <v>#NUM!</v>
      </c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</row>
    <row r="16" spans="1:59" x14ac:dyDescent="0.25">
      <c r="A16" s="35"/>
      <c r="B16" s="477"/>
      <c r="C16" s="7"/>
      <c r="D16" s="504" t="s">
        <v>31</v>
      </c>
      <c r="E16" s="505" t="s">
        <v>32</v>
      </c>
      <c r="F16" s="506" t="s">
        <v>107</v>
      </c>
      <c r="G16" s="505" t="s">
        <v>108</v>
      </c>
      <c r="H16" s="507" t="s">
        <v>109</v>
      </c>
      <c r="I16" s="146"/>
      <c r="J16" s="19"/>
      <c r="K16" s="147"/>
      <c r="L16" s="58"/>
      <c r="M16" s="58"/>
      <c r="N16" s="146"/>
      <c r="O16" s="146"/>
      <c r="P16" s="146"/>
      <c r="Q16" s="17"/>
      <c r="R16" s="478"/>
      <c r="S16" s="35"/>
      <c r="T16" s="35"/>
      <c r="U16" s="479">
        <f t="shared" si="0"/>
        <v>0</v>
      </c>
      <c r="V16" s="480">
        <v>13</v>
      </c>
      <c r="W16" s="481" t="str">
        <f t="shared" si="1"/>
        <v/>
      </c>
      <c r="X16" s="482" t="str">
        <f t="shared" si="2"/>
        <v/>
      </c>
      <c r="Y16" s="482" t="str">
        <f t="shared" si="3"/>
        <v/>
      </c>
      <c r="Z16" s="482">
        <f t="shared" si="4"/>
        <v>0</v>
      </c>
      <c r="AA16" s="482">
        <f t="shared" si="11"/>
        <v>0</v>
      </c>
      <c r="AB16" s="483">
        <f t="shared" si="12"/>
        <v>0</v>
      </c>
      <c r="AC16" s="484">
        <f t="shared" si="13"/>
        <v>2130402.2453731294</v>
      </c>
      <c r="AD16" s="485" t="e">
        <f t="shared" si="14"/>
        <v>#NUM!</v>
      </c>
      <c r="AE16" s="486">
        <f t="shared" si="5"/>
        <v>0</v>
      </c>
      <c r="AF16" s="487">
        <f t="shared" si="6"/>
        <v>0</v>
      </c>
      <c r="AG16" s="487" t="str">
        <f t="shared" si="7"/>
        <v/>
      </c>
      <c r="AH16" s="487">
        <f t="shared" si="8"/>
        <v>0</v>
      </c>
      <c r="AI16" s="487">
        <f t="shared" si="9"/>
        <v>0</v>
      </c>
      <c r="AJ16" s="488">
        <f t="shared" si="15"/>
        <v>0</v>
      </c>
      <c r="AK16" s="489">
        <f t="shared" si="10"/>
        <v>0</v>
      </c>
      <c r="AL16" s="490">
        <f t="shared" si="16"/>
        <v>0</v>
      </c>
      <c r="AM16" s="485" t="e">
        <f t="shared" si="17"/>
        <v>#NUM!</v>
      </c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</row>
    <row r="17" spans="1:59" x14ac:dyDescent="0.25">
      <c r="A17" s="35"/>
      <c r="B17" s="477"/>
      <c r="C17" s="7"/>
      <c r="D17" s="508" t="str">
        <f>'Resumo das informações'!E18</f>
        <v>Carteira</v>
      </c>
      <c r="E17" s="509">
        <f>'Resumo das informações'!F18</f>
        <v>1000000</v>
      </c>
      <c r="F17" s="510">
        <f>'Resumo das informações'!G18</f>
        <v>1</v>
      </c>
      <c r="G17" s="511">
        <f t="shared" ref="G17:G21" si="18">H17*$L$50</f>
        <v>9.7000000000000003E-2</v>
      </c>
      <c r="H17" s="510">
        <f>'Resumo das informações'!H18</f>
        <v>1</v>
      </c>
      <c r="I17" s="146"/>
      <c r="J17" s="830" t="s">
        <v>115</v>
      </c>
      <c r="K17" s="719"/>
      <c r="L17" s="58"/>
      <c r="M17" s="58"/>
      <c r="N17" s="146"/>
      <c r="O17" s="146"/>
      <c r="P17" s="146"/>
      <c r="Q17" s="17"/>
      <c r="R17" s="478"/>
      <c r="S17" s="35"/>
      <c r="T17" s="35"/>
      <c r="U17" s="479">
        <f t="shared" si="0"/>
        <v>0</v>
      </c>
      <c r="V17" s="480">
        <v>14</v>
      </c>
      <c r="W17" s="481" t="str">
        <f t="shared" si="1"/>
        <v/>
      </c>
      <c r="X17" s="482" t="str">
        <f t="shared" si="2"/>
        <v/>
      </c>
      <c r="Y17" s="482" t="str">
        <f t="shared" si="3"/>
        <v/>
      </c>
      <c r="Z17" s="482">
        <f t="shared" si="4"/>
        <v>0</v>
      </c>
      <c r="AA17" s="482">
        <f t="shared" si="11"/>
        <v>0</v>
      </c>
      <c r="AB17" s="483">
        <f t="shared" si="12"/>
        <v>0</v>
      </c>
      <c r="AC17" s="484">
        <f t="shared" si="13"/>
        <v>2258020.5441297805</v>
      </c>
      <c r="AD17" s="485" t="e">
        <f t="shared" si="14"/>
        <v>#NUM!</v>
      </c>
      <c r="AE17" s="486">
        <f t="shared" si="5"/>
        <v>0</v>
      </c>
      <c r="AF17" s="487">
        <f t="shared" si="6"/>
        <v>0</v>
      </c>
      <c r="AG17" s="487" t="str">
        <f t="shared" si="7"/>
        <v/>
      </c>
      <c r="AH17" s="487">
        <f t="shared" si="8"/>
        <v>0</v>
      </c>
      <c r="AI17" s="487">
        <f t="shared" si="9"/>
        <v>0</v>
      </c>
      <c r="AJ17" s="488">
        <f t="shared" si="15"/>
        <v>0</v>
      </c>
      <c r="AK17" s="489">
        <f t="shared" si="10"/>
        <v>0</v>
      </c>
      <c r="AL17" s="490">
        <f t="shared" si="16"/>
        <v>0</v>
      </c>
      <c r="AM17" s="485" t="e">
        <f t="shared" si="17"/>
        <v>#NUM!</v>
      </c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</row>
    <row r="18" spans="1:59" x14ac:dyDescent="0.25">
      <c r="A18" s="35"/>
      <c r="B18" s="477"/>
      <c r="C18" s="7"/>
      <c r="D18" s="508">
        <f>'Resumo das informações'!E19</f>
        <v>0</v>
      </c>
      <c r="E18" s="509">
        <f>'Resumo das informações'!F19</f>
        <v>0</v>
      </c>
      <c r="F18" s="512">
        <f>'Resumo das informações'!G19</f>
        <v>0</v>
      </c>
      <c r="G18" s="511">
        <f t="shared" si="18"/>
        <v>0</v>
      </c>
      <c r="H18" s="512">
        <f>'Resumo das informações'!H19</f>
        <v>0</v>
      </c>
      <c r="I18" s="146"/>
      <c r="J18" s="513" t="s">
        <v>117</v>
      </c>
      <c r="K18" s="514">
        <f>i_atual</f>
        <v>9.7000000000000003E-2</v>
      </c>
      <c r="L18" s="58"/>
      <c r="M18" s="58"/>
      <c r="N18" s="146"/>
      <c r="O18" s="146"/>
      <c r="P18" s="146"/>
      <c r="Q18" s="17"/>
      <c r="R18" s="478"/>
      <c r="S18" s="35"/>
      <c r="T18" s="35"/>
      <c r="U18" s="479">
        <f t="shared" si="0"/>
        <v>0</v>
      </c>
      <c r="V18" s="480">
        <v>15</v>
      </c>
      <c r="W18" s="481" t="str">
        <f t="shared" si="1"/>
        <v/>
      </c>
      <c r="X18" s="482" t="str">
        <f t="shared" si="2"/>
        <v/>
      </c>
      <c r="Y18" s="482" t="str">
        <f t="shared" si="3"/>
        <v/>
      </c>
      <c r="Z18" s="482">
        <f t="shared" si="4"/>
        <v>0</v>
      </c>
      <c r="AA18" s="482">
        <f t="shared" si="11"/>
        <v>0</v>
      </c>
      <c r="AB18" s="483">
        <f t="shared" si="12"/>
        <v>0</v>
      </c>
      <c r="AC18" s="484">
        <f t="shared" si="13"/>
        <v>2393283.6105414196</v>
      </c>
      <c r="AD18" s="485" t="e">
        <f t="shared" si="14"/>
        <v>#NUM!</v>
      </c>
      <c r="AE18" s="486">
        <f t="shared" si="5"/>
        <v>0</v>
      </c>
      <c r="AF18" s="487">
        <f t="shared" si="6"/>
        <v>0</v>
      </c>
      <c r="AG18" s="487">
        <f t="shared" si="7"/>
        <v>0</v>
      </c>
      <c r="AH18" s="487">
        <f t="shared" si="8"/>
        <v>0</v>
      </c>
      <c r="AI18" s="487">
        <f t="shared" si="9"/>
        <v>0</v>
      </c>
      <c r="AJ18" s="488">
        <f t="shared" si="15"/>
        <v>0</v>
      </c>
      <c r="AK18" s="489">
        <f t="shared" si="10"/>
        <v>50000</v>
      </c>
      <c r="AL18" s="490">
        <f t="shared" si="16"/>
        <v>50000</v>
      </c>
      <c r="AM18" s="485" t="e">
        <f t="shared" si="17"/>
        <v>#NUM!</v>
      </c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</row>
    <row r="19" spans="1:59" x14ac:dyDescent="0.25">
      <c r="A19" s="35"/>
      <c r="B19" s="477"/>
      <c r="C19" s="7"/>
      <c r="D19" s="508">
        <f>'Resumo das informações'!E20</f>
        <v>0</v>
      </c>
      <c r="E19" s="509">
        <f>'Resumo das informações'!F20</f>
        <v>0</v>
      </c>
      <c r="F19" s="512">
        <f>'Resumo das informações'!G20</f>
        <v>0</v>
      </c>
      <c r="G19" s="511">
        <f t="shared" si="18"/>
        <v>0</v>
      </c>
      <c r="H19" s="512">
        <f>'Resumo das informações'!H20</f>
        <v>0</v>
      </c>
      <c r="I19" s="146"/>
      <c r="J19" s="515" t="s">
        <v>122</v>
      </c>
      <c r="K19" s="516">
        <f>inflação</f>
        <v>3.5000000000000003E-2</v>
      </c>
      <c r="L19" s="58"/>
      <c r="M19" s="58"/>
      <c r="N19" s="146"/>
      <c r="O19" s="146"/>
      <c r="P19" s="146"/>
      <c r="Q19" s="17"/>
      <c r="R19" s="478"/>
      <c r="S19" s="35"/>
      <c r="T19" s="35"/>
      <c r="U19" s="479">
        <f t="shared" si="0"/>
        <v>0</v>
      </c>
      <c r="V19" s="480">
        <v>16</v>
      </c>
      <c r="W19" s="481" t="str">
        <f t="shared" si="1"/>
        <v/>
      </c>
      <c r="X19" s="482" t="str">
        <f t="shared" si="2"/>
        <v/>
      </c>
      <c r="Y19" s="482" t="str">
        <f t="shared" si="3"/>
        <v/>
      </c>
      <c r="Z19" s="482">
        <f t="shared" si="4"/>
        <v>0</v>
      </c>
      <c r="AA19" s="482">
        <f t="shared" si="11"/>
        <v>0</v>
      </c>
      <c r="AB19" s="483">
        <f t="shared" si="12"/>
        <v>0</v>
      </c>
      <c r="AC19" s="484">
        <f t="shared" si="13"/>
        <v>2536649.3920424515</v>
      </c>
      <c r="AD19" s="485" t="e">
        <f t="shared" si="14"/>
        <v>#NUM!</v>
      </c>
      <c r="AE19" s="486">
        <f t="shared" si="5"/>
        <v>0</v>
      </c>
      <c r="AF19" s="487">
        <f t="shared" si="6"/>
        <v>0</v>
      </c>
      <c r="AG19" s="487">
        <f t="shared" si="7"/>
        <v>0</v>
      </c>
      <c r="AH19" s="487">
        <f t="shared" si="8"/>
        <v>0</v>
      </c>
      <c r="AI19" s="487">
        <f t="shared" si="9"/>
        <v>0</v>
      </c>
      <c r="AJ19" s="488">
        <f t="shared" si="15"/>
        <v>0</v>
      </c>
      <c r="AK19" s="489">
        <f t="shared" si="10"/>
        <v>0</v>
      </c>
      <c r="AL19" s="490">
        <f t="shared" si="16"/>
        <v>0</v>
      </c>
      <c r="AM19" s="485" t="e">
        <f t="shared" si="17"/>
        <v>#NUM!</v>
      </c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</row>
    <row r="20" spans="1:59" x14ac:dyDescent="0.25">
      <c r="A20" s="35"/>
      <c r="B20" s="477"/>
      <c r="C20" s="7"/>
      <c r="D20" s="508">
        <f>'Resumo das informações'!E21</f>
        <v>0</v>
      </c>
      <c r="E20" s="509">
        <f>'Resumo das informações'!F21</f>
        <v>0</v>
      </c>
      <c r="F20" s="512">
        <f>'Resumo das informações'!G21</f>
        <v>0</v>
      </c>
      <c r="G20" s="511">
        <f t="shared" si="18"/>
        <v>0</v>
      </c>
      <c r="H20" s="512">
        <f>'Resumo das informações'!H21</f>
        <v>0</v>
      </c>
      <c r="I20" s="175"/>
      <c r="J20" s="35"/>
      <c r="K20" s="35"/>
      <c r="L20" s="58"/>
      <c r="M20" s="58"/>
      <c r="N20" s="146"/>
      <c r="O20" s="146"/>
      <c r="P20" s="146"/>
      <c r="Q20" s="17"/>
      <c r="R20" s="478"/>
      <c r="S20" s="35"/>
      <c r="T20" s="35"/>
      <c r="U20" s="479">
        <f t="shared" si="0"/>
        <v>0</v>
      </c>
      <c r="V20" s="480">
        <v>17</v>
      </c>
      <c r="W20" s="481" t="str">
        <f t="shared" si="1"/>
        <v/>
      </c>
      <c r="X20" s="482" t="str">
        <f t="shared" si="2"/>
        <v/>
      </c>
      <c r="Y20" s="482" t="str">
        <f t="shared" si="3"/>
        <v/>
      </c>
      <c r="Z20" s="482">
        <f t="shared" si="4"/>
        <v>0</v>
      </c>
      <c r="AA20" s="482">
        <f t="shared" si="11"/>
        <v>0</v>
      </c>
      <c r="AB20" s="483">
        <f t="shared" si="12"/>
        <v>0</v>
      </c>
      <c r="AC20" s="484">
        <f t="shared" si="13"/>
        <v>2688603.2686672169</v>
      </c>
      <c r="AD20" s="485" t="e">
        <f t="shared" si="14"/>
        <v>#NUM!</v>
      </c>
      <c r="AE20" s="486">
        <f t="shared" si="5"/>
        <v>0</v>
      </c>
      <c r="AF20" s="487">
        <f t="shared" si="6"/>
        <v>0</v>
      </c>
      <c r="AG20" s="487">
        <f t="shared" si="7"/>
        <v>0</v>
      </c>
      <c r="AH20" s="487">
        <f t="shared" si="8"/>
        <v>0</v>
      </c>
      <c r="AI20" s="487">
        <f t="shared" si="9"/>
        <v>0</v>
      </c>
      <c r="AJ20" s="488">
        <f t="shared" si="15"/>
        <v>0</v>
      </c>
      <c r="AK20" s="489">
        <f t="shared" si="10"/>
        <v>0</v>
      </c>
      <c r="AL20" s="490">
        <f t="shared" si="16"/>
        <v>0</v>
      </c>
      <c r="AM20" s="485" t="e">
        <f t="shared" si="17"/>
        <v>#NUM!</v>
      </c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</row>
    <row r="21" spans="1:59" ht="15.75" customHeight="1" x14ac:dyDescent="0.25">
      <c r="A21" s="35"/>
      <c r="B21" s="477"/>
      <c r="C21" s="7"/>
      <c r="D21" s="508" t="str">
        <f>'Resumo das informações'!E22</f>
        <v>Previdência</v>
      </c>
      <c r="E21" s="509">
        <f>'Resumo das informações'!F22</f>
        <v>0</v>
      </c>
      <c r="F21" s="512">
        <f>'Resumo das informações'!G22</f>
        <v>0</v>
      </c>
      <c r="G21" s="511">
        <f t="shared" si="18"/>
        <v>0</v>
      </c>
      <c r="H21" s="512">
        <f>'Resumo das informações'!H22</f>
        <v>0</v>
      </c>
      <c r="I21" s="146"/>
      <c r="J21" s="117" t="s">
        <v>123</v>
      </c>
      <c r="K21" s="517">
        <f>(1+K18)/(1+K19)-1</f>
        <v>5.9903381642512077E-2</v>
      </c>
      <c r="L21" s="58"/>
      <c r="M21" s="58"/>
      <c r="N21" s="146"/>
      <c r="O21" s="146"/>
      <c r="P21" s="146"/>
      <c r="Q21" s="17"/>
      <c r="R21" s="478"/>
      <c r="S21" s="35"/>
      <c r="T21" s="35"/>
      <c r="U21" s="479">
        <f t="shared" si="0"/>
        <v>0</v>
      </c>
      <c r="V21" s="480">
        <v>18</v>
      </c>
      <c r="W21" s="481" t="str">
        <f t="shared" si="1"/>
        <v/>
      </c>
      <c r="X21" s="482" t="str">
        <f t="shared" si="2"/>
        <v/>
      </c>
      <c r="Y21" s="482" t="str">
        <f t="shared" si="3"/>
        <v/>
      </c>
      <c r="Z21" s="482">
        <f t="shared" si="4"/>
        <v>0</v>
      </c>
      <c r="AA21" s="482">
        <f t="shared" si="11"/>
        <v>0</v>
      </c>
      <c r="AB21" s="483">
        <f t="shared" si="12"/>
        <v>0</v>
      </c>
      <c r="AC21" s="484">
        <f t="shared" si="13"/>
        <v>2849659.6963554947</v>
      </c>
      <c r="AD21" s="485" t="e">
        <f t="shared" si="14"/>
        <v>#NUM!</v>
      </c>
      <c r="AE21" s="486">
        <f t="shared" si="5"/>
        <v>0</v>
      </c>
      <c r="AF21" s="487">
        <f t="shared" si="6"/>
        <v>0</v>
      </c>
      <c r="AG21" s="487">
        <f t="shared" si="7"/>
        <v>0</v>
      </c>
      <c r="AH21" s="487">
        <f t="shared" si="8"/>
        <v>0</v>
      </c>
      <c r="AI21" s="487">
        <f t="shared" si="9"/>
        <v>0</v>
      </c>
      <c r="AJ21" s="488">
        <f t="shared" si="15"/>
        <v>0</v>
      </c>
      <c r="AK21" s="489">
        <f t="shared" si="10"/>
        <v>0</v>
      </c>
      <c r="AL21" s="490">
        <f t="shared" si="16"/>
        <v>0</v>
      </c>
      <c r="AM21" s="485" t="e">
        <f t="shared" si="17"/>
        <v>#NUM!</v>
      </c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</row>
    <row r="22" spans="1:59" ht="15.75" customHeight="1" x14ac:dyDescent="0.25">
      <c r="A22" s="35"/>
      <c r="B22" s="477"/>
      <c r="C22" s="7"/>
      <c r="D22" s="504" t="s">
        <v>39</v>
      </c>
      <c r="E22" s="518">
        <f>SUM(E17:E21)</f>
        <v>1000000</v>
      </c>
      <c r="F22" s="519">
        <v>1</v>
      </c>
      <c r="G22" s="520">
        <f>$F$17*G17+$F$18*G18+$F$19*G19+$F$20*G20+$F$21*G21</f>
        <v>9.7000000000000003E-2</v>
      </c>
      <c r="H22" s="521">
        <f>'Resumo das informações'!H23</f>
        <v>1</v>
      </c>
      <c r="I22" s="146"/>
      <c r="J22" s="19"/>
      <c r="K22" s="147"/>
      <c r="L22" s="58"/>
      <c r="M22" s="58"/>
      <c r="N22" s="146"/>
      <c r="O22" s="146"/>
      <c r="P22" s="146"/>
      <c r="Q22" s="17"/>
      <c r="R22" s="478"/>
      <c r="S22" s="35"/>
      <c r="T22" s="35"/>
      <c r="U22" s="479">
        <f t="shared" si="0"/>
        <v>0</v>
      </c>
      <c r="V22" s="480">
        <v>19</v>
      </c>
      <c r="W22" s="481" t="str">
        <f t="shared" si="1"/>
        <v/>
      </c>
      <c r="X22" s="482" t="str">
        <f t="shared" si="2"/>
        <v/>
      </c>
      <c r="Y22" s="482" t="str">
        <f t="shared" si="3"/>
        <v/>
      </c>
      <c r="Z22" s="482">
        <f t="shared" si="4"/>
        <v>0</v>
      </c>
      <c r="AA22" s="482">
        <f t="shared" si="11"/>
        <v>0</v>
      </c>
      <c r="AB22" s="483">
        <f t="shared" si="12"/>
        <v>0</v>
      </c>
      <c r="AC22" s="484">
        <f t="shared" si="13"/>
        <v>3020363.9486975628</v>
      </c>
      <c r="AD22" s="485" t="e">
        <f t="shared" si="14"/>
        <v>#NUM!</v>
      </c>
      <c r="AE22" s="486">
        <f t="shared" si="5"/>
        <v>0</v>
      </c>
      <c r="AF22" s="487">
        <f t="shared" si="6"/>
        <v>0</v>
      </c>
      <c r="AG22" s="487">
        <f t="shared" si="7"/>
        <v>0</v>
      </c>
      <c r="AH22" s="487">
        <f t="shared" si="8"/>
        <v>0</v>
      </c>
      <c r="AI22" s="487">
        <f t="shared" si="9"/>
        <v>0</v>
      </c>
      <c r="AJ22" s="488">
        <f t="shared" si="15"/>
        <v>0</v>
      </c>
      <c r="AK22" s="489">
        <f t="shared" si="10"/>
        <v>0</v>
      </c>
      <c r="AL22" s="490">
        <f t="shared" si="16"/>
        <v>0</v>
      </c>
      <c r="AM22" s="485" t="e">
        <f t="shared" si="17"/>
        <v>#NUM!</v>
      </c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</row>
    <row r="23" spans="1:59" ht="15.75" customHeight="1" x14ac:dyDescent="0.25">
      <c r="A23" s="35"/>
      <c r="B23" s="477"/>
      <c r="C23" s="7"/>
      <c r="D23" s="35"/>
      <c r="E23" s="35"/>
      <c r="F23" s="35"/>
      <c r="G23" s="314"/>
      <c r="H23" s="35"/>
      <c r="I23" s="146"/>
      <c r="J23" s="19"/>
      <c r="K23" s="147"/>
      <c r="L23" s="58"/>
      <c r="M23" s="58"/>
      <c r="N23" s="146"/>
      <c r="O23" s="146"/>
      <c r="P23" s="146"/>
      <c r="Q23" s="17"/>
      <c r="R23" s="478"/>
      <c r="S23" s="35"/>
      <c r="T23" s="35"/>
      <c r="U23" s="522">
        <f t="shared" si="0"/>
        <v>0</v>
      </c>
      <c r="V23" s="523">
        <v>20</v>
      </c>
      <c r="W23" s="524" t="str">
        <f t="shared" si="1"/>
        <v/>
      </c>
      <c r="X23" s="525" t="str">
        <f t="shared" si="2"/>
        <v/>
      </c>
      <c r="Y23" s="525" t="str">
        <f t="shared" si="3"/>
        <v/>
      </c>
      <c r="Z23" s="525">
        <f t="shared" si="4"/>
        <v>0</v>
      </c>
      <c r="AA23" s="525">
        <f t="shared" si="11"/>
        <v>0</v>
      </c>
      <c r="AB23" s="526">
        <f t="shared" si="12"/>
        <v>0</v>
      </c>
      <c r="AC23" s="527">
        <f t="shared" si="13"/>
        <v>3201293.9630156779</v>
      </c>
      <c r="AD23" s="528" t="e">
        <f t="shared" si="14"/>
        <v>#NUM!</v>
      </c>
      <c r="AE23" s="529">
        <f t="shared" si="5"/>
        <v>0</v>
      </c>
      <c r="AF23" s="530">
        <f t="shared" si="6"/>
        <v>0</v>
      </c>
      <c r="AG23" s="530">
        <f t="shared" si="7"/>
        <v>0</v>
      </c>
      <c r="AH23" s="530">
        <f t="shared" si="8"/>
        <v>0</v>
      </c>
      <c r="AI23" s="530">
        <f t="shared" si="9"/>
        <v>0</v>
      </c>
      <c r="AJ23" s="531">
        <f t="shared" si="15"/>
        <v>0</v>
      </c>
      <c r="AK23" s="532">
        <f t="shared" si="10"/>
        <v>0</v>
      </c>
      <c r="AL23" s="533">
        <f t="shared" si="16"/>
        <v>0</v>
      </c>
      <c r="AM23" s="528" t="e">
        <f t="shared" si="17"/>
        <v>#NUM!</v>
      </c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</row>
    <row r="24" spans="1:59" ht="15.75" customHeight="1" x14ac:dyDescent="0.25">
      <c r="A24" s="35"/>
      <c r="B24" s="477"/>
      <c r="C24" s="7"/>
      <c r="D24" s="35"/>
      <c r="E24" s="146"/>
      <c r="F24" s="146"/>
      <c r="G24" s="35"/>
      <c r="H24" s="146"/>
      <c r="I24" s="146"/>
      <c r="J24" s="19"/>
      <c r="K24" s="147"/>
      <c r="L24" s="58"/>
      <c r="M24" s="58"/>
      <c r="N24" s="146"/>
      <c r="O24" s="146"/>
      <c r="P24" s="146"/>
      <c r="Q24" s="17"/>
      <c r="R24" s="478"/>
      <c r="S24" s="35"/>
      <c r="T24" s="35"/>
      <c r="U24" s="35"/>
      <c r="V24" s="35"/>
      <c r="W24" s="35"/>
      <c r="X24" s="35"/>
      <c r="Y24" s="35"/>
      <c r="Z24" s="35"/>
      <c r="AA24" s="35"/>
      <c r="AB24" s="534" t="s">
        <v>244</v>
      </c>
      <c r="AC24" s="535" t="e">
        <f>IRR(AB3:AB23,5)</f>
        <v>#NUM!</v>
      </c>
      <c r="AD24" s="35"/>
      <c r="AE24" s="35"/>
      <c r="AF24" s="35"/>
      <c r="AG24" s="35"/>
      <c r="AH24" s="35"/>
      <c r="AI24" s="35"/>
      <c r="AJ24" s="534" t="s">
        <v>244</v>
      </c>
      <c r="AK24" s="536"/>
      <c r="AL24" s="537" t="e">
        <f>IRR(AL3:AL23,0%)</f>
        <v>#NUM!</v>
      </c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</row>
    <row r="25" spans="1:59" ht="15" customHeight="1" x14ac:dyDescent="0.25">
      <c r="A25" s="35"/>
      <c r="B25" s="477"/>
      <c r="C25" s="7"/>
      <c r="D25" s="35"/>
      <c r="E25" s="35"/>
      <c r="F25" s="35"/>
      <c r="G25" s="819" t="str">
        <f>IF(K25&gt;0,"Capital ao final dos projetos","Empréstimos necessários ao final dos projetos")</f>
        <v>Capital ao final dos projetos</v>
      </c>
      <c r="H25" s="613"/>
      <c r="I25" s="613"/>
      <c r="J25" s="675"/>
      <c r="K25" s="831">
        <f>VLOOKUP(MAX(J8:$J$10),V3:AD23,8,0)</f>
        <v>1000000</v>
      </c>
      <c r="L25" s="675"/>
      <c r="M25" s="35"/>
      <c r="N25" s="35"/>
      <c r="O25" s="35"/>
      <c r="P25" s="35"/>
      <c r="Q25" s="17"/>
      <c r="R25" s="478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</row>
    <row r="26" spans="1:59" ht="15.75" customHeight="1" x14ac:dyDescent="0.25">
      <c r="A26" s="35"/>
      <c r="B26" s="477"/>
      <c r="C26" s="7"/>
      <c r="D26" s="35"/>
      <c r="E26" s="35"/>
      <c r="F26" s="35"/>
      <c r="G26" s="676"/>
      <c r="H26" s="616"/>
      <c r="I26" s="616"/>
      <c r="J26" s="677"/>
      <c r="K26" s="676"/>
      <c r="L26" s="677"/>
      <c r="M26" s="35"/>
      <c r="N26" s="35"/>
      <c r="O26" s="35"/>
      <c r="P26" s="35"/>
      <c r="Q26" s="17"/>
      <c r="R26" s="478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</row>
    <row r="27" spans="1:59" ht="15.75" customHeight="1" x14ac:dyDescent="0.25">
      <c r="A27" s="35"/>
      <c r="B27" s="477"/>
      <c r="C27" s="7"/>
      <c r="D27" s="35"/>
      <c r="E27" s="35"/>
      <c r="F27" s="35"/>
      <c r="G27" s="35"/>
      <c r="H27" s="146"/>
      <c r="I27" s="146"/>
      <c r="J27" s="19"/>
      <c r="K27" s="147"/>
      <c r="L27" s="58"/>
      <c r="M27" s="58"/>
      <c r="N27" s="146"/>
      <c r="O27" s="146"/>
      <c r="P27" s="146"/>
      <c r="Q27" s="17"/>
      <c r="R27" s="478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</row>
    <row r="28" spans="1:59" ht="15" customHeight="1" x14ac:dyDescent="0.25">
      <c r="A28" s="35"/>
      <c r="B28" s="477"/>
      <c r="C28" s="7"/>
      <c r="D28" s="35"/>
      <c r="E28" s="185"/>
      <c r="F28" s="146"/>
      <c r="G28" s="146"/>
      <c r="H28" s="146"/>
      <c r="I28" s="146"/>
      <c r="J28" s="19"/>
      <c r="K28" s="147"/>
      <c r="L28" s="58"/>
      <c r="M28" s="58"/>
      <c r="N28" s="146"/>
      <c r="O28" s="146"/>
      <c r="P28" s="146"/>
      <c r="Q28" s="17"/>
      <c r="R28" s="478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</row>
    <row r="29" spans="1:59" ht="15.75" customHeight="1" x14ac:dyDescent="0.25">
      <c r="A29" s="35"/>
      <c r="B29" s="477"/>
      <c r="C29" s="7"/>
      <c r="D29" s="35"/>
      <c r="E29" s="35"/>
      <c r="F29" s="35"/>
      <c r="G29" s="35"/>
      <c r="H29" s="146"/>
      <c r="I29" s="146"/>
      <c r="J29" s="19"/>
      <c r="K29" s="147"/>
      <c r="L29" s="58"/>
      <c r="M29" s="58"/>
      <c r="N29" s="146"/>
      <c r="O29" s="146"/>
      <c r="P29" s="146"/>
      <c r="Q29" s="17"/>
      <c r="R29" s="478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</row>
    <row r="30" spans="1:59" ht="15.75" customHeight="1" x14ac:dyDescent="0.25">
      <c r="A30" s="35"/>
      <c r="B30" s="477"/>
      <c r="C30" s="7"/>
      <c r="D30" s="185"/>
      <c r="E30" s="185"/>
      <c r="F30" s="146"/>
      <c r="G30" s="146"/>
      <c r="H30" s="146"/>
      <c r="I30" s="146"/>
      <c r="J30" s="19"/>
      <c r="K30" s="147"/>
      <c r="L30" s="58"/>
      <c r="M30" s="58"/>
      <c r="N30" s="146"/>
      <c r="O30" s="146"/>
      <c r="P30" s="146"/>
      <c r="Q30" s="17"/>
      <c r="R30" s="478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</row>
    <row r="31" spans="1:59" ht="15.75" customHeight="1" x14ac:dyDescent="0.25">
      <c r="A31" s="35"/>
      <c r="B31" s="477"/>
      <c r="C31" s="7"/>
      <c r="D31" s="185"/>
      <c r="E31" s="185"/>
      <c r="F31" s="146"/>
      <c r="G31" s="146"/>
      <c r="H31" s="146"/>
      <c r="I31" s="146"/>
      <c r="J31" s="19"/>
      <c r="K31" s="147"/>
      <c r="L31" s="58"/>
      <c r="M31" s="58"/>
      <c r="N31" s="146"/>
      <c r="O31" s="146"/>
      <c r="P31" s="146"/>
      <c r="Q31" s="17"/>
      <c r="R31" s="478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</row>
    <row r="32" spans="1:59" ht="15.75" customHeight="1" x14ac:dyDescent="0.25">
      <c r="A32" s="35"/>
      <c r="B32" s="477"/>
      <c r="C32" s="7"/>
      <c r="D32" s="185"/>
      <c r="E32" s="185"/>
      <c r="F32" s="146"/>
      <c r="G32" s="146"/>
      <c r="H32" s="146"/>
      <c r="I32" s="146"/>
      <c r="J32" s="19"/>
      <c r="K32" s="147"/>
      <c r="L32" s="58"/>
      <c r="M32" s="58"/>
      <c r="N32" s="146"/>
      <c r="O32" s="146"/>
      <c r="P32" s="146"/>
      <c r="Q32" s="17"/>
      <c r="R32" s="478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</row>
    <row r="33" spans="1:59" ht="15.75" customHeight="1" x14ac:dyDescent="0.25">
      <c r="A33" s="35"/>
      <c r="B33" s="477"/>
      <c r="C33" s="7"/>
      <c r="D33" s="185"/>
      <c r="E33" s="185"/>
      <c r="F33" s="146"/>
      <c r="G33" s="146"/>
      <c r="H33" s="146"/>
      <c r="I33" s="146"/>
      <c r="J33" s="19"/>
      <c r="K33" s="147"/>
      <c r="L33" s="58"/>
      <c r="M33" s="58"/>
      <c r="N33" s="146"/>
      <c r="O33" s="146"/>
      <c r="P33" s="146"/>
      <c r="Q33" s="17"/>
      <c r="R33" s="478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</row>
    <row r="34" spans="1:59" ht="15.75" customHeight="1" x14ac:dyDescent="0.25">
      <c r="A34" s="35"/>
      <c r="B34" s="477"/>
      <c r="C34" s="7"/>
      <c r="D34" s="185"/>
      <c r="E34" s="185"/>
      <c r="F34" s="146"/>
      <c r="G34" s="146"/>
      <c r="H34" s="146"/>
      <c r="I34" s="146"/>
      <c r="J34" s="35"/>
      <c r="K34" s="35"/>
      <c r="L34" s="35"/>
      <c r="M34" s="35"/>
      <c r="N34" s="35"/>
      <c r="O34" s="35"/>
      <c r="P34" s="35"/>
      <c r="Q34" s="17"/>
      <c r="R34" s="478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</row>
    <row r="35" spans="1:59" ht="15.75" customHeight="1" x14ac:dyDescent="0.25">
      <c r="A35" s="35"/>
      <c r="B35" s="477"/>
      <c r="C35" s="7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17"/>
      <c r="R35" s="478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</row>
    <row r="36" spans="1:59" ht="15.75" customHeight="1" x14ac:dyDescent="0.25">
      <c r="A36" s="35"/>
      <c r="B36" s="477"/>
      <c r="C36" s="7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17"/>
      <c r="R36" s="478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</row>
    <row r="37" spans="1:59" ht="15.75" customHeight="1" x14ac:dyDescent="0.25">
      <c r="A37" s="35"/>
      <c r="B37" s="477"/>
      <c r="C37" s="7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17"/>
      <c r="R37" s="478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</row>
    <row r="38" spans="1:59" ht="15.75" customHeight="1" x14ac:dyDescent="0.25">
      <c r="A38" s="35"/>
      <c r="B38" s="477"/>
      <c r="C38" s="7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17"/>
      <c r="R38" s="478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</row>
    <row r="39" spans="1:59" ht="15.75" customHeight="1" x14ac:dyDescent="0.25">
      <c r="A39" s="35"/>
      <c r="B39" s="477"/>
      <c r="C39" s="7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17"/>
      <c r="R39" s="478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</row>
    <row r="40" spans="1:59" ht="15.75" customHeight="1" x14ac:dyDescent="0.25">
      <c r="A40" s="35"/>
      <c r="B40" s="477"/>
      <c r="C40" s="7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17"/>
      <c r="R40" s="478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</row>
    <row r="41" spans="1:59" ht="15.75" customHeight="1" x14ac:dyDescent="0.25">
      <c r="A41" s="35"/>
      <c r="B41" s="477"/>
      <c r="C41" s="7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17"/>
      <c r="R41" s="478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</row>
    <row r="42" spans="1:59" ht="15.75" customHeight="1" x14ac:dyDescent="0.25">
      <c r="A42" s="35"/>
      <c r="B42" s="477"/>
      <c r="C42" s="538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319"/>
      <c r="R42" s="478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</row>
    <row r="43" spans="1:59" ht="15.75" customHeight="1" x14ac:dyDescent="0.25">
      <c r="A43" s="35"/>
      <c r="B43" s="477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478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</row>
    <row r="44" spans="1:59" ht="15.75" customHeight="1" x14ac:dyDescent="0.25">
      <c r="A44" s="35"/>
      <c r="B44" s="477"/>
      <c r="C44" s="491" t="s">
        <v>245</v>
      </c>
      <c r="D44" s="539"/>
      <c r="E44" s="540"/>
      <c r="F44" s="820" t="s">
        <v>116</v>
      </c>
      <c r="G44" s="660"/>
      <c r="H44" s="820" t="s">
        <v>246</v>
      </c>
      <c r="I44" s="774"/>
      <c r="J44" s="821" t="s">
        <v>247</v>
      </c>
      <c r="K44" s="774"/>
      <c r="L44" s="774"/>
      <c r="M44" s="774"/>
      <c r="N44" s="774"/>
      <c r="O44" s="660"/>
      <c r="P44" s="820" t="s">
        <v>248</v>
      </c>
      <c r="Q44" s="660"/>
      <c r="R44" s="478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</row>
    <row r="45" spans="1:59" ht="15.75" customHeight="1" x14ac:dyDescent="0.25">
      <c r="A45" s="35"/>
      <c r="B45" s="477"/>
      <c r="C45" s="541"/>
      <c r="D45" s="542"/>
      <c r="E45" s="543"/>
      <c r="F45" s="544" t="s">
        <v>118</v>
      </c>
      <c r="G45" s="544" t="s">
        <v>119</v>
      </c>
      <c r="H45" s="545"/>
      <c r="I45" s="546"/>
      <c r="J45" s="818">
        <f>Dados_Projeto1</f>
        <v>0</v>
      </c>
      <c r="K45" s="787"/>
      <c r="L45" s="822">
        <f>Dados_projeto2</f>
        <v>0</v>
      </c>
      <c r="M45" s="787"/>
      <c r="N45" s="822">
        <f>Dados_projeto3</f>
        <v>0</v>
      </c>
      <c r="O45" s="660"/>
      <c r="P45" s="545"/>
      <c r="Q45" s="547"/>
      <c r="R45" s="478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</row>
    <row r="46" spans="1:59" ht="15.75" customHeight="1" x14ac:dyDescent="0.25">
      <c r="A46" s="35"/>
      <c r="B46" s="477"/>
      <c r="C46" s="548" t="s">
        <v>75</v>
      </c>
      <c r="D46" s="832" t="e">
        <f>IF(VLOOKUP(perfil,'Resumo das informações'!$W$10:$X$14,2,0)*dados_cdi&gt;'Investimentos - Projetos'!F46,"Dentro do perfil de risco","Fora do perfil de risco")</f>
        <v>#NUM!</v>
      </c>
      <c r="E46" s="783"/>
      <c r="F46" s="549" t="e">
        <f>(1+G46)*(1+inflação)-1</f>
        <v>#NUM!</v>
      </c>
      <c r="G46" s="549" t="e">
        <f>TIR</f>
        <v>#NUM!</v>
      </c>
      <c r="H46" s="550" t="s">
        <v>82</v>
      </c>
      <c r="I46" s="551">
        <f>PMT_atual</f>
        <v>60000</v>
      </c>
      <c r="J46" s="824">
        <f>dados_prazoprojeto1</f>
        <v>0</v>
      </c>
      <c r="K46" s="695"/>
      <c r="L46" s="825">
        <f>dados_prazoprojeto2</f>
        <v>0</v>
      </c>
      <c r="M46" s="695"/>
      <c r="N46" s="825">
        <f>dados_prazoprojeto3</f>
        <v>0</v>
      </c>
      <c r="O46" s="783"/>
      <c r="P46" s="552"/>
      <c r="Q46" s="552"/>
      <c r="R46" s="478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</row>
    <row r="47" spans="1:59" ht="15.75" customHeight="1" x14ac:dyDescent="0.25">
      <c r="A47" s="35"/>
      <c r="B47" s="477"/>
      <c r="C47" s="553" t="s">
        <v>76</v>
      </c>
      <c r="D47" s="823" t="e">
        <f>IF(VLOOKUP(perfil,'Resumo das informações'!$W$10:$X$14,2,0)*dados_cdi&gt;'Investimentos - Projetos'!F47,"Dentro do perfil de risco","Fora do perfil de risco")</f>
        <v>#NUM!</v>
      </c>
      <c r="E47" s="785"/>
      <c r="F47" s="554" t="e">
        <f>(1+G47)*(1+inflação)-1</f>
        <v>#NUM!</v>
      </c>
      <c r="G47" s="554" t="e">
        <f>TIR_2</f>
        <v>#NUM!</v>
      </c>
      <c r="H47" s="555" t="s">
        <v>82</v>
      </c>
      <c r="I47" s="556">
        <v>45000</v>
      </c>
      <c r="J47" s="826">
        <v>7</v>
      </c>
      <c r="K47" s="827"/>
      <c r="L47" s="828">
        <v>15</v>
      </c>
      <c r="M47" s="827"/>
      <c r="N47" s="828">
        <v>10</v>
      </c>
      <c r="O47" s="759"/>
      <c r="P47" s="557" t="s">
        <v>249</v>
      </c>
      <c r="Q47" s="558">
        <v>50000</v>
      </c>
      <c r="R47" s="559"/>
      <c r="S47" s="79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</row>
    <row r="48" spans="1:59" ht="15.75" customHeight="1" x14ac:dyDescent="0.25">
      <c r="A48" s="35"/>
      <c r="B48" s="477"/>
      <c r="C48" s="35"/>
      <c r="D48" s="185"/>
      <c r="E48" s="185"/>
      <c r="F48" s="146"/>
      <c r="G48" s="220"/>
      <c r="H48" s="220"/>
      <c r="I48" s="220"/>
      <c r="J48" s="428"/>
      <c r="K48" s="147"/>
      <c r="L48" s="58"/>
      <c r="M48" s="58"/>
      <c r="N48" s="146"/>
      <c r="O48" s="146"/>
      <c r="P48" s="146"/>
      <c r="Q48" s="35"/>
      <c r="R48" s="478"/>
      <c r="S48" s="79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</row>
    <row r="49" spans="1:59" ht="15.75" customHeight="1" x14ac:dyDescent="0.25">
      <c r="A49" s="35"/>
      <c r="B49" s="477"/>
      <c r="C49" s="35"/>
      <c r="D49" s="35"/>
      <c r="E49" s="35"/>
      <c r="F49" s="35"/>
      <c r="G49" s="35"/>
      <c r="H49" s="19"/>
      <c r="I49" s="818" t="s">
        <v>124</v>
      </c>
      <c r="J49" s="774"/>
      <c r="K49" s="774"/>
      <c r="L49" s="660"/>
      <c r="M49" s="19"/>
      <c r="N49" s="19"/>
      <c r="O49" s="19"/>
      <c r="P49" s="19"/>
      <c r="Q49" s="35"/>
      <c r="R49" s="560"/>
      <c r="S49" s="79"/>
      <c r="T49" s="35"/>
      <c r="U49" s="35"/>
      <c r="V49" s="35"/>
      <c r="W49" s="35"/>
      <c r="X49" s="35"/>
      <c r="Y49" s="35"/>
      <c r="Z49" s="35"/>
      <c r="AA49" s="35"/>
      <c r="AB49" s="311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</row>
    <row r="50" spans="1:59" ht="15.75" customHeight="1" x14ac:dyDescent="0.25">
      <c r="A50" s="35"/>
      <c r="B50" s="477"/>
      <c r="C50" s="35"/>
      <c r="D50" s="35"/>
      <c r="E50" s="35"/>
      <c r="F50" s="35"/>
      <c r="G50" s="35"/>
      <c r="H50" s="147"/>
      <c r="I50" s="561" t="s">
        <v>54</v>
      </c>
      <c r="J50" s="562">
        <f>dados_inflação</f>
        <v>3.5000000000000003E-2</v>
      </c>
      <c r="K50" s="557" t="s">
        <v>125</v>
      </c>
      <c r="L50" s="563">
        <f>dados_cdi</f>
        <v>9.7000000000000003E-2</v>
      </c>
      <c r="M50" s="35"/>
      <c r="N50" s="147"/>
      <c r="O50" s="158"/>
      <c r="P50" s="564"/>
      <c r="Q50" s="35"/>
      <c r="R50" s="560"/>
      <c r="S50" s="79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</row>
    <row r="51" spans="1:59" ht="15.75" customHeight="1" x14ac:dyDescent="0.25">
      <c r="A51" s="35"/>
      <c r="B51" s="565"/>
      <c r="C51" s="566"/>
      <c r="D51" s="566"/>
      <c r="E51" s="566"/>
      <c r="F51" s="566"/>
      <c r="G51" s="566"/>
      <c r="H51" s="566"/>
      <c r="I51" s="566"/>
      <c r="J51" s="566"/>
      <c r="K51" s="566"/>
      <c r="L51" s="566"/>
      <c r="M51" s="566"/>
      <c r="N51" s="566"/>
      <c r="O51" s="566"/>
      <c r="P51" s="566"/>
      <c r="Q51" s="566"/>
      <c r="R51" s="567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</row>
    <row r="52" spans="1:59" ht="15.75" customHeight="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</row>
    <row r="53" spans="1:59" ht="15.75" customHeight="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</row>
    <row r="54" spans="1:59" ht="15.75" customHeight="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</row>
    <row r="55" spans="1:59" ht="15.75" customHeight="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</row>
    <row r="56" spans="1:59" ht="15.75" customHeight="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</row>
    <row r="57" spans="1:59" ht="15.75" customHeight="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</row>
    <row r="58" spans="1:59" ht="15.75" customHeight="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</row>
    <row r="59" spans="1:59" ht="15.75" customHeight="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</row>
    <row r="60" spans="1:59" ht="15.75" customHeight="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</row>
    <row r="61" spans="1:59" ht="15.75" customHeight="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</row>
    <row r="62" spans="1:59" ht="15.75" customHeight="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</row>
    <row r="63" spans="1:59" ht="15.75" customHeight="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</row>
    <row r="64" spans="1:59" ht="15.75" customHeight="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</row>
    <row r="65" spans="1:59" ht="15.75" customHeight="1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</row>
    <row r="66" spans="1:59" ht="15.75" customHeight="1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</row>
    <row r="67" spans="1:59" ht="15.75" customHeight="1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</row>
    <row r="68" spans="1:59" ht="15.75" customHeight="1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</row>
    <row r="69" spans="1:59" ht="15.75" customHeight="1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</row>
    <row r="70" spans="1:59" ht="15.75" customHeight="1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</row>
    <row r="71" spans="1:59" ht="15.75" customHeight="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</row>
    <row r="72" spans="1:59" ht="15.75" customHeight="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</row>
    <row r="73" spans="1:59" ht="15.75" customHeight="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</row>
    <row r="74" spans="1:59" ht="15.75" customHeight="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</row>
    <row r="75" spans="1:59" ht="15.75" customHeight="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</row>
    <row r="76" spans="1:59" ht="15.75" customHeight="1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</row>
    <row r="77" spans="1:59" ht="15.75" customHeight="1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</row>
    <row r="78" spans="1:59" ht="15.75" customHeight="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</row>
    <row r="79" spans="1:59" ht="15.75" customHeight="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</row>
    <row r="80" spans="1:59" ht="15.75" customHeight="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</row>
    <row r="81" spans="1:59" ht="15.75" customHeight="1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</row>
    <row r="82" spans="1:59" ht="15.75" customHeight="1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</row>
    <row r="83" spans="1:59" ht="15.75" customHeight="1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</row>
    <row r="84" spans="1:59" ht="15.75" customHeight="1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</row>
    <row r="85" spans="1:59" ht="15.75" customHeight="1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</row>
    <row r="86" spans="1:59" ht="15.75" customHeight="1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</row>
    <row r="87" spans="1:59" ht="15.75" customHeight="1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</row>
    <row r="88" spans="1:59" ht="15.75" customHeight="1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</row>
    <row r="89" spans="1:59" ht="15.75" customHeight="1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</row>
    <row r="90" spans="1:59" ht="15.75" customHeight="1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</row>
    <row r="91" spans="1:59" ht="15.75" customHeight="1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</row>
    <row r="92" spans="1:59" ht="15.75" customHeight="1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</row>
    <row r="93" spans="1:59" ht="15.75" customHeight="1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</row>
    <row r="94" spans="1:59" ht="15.75" customHeight="1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</row>
    <row r="95" spans="1:59" ht="15.75" customHeight="1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</row>
    <row r="96" spans="1:59" ht="15.75" customHeight="1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</row>
    <row r="97" spans="1:59" ht="15.75" customHeight="1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</row>
    <row r="98" spans="1:59" ht="15.75" customHeight="1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</row>
    <row r="99" spans="1:59" ht="15.75" customHeight="1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</row>
    <row r="100" spans="1:59" ht="15.75" customHeight="1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</row>
    <row r="101" spans="1:59" ht="15.75" customHeight="1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</row>
    <row r="102" spans="1:59" ht="15.75" customHeight="1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</row>
    <row r="103" spans="1:59" ht="15.75" customHeight="1" x14ac:dyDescent="0.25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</row>
    <row r="104" spans="1:59" ht="15.75" customHeight="1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</row>
    <row r="105" spans="1:59" ht="15.75" customHeight="1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</row>
    <row r="106" spans="1:59" ht="15.75" customHeight="1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</row>
    <row r="107" spans="1:59" ht="15.75" customHeight="1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</row>
    <row r="108" spans="1:59" ht="15.75" customHeight="1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</row>
    <row r="109" spans="1:59" ht="15.75" customHeight="1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</row>
    <row r="110" spans="1:59" ht="15.75" customHeight="1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</row>
    <row r="111" spans="1:59" ht="15.75" customHeight="1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</row>
    <row r="112" spans="1:59" ht="15.75" customHeight="1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</row>
    <row r="113" spans="1:59" ht="15.75" customHeight="1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</row>
    <row r="114" spans="1:59" ht="15.75" customHeight="1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</row>
    <row r="115" spans="1:59" ht="15.75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</row>
    <row r="116" spans="1:59" ht="15.75" customHeight="1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</row>
    <row r="117" spans="1:59" ht="15.75" customHeight="1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</row>
    <row r="118" spans="1:59" ht="15.75" customHeight="1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</row>
    <row r="119" spans="1:59" ht="15.75" customHeight="1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</row>
    <row r="120" spans="1:59" ht="15.75" customHeight="1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</row>
    <row r="121" spans="1:59" ht="15.75" customHeight="1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</row>
    <row r="122" spans="1:59" ht="15.75" customHeight="1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</row>
    <row r="123" spans="1:59" ht="15.75" customHeight="1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</row>
    <row r="124" spans="1:59" ht="15.75" customHeight="1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</row>
    <row r="125" spans="1:59" ht="15.75" customHeight="1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</row>
    <row r="126" spans="1:59" ht="15.75" customHeight="1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</row>
    <row r="127" spans="1:59" ht="15.75" customHeight="1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</row>
    <row r="128" spans="1:59" ht="15.75" customHeight="1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</row>
    <row r="129" spans="1:59" ht="15.75" customHeight="1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</row>
    <row r="130" spans="1:59" ht="15.75" customHeight="1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</row>
    <row r="131" spans="1:59" ht="15.75" customHeight="1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</row>
    <row r="132" spans="1:59" ht="15.75" customHeight="1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</row>
    <row r="133" spans="1:59" ht="15.75" customHeight="1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</row>
    <row r="134" spans="1:59" ht="15.75" customHeight="1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</row>
    <row r="135" spans="1:59" ht="15.75" customHeight="1" x14ac:dyDescent="0.2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</row>
    <row r="136" spans="1:59" ht="15.75" customHeight="1" x14ac:dyDescent="0.2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</row>
    <row r="137" spans="1:59" ht="15.75" customHeight="1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</row>
    <row r="138" spans="1:59" ht="15.75" customHeight="1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</row>
    <row r="139" spans="1:59" ht="15.75" customHeight="1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</row>
    <row r="140" spans="1:59" ht="15.75" customHeight="1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</row>
    <row r="141" spans="1:59" ht="15.75" customHeight="1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</row>
    <row r="142" spans="1:59" ht="15.75" customHeight="1" x14ac:dyDescent="0.2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</row>
    <row r="143" spans="1:59" ht="15.75" customHeight="1" x14ac:dyDescent="0.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</row>
    <row r="144" spans="1:59" ht="15.75" customHeight="1" x14ac:dyDescent="0.2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</row>
    <row r="145" spans="1:59" ht="15.75" customHeight="1" x14ac:dyDescent="0.2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</row>
    <row r="146" spans="1:59" ht="15.75" customHeight="1" x14ac:dyDescent="0.2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</row>
    <row r="147" spans="1:59" ht="15.75" customHeight="1" x14ac:dyDescent="0.2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</row>
    <row r="148" spans="1:59" ht="15.75" customHeight="1" x14ac:dyDescent="0.2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</row>
    <row r="149" spans="1:59" ht="15.75" customHeight="1" x14ac:dyDescent="0.2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</row>
    <row r="150" spans="1:59" ht="15.75" customHeight="1" x14ac:dyDescent="0.2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</row>
    <row r="151" spans="1:59" ht="15.75" customHeight="1" x14ac:dyDescent="0.2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</row>
    <row r="152" spans="1:59" ht="15.75" customHeight="1" x14ac:dyDescent="0.2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</row>
    <row r="153" spans="1:59" ht="15.75" customHeight="1" x14ac:dyDescent="0.2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</row>
    <row r="154" spans="1:59" ht="15.75" customHeight="1" x14ac:dyDescent="0.2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</row>
    <row r="155" spans="1:59" ht="15.75" customHeight="1" x14ac:dyDescent="0.2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</row>
    <row r="156" spans="1:59" ht="15.75" customHeight="1" x14ac:dyDescent="0.2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</row>
    <row r="157" spans="1:59" ht="15.75" customHeight="1" x14ac:dyDescent="0.2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</row>
    <row r="158" spans="1:59" ht="15.75" customHeight="1" x14ac:dyDescent="0.2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</row>
    <row r="159" spans="1:59" ht="15.75" customHeight="1" x14ac:dyDescent="0.2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</row>
    <row r="160" spans="1:59" ht="15.75" customHeight="1" x14ac:dyDescent="0.2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</row>
    <row r="161" spans="1:59" ht="15.75" customHeight="1" x14ac:dyDescent="0.2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</row>
    <row r="162" spans="1:59" ht="15.75" customHeight="1" x14ac:dyDescent="0.2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</row>
    <row r="163" spans="1:59" ht="15.75" customHeight="1" x14ac:dyDescent="0.2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</row>
    <row r="164" spans="1:59" ht="15.75" customHeight="1" x14ac:dyDescent="0.2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</row>
    <row r="165" spans="1:59" ht="15.75" customHeight="1" x14ac:dyDescent="0.2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</row>
    <row r="166" spans="1:59" ht="15.75" customHeight="1" x14ac:dyDescent="0.2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</row>
    <row r="167" spans="1:59" ht="15.75" customHeight="1" x14ac:dyDescent="0.2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</row>
    <row r="168" spans="1:59" ht="15.75" customHeight="1" x14ac:dyDescent="0.2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</row>
    <row r="169" spans="1:59" ht="15.75" customHeight="1" x14ac:dyDescent="0.2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</row>
    <row r="170" spans="1:59" ht="15.75" customHeight="1" x14ac:dyDescent="0.2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</row>
    <row r="171" spans="1:59" ht="15.75" customHeight="1" x14ac:dyDescent="0.2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</row>
    <row r="172" spans="1:59" ht="15.75" customHeight="1" x14ac:dyDescent="0.2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</row>
    <row r="173" spans="1:59" ht="15.75" customHeight="1" x14ac:dyDescent="0.2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</row>
    <row r="174" spans="1:59" ht="15.75" customHeight="1" x14ac:dyDescent="0.2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</row>
    <row r="175" spans="1:59" ht="15.75" customHeight="1" x14ac:dyDescent="0.2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</row>
    <row r="176" spans="1:59" ht="15.75" customHeight="1" x14ac:dyDescent="0.2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</row>
    <row r="177" spans="1:59" ht="15.75" customHeight="1" x14ac:dyDescent="0.2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</row>
    <row r="178" spans="1:59" ht="15.75" customHeight="1" x14ac:dyDescent="0.2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</row>
    <row r="179" spans="1:59" ht="15.75" customHeight="1" x14ac:dyDescent="0.2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</row>
    <row r="180" spans="1:59" ht="15.75" customHeight="1" x14ac:dyDescent="0.2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</row>
    <row r="181" spans="1:59" ht="15.75" customHeight="1" x14ac:dyDescent="0.2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</row>
    <row r="182" spans="1:59" ht="15.75" customHeight="1" x14ac:dyDescent="0.2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</row>
    <row r="183" spans="1:59" ht="15.75" customHeight="1" x14ac:dyDescent="0.2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</row>
    <row r="184" spans="1:59" ht="15.75" customHeight="1" x14ac:dyDescent="0.2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</row>
    <row r="185" spans="1:59" ht="15.75" customHeight="1" x14ac:dyDescent="0.2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</row>
    <row r="186" spans="1:59" ht="15.75" customHeight="1" x14ac:dyDescent="0.2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</row>
    <row r="187" spans="1:59" ht="15.75" customHeight="1" x14ac:dyDescent="0.2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</row>
    <row r="188" spans="1:59" ht="15.75" customHeight="1" x14ac:dyDescent="0.2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</row>
    <row r="189" spans="1:59" ht="15.75" customHeight="1" x14ac:dyDescent="0.2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</row>
    <row r="190" spans="1:59" ht="15.75" customHeight="1" x14ac:dyDescent="0.2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</row>
    <row r="191" spans="1:59" ht="15.75" customHeight="1" x14ac:dyDescent="0.2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</row>
    <row r="192" spans="1:59" ht="15.75" customHeight="1" x14ac:dyDescent="0.2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</row>
    <row r="193" spans="1:59" ht="15.75" customHeight="1" x14ac:dyDescent="0.2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</row>
    <row r="194" spans="1:59" ht="15.75" customHeight="1" x14ac:dyDescent="0.2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</row>
    <row r="195" spans="1:59" ht="15.75" customHeight="1" x14ac:dyDescent="0.2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</row>
    <row r="196" spans="1:59" ht="15.75" customHeight="1" x14ac:dyDescent="0.2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</row>
    <row r="197" spans="1:59" ht="15.75" customHeight="1" x14ac:dyDescent="0.2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</row>
    <row r="198" spans="1:59" ht="15.75" customHeight="1" x14ac:dyDescent="0.2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</row>
    <row r="199" spans="1:59" ht="15.75" customHeight="1" x14ac:dyDescent="0.2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</row>
    <row r="200" spans="1:59" ht="15.75" customHeight="1" x14ac:dyDescent="0.2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</row>
    <row r="201" spans="1:59" ht="15.75" customHeight="1" x14ac:dyDescent="0.2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</row>
    <row r="202" spans="1:59" ht="15.75" customHeight="1" x14ac:dyDescent="0.2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</row>
    <row r="203" spans="1:59" ht="15.75" customHeight="1" x14ac:dyDescent="0.2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</row>
    <row r="204" spans="1:59" ht="15.75" customHeight="1" x14ac:dyDescent="0.2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</row>
    <row r="205" spans="1:59" ht="15.75" customHeight="1" x14ac:dyDescent="0.2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</row>
    <row r="206" spans="1:59" ht="15.75" customHeight="1" x14ac:dyDescent="0.2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</row>
    <row r="207" spans="1:59" ht="15.75" customHeight="1" x14ac:dyDescent="0.2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</row>
    <row r="208" spans="1:59" ht="15.75" customHeight="1" x14ac:dyDescent="0.2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</row>
    <row r="209" spans="1:59" ht="15.75" customHeight="1" x14ac:dyDescent="0.2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</row>
    <row r="210" spans="1:59" ht="15.75" customHeight="1" x14ac:dyDescent="0.2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</row>
    <row r="211" spans="1:59" ht="15.75" customHeight="1" x14ac:dyDescent="0.2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</row>
    <row r="212" spans="1:59" ht="15.75" customHeight="1" x14ac:dyDescent="0.2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</row>
    <row r="213" spans="1:59" ht="15.75" customHeight="1" x14ac:dyDescent="0.2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</row>
    <row r="214" spans="1:59" ht="15.75" customHeight="1" x14ac:dyDescent="0.2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</row>
    <row r="215" spans="1:59" ht="15.75" customHeight="1" x14ac:dyDescent="0.2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</row>
    <row r="216" spans="1:59" ht="15.75" customHeight="1" x14ac:dyDescent="0.2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</row>
    <row r="217" spans="1:59" ht="15.75" customHeight="1" x14ac:dyDescent="0.2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</row>
    <row r="218" spans="1:59" ht="15.75" customHeight="1" x14ac:dyDescent="0.2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</row>
    <row r="219" spans="1:59" ht="15.75" customHeight="1" x14ac:dyDescent="0.2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</row>
    <row r="220" spans="1:59" ht="15.75" customHeight="1" x14ac:dyDescent="0.2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</row>
    <row r="221" spans="1:59" ht="15.75" customHeight="1" x14ac:dyDescent="0.2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</row>
    <row r="222" spans="1:59" ht="15.75" customHeight="1" x14ac:dyDescent="0.2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</row>
    <row r="223" spans="1:59" ht="15.75" customHeight="1" x14ac:dyDescent="0.2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</row>
    <row r="224" spans="1:59" ht="15.75" customHeight="1" x14ac:dyDescent="0.2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</row>
    <row r="225" spans="1:59" ht="15.75" customHeight="1" x14ac:dyDescent="0.2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</row>
    <row r="226" spans="1:59" ht="15.75" customHeight="1" x14ac:dyDescent="0.2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</row>
    <row r="227" spans="1:59" ht="15.75" customHeight="1" x14ac:dyDescent="0.2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</row>
    <row r="228" spans="1:59" ht="15.75" customHeight="1" x14ac:dyDescent="0.2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</row>
    <row r="229" spans="1:59" ht="15.75" customHeight="1" x14ac:dyDescent="0.2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</row>
    <row r="230" spans="1:59" ht="15.75" customHeight="1" x14ac:dyDescent="0.2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</row>
    <row r="231" spans="1:59" ht="15.75" customHeight="1" x14ac:dyDescent="0.2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</row>
    <row r="232" spans="1:59" ht="15.75" customHeight="1" x14ac:dyDescent="0.2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</row>
    <row r="233" spans="1:59" ht="15.75" customHeight="1" x14ac:dyDescent="0.2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</row>
    <row r="234" spans="1:59" ht="15.75" customHeight="1" x14ac:dyDescent="0.2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</row>
    <row r="235" spans="1:59" ht="15.75" customHeight="1" x14ac:dyDescent="0.2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</row>
    <row r="236" spans="1:59" ht="15.75" customHeight="1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</row>
    <row r="237" spans="1:59" ht="15.75" customHeight="1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</row>
    <row r="238" spans="1:59" ht="15.75" customHeight="1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</row>
    <row r="239" spans="1:59" ht="15.75" customHeight="1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</row>
    <row r="240" spans="1:59" ht="15.75" customHeight="1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</row>
    <row r="241" spans="1:59" ht="15.75" customHeight="1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</row>
    <row r="242" spans="1:59" ht="15.75" customHeight="1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</row>
    <row r="243" spans="1:59" ht="15.75" customHeight="1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</row>
    <row r="244" spans="1:59" ht="15.75" customHeight="1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</row>
    <row r="245" spans="1:59" ht="15.75" customHeight="1" x14ac:dyDescent="0.2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</row>
    <row r="246" spans="1:59" ht="15.75" customHeight="1" x14ac:dyDescent="0.2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</row>
    <row r="247" spans="1:59" ht="15.75" customHeight="1" x14ac:dyDescent="0.2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</row>
    <row r="248" spans="1:59" ht="15.75" customHeight="1" x14ac:dyDescent="0.2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</row>
    <row r="249" spans="1:59" ht="15.75" customHeight="1" x14ac:dyDescent="0.2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</row>
    <row r="250" spans="1:59" ht="15.75" customHeight="1" x14ac:dyDescent="0.2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</row>
    <row r="251" spans="1:59" ht="15.75" customHeight="1" x14ac:dyDescent="0.2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</row>
    <row r="252" spans="1:59" ht="15.75" customHeight="1" x14ac:dyDescent="0.2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</row>
    <row r="253" spans="1:59" ht="15.75" customHeight="1" x14ac:dyDescent="0.2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</row>
    <row r="254" spans="1:59" ht="15.75" customHeight="1" x14ac:dyDescent="0.2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</row>
    <row r="255" spans="1:59" ht="15.75" customHeight="1" x14ac:dyDescent="0.2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</row>
    <row r="256" spans="1:59" ht="15.75" customHeight="1" x14ac:dyDescent="0.2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</row>
    <row r="257" spans="1:59" ht="15.75" customHeight="1" x14ac:dyDescent="0.2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</row>
    <row r="258" spans="1:59" ht="15.75" customHeight="1" x14ac:dyDescent="0.2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</row>
    <row r="259" spans="1:59" ht="15.75" customHeight="1" x14ac:dyDescent="0.2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</row>
    <row r="260" spans="1:59" ht="15.75" customHeight="1" x14ac:dyDescent="0.2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</row>
    <row r="261" spans="1:59" ht="15.75" customHeight="1" x14ac:dyDescent="0.2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</row>
    <row r="262" spans="1:59" ht="15.75" customHeight="1" x14ac:dyDescent="0.2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</row>
    <row r="263" spans="1:59" ht="15.75" customHeight="1" x14ac:dyDescent="0.2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</row>
    <row r="264" spans="1:59" ht="15.75" customHeight="1" x14ac:dyDescent="0.2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</row>
    <row r="265" spans="1:59" ht="15.75" customHeight="1" x14ac:dyDescent="0.2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</row>
    <row r="266" spans="1:59" ht="15.75" customHeight="1" x14ac:dyDescent="0.2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</row>
    <row r="267" spans="1:59" ht="15.75" customHeight="1" x14ac:dyDescent="0.2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</row>
    <row r="268" spans="1:59" ht="15.75" customHeight="1" x14ac:dyDescent="0.2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</row>
    <row r="269" spans="1:59" ht="15.75" customHeight="1" x14ac:dyDescent="0.2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</row>
    <row r="270" spans="1:59" ht="15.75" customHeight="1" x14ac:dyDescent="0.2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</row>
    <row r="271" spans="1:59" ht="15.75" customHeight="1" x14ac:dyDescent="0.2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</row>
    <row r="272" spans="1:59" ht="15.75" customHeight="1" x14ac:dyDescent="0.2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</row>
    <row r="273" spans="1:59" ht="15.75" customHeight="1" x14ac:dyDescent="0.2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</row>
    <row r="274" spans="1:59" ht="15.75" customHeight="1" x14ac:dyDescent="0.2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</row>
    <row r="275" spans="1:59" ht="15.75" customHeight="1" x14ac:dyDescent="0.2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</row>
    <row r="276" spans="1:59" ht="15.75" customHeight="1" x14ac:dyDescent="0.2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</row>
    <row r="277" spans="1:59" ht="15.75" customHeight="1" x14ac:dyDescent="0.2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</row>
    <row r="278" spans="1:59" ht="15.75" customHeight="1" x14ac:dyDescent="0.2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</row>
    <row r="279" spans="1:59" ht="15.75" customHeight="1" x14ac:dyDescent="0.2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</row>
    <row r="280" spans="1:59" ht="15.75" customHeight="1" x14ac:dyDescent="0.2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</row>
    <row r="281" spans="1:59" ht="15.75" customHeight="1" x14ac:dyDescent="0.2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</row>
    <row r="282" spans="1:59" ht="15.75" customHeight="1" x14ac:dyDescent="0.2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</row>
    <row r="283" spans="1:59" ht="15.75" customHeight="1" x14ac:dyDescent="0.2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</row>
    <row r="284" spans="1:59" ht="15.75" customHeight="1" x14ac:dyDescent="0.2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</row>
    <row r="285" spans="1:59" ht="15.75" customHeight="1" x14ac:dyDescent="0.2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</row>
    <row r="286" spans="1:59" ht="15.75" customHeight="1" x14ac:dyDescent="0.2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</row>
    <row r="287" spans="1:59" ht="15.75" customHeight="1" x14ac:dyDescent="0.2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</row>
    <row r="288" spans="1:59" ht="15.75" customHeight="1" x14ac:dyDescent="0.2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</row>
    <row r="289" spans="1:59" ht="15.75" customHeight="1" x14ac:dyDescent="0.2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</row>
    <row r="290" spans="1:59" ht="15.75" customHeight="1" x14ac:dyDescent="0.2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</row>
    <row r="291" spans="1:59" ht="15.75" customHeight="1" x14ac:dyDescent="0.2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</row>
    <row r="292" spans="1:59" ht="15.75" customHeight="1" x14ac:dyDescent="0.2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</row>
    <row r="293" spans="1:59" ht="15.75" customHeight="1" x14ac:dyDescent="0.2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</row>
    <row r="294" spans="1:59" ht="15.75" customHeight="1" x14ac:dyDescent="0.2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</row>
    <row r="295" spans="1:59" ht="15.75" customHeight="1" x14ac:dyDescent="0.2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</row>
    <row r="296" spans="1:59" ht="15.75" customHeight="1" x14ac:dyDescent="0.2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</row>
    <row r="297" spans="1:59" ht="15.75" customHeight="1" x14ac:dyDescent="0.2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</row>
    <row r="298" spans="1:59" ht="15.75" customHeight="1" x14ac:dyDescent="0.2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</row>
    <row r="299" spans="1:59" ht="15.75" customHeight="1" x14ac:dyDescent="0.2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</row>
    <row r="300" spans="1:59" ht="15.75" customHeight="1" x14ac:dyDescent="0.2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</row>
    <row r="301" spans="1:59" ht="15.75" customHeight="1" x14ac:dyDescent="0.2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</row>
    <row r="302" spans="1:59" ht="15.75" customHeight="1" x14ac:dyDescent="0.2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</row>
    <row r="303" spans="1:59" ht="15.75" customHeight="1" x14ac:dyDescent="0.2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</row>
    <row r="304" spans="1:59" ht="15.75" customHeight="1" x14ac:dyDescent="0.2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</row>
    <row r="305" spans="1:59" ht="15.75" customHeight="1" x14ac:dyDescent="0.2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</row>
    <row r="306" spans="1:59" ht="15.75" customHeight="1" x14ac:dyDescent="0.2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</row>
    <row r="307" spans="1:59" ht="15.75" customHeight="1" x14ac:dyDescent="0.2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</row>
    <row r="308" spans="1:59" ht="15.75" customHeight="1" x14ac:dyDescent="0.2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</row>
    <row r="309" spans="1:59" ht="15.75" customHeight="1" x14ac:dyDescent="0.2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</row>
    <row r="310" spans="1:59" ht="15.75" customHeight="1" x14ac:dyDescent="0.2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</row>
    <row r="311" spans="1:59" ht="15.75" customHeight="1" x14ac:dyDescent="0.2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</row>
    <row r="312" spans="1:59" ht="15.75" customHeight="1" x14ac:dyDescent="0.2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</row>
    <row r="313" spans="1:59" ht="15.75" customHeight="1" x14ac:dyDescent="0.25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</row>
    <row r="314" spans="1:59" ht="15.75" customHeight="1" x14ac:dyDescent="0.25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</row>
    <row r="315" spans="1:59" ht="15.75" customHeight="1" x14ac:dyDescent="0.25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</row>
    <row r="316" spans="1:59" ht="15.75" customHeight="1" x14ac:dyDescent="0.25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</row>
    <row r="317" spans="1:59" ht="15.75" customHeight="1" x14ac:dyDescent="0.25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</row>
    <row r="318" spans="1:59" ht="15.75" customHeight="1" x14ac:dyDescent="0.25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</row>
    <row r="319" spans="1:59" ht="15.75" customHeight="1" x14ac:dyDescent="0.25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</row>
    <row r="320" spans="1:59" ht="15.75" customHeight="1" x14ac:dyDescent="0.25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</row>
    <row r="321" spans="1:59" ht="15.75" customHeight="1" x14ac:dyDescent="0.25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</row>
    <row r="322" spans="1:59" ht="15.75" customHeight="1" x14ac:dyDescent="0.25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</row>
    <row r="323" spans="1:59" ht="15.75" customHeight="1" x14ac:dyDescent="0.25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</row>
    <row r="324" spans="1:59" ht="15.75" customHeight="1" x14ac:dyDescent="0.25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</row>
    <row r="325" spans="1:59" ht="15.75" customHeight="1" x14ac:dyDescent="0.25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</row>
    <row r="326" spans="1:59" ht="15.75" customHeight="1" x14ac:dyDescent="0.25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</row>
    <row r="327" spans="1:59" ht="15.75" customHeight="1" x14ac:dyDescent="0.25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</row>
    <row r="328" spans="1:59" ht="15.75" customHeight="1" x14ac:dyDescent="0.25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</row>
    <row r="329" spans="1:59" ht="15.75" customHeight="1" x14ac:dyDescent="0.25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</row>
    <row r="330" spans="1:59" ht="15.75" customHeight="1" x14ac:dyDescent="0.25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</row>
    <row r="331" spans="1:59" ht="15.75" customHeight="1" x14ac:dyDescent="0.25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</row>
    <row r="332" spans="1:59" ht="15.75" customHeight="1" x14ac:dyDescent="0.25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</row>
    <row r="333" spans="1:59" ht="15.75" customHeight="1" x14ac:dyDescent="0.25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</row>
    <row r="334" spans="1:59" ht="15.75" customHeight="1" x14ac:dyDescent="0.25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</row>
    <row r="335" spans="1:59" ht="15.75" customHeight="1" x14ac:dyDescent="0.25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</row>
    <row r="336" spans="1:59" ht="15.75" customHeight="1" x14ac:dyDescent="0.25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</row>
    <row r="337" spans="1:59" ht="15.75" customHeight="1" x14ac:dyDescent="0.25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</row>
    <row r="338" spans="1:59" ht="15.75" customHeight="1" x14ac:dyDescent="0.25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</row>
    <row r="339" spans="1:59" ht="15.75" customHeight="1" x14ac:dyDescent="0.25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</row>
    <row r="340" spans="1:59" ht="15.75" customHeight="1" x14ac:dyDescent="0.25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</row>
    <row r="341" spans="1:59" ht="15.75" customHeight="1" x14ac:dyDescent="0.25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</row>
    <row r="342" spans="1:59" ht="15.75" customHeight="1" x14ac:dyDescent="0.25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</row>
    <row r="343" spans="1:59" ht="15.75" customHeight="1" x14ac:dyDescent="0.25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</row>
    <row r="344" spans="1:59" ht="15.75" customHeight="1" x14ac:dyDescent="0.25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</row>
    <row r="345" spans="1:59" ht="15.75" customHeight="1" x14ac:dyDescent="0.25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</row>
    <row r="346" spans="1:59" ht="15.75" customHeight="1" x14ac:dyDescent="0.25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</row>
    <row r="347" spans="1:59" ht="15.75" customHeight="1" x14ac:dyDescent="0.25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</row>
    <row r="348" spans="1:59" ht="15.75" customHeight="1" x14ac:dyDescent="0.25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</row>
    <row r="349" spans="1:59" ht="15.75" customHeight="1" x14ac:dyDescent="0.25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</row>
    <row r="350" spans="1:59" ht="15.75" customHeight="1" x14ac:dyDescent="0.25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</row>
    <row r="351" spans="1:59" ht="15.75" customHeight="1" x14ac:dyDescent="0.25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</row>
    <row r="352" spans="1:59" ht="15.75" customHeight="1" x14ac:dyDescent="0.25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</row>
    <row r="353" spans="1:59" ht="15.75" customHeight="1" x14ac:dyDescent="0.25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</row>
    <row r="354" spans="1:59" ht="15.75" customHeight="1" x14ac:dyDescent="0.25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</row>
    <row r="355" spans="1:59" ht="15.75" customHeight="1" x14ac:dyDescent="0.25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</row>
    <row r="356" spans="1:59" ht="15.75" customHeight="1" x14ac:dyDescent="0.25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</row>
    <row r="357" spans="1:59" ht="15.75" customHeight="1" x14ac:dyDescent="0.25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</row>
    <row r="358" spans="1:59" ht="15.75" customHeight="1" x14ac:dyDescent="0.25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</row>
    <row r="359" spans="1:59" ht="15.75" customHeight="1" x14ac:dyDescent="0.25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</row>
    <row r="360" spans="1:59" ht="15.75" customHeight="1" x14ac:dyDescent="0.25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</row>
    <row r="361" spans="1:59" ht="15.75" customHeight="1" x14ac:dyDescent="0.25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</row>
    <row r="362" spans="1:59" ht="15.75" customHeight="1" x14ac:dyDescent="0.25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</row>
    <row r="363" spans="1:59" ht="15.75" customHeight="1" x14ac:dyDescent="0.25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</row>
    <row r="364" spans="1:59" ht="15.75" customHeight="1" x14ac:dyDescent="0.25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</row>
    <row r="365" spans="1:59" ht="15.75" customHeight="1" x14ac:dyDescent="0.25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</row>
    <row r="366" spans="1:59" ht="15.75" customHeight="1" x14ac:dyDescent="0.25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</row>
    <row r="367" spans="1:59" ht="15.75" customHeight="1" x14ac:dyDescent="0.25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</row>
    <row r="368" spans="1:59" ht="15.75" customHeight="1" x14ac:dyDescent="0.25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</row>
    <row r="369" spans="1:59" ht="15.75" customHeight="1" x14ac:dyDescent="0.25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</row>
    <row r="370" spans="1:59" ht="15.75" customHeight="1" x14ac:dyDescent="0.25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</row>
    <row r="371" spans="1:59" ht="15.75" customHeight="1" x14ac:dyDescent="0.25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</row>
    <row r="372" spans="1:59" ht="15.75" customHeight="1" x14ac:dyDescent="0.25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</row>
    <row r="373" spans="1:59" ht="15.75" customHeight="1" x14ac:dyDescent="0.25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</row>
    <row r="374" spans="1:59" ht="15.75" customHeight="1" x14ac:dyDescent="0.25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</row>
    <row r="375" spans="1:59" ht="15.75" customHeight="1" x14ac:dyDescent="0.25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</row>
    <row r="376" spans="1:59" ht="15.75" customHeight="1" x14ac:dyDescent="0.25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</row>
    <row r="377" spans="1:59" ht="15.75" customHeight="1" x14ac:dyDescent="0.25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</row>
    <row r="378" spans="1:59" ht="15.75" customHeight="1" x14ac:dyDescent="0.25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</row>
    <row r="379" spans="1:59" ht="15.75" customHeight="1" x14ac:dyDescent="0.25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</row>
    <row r="380" spans="1:59" ht="15.75" customHeight="1" x14ac:dyDescent="0.25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</row>
    <row r="381" spans="1:59" ht="15.75" customHeight="1" x14ac:dyDescent="0.25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</row>
    <row r="382" spans="1:59" ht="15.75" customHeight="1" x14ac:dyDescent="0.25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</row>
    <row r="383" spans="1:59" ht="15.75" customHeight="1" x14ac:dyDescent="0.25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</row>
    <row r="384" spans="1:59" ht="15.75" customHeight="1" x14ac:dyDescent="0.25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</row>
    <row r="385" spans="1:59" ht="15.75" customHeight="1" x14ac:dyDescent="0.25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</row>
    <row r="386" spans="1:59" ht="15.75" customHeight="1" x14ac:dyDescent="0.25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</row>
    <row r="387" spans="1:59" ht="15.75" customHeight="1" x14ac:dyDescent="0.25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</row>
    <row r="388" spans="1:59" ht="15.75" customHeight="1" x14ac:dyDescent="0.25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</row>
    <row r="389" spans="1:59" ht="15.75" customHeight="1" x14ac:dyDescent="0.25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</row>
    <row r="390" spans="1:59" ht="15.75" customHeight="1" x14ac:dyDescent="0.25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</row>
    <row r="391" spans="1:59" ht="15.75" customHeight="1" x14ac:dyDescent="0.25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</row>
    <row r="392" spans="1:59" ht="15.75" customHeight="1" x14ac:dyDescent="0.25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</row>
    <row r="393" spans="1:59" ht="15.75" customHeight="1" x14ac:dyDescent="0.25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</row>
    <row r="394" spans="1:59" ht="15.75" customHeight="1" x14ac:dyDescent="0.25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</row>
    <row r="395" spans="1:59" ht="15.75" customHeight="1" x14ac:dyDescent="0.25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</row>
    <row r="396" spans="1:59" ht="15.75" customHeight="1" x14ac:dyDescent="0.25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</row>
    <row r="397" spans="1:59" ht="15.75" customHeight="1" x14ac:dyDescent="0.25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</row>
    <row r="398" spans="1:59" ht="15.75" customHeight="1" x14ac:dyDescent="0.25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</row>
    <row r="399" spans="1:59" ht="15.75" customHeight="1" x14ac:dyDescent="0.25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</row>
    <row r="400" spans="1:59" ht="15.75" customHeight="1" x14ac:dyDescent="0.25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</row>
    <row r="401" spans="1:59" ht="15.75" customHeight="1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</row>
    <row r="402" spans="1:59" ht="15.75" customHeight="1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</row>
    <row r="403" spans="1:59" ht="15.75" customHeight="1" x14ac:dyDescent="0.25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</row>
    <row r="404" spans="1:59" ht="15.75" customHeight="1" x14ac:dyDescent="0.25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</row>
    <row r="405" spans="1:59" ht="15.75" customHeight="1" x14ac:dyDescent="0.25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</row>
    <row r="406" spans="1:59" ht="15.75" customHeight="1" x14ac:dyDescent="0.25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</row>
    <row r="407" spans="1:59" ht="15.75" customHeight="1" x14ac:dyDescent="0.25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</row>
    <row r="408" spans="1:59" ht="15.75" customHeight="1" x14ac:dyDescent="0.25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</row>
    <row r="409" spans="1:59" ht="15.75" customHeight="1" x14ac:dyDescent="0.25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</row>
    <row r="410" spans="1:59" ht="15.75" customHeight="1" x14ac:dyDescent="0.25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</row>
    <row r="411" spans="1:59" ht="15.75" customHeight="1" x14ac:dyDescent="0.25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</row>
    <row r="412" spans="1:59" ht="15.75" customHeight="1" x14ac:dyDescent="0.25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</row>
    <row r="413" spans="1:59" ht="15.75" customHeight="1" x14ac:dyDescent="0.25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</row>
    <row r="414" spans="1:59" ht="15.75" customHeight="1" x14ac:dyDescent="0.25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</row>
    <row r="415" spans="1:59" ht="15.75" customHeight="1" x14ac:dyDescent="0.25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</row>
    <row r="416" spans="1:59" ht="15.75" customHeight="1" x14ac:dyDescent="0.25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</row>
    <row r="417" spans="1:59" ht="15.75" customHeight="1" x14ac:dyDescent="0.25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</row>
    <row r="418" spans="1:59" ht="15.75" customHeight="1" x14ac:dyDescent="0.25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</row>
    <row r="419" spans="1:59" ht="15.75" customHeight="1" x14ac:dyDescent="0.25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</row>
    <row r="420" spans="1:59" ht="15.75" customHeight="1" x14ac:dyDescent="0.25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</row>
    <row r="421" spans="1:59" ht="15.75" customHeight="1" x14ac:dyDescent="0.25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</row>
    <row r="422" spans="1:59" ht="15.75" customHeight="1" x14ac:dyDescent="0.25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</row>
    <row r="423" spans="1:59" ht="15.75" customHeight="1" x14ac:dyDescent="0.25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</row>
    <row r="424" spans="1:59" ht="15.75" customHeight="1" x14ac:dyDescent="0.25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</row>
    <row r="425" spans="1:59" ht="15.75" customHeight="1" x14ac:dyDescent="0.25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</row>
    <row r="426" spans="1:59" ht="15.75" customHeight="1" x14ac:dyDescent="0.25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</row>
    <row r="427" spans="1:59" ht="15.75" customHeight="1" x14ac:dyDescent="0.25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</row>
    <row r="428" spans="1:59" ht="15.75" customHeight="1" x14ac:dyDescent="0.25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</row>
    <row r="429" spans="1:59" ht="15.75" customHeight="1" x14ac:dyDescent="0.25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</row>
    <row r="430" spans="1:59" ht="15.75" customHeight="1" x14ac:dyDescent="0.25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</row>
    <row r="431" spans="1:59" ht="15.75" customHeight="1" x14ac:dyDescent="0.25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</row>
    <row r="432" spans="1:59" ht="15.75" customHeight="1" x14ac:dyDescent="0.25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</row>
    <row r="433" spans="1:59" ht="15.75" customHeight="1" x14ac:dyDescent="0.25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</row>
    <row r="434" spans="1:59" ht="15.75" customHeight="1" x14ac:dyDescent="0.25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</row>
    <row r="435" spans="1:59" ht="15.75" customHeight="1" x14ac:dyDescent="0.25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</row>
    <row r="436" spans="1:59" ht="15.75" customHeight="1" x14ac:dyDescent="0.25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</row>
    <row r="437" spans="1:59" ht="15.75" customHeight="1" x14ac:dyDescent="0.25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</row>
    <row r="438" spans="1:59" ht="15.75" customHeight="1" x14ac:dyDescent="0.25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</row>
    <row r="439" spans="1:59" ht="15.75" customHeight="1" x14ac:dyDescent="0.25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</row>
    <row r="440" spans="1:59" ht="15.75" customHeight="1" x14ac:dyDescent="0.25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</row>
    <row r="441" spans="1:59" ht="15.75" customHeight="1" x14ac:dyDescent="0.25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</row>
    <row r="442" spans="1:59" ht="15.75" customHeight="1" x14ac:dyDescent="0.25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</row>
    <row r="443" spans="1:59" ht="15.75" customHeight="1" x14ac:dyDescent="0.25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</row>
    <row r="444" spans="1:59" ht="15.75" customHeight="1" x14ac:dyDescent="0.25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</row>
    <row r="445" spans="1:59" ht="15.75" customHeight="1" x14ac:dyDescent="0.25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</row>
    <row r="446" spans="1:59" ht="15.75" customHeight="1" x14ac:dyDescent="0.25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</row>
    <row r="447" spans="1:59" ht="15.75" customHeight="1" x14ac:dyDescent="0.25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</row>
    <row r="448" spans="1:59" ht="15.75" customHeight="1" x14ac:dyDescent="0.25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</row>
    <row r="449" spans="1:59" ht="15.75" customHeight="1" x14ac:dyDescent="0.25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</row>
    <row r="450" spans="1:59" ht="15.75" customHeight="1" x14ac:dyDescent="0.25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</row>
    <row r="451" spans="1:59" ht="15.75" customHeight="1" x14ac:dyDescent="0.25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</row>
    <row r="452" spans="1:59" ht="15.75" customHeight="1" x14ac:dyDescent="0.25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</row>
    <row r="453" spans="1:59" ht="15.75" customHeight="1" x14ac:dyDescent="0.25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</row>
    <row r="454" spans="1:59" ht="15.75" customHeight="1" x14ac:dyDescent="0.25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</row>
    <row r="455" spans="1:59" ht="15.75" customHeight="1" x14ac:dyDescent="0.25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</row>
    <row r="456" spans="1:59" ht="15.75" customHeight="1" x14ac:dyDescent="0.25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</row>
    <row r="457" spans="1:59" ht="15.75" customHeight="1" x14ac:dyDescent="0.25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</row>
    <row r="458" spans="1:59" ht="15.75" customHeight="1" x14ac:dyDescent="0.25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</row>
    <row r="459" spans="1:59" ht="15.75" customHeight="1" x14ac:dyDescent="0.25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</row>
    <row r="460" spans="1:59" ht="15.75" customHeight="1" x14ac:dyDescent="0.25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</row>
    <row r="461" spans="1:59" ht="15.75" customHeight="1" x14ac:dyDescent="0.25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</row>
    <row r="462" spans="1:59" ht="15.75" customHeight="1" x14ac:dyDescent="0.25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</row>
    <row r="463" spans="1:59" ht="15.75" customHeight="1" x14ac:dyDescent="0.25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</row>
    <row r="464" spans="1:59" ht="15.75" customHeight="1" x14ac:dyDescent="0.25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</row>
    <row r="465" spans="1:59" ht="15.75" customHeight="1" x14ac:dyDescent="0.25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</row>
    <row r="466" spans="1:59" ht="15.75" customHeight="1" x14ac:dyDescent="0.25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</row>
    <row r="467" spans="1:59" ht="15.75" customHeight="1" x14ac:dyDescent="0.25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</row>
    <row r="468" spans="1:59" ht="15.75" customHeight="1" x14ac:dyDescent="0.25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</row>
    <row r="469" spans="1:59" ht="15.75" customHeight="1" x14ac:dyDescent="0.25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</row>
    <row r="470" spans="1:59" ht="15.75" customHeight="1" x14ac:dyDescent="0.25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</row>
    <row r="471" spans="1:59" ht="15.75" customHeight="1" x14ac:dyDescent="0.25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</row>
    <row r="472" spans="1:59" ht="15.75" customHeight="1" x14ac:dyDescent="0.25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</row>
    <row r="473" spans="1:59" ht="15.75" customHeight="1" x14ac:dyDescent="0.25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</row>
    <row r="474" spans="1:59" ht="15.75" customHeight="1" x14ac:dyDescent="0.25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</row>
    <row r="475" spans="1:59" ht="15.75" customHeight="1" x14ac:dyDescent="0.25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</row>
    <row r="476" spans="1:59" ht="15.75" customHeight="1" x14ac:dyDescent="0.25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</row>
    <row r="477" spans="1:59" ht="15.75" customHeight="1" x14ac:dyDescent="0.25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</row>
    <row r="478" spans="1:59" ht="15.75" customHeight="1" x14ac:dyDescent="0.25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</row>
    <row r="479" spans="1:59" ht="15.75" customHeight="1" x14ac:dyDescent="0.25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</row>
    <row r="480" spans="1:59" ht="15.75" customHeight="1" x14ac:dyDescent="0.25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</row>
    <row r="481" spans="1:59" ht="15.75" customHeight="1" x14ac:dyDescent="0.25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</row>
    <row r="482" spans="1:59" ht="15.75" customHeight="1" x14ac:dyDescent="0.25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</row>
    <row r="483" spans="1:59" ht="15.75" customHeight="1" x14ac:dyDescent="0.25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</row>
    <row r="484" spans="1:59" ht="15.75" customHeight="1" x14ac:dyDescent="0.25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</row>
    <row r="485" spans="1:59" ht="15.75" customHeight="1" x14ac:dyDescent="0.25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</row>
    <row r="486" spans="1:59" ht="15.75" customHeight="1" x14ac:dyDescent="0.25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</row>
    <row r="487" spans="1:59" ht="15.75" customHeight="1" x14ac:dyDescent="0.25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</row>
    <row r="488" spans="1:59" ht="15.75" customHeight="1" x14ac:dyDescent="0.25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</row>
    <row r="489" spans="1:59" ht="15.75" customHeight="1" x14ac:dyDescent="0.25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</row>
    <row r="490" spans="1:59" ht="15.75" customHeight="1" x14ac:dyDescent="0.25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</row>
    <row r="491" spans="1:59" ht="15.75" customHeight="1" x14ac:dyDescent="0.25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</row>
    <row r="492" spans="1:59" ht="15.75" customHeight="1" x14ac:dyDescent="0.25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</row>
    <row r="493" spans="1:59" ht="15.75" customHeight="1" x14ac:dyDescent="0.25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</row>
    <row r="494" spans="1:59" ht="15.75" customHeight="1" x14ac:dyDescent="0.25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</row>
    <row r="495" spans="1:59" ht="15.75" customHeight="1" x14ac:dyDescent="0.25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</row>
    <row r="496" spans="1:59" ht="15.75" customHeight="1" x14ac:dyDescent="0.25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</row>
    <row r="497" spans="1:59" ht="15.75" customHeight="1" x14ac:dyDescent="0.25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</row>
    <row r="498" spans="1:59" ht="15.75" customHeight="1" x14ac:dyDescent="0.25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</row>
    <row r="499" spans="1:59" ht="15.75" customHeight="1" x14ac:dyDescent="0.25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</row>
    <row r="500" spans="1:59" ht="15.75" customHeight="1" x14ac:dyDescent="0.25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</row>
    <row r="501" spans="1:59" ht="15.75" customHeight="1" x14ac:dyDescent="0.25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</row>
    <row r="502" spans="1:59" ht="15.75" customHeight="1" x14ac:dyDescent="0.25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</row>
    <row r="503" spans="1:59" ht="15.75" customHeight="1" x14ac:dyDescent="0.25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</row>
    <row r="504" spans="1:59" ht="15.75" customHeight="1" x14ac:dyDescent="0.25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</row>
    <row r="505" spans="1:59" ht="15.75" customHeight="1" x14ac:dyDescent="0.25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</row>
    <row r="506" spans="1:59" ht="15.75" customHeight="1" x14ac:dyDescent="0.25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</row>
    <row r="507" spans="1:59" ht="15.75" customHeight="1" x14ac:dyDescent="0.25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</row>
    <row r="508" spans="1:59" ht="15.75" customHeight="1" x14ac:dyDescent="0.25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</row>
    <row r="509" spans="1:59" ht="15.75" customHeight="1" x14ac:dyDescent="0.25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</row>
    <row r="510" spans="1:59" ht="15.75" customHeight="1" x14ac:dyDescent="0.25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</row>
    <row r="511" spans="1:59" ht="15.75" customHeight="1" x14ac:dyDescent="0.25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</row>
    <row r="512" spans="1:59" ht="15.75" customHeight="1" x14ac:dyDescent="0.25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</row>
    <row r="513" spans="1:59" ht="15.75" customHeight="1" x14ac:dyDescent="0.25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</row>
    <row r="514" spans="1:59" ht="15.75" customHeight="1" x14ac:dyDescent="0.25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</row>
    <row r="515" spans="1:59" ht="15.75" customHeight="1" x14ac:dyDescent="0.25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</row>
    <row r="516" spans="1:59" ht="15.75" customHeight="1" x14ac:dyDescent="0.25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</row>
    <row r="517" spans="1:59" ht="15.75" customHeight="1" x14ac:dyDescent="0.25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</row>
    <row r="518" spans="1:59" ht="15.75" customHeight="1" x14ac:dyDescent="0.25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</row>
    <row r="519" spans="1:59" ht="15.75" customHeight="1" x14ac:dyDescent="0.25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</row>
    <row r="520" spans="1:59" ht="15.75" customHeight="1" x14ac:dyDescent="0.25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</row>
    <row r="521" spans="1:59" ht="15.75" customHeight="1" x14ac:dyDescent="0.25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</row>
    <row r="522" spans="1:59" ht="15.75" customHeight="1" x14ac:dyDescent="0.25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</row>
    <row r="523" spans="1:59" ht="15.75" customHeight="1" x14ac:dyDescent="0.25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</row>
    <row r="524" spans="1:59" ht="15.75" customHeight="1" x14ac:dyDescent="0.25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</row>
    <row r="525" spans="1:59" ht="15.75" customHeight="1" x14ac:dyDescent="0.25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</row>
    <row r="526" spans="1:59" ht="15.75" customHeight="1" x14ac:dyDescent="0.25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</row>
    <row r="527" spans="1:59" ht="15.75" customHeight="1" x14ac:dyDescent="0.25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</row>
    <row r="528" spans="1:59" ht="15.75" customHeight="1" x14ac:dyDescent="0.25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</row>
    <row r="529" spans="1:59" ht="15.75" customHeight="1" x14ac:dyDescent="0.25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</row>
    <row r="530" spans="1:59" ht="15.75" customHeight="1" x14ac:dyDescent="0.25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</row>
    <row r="531" spans="1:59" ht="15.75" customHeight="1" x14ac:dyDescent="0.25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</row>
    <row r="532" spans="1:59" ht="15.75" customHeight="1" x14ac:dyDescent="0.25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</row>
    <row r="533" spans="1:59" ht="15.75" customHeight="1" x14ac:dyDescent="0.25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</row>
    <row r="534" spans="1:59" ht="15.75" customHeight="1" x14ac:dyDescent="0.25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</row>
    <row r="535" spans="1:59" ht="15.75" customHeight="1" x14ac:dyDescent="0.25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</row>
    <row r="536" spans="1:59" ht="15.75" customHeight="1" x14ac:dyDescent="0.25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</row>
    <row r="537" spans="1:59" ht="15.75" customHeight="1" x14ac:dyDescent="0.25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</row>
    <row r="538" spans="1:59" ht="15.75" customHeight="1" x14ac:dyDescent="0.25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</row>
    <row r="539" spans="1:59" ht="15.75" customHeight="1" x14ac:dyDescent="0.25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</row>
    <row r="540" spans="1:59" ht="15.75" customHeight="1" x14ac:dyDescent="0.25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</row>
    <row r="541" spans="1:59" ht="15.75" customHeight="1" x14ac:dyDescent="0.25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</row>
    <row r="542" spans="1:59" ht="15.75" customHeight="1" x14ac:dyDescent="0.25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</row>
    <row r="543" spans="1:59" ht="15.75" customHeight="1" x14ac:dyDescent="0.25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</row>
    <row r="544" spans="1:59" ht="15.75" customHeight="1" x14ac:dyDescent="0.25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</row>
    <row r="545" spans="1:59" ht="15.75" customHeight="1" x14ac:dyDescent="0.25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</row>
    <row r="546" spans="1:59" ht="15.75" customHeight="1" x14ac:dyDescent="0.25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</row>
    <row r="547" spans="1:59" ht="15.75" customHeight="1" x14ac:dyDescent="0.25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</row>
    <row r="548" spans="1:59" ht="15.75" customHeight="1" x14ac:dyDescent="0.25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</row>
    <row r="549" spans="1:59" ht="15.75" customHeight="1" x14ac:dyDescent="0.25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</row>
    <row r="550" spans="1:59" ht="15.75" customHeight="1" x14ac:dyDescent="0.25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</row>
    <row r="551" spans="1:59" ht="15.75" customHeight="1" x14ac:dyDescent="0.25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</row>
    <row r="552" spans="1:59" ht="15.75" customHeight="1" x14ac:dyDescent="0.25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</row>
    <row r="553" spans="1:59" ht="15.75" customHeight="1" x14ac:dyDescent="0.25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</row>
    <row r="554" spans="1:59" ht="15.75" customHeight="1" x14ac:dyDescent="0.25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</row>
    <row r="555" spans="1:59" ht="15.75" customHeight="1" x14ac:dyDescent="0.25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</row>
    <row r="556" spans="1:59" ht="15.75" customHeight="1" x14ac:dyDescent="0.25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</row>
    <row r="557" spans="1:59" ht="15.75" customHeight="1" x14ac:dyDescent="0.25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</row>
    <row r="558" spans="1:59" ht="15.75" customHeight="1" x14ac:dyDescent="0.25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</row>
    <row r="559" spans="1:59" ht="15.75" customHeight="1" x14ac:dyDescent="0.25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</row>
    <row r="560" spans="1:59" ht="15.75" customHeight="1" x14ac:dyDescent="0.25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</row>
    <row r="561" spans="1:59" ht="15.75" customHeight="1" x14ac:dyDescent="0.25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</row>
    <row r="562" spans="1:59" ht="15.75" customHeight="1" x14ac:dyDescent="0.25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</row>
    <row r="563" spans="1:59" ht="15.75" customHeight="1" x14ac:dyDescent="0.25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</row>
    <row r="564" spans="1:59" ht="15.75" customHeight="1" x14ac:dyDescent="0.25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</row>
    <row r="565" spans="1:59" ht="15.75" customHeight="1" x14ac:dyDescent="0.25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</row>
    <row r="566" spans="1:59" ht="15.75" customHeight="1" x14ac:dyDescent="0.25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</row>
    <row r="567" spans="1:59" ht="15.75" customHeight="1" x14ac:dyDescent="0.25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</row>
    <row r="568" spans="1:59" ht="15.75" customHeight="1" x14ac:dyDescent="0.25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</row>
    <row r="569" spans="1:59" ht="15.75" customHeight="1" x14ac:dyDescent="0.25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</row>
    <row r="570" spans="1:59" ht="15.75" customHeight="1" x14ac:dyDescent="0.25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</row>
    <row r="571" spans="1:59" ht="15.75" customHeight="1" x14ac:dyDescent="0.25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</row>
    <row r="572" spans="1:59" ht="15.75" customHeight="1" x14ac:dyDescent="0.25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</row>
    <row r="573" spans="1:59" ht="15.75" customHeight="1" x14ac:dyDescent="0.25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</row>
    <row r="574" spans="1:59" ht="15.75" customHeight="1" x14ac:dyDescent="0.25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</row>
    <row r="575" spans="1:59" ht="15.75" customHeight="1" x14ac:dyDescent="0.25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</row>
    <row r="576" spans="1:59" ht="15.75" customHeight="1" x14ac:dyDescent="0.25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</row>
    <row r="577" spans="1:59" ht="15.75" customHeight="1" x14ac:dyDescent="0.25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</row>
    <row r="578" spans="1:59" ht="15.75" customHeight="1" x14ac:dyDescent="0.25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</row>
    <row r="579" spans="1:59" ht="15.75" customHeight="1" x14ac:dyDescent="0.25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</row>
    <row r="580" spans="1:59" ht="15.75" customHeight="1" x14ac:dyDescent="0.25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</row>
    <row r="581" spans="1:59" ht="15.75" customHeight="1" x14ac:dyDescent="0.25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</row>
    <row r="582" spans="1:59" ht="15.75" customHeight="1" x14ac:dyDescent="0.25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</row>
    <row r="583" spans="1:59" ht="15.75" customHeight="1" x14ac:dyDescent="0.25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</row>
    <row r="584" spans="1:59" ht="15.75" customHeight="1" x14ac:dyDescent="0.25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</row>
    <row r="585" spans="1:59" ht="15.75" customHeight="1" x14ac:dyDescent="0.25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</row>
    <row r="586" spans="1:59" ht="15.75" customHeight="1" x14ac:dyDescent="0.25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</row>
    <row r="587" spans="1:59" ht="15.75" customHeight="1" x14ac:dyDescent="0.25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</row>
    <row r="588" spans="1:59" ht="15.75" customHeight="1" x14ac:dyDescent="0.25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</row>
    <row r="589" spans="1:59" ht="15.75" customHeight="1" x14ac:dyDescent="0.25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</row>
    <row r="590" spans="1:59" ht="15.75" customHeight="1" x14ac:dyDescent="0.25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</row>
    <row r="591" spans="1:59" ht="15.75" customHeight="1" x14ac:dyDescent="0.25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</row>
    <row r="592" spans="1:59" ht="15.75" customHeight="1" x14ac:dyDescent="0.25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</row>
    <row r="593" spans="1:59" ht="15.75" customHeight="1" x14ac:dyDescent="0.25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</row>
    <row r="594" spans="1:59" ht="15.75" customHeight="1" x14ac:dyDescent="0.25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</row>
    <row r="595" spans="1:59" ht="15.75" customHeight="1" x14ac:dyDescent="0.25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</row>
    <row r="596" spans="1:59" ht="15.75" customHeight="1" x14ac:dyDescent="0.25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</row>
    <row r="597" spans="1:59" ht="15.75" customHeight="1" x14ac:dyDescent="0.25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</row>
    <row r="598" spans="1:59" ht="15.75" customHeight="1" x14ac:dyDescent="0.25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</row>
    <row r="599" spans="1:59" ht="15.75" customHeight="1" x14ac:dyDescent="0.25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</row>
    <row r="600" spans="1:59" ht="15.75" customHeight="1" x14ac:dyDescent="0.25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</row>
    <row r="601" spans="1:59" ht="15.75" customHeight="1" x14ac:dyDescent="0.25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</row>
    <row r="602" spans="1:59" ht="15.75" customHeight="1" x14ac:dyDescent="0.25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</row>
    <row r="603" spans="1:59" ht="15.75" customHeight="1" x14ac:dyDescent="0.25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</row>
    <row r="604" spans="1:59" ht="15.75" customHeight="1" x14ac:dyDescent="0.25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</row>
    <row r="605" spans="1:59" ht="15.75" customHeight="1" x14ac:dyDescent="0.25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</row>
    <row r="606" spans="1:59" ht="15.75" customHeight="1" x14ac:dyDescent="0.25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</row>
    <row r="607" spans="1:59" ht="15.75" customHeight="1" x14ac:dyDescent="0.25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</row>
    <row r="608" spans="1:59" ht="15.75" customHeight="1" x14ac:dyDescent="0.25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</row>
    <row r="609" spans="1:59" ht="15.75" customHeight="1" x14ac:dyDescent="0.25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</row>
    <row r="610" spans="1:59" ht="15.75" customHeight="1" x14ac:dyDescent="0.25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</row>
    <row r="611" spans="1:59" ht="15.75" customHeight="1" x14ac:dyDescent="0.25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</row>
    <row r="612" spans="1:59" ht="15.75" customHeight="1" x14ac:dyDescent="0.25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</row>
    <row r="613" spans="1:59" ht="15.75" customHeight="1" x14ac:dyDescent="0.25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</row>
    <row r="614" spans="1:59" ht="15.75" customHeight="1" x14ac:dyDescent="0.25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</row>
    <row r="615" spans="1:59" ht="15.75" customHeight="1" x14ac:dyDescent="0.25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</row>
    <row r="616" spans="1:59" ht="15.75" customHeight="1" x14ac:dyDescent="0.25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</row>
    <row r="617" spans="1:59" ht="15.75" customHeight="1" x14ac:dyDescent="0.25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</row>
    <row r="618" spans="1:59" ht="15.75" customHeight="1" x14ac:dyDescent="0.25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</row>
    <row r="619" spans="1:59" ht="15.75" customHeight="1" x14ac:dyDescent="0.25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</row>
    <row r="620" spans="1:59" ht="15.75" customHeight="1" x14ac:dyDescent="0.25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</row>
    <row r="621" spans="1:59" ht="15.75" customHeight="1" x14ac:dyDescent="0.25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</row>
    <row r="622" spans="1:59" ht="15.75" customHeight="1" x14ac:dyDescent="0.25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</row>
    <row r="623" spans="1:59" ht="15.75" customHeight="1" x14ac:dyDescent="0.25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</row>
    <row r="624" spans="1:59" ht="15.75" customHeight="1" x14ac:dyDescent="0.25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</row>
    <row r="625" spans="1:59" ht="15.75" customHeight="1" x14ac:dyDescent="0.25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</row>
    <row r="626" spans="1:59" ht="15.75" customHeight="1" x14ac:dyDescent="0.25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</row>
    <row r="627" spans="1:59" ht="15.75" customHeight="1" x14ac:dyDescent="0.25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</row>
    <row r="628" spans="1:59" ht="15.75" customHeight="1" x14ac:dyDescent="0.25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</row>
    <row r="629" spans="1:59" ht="15.75" customHeight="1" x14ac:dyDescent="0.25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</row>
    <row r="630" spans="1:59" ht="15.75" customHeight="1" x14ac:dyDescent="0.25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</row>
    <row r="631" spans="1:59" ht="15.75" customHeight="1" x14ac:dyDescent="0.25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</row>
    <row r="632" spans="1:59" ht="15.75" customHeight="1" x14ac:dyDescent="0.25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</row>
    <row r="633" spans="1:59" ht="15.75" customHeight="1" x14ac:dyDescent="0.25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</row>
    <row r="634" spans="1:59" ht="15.75" customHeight="1" x14ac:dyDescent="0.25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</row>
    <row r="635" spans="1:59" ht="15.75" customHeight="1" x14ac:dyDescent="0.25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</row>
    <row r="636" spans="1:59" ht="15.75" customHeight="1" x14ac:dyDescent="0.25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</row>
    <row r="637" spans="1:59" ht="15.75" customHeight="1" x14ac:dyDescent="0.25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</row>
    <row r="638" spans="1:59" ht="15.75" customHeight="1" x14ac:dyDescent="0.25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</row>
    <row r="639" spans="1:59" ht="15.75" customHeight="1" x14ac:dyDescent="0.25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</row>
    <row r="640" spans="1:59" ht="15.75" customHeight="1" x14ac:dyDescent="0.25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</row>
    <row r="641" spans="1:59" ht="15.75" customHeight="1" x14ac:dyDescent="0.25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</row>
    <row r="642" spans="1:59" ht="15.75" customHeight="1" x14ac:dyDescent="0.25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</row>
    <row r="643" spans="1:59" ht="15.75" customHeight="1" x14ac:dyDescent="0.25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</row>
    <row r="644" spans="1:59" ht="15.75" customHeight="1" x14ac:dyDescent="0.25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</row>
    <row r="645" spans="1:59" ht="15.75" customHeight="1" x14ac:dyDescent="0.25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</row>
    <row r="646" spans="1:59" ht="15.75" customHeight="1" x14ac:dyDescent="0.25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</row>
    <row r="647" spans="1:59" ht="15.75" customHeight="1" x14ac:dyDescent="0.25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</row>
    <row r="648" spans="1:59" ht="15.75" customHeight="1" x14ac:dyDescent="0.25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</row>
    <row r="649" spans="1:59" ht="15.75" customHeight="1" x14ac:dyDescent="0.25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</row>
    <row r="650" spans="1:59" ht="15.75" customHeight="1" x14ac:dyDescent="0.25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</row>
    <row r="651" spans="1:59" ht="15.75" customHeight="1" x14ac:dyDescent="0.25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</row>
    <row r="652" spans="1:59" ht="15.75" customHeight="1" x14ac:dyDescent="0.25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</row>
    <row r="653" spans="1:59" ht="15.75" customHeight="1" x14ac:dyDescent="0.25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</row>
    <row r="654" spans="1:59" ht="15.75" customHeight="1" x14ac:dyDescent="0.25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</row>
    <row r="655" spans="1:59" ht="15.75" customHeight="1" x14ac:dyDescent="0.25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</row>
    <row r="656" spans="1:59" ht="15.75" customHeight="1" x14ac:dyDescent="0.25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</row>
    <row r="657" spans="1:59" ht="15.75" customHeight="1" x14ac:dyDescent="0.25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</row>
    <row r="658" spans="1:59" ht="15.75" customHeight="1" x14ac:dyDescent="0.25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</row>
    <row r="659" spans="1:59" ht="15.75" customHeight="1" x14ac:dyDescent="0.25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</row>
    <row r="660" spans="1:59" ht="15.75" customHeight="1" x14ac:dyDescent="0.25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</row>
    <row r="661" spans="1:59" ht="15.75" customHeight="1" x14ac:dyDescent="0.25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</row>
    <row r="662" spans="1:59" ht="15.75" customHeight="1" x14ac:dyDescent="0.25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</row>
    <row r="663" spans="1:59" ht="15.75" customHeight="1" x14ac:dyDescent="0.25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</row>
    <row r="664" spans="1:59" ht="15.75" customHeight="1" x14ac:dyDescent="0.25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</row>
    <row r="665" spans="1:59" ht="15.75" customHeight="1" x14ac:dyDescent="0.25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</row>
    <row r="666" spans="1:59" ht="15.75" customHeight="1" x14ac:dyDescent="0.25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</row>
    <row r="667" spans="1:59" ht="15.75" customHeight="1" x14ac:dyDescent="0.25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</row>
    <row r="668" spans="1:59" ht="15.75" customHeight="1" x14ac:dyDescent="0.25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</row>
    <row r="669" spans="1:59" ht="15.75" customHeight="1" x14ac:dyDescent="0.25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</row>
    <row r="670" spans="1:59" ht="15.75" customHeight="1" x14ac:dyDescent="0.25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</row>
    <row r="671" spans="1:59" ht="15.75" customHeight="1" x14ac:dyDescent="0.25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</row>
    <row r="672" spans="1:59" ht="15.75" customHeight="1" x14ac:dyDescent="0.25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</row>
    <row r="673" spans="1:59" ht="15.75" customHeight="1" x14ac:dyDescent="0.25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</row>
    <row r="674" spans="1:59" ht="15.75" customHeight="1" x14ac:dyDescent="0.25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</row>
    <row r="675" spans="1:59" ht="15.75" customHeight="1" x14ac:dyDescent="0.25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</row>
    <row r="676" spans="1:59" ht="15.75" customHeight="1" x14ac:dyDescent="0.25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</row>
    <row r="677" spans="1:59" ht="15.75" customHeight="1" x14ac:dyDescent="0.25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</row>
    <row r="678" spans="1:59" ht="15.75" customHeight="1" x14ac:dyDescent="0.25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</row>
    <row r="679" spans="1:59" ht="15.75" customHeight="1" x14ac:dyDescent="0.25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</row>
    <row r="680" spans="1:59" ht="15.75" customHeight="1" x14ac:dyDescent="0.25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</row>
    <row r="681" spans="1:59" ht="15.75" customHeight="1" x14ac:dyDescent="0.25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</row>
    <row r="682" spans="1:59" ht="15.75" customHeight="1" x14ac:dyDescent="0.25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</row>
    <row r="683" spans="1:59" ht="15.75" customHeight="1" x14ac:dyDescent="0.25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</row>
    <row r="684" spans="1:59" ht="15.75" customHeight="1" x14ac:dyDescent="0.25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</row>
    <row r="685" spans="1:59" ht="15.75" customHeight="1" x14ac:dyDescent="0.25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</row>
    <row r="686" spans="1:59" ht="15.75" customHeight="1" x14ac:dyDescent="0.25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</row>
    <row r="687" spans="1:59" ht="15.75" customHeight="1" x14ac:dyDescent="0.25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</row>
    <row r="688" spans="1:59" ht="15.75" customHeight="1" x14ac:dyDescent="0.25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</row>
    <row r="689" spans="1:59" ht="15.75" customHeight="1" x14ac:dyDescent="0.25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</row>
    <row r="690" spans="1:59" ht="15.75" customHeight="1" x14ac:dyDescent="0.25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</row>
    <row r="691" spans="1:59" ht="15.75" customHeight="1" x14ac:dyDescent="0.25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</row>
    <row r="692" spans="1:59" ht="15.75" customHeight="1" x14ac:dyDescent="0.25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</row>
    <row r="693" spans="1:59" ht="15.75" customHeight="1" x14ac:dyDescent="0.25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</row>
    <row r="694" spans="1:59" ht="15.75" customHeight="1" x14ac:dyDescent="0.25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</row>
    <row r="695" spans="1:59" ht="15.75" customHeight="1" x14ac:dyDescent="0.25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</row>
    <row r="696" spans="1:59" ht="15.75" customHeight="1" x14ac:dyDescent="0.25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</row>
    <row r="697" spans="1:59" ht="15.75" customHeight="1" x14ac:dyDescent="0.25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</row>
    <row r="698" spans="1:59" ht="15.75" customHeight="1" x14ac:dyDescent="0.25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</row>
    <row r="699" spans="1:59" ht="15.75" customHeight="1" x14ac:dyDescent="0.25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</row>
    <row r="700" spans="1:59" ht="15.75" customHeight="1" x14ac:dyDescent="0.25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</row>
    <row r="701" spans="1:59" ht="15.75" customHeight="1" x14ac:dyDescent="0.25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</row>
    <row r="702" spans="1:59" ht="15.75" customHeight="1" x14ac:dyDescent="0.25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</row>
    <row r="703" spans="1:59" ht="15.75" customHeight="1" x14ac:dyDescent="0.25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</row>
    <row r="704" spans="1:59" ht="15.75" customHeight="1" x14ac:dyDescent="0.25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</row>
    <row r="705" spans="1:59" ht="15.75" customHeight="1" x14ac:dyDescent="0.25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</row>
    <row r="706" spans="1:59" ht="15.75" customHeight="1" x14ac:dyDescent="0.25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</row>
    <row r="707" spans="1:59" ht="15.75" customHeight="1" x14ac:dyDescent="0.25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</row>
    <row r="708" spans="1:59" ht="15.75" customHeight="1" x14ac:dyDescent="0.25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</row>
    <row r="709" spans="1:59" ht="15.75" customHeight="1" x14ac:dyDescent="0.25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</row>
    <row r="710" spans="1:59" ht="15.75" customHeight="1" x14ac:dyDescent="0.25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</row>
    <row r="711" spans="1:59" ht="15.75" customHeight="1" x14ac:dyDescent="0.25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</row>
    <row r="712" spans="1:59" ht="15.75" customHeight="1" x14ac:dyDescent="0.25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</row>
    <row r="713" spans="1:59" ht="15.75" customHeight="1" x14ac:dyDescent="0.25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</row>
    <row r="714" spans="1:59" ht="15.75" customHeight="1" x14ac:dyDescent="0.25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</row>
    <row r="715" spans="1:59" ht="15.75" customHeight="1" x14ac:dyDescent="0.25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</row>
    <row r="716" spans="1:59" ht="15.75" customHeight="1" x14ac:dyDescent="0.25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</row>
    <row r="717" spans="1:59" ht="15.75" customHeight="1" x14ac:dyDescent="0.25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</row>
    <row r="718" spans="1:59" ht="15.75" customHeight="1" x14ac:dyDescent="0.25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</row>
    <row r="719" spans="1:59" ht="15.75" customHeight="1" x14ac:dyDescent="0.25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</row>
    <row r="720" spans="1:59" ht="15.75" customHeight="1" x14ac:dyDescent="0.25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</row>
    <row r="721" spans="1:59" ht="15.75" customHeight="1" x14ac:dyDescent="0.25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</row>
    <row r="722" spans="1:59" ht="15.75" customHeight="1" x14ac:dyDescent="0.25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</row>
    <row r="723" spans="1:59" ht="15.75" customHeight="1" x14ac:dyDescent="0.25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</row>
    <row r="724" spans="1:59" ht="15.75" customHeight="1" x14ac:dyDescent="0.25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</row>
    <row r="725" spans="1:59" ht="15.75" customHeight="1" x14ac:dyDescent="0.25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</row>
    <row r="726" spans="1:59" ht="15.75" customHeight="1" x14ac:dyDescent="0.25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/>
      <c r="BE726" s="35"/>
      <c r="BF726" s="35"/>
      <c r="BG726" s="35"/>
    </row>
    <row r="727" spans="1:59" ht="15.75" customHeight="1" x14ac:dyDescent="0.25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</row>
    <row r="728" spans="1:59" ht="15.75" customHeight="1" x14ac:dyDescent="0.25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</row>
    <row r="729" spans="1:59" ht="15.75" customHeight="1" x14ac:dyDescent="0.25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</row>
    <row r="730" spans="1:59" ht="15.75" customHeight="1" x14ac:dyDescent="0.25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</row>
    <row r="731" spans="1:59" ht="15.75" customHeight="1" x14ac:dyDescent="0.25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</row>
    <row r="732" spans="1:59" ht="15.75" customHeight="1" x14ac:dyDescent="0.25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</row>
    <row r="733" spans="1:59" ht="15.75" customHeight="1" x14ac:dyDescent="0.25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</row>
    <row r="734" spans="1:59" ht="15.75" customHeight="1" x14ac:dyDescent="0.25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</row>
    <row r="735" spans="1:59" ht="15.75" customHeight="1" x14ac:dyDescent="0.25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</row>
    <row r="736" spans="1:59" ht="15.75" customHeight="1" x14ac:dyDescent="0.25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</row>
    <row r="737" spans="1:59" ht="15.75" customHeight="1" x14ac:dyDescent="0.25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</row>
    <row r="738" spans="1:59" ht="15.75" customHeight="1" x14ac:dyDescent="0.25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</row>
    <row r="739" spans="1:59" ht="15.75" customHeight="1" x14ac:dyDescent="0.25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</row>
    <row r="740" spans="1:59" ht="15.75" customHeight="1" x14ac:dyDescent="0.25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</row>
    <row r="741" spans="1:59" ht="15.75" customHeight="1" x14ac:dyDescent="0.25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</row>
    <row r="742" spans="1:59" ht="15.75" customHeight="1" x14ac:dyDescent="0.25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  <c r="BB742" s="35"/>
      <c r="BC742" s="35"/>
      <c r="BD742" s="35"/>
      <c r="BE742" s="35"/>
      <c r="BF742" s="35"/>
      <c r="BG742" s="35"/>
    </row>
    <row r="743" spans="1:59" ht="15.75" customHeight="1" x14ac:dyDescent="0.25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</row>
    <row r="744" spans="1:59" ht="15.75" customHeight="1" x14ac:dyDescent="0.25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</row>
    <row r="745" spans="1:59" ht="15.75" customHeight="1" x14ac:dyDescent="0.25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</row>
    <row r="746" spans="1:59" ht="15.75" customHeight="1" x14ac:dyDescent="0.25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</row>
    <row r="747" spans="1:59" ht="15.75" customHeight="1" x14ac:dyDescent="0.25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</row>
    <row r="748" spans="1:59" ht="15.75" customHeight="1" x14ac:dyDescent="0.25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</row>
    <row r="749" spans="1:59" ht="15.75" customHeight="1" x14ac:dyDescent="0.25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</row>
    <row r="750" spans="1:59" ht="15.75" customHeight="1" x14ac:dyDescent="0.25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</row>
    <row r="751" spans="1:59" ht="15.75" customHeight="1" x14ac:dyDescent="0.25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</row>
    <row r="752" spans="1:59" ht="15.75" customHeight="1" x14ac:dyDescent="0.25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</row>
    <row r="753" spans="1:59" ht="15.75" customHeight="1" x14ac:dyDescent="0.25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/>
      <c r="BE753" s="35"/>
      <c r="BF753" s="35"/>
      <c r="BG753" s="35"/>
    </row>
    <row r="754" spans="1:59" ht="15.75" customHeight="1" x14ac:dyDescent="0.25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</row>
    <row r="755" spans="1:59" ht="15.75" customHeight="1" x14ac:dyDescent="0.25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</row>
    <row r="756" spans="1:59" ht="15.75" customHeight="1" x14ac:dyDescent="0.25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</row>
    <row r="757" spans="1:59" ht="15.75" customHeight="1" x14ac:dyDescent="0.25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</row>
    <row r="758" spans="1:59" ht="15.75" customHeight="1" x14ac:dyDescent="0.25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/>
      <c r="BE758" s="35"/>
      <c r="BF758" s="35"/>
      <c r="BG758" s="35"/>
    </row>
    <row r="759" spans="1:59" ht="15.75" customHeight="1" x14ac:dyDescent="0.25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</row>
    <row r="760" spans="1:59" ht="15.75" customHeight="1" x14ac:dyDescent="0.25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</row>
    <row r="761" spans="1:59" ht="15.75" customHeight="1" x14ac:dyDescent="0.25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/>
      <c r="BE761" s="35"/>
      <c r="BF761" s="35"/>
      <c r="BG761" s="35"/>
    </row>
    <row r="762" spans="1:59" ht="15.75" customHeight="1" x14ac:dyDescent="0.25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</row>
    <row r="763" spans="1:59" ht="15.75" customHeight="1" x14ac:dyDescent="0.25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/>
      <c r="BE763" s="35"/>
      <c r="BF763" s="35"/>
      <c r="BG763" s="35"/>
    </row>
    <row r="764" spans="1:59" ht="15.75" customHeight="1" x14ac:dyDescent="0.25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</row>
    <row r="765" spans="1:59" ht="15.75" customHeight="1" x14ac:dyDescent="0.25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</row>
    <row r="766" spans="1:59" ht="15.75" customHeight="1" x14ac:dyDescent="0.25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</row>
    <row r="767" spans="1:59" ht="15.75" customHeight="1" x14ac:dyDescent="0.25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</row>
    <row r="768" spans="1:59" ht="15.75" customHeight="1" x14ac:dyDescent="0.25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</row>
    <row r="769" spans="1:59" ht="15.75" customHeight="1" x14ac:dyDescent="0.25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</row>
    <row r="770" spans="1:59" ht="15.75" customHeight="1" x14ac:dyDescent="0.25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</row>
    <row r="771" spans="1:59" ht="15.75" customHeight="1" x14ac:dyDescent="0.25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</row>
    <row r="772" spans="1:59" ht="15.75" customHeight="1" x14ac:dyDescent="0.25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</row>
    <row r="773" spans="1:59" ht="15.75" customHeight="1" x14ac:dyDescent="0.25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</row>
    <row r="774" spans="1:59" ht="15.75" customHeight="1" x14ac:dyDescent="0.25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</row>
    <row r="775" spans="1:59" ht="15.75" customHeight="1" x14ac:dyDescent="0.25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</row>
    <row r="776" spans="1:59" ht="15.75" customHeight="1" x14ac:dyDescent="0.25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</row>
    <row r="777" spans="1:59" ht="15.75" customHeight="1" x14ac:dyDescent="0.25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</row>
    <row r="778" spans="1:59" ht="15.75" customHeight="1" x14ac:dyDescent="0.25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</row>
    <row r="779" spans="1:59" ht="15.75" customHeight="1" x14ac:dyDescent="0.25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</row>
    <row r="780" spans="1:59" ht="15.75" customHeight="1" x14ac:dyDescent="0.25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</row>
    <row r="781" spans="1:59" ht="15.75" customHeight="1" x14ac:dyDescent="0.25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  <c r="BB781" s="35"/>
      <c r="BC781" s="35"/>
      <c r="BD781" s="35"/>
      <c r="BE781" s="35"/>
      <c r="BF781" s="35"/>
      <c r="BG781" s="35"/>
    </row>
    <row r="782" spans="1:59" ht="15.75" customHeight="1" x14ac:dyDescent="0.25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</row>
    <row r="783" spans="1:59" ht="15.75" customHeight="1" x14ac:dyDescent="0.25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</row>
    <row r="784" spans="1:59" ht="15.75" customHeight="1" x14ac:dyDescent="0.25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</row>
    <row r="785" spans="1:59" ht="15.75" customHeight="1" x14ac:dyDescent="0.25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</row>
    <row r="786" spans="1:59" ht="15.75" customHeight="1" x14ac:dyDescent="0.25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</row>
    <row r="787" spans="1:59" ht="15.75" customHeight="1" x14ac:dyDescent="0.25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</row>
    <row r="788" spans="1:59" ht="15.75" customHeight="1" x14ac:dyDescent="0.25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/>
      <c r="BF788" s="35"/>
      <c r="BG788" s="35"/>
    </row>
    <row r="789" spans="1:59" ht="15.75" customHeight="1" x14ac:dyDescent="0.25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</row>
    <row r="790" spans="1:59" ht="15.75" customHeight="1" x14ac:dyDescent="0.25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  <c r="BB790" s="35"/>
      <c r="BC790" s="35"/>
      <c r="BD790" s="35"/>
      <c r="BE790" s="35"/>
      <c r="BF790" s="35"/>
      <c r="BG790" s="35"/>
    </row>
    <row r="791" spans="1:59" ht="15.75" customHeight="1" x14ac:dyDescent="0.25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</row>
    <row r="792" spans="1:59" ht="15.75" customHeight="1" x14ac:dyDescent="0.25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</row>
    <row r="793" spans="1:59" ht="15.75" customHeight="1" x14ac:dyDescent="0.25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</row>
    <row r="794" spans="1:59" ht="15.75" customHeight="1" x14ac:dyDescent="0.25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</row>
    <row r="795" spans="1:59" ht="15.75" customHeight="1" x14ac:dyDescent="0.25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</row>
    <row r="796" spans="1:59" ht="15.75" customHeight="1" x14ac:dyDescent="0.25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</row>
    <row r="797" spans="1:59" ht="15.75" customHeight="1" x14ac:dyDescent="0.25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</row>
    <row r="798" spans="1:59" ht="15.75" customHeight="1" x14ac:dyDescent="0.25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</row>
    <row r="799" spans="1:59" ht="15.75" customHeight="1" x14ac:dyDescent="0.25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</row>
    <row r="800" spans="1:59" ht="15.75" customHeight="1" x14ac:dyDescent="0.25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</row>
    <row r="801" spans="1:59" ht="15.75" customHeight="1" x14ac:dyDescent="0.25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/>
      <c r="BE801" s="35"/>
      <c r="BF801" s="35"/>
      <c r="BG801" s="35"/>
    </row>
    <row r="802" spans="1:59" ht="15.75" customHeight="1" x14ac:dyDescent="0.25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</row>
    <row r="803" spans="1:59" ht="15.75" customHeight="1" x14ac:dyDescent="0.25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</row>
    <row r="804" spans="1:59" ht="15.75" customHeight="1" x14ac:dyDescent="0.25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/>
      <c r="BE804" s="35"/>
      <c r="BF804" s="35"/>
      <c r="BG804" s="35"/>
    </row>
    <row r="805" spans="1:59" ht="15.75" customHeight="1" x14ac:dyDescent="0.25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</row>
    <row r="806" spans="1:59" ht="15.75" customHeight="1" x14ac:dyDescent="0.25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</row>
    <row r="807" spans="1:59" ht="15.75" customHeight="1" x14ac:dyDescent="0.25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</row>
    <row r="808" spans="1:59" ht="15.75" customHeight="1" x14ac:dyDescent="0.25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</row>
    <row r="809" spans="1:59" ht="15.75" customHeight="1" x14ac:dyDescent="0.25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</row>
    <row r="810" spans="1:59" ht="15.75" customHeight="1" x14ac:dyDescent="0.25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</row>
    <row r="811" spans="1:59" ht="15.75" customHeight="1" x14ac:dyDescent="0.25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</row>
    <row r="812" spans="1:59" ht="15.75" customHeight="1" x14ac:dyDescent="0.25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/>
      <c r="BE812" s="35"/>
      <c r="BF812" s="35"/>
      <c r="BG812" s="35"/>
    </row>
    <row r="813" spans="1:59" ht="15.75" customHeight="1" x14ac:dyDescent="0.25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</row>
    <row r="814" spans="1:59" ht="15.75" customHeight="1" x14ac:dyDescent="0.25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</row>
    <row r="815" spans="1:59" ht="15.75" customHeight="1" x14ac:dyDescent="0.25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</row>
    <row r="816" spans="1:59" ht="15.75" customHeight="1" x14ac:dyDescent="0.25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</row>
    <row r="817" spans="1:59" ht="15.75" customHeight="1" x14ac:dyDescent="0.25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  <c r="BB817" s="35"/>
      <c r="BC817" s="35"/>
      <c r="BD817" s="35"/>
      <c r="BE817" s="35"/>
      <c r="BF817" s="35"/>
      <c r="BG817" s="35"/>
    </row>
    <row r="818" spans="1:59" ht="15.75" customHeight="1" x14ac:dyDescent="0.25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</row>
    <row r="819" spans="1:59" ht="15.75" customHeight="1" x14ac:dyDescent="0.25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</row>
    <row r="820" spans="1:59" ht="15.75" customHeight="1" x14ac:dyDescent="0.25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</row>
    <row r="821" spans="1:59" ht="15.75" customHeight="1" x14ac:dyDescent="0.25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</row>
    <row r="822" spans="1:59" ht="15.75" customHeight="1" x14ac:dyDescent="0.25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</row>
    <row r="823" spans="1:59" ht="15.75" customHeight="1" x14ac:dyDescent="0.25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</row>
    <row r="824" spans="1:59" ht="15.75" customHeight="1" x14ac:dyDescent="0.25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</row>
    <row r="825" spans="1:59" ht="15.75" customHeight="1" x14ac:dyDescent="0.25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</row>
    <row r="826" spans="1:59" ht="15.75" customHeight="1" x14ac:dyDescent="0.25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</row>
    <row r="827" spans="1:59" ht="15.75" customHeight="1" x14ac:dyDescent="0.25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</row>
    <row r="828" spans="1:59" ht="15.75" customHeight="1" x14ac:dyDescent="0.25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</row>
    <row r="829" spans="1:59" ht="15.75" customHeight="1" x14ac:dyDescent="0.25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</row>
    <row r="830" spans="1:59" ht="15.75" customHeight="1" x14ac:dyDescent="0.25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</row>
    <row r="831" spans="1:59" ht="15.75" customHeight="1" x14ac:dyDescent="0.25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</row>
    <row r="832" spans="1:59" ht="15.75" customHeight="1" x14ac:dyDescent="0.25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</row>
    <row r="833" spans="1:59" ht="15.75" customHeight="1" x14ac:dyDescent="0.25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</row>
    <row r="834" spans="1:59" ht="15.75" customHeight="1" x14ac:dyDescent="0.25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</row>
    <row r="835" spans="1:59" ht="15.75" customHeight="1" x14ac:dyDescent="0.25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</row>
    <row r="836" spans="1:59" ht="15.75" customHeight="1" x14ac:dyDescent="0.25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</row>
    <row r="837" spans="1:59" ht="15.75" customHeight="1" x14ac:dyDescent="0.25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</row>
    <row r="838" spans="1:59" ht="15.75" customHeight="1" x14ac:dyDescent="0.25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</row>
    <row r="839" spans="1:59" ht="15.75" customHeight="1" x14ac:dyDescent="0.25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</row>
    <row r="840" spans="1:59" ht="15.75" customHeight="1" x14ac:dyDescent="0.25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</row>
    <row r="841" spans="1:59" ht="15.75" customHeight="1" x14ac:dyDescent="0.25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</row>
    <row r="842" spans="1:59" ht="15.75" customHeight="1" x14ac:dyDescent="0.25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</row>
    <row r="843" spans="1:59" ht="15.75" customHeight="1" x14ac:dyDescent="0.25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</row>
    <row r="844" spans="1:59" ht="15.75" customHeight="1" x14ac:dyDescent="0.25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</row>
    <row r="845" spans="1:59" ht="15.75" customHeight="1" x14ac:dyDescent="0.25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</row>
    <row r="846" spans="1:59" ht="15.75" customHeight="1" x14ac:dyDescent="0.25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</row>
    <row r="847" spans="1:59" ht="15.75" customHeight="1" x14ac:dyDescent="0.25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</row>
    <row r="848" spans="1:59" ht="15.75" customHeight="1" x14ac:dyDescent="0.25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</row>
    <row r="849" spans="1:59" ht="15.75" customHeight="1" x14ac:dyDescent="0.25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</row>
    <row r="850" spans="1:59" ht="15.75" customHeight="1" x14ac:dyDescent="0.25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</row>
    <row r="851" spans="1:59" ht="15.75" customHeight="1" x14ac:dyDescent="0.25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/>
      <c r="BE851" s="35"/>
      <c r="BF851" s="35"/>
      <c r="BG851" s="35"/>
    </row>
    <row r="852" spans="1:59" ht="15.75" customHeight="1" x14ac:dyDescent="0.25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</row>
    <row r="853" spans="1:59" ht="15.75" customHeight="1" x14ac:dyDescent="0.25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</row>
    <row r="854" spans="1:59" ht="15.75" customHeight="1" x14ac:dyDescent="0.25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/>
      <c r="BE854" s="35"/>
      <c r="BF854" s="35"/>
      <c r="BG854" s="35"/>
    </row>
    <row r="855" spans="1:59" ht="15.75" customHeight="1" x14ac:dyDescent="0.25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</row>
    <row r="856" spans="1:59" ht="15.75" customHeight="1" x14ac:dyDescent="0.25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</row>
    <row r="857" spans="1:59" ht="15.75" customHeight="1" x14ac:dyDescent="0.25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</row>
    <row r="858" spans="1:59" ht="15.75" customHeight="1" x14ac:dyDescent="0.25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</row>
    <row r="859" spans="1:59" ht="15.75" customHeight="1" x14ac:dyDescent="0.25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</row>
    <row r="860" spans="1:59" ht="15.75" customHeight="1" x14ac:dyDescent="0.25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</row>
    <row r="861" spans="1:59" ht="15.75" customHeight="1" x14ac:dyDescent="0.25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</row>
    <row r="862" spans="1:59" ht="15.75" customHeight="1" x14ac:dyDescent="0.25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</row>
    <row r="863" spans="1:59" ht="15.75" customHeight="1" x14ac:dyDescent="0.25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</row>
    <row r="864" spans="1:59" ht="15.75" customHeight="1" x14ac:dyDescent="0.25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</row>
    <row r="865" spans="1:59" ht="15.75" customHeight="1" x14ac:dyDescent="0.25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</row>
    <row r="866" spans="1:59" ht="15.75" customHeight="1" x14ac:dyDescent="0.25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/>
      <c r="BF866" s="35"/>
      <c r="BG866" s="35"/>
    </row>
    <row r="867" spans="1:59" ht="15.75" customHeight="1" x14ac:dyDescent="0.25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</row>
    <row r="868" spans="1:59" ht="15.75" customHeight="1" x14ac:dyDescent="0.25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</row>
    <row r="869" spans="1:59" ht="15.75" customHeight="1" x14ac:dyDescent="0.25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</row>
    <row r="870" spans="1:59" ht="15.75" customHeight="1" x14ac:dyDescent="0.25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</row>
    <row r="871" spans="1:59" ht="15.75" customHeight="1" x14ac:dyDescent="0.25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</row>
    <row r="872" spans="1:59" ht="15.75" customHeight="1" x14ac:dyDescent="0.25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</row>
    <row r="873" spans="1:59" ht="15.75" customHeight="1" x14ac:dyDescent="0.25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</row>
    <row r="874" spans="1:59" ht="15.75" customHeight="1" x14ac:dyDescent="0.25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</row>
    <row r="875" spans="1:59" ht="15.75" customHeight="1" x14ac:dyDescent="0.25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</row>
    <row r="876" spans="1:59" ht="15.75" customHeight="1" x14ac:dyDescent="0.25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</row>
    <row r="877" spans="1:59" ht="15.75" customHeight="1" x14ac:dyDescent="0.25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</row>
    <row r="878" spans="1:59" ht="15.75" customHeight="1" x14ac:dyDescent="0.25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  <c r="BB878" s="35"/>
      <c r="BC878" s="35"/>
      <c r="BD878" s="35"/>
      <c r="BE878" s="35"/>
      <c r="BF878" s="35"/>
      <c r="BG878" s="35"/>
    </row>
    <row r="879" spans="1:59" ht="15.75" customHeight="1" x14ac:dyDescent="0.25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</row>
    <row r="880" spans="1:59" ht="15.75" customHeight="1" x14ac:dyDescent="0.25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</row>
    <row r="881" spans="1:59" ht="15.75" customHeight="1" x14ac:dyDescent="0.25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</row>
    <row r="882" spans="1:59" ht="15.75" customHeight="1" x14ac:dyDescent="0.25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/>
      <c r="BE882" s="35"/>
      <c r="BF882" s="35"/>
      <c r="BG882" s="35"/>
    </row>
    <row r="883" spans="1:59" ht="15.75" customHeight="1" x14ac:dyDescent="0.25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</row>
    <row r="884" spans="1:59" ht="15.75" customHeight="1" x14ac:dyDescent="0.25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</row>
    <row r="885" spans="1:59" ht="15.75" customHeight="1" x14ac:dyDescent="0.25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</row>
    <row r="886" spans="1:59" ht="15.75" customHeight="1" x14ac:dyDescent="0.25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</row>
    <row r="887" spans="1:59" ht="15.75" customHeight="1" x14ac:dyDescent="0.25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/>
      <c r="BE887" s="35"/>
      <c r="BF887" s="35"/>
      <c r="BG887" s="35"/>
    </row>
    <row r="888" spans="1:59" ht="15.75" customHeight="1" x14ac:dyDescent="0.25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</row>
    <row r="889" spans="1:59" ht="15.75" customHeight="1" x14ac:dyDescent="0.25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</row>
    <row r="890" spans="1:59" ht="15.75" customHeight="1" x14ac:dyDescent="0.25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/>
      <c r="BE890" s="35"/>
      <c r="BF890" s="35"/>
      <c r="BG890" s="35"/>
    </row>
    <row r="891" spans="1:59" ht="15.75" customHeight="1" x14ac:dyDescent="0.25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</row>
    <row r="892" spans="1:59" ht="15.75" customHeight="1" x14ac:dyDescent="0.25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</row>
    <row r="893" spans="1:59" ht="15.75" customHeight="1" x14ac:dyDescent="0.25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</row>
    <row r="894" spans="1:59" ht="15.75" customHeight="1" x14ac:dyDescent="0.25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</row>
    <row r="895" spans="1:59" ht="15.75" customHeight="1" x14ac:dyDescent="0.25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</row>
    <row r="896" spans="1:59" ht="15.75" customHeight="1" x14ac:dyDescent="0.25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</row>
    <row r="897" spans="1:59" ht="15.75" customHeight="1" x14ac:dyDescent="0.25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</row>
    <row r="898" spans="1:59" ht="15.75" customHeight="1" x14ac:dyDescent="0.25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</row>
    <row r="899" spans="1:59" ht="15.75" customHeight="1" x14ac:dyDescent="0.25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</row>
    <row r="900" spans="1:59" ht="15.75" customHeight="1" x14ac:dyDescent="0.25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</row>
    <row r="901" spans="1:59" ht="15.75" customHeight="1" x14ac:dyDescent="0.25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</row>
    <row r="902" spans="1:59" ht="15.75" customHeight="1" x14ac:dyDescent="0.25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</row>
    <row r="903" spans="1:59" ht="15.75" customHeight="1" x14ac:dyDescent="0.25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</row>
    <row r="904" spans="1:59" ht="15.75" customHeight="1" x14ac:dyDescent="0.25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</row>
    <row r="905" spans="1:59" ht="15.75" customHeight="1" x14ac:dyDescent="0.25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</row>
    <row r="906" spans="1:59" ht="15.75" customHeight="1" x14ac:dyDescent="0.25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</row>
    <row r="907" spans="1:59" ht="15.75" customHeight="1" x14ac:dyDescent="0.25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</row>
    <row r="908" spans="1:59" ht="15.75" customHeight="1" x14ac:dyDescent="0.25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</row>
    <row r="909" spans="1:59" ht="15.75" customHeight="1" x14ac:dyDescent="0.25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</row>
    <row r="910" spans="1:59" ht="15.75" customHeight="1" x14ac:dyDescent="0.25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/>
      <c r="BE910" s="35"/>
      <c r="BF910" s="35"/>
      <c r="BG910" s="35"/>
    </row>
    <row r="911" spans="1:59" ht="15.75" customHeight="1" x14ac:dyDescent="0.25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</row>
    <row r="912" spans="1:59" ht="15.75" customHeight="1" x14ac:dyDescent="0.25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</row>
    <row r="913" spans="1:59" ht="15.75" customHeight="1" x14ac:dyDescent="0.25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</row>
    <row r="914" spans="1:59" ht="15.75" customHeight="1" x14ac:dyDescent="0.25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</row>
    <row r="915" spans="1:59" ht="15.75" customHeight="1" x14ac:dyDescent="0.25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/>
      <c r="BE915" s="35"/>
      <c r="BF915" s="35"/>
      <c r="BG915" s="35"/>
    </row>
    <row r="916" spans="1:59" ht="15.75" customHeight="1" x14ac:dyDescent="0.25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</row>
    <row r="917" spans="1:59" ht="15.75" customHeight="1" x14ac:dyDescent="0.25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/>
      <c r="BF917" s="35"/>
      <c r="BG917" s="35"/>
    </row>
    <row r="918" spans="1:59" ht="15.75" customHeight="1" x14ac:dyDescent="0.25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</row>
    <row r="919" spans="1:59" ht="15.75" customHeight="1" x14ac:dyDescent="0.25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  <c r="BB919" s="35"/>
      <c r="BC919" s="35"/>
      <c r="BD919" s="35"/>
      <c r="BE919" s="35"/>
      <c r="BF919" s="35"/>
      <c r="BG919" s="35"/>
    </row>
    <row r="920" spans="1:59" ht="15.75" customHeight="1" x14ac:dyDescent="0.25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</row>
    <row r="921" spans="1:59" ht="15.75" customHeight="1" x14ac:dyDescent="0.25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</row>
    <row r="922" spans="1:59" ht="15.75" customHeight="1" x14ac:dyDescent="0.25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</row>
    <row r="923" spans="1:59" ht="15.75" customHeight="1" x14ac:dyDescent="0.25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</row>
    <row r="924" spans="1:59" ht="15.75" customHeight="1" x14ac:dyDescent="0.25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/>
      <c r="BE924" s="35"/>
      <c r="BF924" s="35"/>
      <c r="BG924" s="35"/>
    </row>
    <row r="925" spans="1:59" ht="15.75" customHeight="1" x14ac:dyDescent="0.25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</row>
    <row r="926" spans="1:59" ht="15.75" customHeight="1" x14ac:dyDescent="0.25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</row>
    <row r="927" spans="1:59" ht="15.75" customHeight="1" x14ac:dyDescent="0.25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</row>
    <row r="928" spans="1:59" ht="15.75" customHeight="1" x14ac:dyDescent="0.25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</row>
    <row r="929" spans="1:59" ht="15.75" customHeight="1" x14ac:dyDescent="0.25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</row>
    <row r="930" spans="1:59" ht="15.75" customHeight="1" x14ac:dyDescent="0.25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/>
      <c r="BE930" s="35"/>
      <c r="BF930" s="35"/>
      <c r="BG930" s="35"/>
    </row>
    <row r="931" spans="1:59" ht="15.75" customHeight="1" x14ac:dyDescent="0.25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</row>
    <row r="932" spans="1:59" ht="15.75" customHeight="1" x14ac:dyDescent="0.25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</row>
    <row r="933" spans="1:59" ht="15.75" customHeight="1" x14ac:dyDescent="0.25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/>
      <c r="BE933" s="35"/>
      <c r="BF933" s="35"/>
      <c r="BG933" s="35"/>
    </row>
    <row r="934" spans="1:59" ht="15.75" customHeight="1" x14ac:dyDescent="0.25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</row>
    <row r="935" spans="1:59" ht="15.75" customHeight="1" x14ac:dyDescent="0.25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</row>
    <row r="936" spans="1:59" ht="15.75" customHeight="1" x14ac:dyDescent="0.25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</row>
    <row r="937" spans="1:59" ht="15.75" customHeight="1" x14ac:dyDescent="0.25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</row>
    <row r="938" spans="1:59" ht="15.75" customHeight="1" x14ac:dyDescent="0.25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/>
      <c r="BE938" s="35"/>
      <c r="BF938" s="35"/>
      <c r="BG938" s="35"/>
    </row>
    <row r="939" spans="1:59" ht="15.75" customHeight="1" x14ac:dyDescent="0.25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</row>
    <row r="940" spans="1:59" ht="15.75" customHeight="1" x14ac:dyDescent="0.25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</row>
    <row r="941" spans="1:59" ht="15.75" customHeight="1" x14ac:dyDescent="0.25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</row>
    <row r="942" spans="1:59" ht="15.75" customHeight="1" x14ac:dyDescent="0.25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</row>
    <row r="943" spans="1:59" ht="15.75" customHeight="1" x14ac:dyDescent="0.25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</row>
    <row r="944" spans="1:59" ht="15.75" customHeight="1" x14ac:dyDescent="0.25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</row>
    <row r="945" spans="1:59" ht="15.75" customHeight="1" x14ac:dyDescent="0.25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</row>
    <row r="946" spans="1:59" ht="15.75" customHeight="1" x14ac:dyDescent="0.25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</row>
    <row r="947" spans="1:59" ht="15.75" customHeight="1" x14ac:dyDescent="0.25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</row>
    <row r="948" spans="1:59" ht="15.75" customHeight="1" x14ac:dyDescent="0.25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</row>
    <row r="949" spans="1:59" ht="15.75" customHeight="1" x14ac:dyDescent="0.25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</row>
    <row r="950" spans="1:59" ht="15.75" customHeight="1" x14ac:dyDescent="0.25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</row>
    <row r="951" spans="1:59" ht="15.75" customHeight="1" x14ac:dyDescent="0.25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</row>
    <row r="952" spans="1:59" ht="15.75" customHeight="1" x14ac:dyDescent="0.25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</row>
    <row r="953" spans="1:59" ht="15.75" customHeight="1" x14ac:dyDescent="0.25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</row>
    <row r="954" spans="1:59" ht="15.75" customHeight="1" x14ac:dyDescent="0.25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</row>
    <row r="955" spans="1:59" ht="15.75" customHeight="1" x14ac:dyDescent="0.25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</row>
    <row r="956" spans="1:59" ht="15.75" customHeight="1" x14ac:dyDescent="0.25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</row>
    <row r="957" spans="1:59" ht="15.75" customHeight="1" x14ac:dyDescent="0.25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</row>
    <row r="958" spans="1:59" ht="15.75" customHeight="1" x14ac:dyDescent="0.25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</row>
    <row r="959" spans="1:59" ht="15.75" customHeight="1" x14ac:dyDescent="0.25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</row>
    <row r="960" spans="1:59" ht="15.75" customHeight="1" x14ac:dyDescent="0.25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</row>
    <row r="961" spans="1:59" ht="15.75" customHeight="1" x14ac:dyDescent="0.25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</row>
    <row r="962" spans="1:59" ht="15.75" customHeight="1" x14ac:dyDescent="0.25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</row>
    <row r="963" spans="1:59" ht="15.75" customHeight="1" x14ac:dyDescent="0.25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</row>
    <row r="964" spans="1:59" ht="15.75" customHeight="1" x14ac:dyDescent="0.25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</row>
    <row r="965" spans="1:59" ht="15.75" customHeight="1" x14ac:dyDescent="0.25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</row>
    <row r="966" spans="1:59" ht="15.75" customHeight="1" x14ac:dyDescent="0.25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/>
      <c r="BE966" s="35"/>
      <c r="BF966" s="35"/>
      <c r="BG966" s="35"/>
    </row>
    <row r="967" spans="1:59" ht="15.75" customHeight="1" x14ac:dyDescent="0.25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</row>
    <row r="968" spans="1:59" ht="15.75" customHeight="1" x14ac:dyDescent="0.25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</row>
    <row r="969" spans="1:59" ht="15.75" customHeight="1" x14ac:dyDescent="0.25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</row>
    <row r="970" spans="1:59" ht="15.75" customHeight="1" x14ac:dyDescent="0.25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</row>
    <row r="971" spans="1:59" ht="15.75" customHeight="1" x14ac:dyDescent="0.25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</row>
    <row r="972" spans="1:59" ht="15.75" customHeight="1" x14ac:dyDescent="0.25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</row>
    <row r="973" spans="1:59" ht="15.75" customHeight="1" x14ac:dyDescent="0.25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</row>
    <row r="974" spans="1:59" ht="15.75" customHeight="1" x14ac:dyDescent="0.25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</row>
    <row r="975" spans="1:59" ht="15.75" customHeight="1" x14ac:dyDescent="0.25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</row>
    <row r="976" spans="1:59" ht="15.75" customHeight="1" x14ac:dyDescent="0.25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</row>
    <row r="977" spans="1:59" ht="15.75" customHeight="1" x14ac:dyDescent="0.25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</row>
    <row r="978" spans="1:59" ht="15.75" customHeight="1" x14ac:dyDescent="0.25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</row>
    <row r="979" spans="1:59" ht="15.75" customHeight="1" x14ac:dyDescent="0.25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  <c r="BB979" s="35"/>
      <c r="BC979" s="35"/>
      <c r="BD979" s="35"/>
      <c r="BE979" s="35"/>
      <c r="BF979" s="35"/>
      <c r="BG979" s="35"/>
    </row>
    <row r="980" spans="1:59" ht="15.75" customHeight="1" x14ac:dyDescent="0.25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  <c r="BB980" s="35"/>
      <c r="BC980" s="35"/>
      <c r="BD980" s="35"/>
      <c r="BE980" s="35"/>
      <c r="BF980" s="35"/>
      <c r="BG980" s="35"/>
    </row>
    <row r="981" spans="1:59" ht="15.75" customHeight="1" x14ac:dyDescent="0.25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  <c r="BB981" s="35"/>
      <c r="BC981" s="35"/>
      <c r="BD981" s="35"/>
      <c r="BE981" s="35"/>
      <c r="BF981" s="35"/>
      <c r="BG981" s="35"/>
    </row>
    <row r="982" spans="1:59" ht="15.75" customHeight="1" x14ac:dyDescent="0.25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  <c r="BB982" s="35"/>
      <c r="BC982" s="35"/>
      <c r="BD982" s="35"/>
      <c r="BE982" s="35"/>
      <c r="BF982" s="35"/>
      <c r="BG982" s="35"/>
    </row>
    <row r="983" spans="1:59" ht="15.75" customHeight="1" x14ac:dyDescent="0.25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  <c r="BB983" s="35"/>
      <c r="BC983" s="35"/>
      <c r="BD983" s="35"/>
      <c r="BE983" s="35"/>
      <c r="BF983" s="35"/>
      <c r="BG983" s="35"/>
    </row>
    <row r="984" spans="1:59" ht="15.75" customHeight="1" x14ac:dyDescent="0.25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35"/>
      <c r="BA984" s="35"/>
      <c r="BB984" s="35"/>
      <c r="BC984" s="35"/>
      <c r="BD984" s="35"/>
      <c r="BE984" s="35"/>
      <c r="BF984" s="35"/>
      <c r="BG984" s="35"/>
    </row>
    <row r="985" spans="1:59" ht="15.75" customHeight="1" x14ac:dyDescent="0.25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  <c r="BB985" s="35"/>
      <c r="BC985" s="35"/>
      <c r="BD985" s="35"/>
      <c r="BE985" s="35"/>
      <c r="BF985" s="35"/>
      <c r="BG985" s="35"/>
    </row>
    <row r="986" spans="1:59" ht="15.75" customHeight="1" x14ac:dyDescent="0.25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  <c r="BB986" s="35"/>
      <c r="BC986" s="35"/>
      <c r="BD986" s="35"/>
      <c r="BE986" s="35"/>
      <c r="BF986" s="35"/>
      <c r="BG986" s="35"/>
    </row>
    <row r="987" spans="1:59" ht="15.75" customHeight="1" x14ac:dyDescent="0.25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  <c r="BB987" s="35"/>
      <c r="BC987" s="35"/>
      <c r="BD987" s="35"/>
      <c r="BE987" s="35"/>
      <c r="BF987" s="35"/>
      <c r="BG987" s="35"/>
    </row>
    <row r="988" spans="1:59" ht="15.75" customHeight="1" x14ac:dyDescent="0.25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  <c r="BB988" s="35"/>
      <c r="BC988" s="35"/>
      <c r="BD988" s="35"/>
      <c r="BE988" s="35"/>
      <c r="BF988" s="35"/>
      <c r="BG988" s="35"/>
    </row>
    <row r="989" spans="1:59" ht="15.75" customHeight="1" x14ac:dyDescent="0.25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  <c r="BB989" s="35"/>
      <c r="BC989" s="35"/>
      <c r="BD989" s="35"/>
      <c r="BE989" s="35"/>
      <c r="BF989" s="35"/>
      <c r="BG989" s="35"/>
    </row>
    <row r="990" spans="1:59" ht="15.75" customHeight="1" x14ac:dyDescent="0.25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  <c r="BB990" s="35"/>
      <c r="BC990" s="35"/>
      <c r="BD990" s="35"/>
      <c r="BE990" s="35"/>
      <c r="BF990" s="35"/>
      <c r="BG990" s="35"/>
    </row>
    <row r="991" spans="1:59" ht="15.75" customHeight="1" x14ac:dyDescent="0.25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  <c r="BB991" s="35"/>
      <c r="BC991" s="35"/>
      <c r="BD991" s="35"/>
      <c r="BE991" s="35"/>
      <c r="BF991" s="35"/>
      <c r="BG991" s="35"/>
    </row>
    <row r="992" spans="1:59" ht="15.75" customHeight="1" x14ac:dyDescent="0.25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  <c r="BB992" s="35"/>
      <c r="BC992" s="35"/>
      <c r="BD992" s="35"/>
      <c r="BE992" s="35"/>
      <c r="BF992" s="35"/>
      <c r="BG992" s="35"/>
    </row>
    <row r="993" spans="1:59" ht="15.75" customHeight="1" x14ac:dyDescent="0.25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  <c r="BB993" s="35"/>
      <c r="BC993" s="35"/>
      <c r="BD993" s="35"/>
      <c r="BE993" s="35"/>
      <c r="BF993" s="35"/>
      <c r="BG993" s="35"/>
    </row>
    <row r="994" spans="1:59" ht="15.75" customHeight="1" x14ac:dyDescent="0.25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  <c r="BB994" s="35"/>
      <c r="BC994" s="35"/>
      <c r="BD994" s="35"/>
      <c r="BE994" s="35"/>
      <c r="BF994" s="35"/>
      <c r="BG994" s="35"/>
    </row>
    <row r="995" spans="1:59" ht="15.75" customHeight="1" x14ac:dyDescent="0.25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35"/>
      <c r="BA995" s="35"/>
      <c r="BB995" s="35"/>
      <c r="BC995" s="35"/>
      <c r="BD995" s="35"/>
      <c r="BE995" s="35"/>
      <c r="BF995" s="35"/>
      <c r="BG995" s="35"/>
    </row>
    <row r="996" spans="1:59" ht="15.75" customHeight="1" x14ac:dyDescent="0.25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  <c r="BB996" s="35"/>
      <c r="BC996" s="35"/>
      <c r="BD996" s="35"/>
      <c r="BE996" s="35"/>
      <c r="BF996" s="35"/>
      <c r="BG996" s="35"/>
    </row>
    <row r="997" spans="1:59" ht="15.75" customHeight="1" x14ac:dyDescent="0.25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  <c r="BB997" s="35"/>
      <c r="BC997" s="35"/>
      <c r="BD997" s="35"/>
      <c r="BE997" s="35"/>
      <c r="BF997" s="35"/>
      <c r="BG997" s="35"/>
    </row>
    <row r="998" spans="1:59" ht="15.75" customHeight="1" x14ac:dyDescent="0.25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  <c r="BB998" s="35"/>
      <c r="BC998" s="35"/>
      <c r="BD998" s="35"/>
      <c r="BE998" s="35"/>
      <c r="BF998" s="35"/>
      <c r="BG998" s="35"/>
    </row>
    <row r="999" spans="1:59" ht="15.75" customHeight="1" x14ac:dyDescent="0.25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  <c r="BB999" s="35"/>
      <c r="BC999" s="35"/>
      <c r="BD999" s="35"/>
      <c r="BE999" s="35"/>
      <c r="BF999" s="35"/>
      <c r="BG999" s="35"/>
    </row>
    <row r="1000" spans="1:59" ht="15.75" customHeight="1" x14ac:dyDescent="0.25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  <c r="BB1000" s="35"/>
      <c r="BC1000" s="35"/>
      <c r="BD1000" s="35"/>
      <c r="BE1000" s="35"/>
      <c r="BF1000" s="35"/>
      <c r="BG1000" s="35"/>
    </row>
  </sheetData>
  <mergeCells count="38">
    <mergeCell ref="W1:AD1"/>
    <mergeCell ref="AE1:AL1"/>
    <mergeCell ref="C3:Q3"/>
    <mergeCell ref="D5:F5"/>
    <mergeCell ref="L5:M5"/>
    <mergeCell ref="N5:O5"/>
    <mergeCell ref="P5:Q5"/>
    <mergeCell ref="I5:K5"/>
    <mergeCell ref="G7:I7"/>
    <mergeCell ref="K7:L7"/>
    <mergeCell ref="G8:I8"/>
    <mergeCell ref="K8:L8"/>
    <mergeCell ref="G9:I9"/>
    <mergeCell ref="G10:I10"/>
    <mergeCell ref="K9:L9"/>
    <mergeCell ref="K10:L10"/>
    <mergeCell ref="K11:L11"/>
    <mergeCell ref="C14:D14"/>
    <mergeCell ref="J15:K15"/>
    <mergeCell ref="J17:K17"/>
    <mergeCell ref="K25:L26"/>
    <mergeCell ref="F44:G44"/>
    <mergeCell ref="D46:E46"/>
    <mergeCell ref="D47:E47"/>
    <mergeCell ref="J46:K46"/>
    <mergeCell ref="L46:M46"/>
    <mergeCell ref="N46:O46"/>
    <mergeCell ref="J47:K47"/>
    <mergeCell ref="L47:M47"/>
    <mergeCell ref="N47:O47"/>
    <mergeCell ref="I49:L49"/>
    <mergeCell ref="G25:J26"/>
    <mergeCell ref="H44:I44"/>
    <mergeCell ref="J44:O44"/>
    <mergeCell ref="P44:Q44"/>
    <mergeCell ref="J45:K45"/>
    <mergeCell ref="L45:M45"/>
    <mergeCell ref="N45:O45"/>
  </mergeCells>
  <conditionalFormatting sqref="J15">
    <cfRule type="containsText" dxfId="7" priority="1" operator="containsText" text="Dentro do perfil">
      <formula>NOT(ISERROR(SEARCH(("Dentro do perfil"),(J15))))</formula>
    </cfRule>
  </conditionalFormatting>
  <conditionalFormatting sqref="J15">
    <cfRule type="containsText" dxfId="6" priority="2" operator="containsText" text="Fora do perfil">
      <formula>NOT(ISERROR(SEARCH(("Fora do perfil"),(J15))))</formula>
    </cfRule>
  </conditionalFormatting>
  <conditionalFormatting sqref="D46:D47">
    <cfRule type="containsText" dxfId="5" priority="3" operator="containsText" text="Dentro do perfil">
      <formula>NOT(ISERROR(SEARCH(("Dentro do perfil"),(D46))))</formula>
    </cfRule>
  </conditionalFormatting>
  <conditionalFormatting sqref="D46:D47">
    <cfRule type="containsText" dxfId="4" priority="4" operator="containsText" text="Fora do perfil">
      <formula>NOT(ISERROR(SEARCH(("Fora do perfil"),(D46))))</formula>
    </cfRule>
  </conditionalFormatting>
  <conditionalFormatting sqref="G25">
    <cfRule type="containsText" dxfId="3" priority="5" operator="containsText" text="Superavit">
      <formula>NOT(ISERROR(SEARCH(("Superavit"),(G25))))</formula>
    </cfRule>
  </conditionalFormatting>
  <conditionalFormatting sqref="G25">
    <cfRule type="containsText" dxfId="2" priority="6" operator="containsText" text="deficit">
      <formula>NOT(ISERROR(SEARCH(("deficit"),(G25))))</formula>
    </cfRule>
  </conditionalFormatting>
  <conditionalFormatting sqref="G25">
    <cfRule type="expression" dxfId="1" priority="7">
      <formula>$K$25&lt;0</formula>
    </cfRule>
  </conditionalFormatting>
  <conditionalFormatting sqref="G25">
    <cfRule type="expression" dxfId="0" priority="8">
      <formula>$K$25&gt;0</formula>
    </cfRule>
  </conditionalFormatting>
  <pageMargins left="0.511811024" right="0.511811024" top="0.78740157499999996" bottom="0.78740157499999996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92</vt:i4>
      </vt:variant>
    </vt:vector>
  </HeadingPairs>
  <TitlesOfParts>
    <vt:vector size="99" baseType="lpstr">
      <vt:lpstr>Introdução</vt:lpstr>
      <vt:lpstr>Resumo das informações</vt:lpstr>
      <vt:lpstr>Investimentos - Não Aposentado</vt:lpstr>
      <vt:lpstr>Investimentos - Aposentado</vt:lpstr>
      <vt:lpstr>Erro</vt:lpstr>
      <vt:lpstr>Proteção Familiar</vt:lpstr>
      <vt:lpstr>Investimentos - Projetos</vt:lpstr>
      <vt:lpstr>Capital_para_Aposentadoria</vt:lpstr>
      <vt:lpstr>Dados_aposentadoria</vt:lpstr>
      <vt:lpstr>dados_bem1</vt:lpstr>
      <vt:lpstr>dados_bem2</vt:lpstr>
      <vt:lpstr>dados_bem3</vt:lpstr>
      <vt:lpstr>dados_bem4</vt:lpstr>
      <vt:lpstr>dados_bem5</vt:lpstr>
      <vt:lpstr>dados_cdi</vt:lpstr>
      <vt:lpstr>Dados_despesaatual</vt:lpstr>
      <vt:lpstr>Dados_idade</vt:lpstr>
      <vt:lpstr>dados_inflação</vt:lpstr>
      <vt:lpstr>dados_jurorealaposentadoria</vt:lpstr>
      <vt:lpstr>Dados_montanteprojeto1</vt:lpstr>
      <vt:lpstr>Dados_montanteprojeto2</vt:lpstr>
      <vt:lpstr>Dados_montanteprojeto3</vt:lpstr>
      <vt:lpstr>Dados_Nome</vt:lpstr>
      <vt:lpstr>dados_objetivo</vt:lpstr>
      <vt:lpstr>Dados_patrimoniofinanceiro</vt:lpstr>
      <vt:lpstr>Dados_patrimonionaofinanceiro</vt:lpstr>
      <vt:lpstr>Dados_poupancamensal</vt:lpstr>
      <vt:lpstr>dados_prazoprojeto1</vt:lpstr>
      <vt:lpstr>dados_prazoprojeto2</vt:lpstr>
      <vt:lpstr>dados_prazoprojeto3</vt:lpstr>
      <vt:lpstr>Dados_Projeto1</vt:lpstr>
      <vt:lpstr>Dados_projeto2</vt:lpstr>
      <vt:lpstr>Dados_projeto3</vt:lpstr>
      <vt:lpstr>dados_receitaaposentadoria</vt:lpstr>
      <vt:lpstr>Dados_rendaaposentadoria</vt:lpstr>
      <vt:lpstr>dados_rentabilidade_aposentadoria</vt:lpstr>
      <vt:lpstr>Dados_vida</vt:lpstr>
      <vt:lpstr>'Proteção Familiar'!FV</vt:lpstr>
      <vt:lpstr>FV</vt:lpstr>
      <vt:lpstr>'Proteção Familiar'!FV_desejado</vt:lpstr>
      <vt:lpstr>FV_desejado</vt:lpstr>
      <vt:lpstr>'Proteção Familiar'!FV_minimo</vt:lpstr>
      <vt:lpstr>FV_minimo</vt:lpstr>
      <vt:lpstr>'Proteção Familiar'!FV_projetado</vt:lpstr>
      <vt:lpstr>FV_projetado</vt:lpstr>
      <vt:lpstr>I.R</vt:lpstr>
      <vt:lpstr>'Proteção Familiar'!i_atual</vt:lpstr>
      <vt:lpstr>i_atual</vt:lpstr>
      <vt:lpstr>i_re</vt:lpstr>
      <vt:lpstr>'Proteção Familiar'!i_real_atual</vt:lpstr>
      <vt:lpstr>i_real_atual</vt:lpstr>
      <vt:lpstr>'Proteção Familiar'!i_realaposentadoria</vt:lpstr>
      <vt:lpstr>i_realaposentadoria</vt:lpstr>
      <vt:lpstr>Idade</vt:lpstr>
      <vt:lpstr>Imóveis_Vendáveis</vt:lpstr>
      <vt:lpstr>'Proteção Familiar'!inflação</vt:lpstr>
      <vt:lpstr>inflação</vt:lpstr>
      <vt:lpstr>'Proteção Familiar'!n</vt:lpstr>
      <vt:lpstr>n</vt:lpstr>
      <vt:lpstr>'Proteção Familiar'!n_atual</vt:lpstr>
      <vt:lpstr>n_atual</vt:lpstr>
      <vt:lpstr>'Proteção Familiar'!n_vida</vt:lpstr>
      <vt:lpstr>n_vida</vt:lpstr>
      <vt:lpstr>nec_educação</vt:lpstr>
      <vt:lpstr>nec_padrão_de_vida</vt:lpstr>
      <vt:lpstr>nec_projetos</vt:lpstr>
      <vt:lpstr>perfil</vt:lpstr>
      <vt:lpstr>'Proteção Familiar'!PMT_atual</vt:lpstr>
      <vt:lpstr>PMT_atual</vt:lpstr>
      <vt:lpstr>'Proteção Familiar'!PMT_necessario</vt:lpstr>
      <vt:lpstr>PMT_necessario</vt:lpstr>
      <vt:lpstr>'Proteção Familiar'!PV</vt:lpstr>
      <vt:lpstr>PV</vt:lpstr>
      <vt:lpstr>'Proteção Familiar'!Renda_aposentadoria</vt:lpstr>
      <vt:lpstr>Renda_aposentadoria</vt:lpstr>
      <vt:lpstr>renda_extra_necessaria</vt:lpstr>
      <vt:lpstr>'Investimentos - Não Aposentado'!solver_adj</vt:lpstr>
      <vt:lpstr>'Proteção Familiar'!solver_adj</vt:lpstr>
      <vt:lpstr>'Investimentos - Não Aposentado'!solver_opt</vt:lpstr>
      <vt:lpstr>'Proteção Familiar'!solver_opt</vt:lpstr>
      <vt:lpstr>TIR</vt:lpstr>
      <vt:lpstr>TIR_2</vt:lpstr>
      <vt:lpstr>Total_Aposentadoria</vt:lpstr>
      <vt:lpstr>Total_Despesa_familiar_mensal</vt:lpstr>
      <vt:lpstr>Total_Educação</vt:lpstr>
      <vt:lpstr>Total_Financiamentos</vt:lpstr>
      <vt:lpstr>Total_Gastos_Anual</vt:lpstr>
      <vt:lpstr>Total_Idade</vt:lpstr>
      <vt:lpstr>Total_Idade_Aposentadoria</vt:lpstr>
      <vt:lpstr>Total_Imóveis_Vendáveis</vt:lpstr>
      <vt:lpstr>Total_Investimentos</vt:lpstr>
      <vt:lpstr>Total_Linha_Vida</vt:lpstr>
      <vt:lpstr>Total_Nec_Padrão_Vida</vt:lpstr>
      <vt:lpstr>Total_Necessidade_de_Proteção</vt:lpstr>
      <vt:lpstr>Total_Padrão_de_Vida</vt:lpstr>
      <vt:lpstr>Total_Patrimônio</vt:lpstr>
      <vt:lpstr>Total_Planej_Sucessão</vt:lpstr>
      <vt:lpstr>Total_Projeção_Receitas_Futuras</vt:lpstr>
      <vt:lpstr>Total_Projetos_F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Kolberg</dc:creator>
  <cp:lastModifiedBy>Admin</cp:lastModifiedBy>
  <dcterms:created xsi:type="dcterms:W3CDTF">2013-03-11T13:09:14Z</dcterms:created>
  <dcterms:modified xsi:type="dcterms:W3CDTF">2025-09-19T21:30:31Z</dcterms:modified>
</cp:coreProperties>
</file>