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álise Pedidos Embarqu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<sst xmlns="http://schemas.openxmlformats.org/spreadsheetml/2006/main" count="25" uniqueCount="25">
  <si>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Análise Pedidos Embarques</t>
  </si>
  <si>
    <t xml:space="preserve">Estab</t>
  </si>
  <si>
    <t xml:space="preserve">Unid. Negócio</t>
  </si>
  <si>
    <t xml:space="preserve">Embarque</t>
  </si>
  <si>
    <t xml:space="preserve">Dt Entr Ped</t>
  </si>
  <si>
    <t xml:space="preserve">Dt Embarque</t>
  </si>
  <si>
    <t xml:space="preserve">Dt Impresso</t>
  </si>
  <si>
    <t xml:space="preserve">Dt Checkout</t>
  </si>
  <si>
    <t xml:space="preserve">Dt Faturamento</t>
  </si>
  <si>
    <t xml:space="preserve">Nr Nota</t>
  </si>
  <si>
    <t xml:space="preserve">Nr Ped Cli</t>
  </si>
  <si>
    <t xml:space="preserve">Nome Cliente</t>
  </si>
  <si>
    <t xml:space="preserve">Desc Canal</t>
  </si>
  <si>
    <t xml:space="preserve">UF Cli</t>
  </si>
  <si>
    <t xml:space="preserve">Vl Sldo Ped</t>
  </si>
  <si>
    <t xml:space="preserve">Vl Alocado</t>
  </si>
  <si>
    <t xml:space="preserve">Vl Net</t>
  </si>
  <si>
    <t xml:space="preserve">Peso Br Bal</t>
  </si>
  <si>
    <t xml:space="preserve">Peso Br Cad</t>
  </si>
  <si>
    <t xml:space="preserve">Situação</t>
  </si>
  <si>
    <t xml:space="preserve">Rpresentante</t>
  </si>
  <si>
    <t xml:space="preserve">Origem</t>
  </si>
  <si>
    <t xml:space="preserve">e-Commerce</t>
  </si>
  <si>
    <t xml:space="preserve"> </t>
  </si>
  <si>
    <t xml:space="preserve">Nr. Registros: 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</si>
</sst>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$-416]#######000"/>
    <numFmt numFmtId="166" formatCode="[$-416]@"/>
    <numFmt numFmtId="167" formatCode="[$-416]0"/>
    <numFmt numFmtId="168" formatCode="[$-416]dd/mm/yyyy"/>
    <numFmt numFmtId="169" formatCode="[$-416]####000000"/>
    <numFmt numFmtId="170" formatCode="[$-416]#,###,###,##0.00"/>
    <numFmt numFmtId="171" formatCode="[$-416]00"/>
    <numFmt numFmtId="172" formatCode="[$-416]#####00000"/>
    <numFmt numFmtId="173" formatCode="[$-416]######0000"/>
    <numFmt numFmtId="174" formatCode="[$-416]0000000000"/>
    <numFmt numFmtId="175" formatCode="[$-416]###0000000"/>
    <numFmt numFmtId="176" formatCode="[$-416]##00000000"/>
    <numFmt numFmtId="177" formatCode="[$-416]########00"/>
    <numFmt numFmtId="178" formatCode="[$-416]#############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12.83"/>
    <col collapsed="false" customWidth="true" hidden="false" outlineLevel="0" max="3" min="3" style="0" width="17.13"/>
    <col collapsed="false" customWidth="true" hidden="false" outlineLevel="0" max="4" min="4" style="0" width="11.03"/>
    <col collapsed="false" customWidth="true" hidden="false" outlineLevel="0" max="5" min="5" style="0" width="12.13"/>
    <col collapsed="false" customWidth="true" hidden="false" outlineLevel="0" max="6" min="6" style="0" width="11.43"/>
    <col collapsed="false" customWidth="true" hidden="false" outlineLevel="0" max="8" min="8" style="0" width="14.08"/>
    <col collapsed="false" customWidth="true" hidden="false" outlineLevel="0" max="10" min="9" style="0" width="16.14"/>
    <col collapsed="false" customWidth="true" hidden="false" outlineLevel="0" max="11" min="11" style="0" width="19.36"/>
    <col collapsed="false" customWidth="true" hidden="false" outlineLevel="0" max="12" min="12" style="0" width="34.92"/>
    <col collapsed="false" customWidth="true" hidden="false" outlineLevel="0" max="13" min="13" style="0" width="6.57"/>
    <col collapsed="false" customWidth="true" hidden="false" outlineLevel="0" max="14" min="14" style="0" width="11.16"/>
    <col collapsed="false" customWidth="true" hidden="false" outlineLevel="0" max="15" min="15" style="0" width="10.19"/>
    <col collapsed="false" customWidth="true" hidden="false" outlineLevel="0" max="16" min="16" style="0" width="10.88"/>
    <col collapsed="false" customWidth="true" hidden="false" outlineLevel="0" max="17" min="17" style="0" width="11.3"/>
    <col collapsed="false" customWidth="true" hidden="false" outlineLevel="0" max="18" min="18" style="0" width="11.85"/>
    <col collapsed="false" customWidth="true" hidden="false" outlineLevel="0" max="19" min="19" style="0" width="11.43"/>
    <col collapsed="false" customWidth="true" hidden="false" outlineLevel="0" max="20" min="20" style="0" width="12.27"/>
    <col collapsed="false" customWidth="true" hidden="false" outlineLevel="0" max="21" min="21" style="0" width="7.41"/>
    <col collapsed="false" customWidth="true" hidden="false" outlineLevel="0" max="22" min="22" style="0" width="11.85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2.8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2" t="s">
        <v>19</v>
      </c>
      <c r="T2" s="2" t="s">
        <v>20</v>
      </c>
      <c r="U2" s="3" t="s">
        <v>21</v>
      </c>
      <c r="V2" s="2" t="s">
        <v>22</v>
      </c>
    </row>
    <row r="3" customFormat="false" ht="12.8" hidden="false" customHeight="false" outlineLevel="0" collapsed="false">
      <c r="A3" s="4" t="n">
        <v>206</v>
      </c>
      <c r="B3" s="5" t="str">
        <f aca="false">"PAPAIZ"</f>
        <v>PAPAIZ</v>
      </c>
      <c r="C3" s="6" t="n">
        <v>952967</v>
      </c>
      <c r="D3" s="7" t="n">
        <v>45400</v>
      </c>
      <c r="E3" s="7" t="n">
        <v>45737</v>
      </c>
      <c r="F3" s="7"/>
      <c r="G3" s="7"/>
      <c r="H3" s="7"/>
      <c r="I3" s="5" t="str">
        <f aca="false">""</f>
        <v/>
      </c>
      <c r="J3" s="8" t="n">
        <v>766313</v>
      </c>
      <c r="K3" s="5" t="str">
        <f aca="false">"AAB F. DIADE"</f>
        <v>AAB F. DIADE</v>
      </c>
      <c r="L3" s="5" t="str">
        <f aca="false">"INTERCOMPANY/BRZ"</f>
        <v>INTERCOMPANY/BRZ</v>
      </c>
      <c r="M3" s="5" t="str">
        <f aca="false">"SP"</f>
        <v>SP</v>
      </c>
      <c r="N3" s="9" t="n">
        <v>141</v>
      </c>
      <c r="O3" s="10" t="n">
        <v>326.69</v>
      </c>
      <c r="P3" s="10" t="n">
        <v>267.89</v>
      </c>
      <c r="Q3" s="10" t="n">
        <v>0</v>
      </c>
      <c r="R3" s="10" t="n">
        <v>1.79</v>
      </c>
      <c r="S3" s="5" t="str">
        <f aca="false">"Embarque"</f>
        <v>Embarque</v>
      </c>
      <c r="T3" s="5" t="str">
        <f aca="false">"Padrao"</f>
        <v>Padrao</v>
      </c>
      <c r="U3" s="11" t="n">
        <v>1</v>
      </c>
      <c r="V3" s="5" t="str">
        <f aca="false">""</f>
        <v/>
      </c>
    </row>
    <row r="4" customFormat="false" ht="12.8" hidden="false" customHeight="false" outlineLevel="0" collapsed="false">
      <c r="A4" s="4" t="n">
        <v>206</v>
      </c>
      <c r="B4" s="5" t="str">
        <f aca="false">"METALIKA"</f>
        <v>METALIKA</v>
      </c>
      <c r="C4" s="6" t="n">
        <v>931328</v>
      </c>
      <c r="D4" s="7" t="n">
        <v>45471</v>
      </c>
      <c r="E4" s="7" t="n">
        <v>45663</v>
      </c>
      <c r="F4" s="7"/>
      <c r="G4" s="7"/>
      <c r="H4" s="7"/>
      <c r="I4" s="5" t="str">
        <f aca="false">""</f>
        <v/>
      </c>
      <c r="J4" s="8" t="n">
        <v>844708</v>
      </c>
      <c r="K4" s="5" t="str">
        <f aca="false">"IBIA HOUSE S"</f>
        <v>IBIA HOUSE S</v>
      </c>
      <c r="L4" s="5" t="str">
        <f aca="false">"CONSTRUTORA"</f>
        <v>CONSTRUTORA</v>
      </c>
      <c r="M4" s="5" t="str">
        <f aca="false">"SP"</f>
        <v>SP</v>
      </c>
      <c r="N4" s="9" t="n">
        <v>6204</v>
      </c>
      <c r="O4" s="10" t="n">
        <v>43</v>
      </c>
      <c r="P4" s="10" t="n">
        <v>31.28</v>
      </c>
      <c r="Q4" s="10" t="n">
        <v>0</v>
      </c>
      <c r="R4" s="10" t="n">
        <v>0.06</v>
      </c>
      <c r="S4" s="5" t="str">
        <f aca="false">"Embarque"</f>
        <v>Embarque</v>
      </c>
      <c r="T4" s="5" t="str">
        <f aca="false">"FLAVIA GODOI"</f>
        <v>FLAVIA GODOI</v>
      </c>
      <c r="U4" s="11" t="n">
        <v>24</v>
      </c>
      <c r="V4" s="5" t="str">
        <f aca="false">""</f>
        <v/>
      </c>
    </row>
    <row r="5" customFormat="false" ht="12.8" hidden="false" customHeight="false" outlineLevel="0" collapsed="false">
      <c r="A5" s="4" t="n">
        <v>206</v>
      </c>
      <c r="B5" s="5" t="str">
        <f aca="false">"LA FONTE"</f>
        <v>LA FONTE</v>
      </c>
      <c r="C5" s="6" t="n">
        <v>947856</v>
      </c>
      <c r="D5" s="7" t="n">
        <v>45520</v>
      </c>
      <c r="E5" s="7" t="n">
        <v>45721</v>
      </c>
      <c r="F5" s="7"/>
      <c r="G5" s="7"/>
      <c r="H5" s="7"/>
      <c r="I5" s="5" t="str">
        <f aca="false">""</f>
        <v/>
      </c>
      <c r="J5" s="5" t="str">
        <f aca="false">"LPED864143"</f>
        <v>LPED864143</v>
      </c>
      <c r="K5" s="5" t="str">
        <f aca="false">"JOCELI"</f>
        <v>JOCELI</v>
      </c>
      <c r="L5" s="5" t="str">
        <f aca="false">"FERRAGISTA"</f>
        <v>FERRAGISTA</v>
      </c>
      <c r="M5" s="5" t="str">
        <f aca="false">"RS"</f>
        <v>RS</v>
      </c>
      <c r="N5" s="9" t="n">
        <v>283.62</v>
      </c>
      <c r="O5" s="10" t="n">
        <v>549.8</v>
      </c>
      <c r="P5" s="10" t="n">
        <v>483.82</v>
      </c>
      <c r="Q5" s="10" t="n">
        <v>0</v>
      </c>
      <c r="R5" s="10" t="n">
        <v>3.25</v>
      </c>
      <c r="S5" s="5" t="str">
        <f aca="false">"Embarque"</f>
        <v>Embarque</v>
      </c>
      <c r="T5" s="5" t="str">
        <f aca="false">"MAURICIO BRU"</f>
        <v>MAURICIO BRU</v>
      </c>
      <c r="U5" s="11" t="n">
        <v>24</v>
      </c>
      <c r="V5" s="5" t="str">
        <f aca="false">""</f>
        <v/>
      </c>
    </row>
    <row r="6" customFormat="false" ht="12.8" hidden="false" customHeight="false" outlineLevel="0" collapsed="false">
      <c r="A6" s="4" t="n">
        <v>206</v>
      </c>
      <c r="B6" s="5" t="str">
        <f aca="false">"SILVANA CDSP"</f>
        <v>SILVANA CDSP</v>
      </c>
      <c r="C6" s="6" t="n">
        <v>956119</v>
      </c>
      <c r="D6" s="7" t="n">
        <v>45523</v>
      </c>
      <c r="E6" s="7" t="n">
        <v>45749</v>
      </c>
      <c r="F6" s="7"/>
      <c r="G6" s="7"/>
      <c r="H6" s="7"/>
      <c r="I6" s="5" t="str">
        <f aca="false">""</f>
        <v/>
      </c>
      <c r="J6" s="8" t="n">
        <v>545411</v>
      </c>
      <c r="K6" s="5" t="str">
        <f aca="false">"NASCIMETO MA"</f>
        <v>NASCIMETO MA</v>
      </c>
      <c r="L6" s="5" t="str">
        <f aca="false">"MATERIAL DE CONSTRUCAO"</f>
        <v>MATERIAL DE CONSTRUCAO</v>
      </c>
      <c r="M6" s="5" t="str">
        <f aca="false">"SP"</f>
        <v>SP</v>
      </c>
      <c r="N6" s="9" t="n">
        <v>432.84</v>
      </c>
      <c r="O6" s="10" t="n">
        <v>3000.16</v>
      </c>
      <c r="P6" s="10" t="n">
        <v>1837.11</v>
      </c>
      <c r="Q6" s="10" t="n">
        <v>0</v>
      </c>
      <c r="R6" s="10" t="n">
        <v>35.09</v>
      </c>
      <c r="S6" s="5" t="str">
        <f aca="false">"Embarque"</f>
        <v>Embarque</v>
      </c>
      <c r="T6" s="5" t="str">
        <f aca="false">"IZABELA VI"</f>
        <v>IZABELA VI</v>
      </c>
      <c r="U6" s="11" t="n">
        <v>25</v>
      </c>
      <c r="V6" s="5" t="str">
        <f aca="false">""</f>
        <v/>
      </c>
    </row>
    <row r="7" customFormat="false" ht="12.8" hidden="false" customHeight="false" outlineLevel="0" collapsed="false">
      <c r="A7" s="4" t="n">
        <v>206</v>
      </c>
      <c r="B7" s="5" t="str">
        <f aca="false">"PAPAIZ"</f>
        <v>PAPAIZ</v>
      </c>
      <c r="C7" s="6" t="n">
        <v>954989</v>
      </c>
      <c r="D7" s="7" t="n">
        <v>45537</v>
      </c>
      <c r="E7" s="7" t="n">
        <v>45744</v>
      </c>
      <c r="F7" s="7"/>
      <c r="G7" s="7"/>
      <c r="H7" s="7"/>
      <c r="I7" s="5" t="str">
        <f aca="false">""</f>
        <v/>
      </c>
      <c r="J7" s="8" t="n">
        <v>800276</v>
      </c>
      <c r="K7" s="5" t="str">
        <f aca="false">"AAB F. DIADE"</f>
        <v>AAB F. DIADE</v>
      </c>
      <c r="L7" s="5" t="str">
        <f aca="false">"ATACADISTA"</f>
        <v>ATACADISTA</v>
      </c>
      <c r="M7" s="5" t="str">
        <f aca="false">"SP"</f>
        <v>SP</v>
      </c>
      <c r="N7" s="9" t="n">
        <v>0</v>
      </c>
      <c r="O7" s="10" t="n">
        <v>6543.6</v>
      </c>
      <c r="P7" s="10" t="n">
        <v>5365.75</v>
      </c>
      <c r="Q7" s="10" t="n">
        <v>0</v>
      </c>
      <c r="R7" s="10" t="n">
        <v>32.41</v>
      </c>
      <c r="S7" s="5" t="str">
        <f aca="false">"Embarque"</f>
        <v>Embarque</v>
      </c>
      <c r="T7" s="5" t="str">
        <f aca="false">"Padrao"</f>
        <v>Padrao</v>
      </c>
      <c r="U7" s="11" t="n">
        <v>1</v>
      </c>
      <c r="V7" s="5" t="str">
        <f aca="false">""</f>
        <v/>
      </c>
    </row>
    <row r="8" customFormat="false" ht="12.8" hidden="false" customHeight="false" outlineLevel="0" collapsed="false">
      <c r="A8" s="4" t="n">
        <v>206</v>
      </c>
      <c r="B8" s="5" t="str">
        <f aca="false">"PAPAIZ"</f>
        <v>PAPAIZ</v>
      </c>
      <c r="C8" s="6" t="n">
        <v>954990</v>
      </c>
      <c r="D8" s="7" t="n">
        <v>45548</v>
      </c>
      <c r="E8" s="7" t="n">
        <v>45744</v>
      </c>
      <c r="F8" s="7"/>
      <c r="G8" s="7"/>
      <c r="H8" s="7"/>
      <c r="I8" s="5" t="str">
        <f aca="false">""</f>
        <v/>
      </c>
      <c r="J8" s="5" t="str">
        <f aca="false">"TR060824"</f>
        <v>TR060824</v>
      </c>
      <c r="K8" s="5" t="str">
        <f aca="false">"AAB SILVANA"</f>
        <v>AAB SILVANA</v>
      </c>
      <c r="L8" s="5" t="str">
        <f aca="false">"INTERCOMPANY/BRZ"</f>
        <v>INTERCOMPANY/BRZ</v>
      </c>
      <c r="M8" s="5" t="str">
        <f aca="false">"PB"</f>
        <v>PB</v>
      </c>
      <c r="N8" s="9" t="n">
        <v>0</v>
      </c>
      <c r="O8" s="10" t="n">
        <v>25.96</v>
      </c>
      <c r="P8" s="10" t="n">
        <v>25.96</v>
      </c>
      <c r="Q8" s="10" t="n">
        <v>0</v>
      </c>
      <c r="R8" s="10" t="n">
        <v>0.34</v>
      </c>
      <c r="S8" s="5" t="str">
        <f aca="false">"Embarque"</f>
        <v>Embarque</v>
      </c>
      <c r="T8" s="5" t="str">
        <f aca="false">"INTEGRAÇÃO"</f>
        <v>INTEGRAÇÃO</v>
      </c>
      <c r="U8" s="11" t="n">
        <v>7</v>
      </c>
      <c r="V8" s="5" t="str">
        <f aca="false">""</f>
        <v/>
      </c>
    </row>
    <row r="9" customFormat="false" ht="12.8" hidden="false" customHeight="false" outlineLevel="0" collapsed="false">
      <c r="A9" s="4" t="n">
        <v>206</v>
      </c>
      <c r="B9" s="5" t="str">
        <f aca="false">"SILVANA CDSP"</f>
        <v>SILVANA CDSP</v>
      </c>
      <c r="C9" s="6" t="n">
        <v>956265</v>
      </c>
      <c r="D9" s="7" t="n">
        <v>45625</v>
      </c>
      <c r="E9" s="7" t="n">
        <v>45749</v>
      </c>
      <c r="F9" s="7"/>
      <c r="G9" s="7"/>
      <c r="H9" s="7"/>
      <c r="I9" s="5" t="str">
        <f aca="false">""</f>
        <v/>
      </c>
      <c r="J9" s="5" t="str">
        <f aca="false">"SILPED916064"</f>
        <v>SILPED916064</v>
      </c>
      <c r="K9" s="5" t="str">
        <f aca="false">"APLICATECH C"</f>
        <v>APLICATECH C</v>
      </c>
      <c r="L9" s="5" t="str">
        <f aca="false">"OEM"</f>
        <v>OEM</v>
      </c>
      <c r="M9" s="5" t="str">
        <f aca="false">"RS"</f>
        <v>RS</v>
      </c>
      <c r="N9" s="9" t="n">
        <v>0</v>
      </c>
      <c r="O9" s="10" t="n">
        <v>4952.22</v>
      </c>
      <c r="P9" s="10" t="n">
        <v>3602.74</v>
      </c>
      <c r="Q9" s="10" t="n">
        <v>0</v>
      </c>
      <c r="R9" s="10" t="n">
        <v>99.33</v>
      </c>
      <c r="S9" s="5" t="str">
        <f aca="false">"Embarque"</f>
        <v>Embarque</v>
      </c>
      <c r="T9" s="5" t="str">
        <f aca="false">"K&amp;S REPRESEN"</f>
        <v>K&amp;S REPRESEN</v>
      </c>
      <c r="U9" s="11" t="n">
        <v>24</v>
      </c>
      <c r="V9" s="5" t="str">
        <f aca="false">""</f>
        <v/>
      </c>
    </row>
    <row r="10" customFormat="false" ht="12.8" hidden="false" customHeight="false" outlineLevel="0" collapsed="false">
      <c r="A10" s="4" t="n">
        <v>206</v>
      </c>
      <c r="B10" s="5" t="str">
        <f aca="false">"PAPAIZ"</f>
        <v>PAPAIZ</v>
      </c>
      <c r="C10" s="6" t="n">
        <v>956648</v>
      </c>
      <c r="D10" s="7" t="n">
        <v>45630</v>
      </c>
      <c r="E10" s="7" t="n">
        <v>45750</v>
      </c>
      <c r="F10" s="7"/>
      <c r="G10" s="7"/>
      <c r="H10" s="7"/>
      <c r="I10" s="5" t="str">
        <f aca="false">""</f>
        <v/>
      </c>
      <c r="J10" s="5" t="str">
        <f aca="false">"SAC28137PZ"</f>
        <v>SAC28137PZ</v>
      </c>
      <c r="K10" s="5" t="str">
        <f aca="false">"CASA ELOY"</f>
        <v>CASA ELOY</v>
      </c>
      <c r="L10" s="5" t="str">
        <f aca="false">"FERRAGISTA"</f>
        <v>FERRAGISTA</v>
      </c>
      <c r="M10" s="5" t="str">
        <f aca="false">"BA"</f>
        <v>BA</v>
      </c>
      <c r="N10" s="9" t="n">
        <v>0</v>
      </c>
      <c r="O10" s="10" t="n">
        <v>57</v>
      </c>
      <c r="P10" s="10" t="n">
        <v>53.01</v>
      </c>
      <c r="Q10" s="10" t="n">
        <v>0</v>
      </c>
      <c r="R10" s="10" t="n">
        <v>0.95</v>
      </c>
      <c r="S10" s="5" t="str">
        <f aca="false">"Embarque"</f>
        <v>Embarque</v>
      </c>
      <c r="T10" s="5" t="str">
        <f aca="false">"FRANSWENDERS"</f>
        <v>FRANSWENDERS</v>
      </c>
      <c r="U10" s="11" t="n">
        <v>24</v>
      </c>
      <c r="V10" s="5" t="str">
        <f aca="false">""</f>
        <v/>
      </c>
    </row>
    <row r="11" customFormat="false" ht="12.8" hidden="false" customHeight="false" outlineLevel="0" collapsed="false">
      <c r="A11" s="4" t="n">
        <v>206</v>
      </c>
      <c r="B11" s="5" t="str">
        <f aca="false">"PAPAIZ"</f>
        <v>PAPAIZ</v>
      </c>
      <c r="C11" s="6" t="n">
        <v>952589</v>
      </c>
      <c r="D11" s="7" t="n">
        <v>45637</v>
      </c>
      <c r="E11" s="7" t="n">
        <v>45736</v>
      </c>
      <c r="F11" s="7"/>
      <c r="G11" s="7"/>
      <c r="H11" s="7"/>
      <c r="I11" s="5" t="str">
        <f aca="false">""</f>
        <v/>
      </c>
      <c r="J11" s="5" t="str">
        <f aca="false">"TR141024"</f>
        <v>TR141024</v>
      </c>
      <c r="K11" s="5" t="str">
        <f aca="false">"AAB RCD GA16"</f>
        <v>AAB RCD GA16</v>
      </c>
      <c r="L11" s="5" t="str">
        <f aca="false">"OEM"</f>
        <v>OEM</v>
      </c>
      <c r="M11" s="5" t="str">
        <f aca="false">"SC"</f>
        <v>SC</v>
      </c>
      <c r="N11" s="9" t="n">
        <v>1300.5</v>
      </c>
      <c r="O11" s="10" t="n">
        <v>339.08</v>
      </c>
      <c r="P11" s="10" t="n">
        <v>298.39</v>
      </c>
      <c r="Q11" s="10" t="n">
        <v>0</v>
      </c>
      <c r="R11" s="10" t="n">
        <v>2.53</v>
      </c>
      <c r="S11" s="5" t="str">
        <f aca="false">"Embarque"</f>
        <v>Embarque</v>
      </c>
      <c r="T11" s="5" t="str">
        <f aca="false">"INTEGRAÇÃO"</f>
        <v>INTEGRAÇÃO</v>
      </c>
      <c r="U11" s="11" t="n">
        <v>7</v>
      </c>
      <c r="V11" s="5" t="str">
        <f aca="false">""</f>
        <v/>
      </c>
    </row>
    <row r="12" customFormat="false" ht="12.8" hidden="false" customHeight="false" outlineLevel="0" collapsed="false">
      <c r="A12" s="4" t="n">
        <v>206</v>
      </c>
      <c r="B12" s="5" t="str">
        <f aca="false">"PAPAIZ"</f>
        <v>PAPAIZ</v>
      </c>
      <c r="C12" s="6" t="n">
        <v>956435</v>
      </c>
      <c r="D12" s="7" t="n">
        <v>45653</v>
      </c>
      <c r="E12" s="7" t="n">
        <v>45750</v>
      </c>
      <c r="F12" s="7"/>
      <c r="G12" s="7"/>
      <c r="H12" s="7"/>
      <c r="I12" s="5" t="str">
        <f aca="false">""</f>
        <v/>
      </c>
      <c r="J12" s="5" t="str">
        <f aca="false">"TR191124"</f>
        <v>TR191124</v>
      </c>
      <c r="K12" s="5" t="str">
        <f aca="false">"AAB RCD GA16"</f>
        <v>AAB RCD GA16</v>
      </c>
      <c r="L12" s="5" t="str">
        <f aca="false">"OEM"</f>
        <v>OEM</v>
      </c>
      <c r="M12" s="5" t="str">
        <f aca="false">"SC"</f>
        <v>SC</v>
      </c>
      <c r="N12" s="9" t="n">
        <v>1227.17</v>
      </c>
      <c r="O12" s="10" t="n">
        <v>116.27</v>
      </c>
      <c r="P12" s="10" t="n">
        <v>102.32</v>
      </c>
      <c r="Q12" s="10" t="n">
        <v>0</v>
      </c>
      <c r="R12" s="10" t="n">
        <v>4.46</v>
      </c>
      <c r="S12" s="5" t="str">
        <f aca="false">"Embarque"</f>
        <v>Embarque</v>
      </c>
      <c r="T12" s="5" t="str">
        <f aca="false">"INTEGRAÇÃO"</f>
        <v>INTEGRAÇÃO</v>
      </c>
      <c r="U12" s="11" t="n">
        <v>7</v>
      </c>
      <c r="V12" s="5" t="str">
        <f aca="false">""</f>
        <v/>
      </c>
    </row>
    <row r="13" customFormat="false" ht="12.8" hidden="false" customHeight="false" outlineLevel="0" collapsed="false">
      <c r="A13" s="4" t="n">
        <v>206</v>
      </c>
      <c r="B13" s="5" t="str">
        <f aca="false">"PAPAIZ"</f>
        <v>PAPAIZ</v>
      </c>
      <c r="C13" s="6" t="n">
        <v>956434</v>
      </c>
      <c r="D13" s="7" t="n">
        <v>45657</v>
      </c>
      <c r="E13" s="7" t="n">
        <v>45750</v>
      </c>
      <c r="F13" s="7"/>
      <c r="G13" s="7"/>
      <c r="H13" s="7"/>
      <c r="I13" s="5" t="str">
        <f aca="false">""</f>
        <v/>
      </c>
      <c r="J13" s="5" t="str">
        <f aca="false">"TR071124"</f>
        <v>TR071124</v>
      </c>
      <c r="K13" s="5" t="str">
        <f aca="false">"AAB RCD GA16"</f>
        <v>AAB RCD GA16</v>
      </c>
      <c r="L13" s="5" t="str">
        <f aca="false">"OEM"</f>
        <v>OEM</v>
      </c>
      <c r="M13" s="5" t="str">
        <f aca="false">"SC"</f>
        <v>SC</v>
      </c>
      <c r="N13" s="9" t="n">
        <v>1440.25</v>
      </c>
      <c r="O13" s="10" t="n">
        <v>2825.4</v>
      </c>
      <c r="P13" s="10" t="n">
        <v>2486.35</v>
      </c>
      <c r="Q13" s="10" t="n">
        <v>0</v>
      </c>
      <c r="R13" s="10" t="n">
        <v>41.57</v>
      </c>
      <c r="S13" s="5" t="str">
        <f aca="false">"Embarque"</f>
        <v>Embarque</v>
      </c>
      <c r="T13" s="5" t="str">
        <f aca="false">"INTEGRAÇÃO"</f>
        <v>INTEGRAÇÃO</v>
      </c>
      <c r="U13" s="11" t="n">
        <v>7</v>
      </c>
      <c r="V13" s="5" t="str">
        <f aca="false">""</f>
        <v/>
      </c>
    </row>
    <row r="14" customFormat="false" ht="12.8" hidden="false" customHeight="false" outlineLevel="0" collapsed="false">
      <c r="A14" s="4" t="n">
        <v>206</v>
      </c>
      <c r="B14" s="5" t="str">
        <f aca="false">"PAPAIZ"</f>
        <v>PAPAIZ</v>
      </c>
      <c r="C14" s="6" t="n">
        <v>956433</v>
      </c>
      <c r="D14" s="7" t="n">
        <v>45657</v>
      </c>
      <c r="E14" s="7" t="n">
        <v>45750</v>
      </c>
      <c r="F14" s="7"/>
      <c r="G14" s="7"/>
      <c r="H14" s="7"/>
      <c r="I14" s="5" t="str">
        <f aca="false">""</f>
        <v/>
      </c>
      <c r="J14" s="5" t="str">
        <f aca="false">"TR041124"</f>
        <v>TR041124</v>
      </c>
      <c r="K14" s="5" t="str">
        <f aca="false">"AAB RCD GA16"</f>
        <v>AAB RCD GA16</v>
      </c>
      <c r="L14" s="5" t="str">
        <f aca="false">"OEM"</f>
        <v>OEM</v>
      </c>
      <c r="M14" s="5" t="str">
        <f aca="false">"SC"</f>
        <v>SC</v>
      </c>
      <c r="N14" s="9" t="n">
        <v>16740.91</v>
      </c>
      <c r="O14" s="10" t="n">
        <v>404.22</v>
      </c>
      <c r="P14" s="10" t="n">
        <v>355.71</v>
      </c>
      <c r="Q14" s="10" t="n">
        <v>0</v>
      </c>
      <c r="R14" s="10" t="n">
        <v>5.47</v>
      </c>
      <c r="S14" s="5" t="str">
        <f aca="false">"Embarque"</f>
        <v>Embarque</v>
      </c>
      <c r="T14" s="5" t="str">
        <f aca="false">"INTEGRAÇÃO"</f>
        <v>INTEGRAÇÃO</v>
      </c>
      <c r="U14" s="11" t="n">
        <v>7</v>
      </c>
      <c r="V14" s="5" t="str">
        <f aca="false">""</f>
        <v/>
      </c>
    </row>
    <row r="15" customFormat="false" ht="12.8" hidden="false" customHeight="false" outlineLevel="0" collapsed="false">
      <c r="A15" s="4" t="n">
        <v>206</v>
      </c>
      <c r="B15" s="5" t="str">
        <f aca="false">"PAPAIZ"</f>
        <v>PAPAIZ</v>
      </c>
      <c r="C15" s="6" t="n">
        <v>956436</v>
      </c>
      <c r="D15" s="7" t="n">
        <v>45657</v>
      </c>
      <c r="E15" s="7" t="n">
        <v>45750</v>
      </c>
      <c r="F15" s="7"/>
      <c r="G15" s="7"/>
      <c r="H15" s="7"/>
      <c r="I15" s="5" t="str">
        <f aca="false">""</f>
        <v/>
      </c>
      <c r="J15" s="5" t="str">
        <f aca="false">"TR021224"</f>
        <v>TR021224</v>
      </c>
      <c r="K15" s="5" t="str">
        <f aca="false">"AAB RCD GA16"</f>
        <v>AAB RCD GA16</v>
      </c>
      <c r="L15" s="5" t="str">
        <f aca="false">"OEM"</f>
        <v>OEM</v>
      </c>
      <c r="M15" s="5" t="str">
        <f aca="false">"SC"</f>
        <v>SC</v>
      </c>
      <c r="N15" s="9" t="n">
        <v>9332.86</v>
      </c>
      <c r="O15" s="10" t="n">
        <v>1884.16</v>
      </c>
      <c r="P15" s="10" t="n">
        <v>1600.73</v>
      </c>
      <c r="Q15" s="10" t="n">
        <v>0</v>
      </c>
      <c r="R15" s="10" t="n">
        <v>26.95</v>
      </c>
      <c r="S15" s="5" t="str">
        <f aca="false">"Embarque"</f>
        <v>Embarque</v>
      </c>
      <c r="T15" s="5" t="str">
        <f aca="false">"INTEGRAÇÃO"</f>
        <v>INTEGRAÇÃO</v>
      </c>
      <c r="U15" s="11" t="n">
        <v>7</v>
      </c>
      <c r="V15" s="5" t="str">
        <f aca="false">""</f>
        <v/>
      </c>
    </row>
    <row r="16" customFormat="false" ht="12.8" hidden="false" customHeight="false" outlineLevel="0" collapsed="false">
      <c r="A16" s="4" t="n">
        <v>206</v>
      </c>
      <c r="B16" s="5" t="str">
        <f aca="false">"SILVANA CDSP"</f>
        <v>SILVANA CDSP</v>
      </c>
      <c r="C16" s="6" t="n">
        <v>947868</v>
      </c>
      <c r="D16" s="7" t="n">
        <v>45677</v>
      </c>
      <c r="E16" s="7" t="n">
        <v>45721</v>
      </c>
      <c r="F16" s="7"/>
      <c r="G16" s="7"/>
      <c r="H16" s="7"/>
      <c r="I16" s="5" t="str">
        <f aca="false">""</f>
        <v/>
      </c>
      <c r="J16" s="8" t="n">
        <v>913499</v>
      </c>
      <c r="K16" s="5" t="str">
        <f aca="false">"LEROY GOI"</f>
        <v>LEROY GOI</v>
      </c>
      <c r="L16" s="5" t="str">
        <f aca="false">"HOME CENTER"</f>
        <v>HOME CENTER</v>
      </c>
      <c r="M16" s="5" t="str">
        <f aca="false">"GO"</f>
        <v>GO</v>
      </c>
      <c r="N16" s="9" t="n">
        <v>19.62</v>
      </c>
      <c r="O16" s="10" t="n">
        <v>258.7</v>
      </c>
      <c r="P16" s="10" t="n">
        <v>240.59</v>
      </c>
      <c r="Q16" s="10" t="n">
        <v>0</v>
      </c>
      <c r="R16" s="10" t="n">
        <v>1.94</v>
      </c>
      <c r="S16" s="5" t="str">
        <f aca="false">"Embarque"</f>
        <v>Embarque</v>
      </c>
      <c r="T16" s="5" t="str">
        <f aca="false">"TIAGO SILVA"</f>
        <v>TIAGO SILVA</v>
      </c>
      <c r="U16" s="11" t="n">
        <v>1</v>
      </c>
      <c r="V16" s="5" t="str">
        <f aca="false">""</f>
        <v/>
      </c>
    </row>
    <row r="17" customFormat="false" ht="12.8" hidden="false" customHeight="false" outlineLevel="0" collapsed="false">
      <c r="A17" s="4" t="n">
        <v>206</v>
      </c>
      <c r="B17" s="5" t="str">
        <f aca="false">"SILVANA CDSP"</f>
        <v>SILVANA CDSP</v>
      </c>
      <c r="C17" s="6" t="n">
        <v>947865</v>
      </c>
      <c r="D17" s="7" t="n">
        <v>45682</v>
      </c>
      <c r="E17" s="7" t="n">
        <v>45721</v>
      </c>
      <c r="F17" s="7"/>
      <c r="G17" s="7"/>
      <c r="H17" s="7"/>
      <c r="I17" s="5" t="str">
        <f aca="false">""</f>
        <v/>
      </c>
      <c r="J17" s="8" t="n">
        <v>916809</v>
      </c>
      <c r="K17" s="5" t="str">
        <f aca="false">"LEROY BH-N"</f>
        <v>LEROY BH-N</v>
      </c>
      <c r="L17" s="5" t="str">
        <f aca="false">"HOME CENTER"</f>
        <v>HOME CENTER</v>
      </c>
      <c r="M17" s="5" t="str">
        <f aca="false">"MG"</f>
        <v>MG</v>
      </c>
      <c r="N17" s="9" t="n">
        <v>19.62</v>
      </c>
      <c r="O17" s="10" t="n">
        <v>306.75</v>
      </c>
      <c r="P17" s="10" t="n">
        <v>267.48</v>
      </c>
      <c r="Q17" s="10" t="n">
        <v>0</v>
      </c>
      <c r="R17" s="10" t="n">
        <v>1.94</v>
      </c>
      <c r="S17" s="5" t="str">
        <f aca="false">"Embarque"</f>
        <v>Embarque</v>
      </c>
      <c r="T17" s="5" t="str">
        <f aca="false">"TIAGO SILVA"</f>
        <v>TIAGO SILVA</v>
      </c>
      <c r="U17" s="11" t="n">
        <v>1</v>
      </c>
      <c r="V17" s="5" t="str">
        <f aca="false">""</f>
        <v/>
      </c>
    </row>
    <row r="18" customFormat="false" ht="12.8" hidden="false" customHeight="false" outlineLevel="0" collapsed="false">
      <c r="A18" s="4" t="n">
        <v>206</v>
      </c>
      <c r="B18" s="5" t="str">
        <f aca="false">"SILVANA CDSP"</f>
        <v>SILVANA CDSP</v>
      </c>
      <c r="C18" s="6" t="n">
        <v>947867</v>
      </c>
      <c r="D18" s="7" t="n">
        <v>45682</v>
      </c>
      <c r="E18" s="7" t="n">
        <v>45721</v>
      </c>
      <c r="F18" s="7"/>
      <c r="G18" s="7"/>
      <c r="H18" s="7"/>
      <c r="I18" s="5" t="str">
        <f aca="false">""</f>
        <v/>
      </c>
      <c r="J18" s="8" t="n">
        <v>916810</v>
      </c>
      <c r="K18" s="5" t="str">
        <f aca="false">"LEROY FORTAL"</f>
        <v>LEROY FORTAL</v>
      </c>
      <c r="L18" s="5" t="str">
        <f aca="false">"HOME CENTER"</f>
        <v>HOME CENTER</v>
      </c>
      <c r="M18" s="5" t="str">
        <f aca="false">"CE"</f>
        <v>CE</v>
      </c>
      <c r="N18" s="9" t="n">
        <v>19.62</v>
      </c>
      <c r="O18" s="10" t="n">
        <v>306.75</v>
      </c>
      <c r="P18" s="10" t="n">
        <v>282.67</v>
      </c>
      <c r="Q18" s="10" t="n">
        <v>0</v>
      </c>
      <c r="R18" s="10" t="n">
        <v>1.94</v>
      </c>
      <c r="S18" s="5" t="str">
        <f aca="false">"Embarque"</f>
        <v>Embarque</v>
      </c>
      <c r="T18" s="5" t="str">
        <f aca="false">"TIAGO SILVA"</f>
        <v>TIAGO SILVA</v>
      </c>
      <c r="U18" s="11" t="n">
        <v>1</v>
      </c>
      <c r="V18" s="5" t="str">
        <f aca="false">""</f>
        <v/>
      </c>
    </row>
    <row r="19" customFormat="false" ht="12.8" hidden="false" customHeight="false" outlineLevel="0" collapsed="false">
      <c r="A19" s="4" t="n">
        <v>206</v>
      </c>
      <c r="B19" s="5" t="str">
        <f aca="false">"SILVANA CDSP"</f>
        <v>SILVANA CDSP</v>
      </c>
      <c r="C19" s="6" t="n">
        <v>947866</v>
      </c>
      <c r="D19" s="7" t="n">
        <v>45682</v>
      </c>
      <c r="E19" s="7" t="n">
        <v>45721</v>
      </c>
      <c r="F19" s="7"/>
      <c r="G19" s="7"/>
      <c r="H19" s="7"/>
      <c r="I19" s="5" t="str">
        <f aca="false">""</f>
        <v/>
      </c>
      <c r="J19" s="8" t="n">
        <v>916824</v>
      </c>
      <c r="K19" s="5" t="str">
        <f aca="false">"LEROY ES-RS"</f>
        <v>LEROY ES-RS</v>
      </c>
      <c r="L19" s="5" t="str">
        <f aca="false">"HOME CENTER"</f>
        <v>HOME CENTER</v>
      </c>
      <c r="M19" s="5" t="str">
        <f aca="false">"RS"</f>
        <v>RS</v>
      </c>
      <c r="N19" s="9" t="n">
        <v>19.62</v>
      </c>
      <c r="O19" s="10" t="n">
        <v>306.75</v>
      </c>
      <c r="P19" s="10" t="n">
        <v>267.48</v>
      </c>
      <c r="Q19" s="10" t="n">
        <v>0</v>
      </c>
      <c r="R19" s="10" t="n">
        <v>1.94</v>
      </c>
      <c r="S19" s="5" t="str">
        <f aca="false">"Embarque"</f>
        <v>Embarque</v>
      </c>
      <c r="T19" s="5" t="str">
        <f aca="false">"THAIS TORALE"</f>
        <v>THAIS TORALE</v>
      </c>
      <c r="U19" s="11" t="n">
        <v>1</v>
      </c>
      <c r="V19" s="5" t="str">
        <f aca="false">""</f>
        <v/>
      </c>
    </row>
    <row r="20" customFormat="false" ht="12.8" hidden="false" customHeight="false" outlineLevel="0" collapsed="false">
      <c r="A20" s="4" t="n">
        <v>206</v>
      </c>
      <c r="B20" s="5" t="str">
        <f aca="false">"SILVANA CDSP"</f>
        <v>SILVANA CDSP</v>
      </c>
      <c r="C20" s="6" t="n">
        <v>947869</v>
      </c>
      <c r="D20" s="7" t="n">
        <v>45682</v>
      </c>
      <c r="E20" s="7" t="n">
        <v>45721</v>
      </c>
      <c r="F20" s="7"/>
      <c r="G20" s="7"/>
      <c r="H20" s="7"/>
      <c r="I20" s="5" t="str">
        <f aca="false">""</f>
        <v/>
      </c>
      <c r="J20" s="8" t="n">
        <v>916829</v>
      </c>
      <c r="K20" s="5" t="str">
        <f aca="false">"LEROY GOI"</f>
        <v>LEROY GOI</v>
      </c>
      <c r="L20" s="5" t="str">
        <f aca="false">"HOME CENTER"</f>
        <v>HOME CENTER</v>
      </c>
      <c r="M20" s="5" t="str">
        <f aca="false">"GO"</f>
        <v>GO</v>
      </c>
      <c r="N20" s="9" t="n">
        <v>19.62</v>
      </c>
      <c r="O20" s="10" t="n">
        <v>306.75</v>
      </c>
      <c r="P20" s="10" t="n">
        <v>282.67</v>
      </c>
      <c r="Q20" s="10" t="n">
        <v>0</v>
      </c>
      <c r="R20" s="10" t="n">
        <v>1.94</v>
      </c>
      <c r="S20" s="5" t="str">
        <f aca="false">"Embarque"</f>
        <v>Embarque</v>
      </c>
      <c r="T20" s="5" t="str">
        <f aca="false">"TIAGO SILVA"</f>
        <v>TIAGO SILVA</v>
      </c>
      <c r="U20" s="11" t="n">
        <v>1</v>
      </c>
      <c r="V20" s="5" t="str">
        <f aca="false">""</f>
        <v/>
      </c>
    </row>
    <row r="21" customFormat="false" ht="12.8" hidden="false" customHeight="false" outlineLevel="0" collapsed="false">
      <c r="A21" s="4" t="n">
        <v>206</v>
      </c>
      <c r="B21" s="5" t="str">
        <f aca="false">"SILVANA CDSP"</f>
        <v>SILVANA CDSP</v>
      </c>
      <c r="C21" s="6" t="n">
        <v>947870</v>
      </c>
      <c r="D21" s="7" t="n">
        <v>45682</v>
      </c>
      <c r="E21" s="7" t="n">
        <v>45721</v>
      </c>
      <c r="F21" s="7"/>
      <c r="G21" s="7"/>
      <c r="H21" s="7"/>
      <c r="I21" s="5" t="str">
        <f aca="false">""</f>
        <v/>
      </c>
      <c r="J21" s="8" t="n">
        <v>916825</v>
      </c>
      <c r="K21" s="5" t="str">
        <f aca="false">"LEROY GUARUL"</f>
        <v>LEROY GUARUL</v>
      </c>
      <c r="L21" s="5" t="str">
        <f aca="false">"HOME CENTER"</f>
        <v>HOME CENTER</v>
      </c>
      <c r="M21" s="5" t="str">
        <f aca="false">"SP"</f>
        <v>SP</v>
      </c>
      <c r="N21" s="9" t="n">
        <v>19.62</v>
      </c>
      <c r="O21" s="10" t="n">
        <v>306.75</v>
      </c>
      <c r="P21" s="10" t="n">
        <v>249.24</v>
      </c>
      <c r="Q21" s="10" t="n">
        <v>0</v>
      </c>
      <c r="R21" s="10" t="n">
        <v>1.94</v>
      </c>
      <c r="S21" s="5" t="str">
        <f aca="false">"Embarque"</f>
        <v>Embarque</v>
      </c>
      <c r="T21" s="5" t="str">
        <f aca="false">"TIAGO SILVA"</f>
        <v>TIAGO SILVA</v>
      </c>
      <c r="U21" s="11" t="n">
        <v>1</v>
      </c>
      <c r="V21" s="5" t="str">
        <f aca="false">""</f>
        <v/>
      </c>
    </row>
    <row r="22" customFormat="false" ht="12.8" hidden="false" customHeight="false" outlineLevel="0" collapsed="false">
      <c r="A22" s="4" t="n">
        <v>206</v>
      </c>
      <c r="B22" s="5" t="str">
        <f aca="false">"SILVANA CDSP"</f>
        <v>SILVANA CDSP</v>
      </c>
      <c r="C22" s="6" t="n">
        <v>947871</v>
      </c>
      <c r="D22" s="7" t="n">
        <v>45682</v>
      </c>
      <c r="E22" s="7" t="n">
        <v>45721</v>
      </c>
      <c r="F22" s="7"/>
      <c r="G22" s="7"/>
      <c r="H22" s="7"/>
      <c r="I22" s="5" t="str">
        <f aca="false">""</f>
        <v/>
      </c>
      <c r="J22" s="8" t="n">
        <v>916826</v>
      </c>
      <c r="K22" s="5" t="str">
        <f aca="false">"LEROY JOINV"</f>
        <v>LEROY JOINV</v>
      </c>
      <c r="L22" s="5" t="str">
        <f aca="false">"HOME CENTER"</f>
        <v>HOME CENTER</v>
      </c>
      <c r="M22" s="5" t="str">
        <f aca="false">"SC"</f>
        <v>SC</v>
      </c>
      <c r="N22" s="9" t="n">
        <v>19.62</v>
      </c>
      <c r="O22" s="10" t="n">
        <v>306.75</v>
      </c>
      <c r="P22" s="10" t="n">
        <v>267.48</v>
      </c>
      <c r="Q22" s="10" t="n">
        <v>0</v>
      </c>
      <c r="R22" s="10" t="n">
        <v>1.94</v>
      </c>
      <c r="S22" s="5" t="str">
        <f aca="false">"Embarque"</f>
        <v>Embarque</v>
      </c>
      <c r="T22" s="5" t="str">
        <f aca="false">"MGM TAVARES"</f>
        <v>MGM TAVARES</v>
      </c>
      <c r="U22" s="11" t="n">
        <v>1</v>
      </c>
      <c r="V22" s="5" t="str">
        <f aca="false">""</f>
        <v/>
      </c>
    </row>
    <row r="23" customFormat="false" ht="12.8" hidden="false" customHeight="false" outlineLevel="0" collapsed="false">
      <c r="A23" s="4" t="n">
        <v>206</v>
      </c>
      <c r="B23" s="5" t="str">
        <f aca="false">"SILVANA CDSP"</f>
        <v>SILVANA CDSP</v>
      </c>
      <c r="C23" s="6" t="n">
        <v>947872</v>
      </c>
      <c r="D23" s="7" t="n">
        <v>45682</v>
      </c>
      <c r="E23" s="7" t="n">
        <v>45721</v>
      </c>
      <c r="F23" s="7"/>
      <c r="G23" s="7"/>
      <c r="H23" s="7"/>
      <c r="I23" s="5" t="str">
        <f aca="false">""</f>
        <v/>
      </c>
      <c r="J23" s="8" t="n">
        <v>916818</v>
      </c>
      <c r="K23" s="5" t="str">
        <f aca="false">"LEROY MACEIO"</f>
        <v>LEROY MACEIO</v>
      </c>
      <c r="L23" s="5" t="str">
        <f aca="false">"HOME CENTER"</f>
        <v>HOME CENTER</v>
      </c>
      <c r="M23" s="5" t="str">
        <f aca="false">"AL"</f>
        <v>AL</v>
      </c>
      <c r="N23" s="9" t="n">
        <v>19.62</v>
      </c>
      <c r="O23" s="10" t="n">
        <v>306.75</v>
      </c>
      <c r="P23" s="10" t="n">
        <v>282.67</v>
      </c>
      <c r="Q23" s="10" t="n">
        <v>0</v>
      </c>
      <c r="R23" s="10" t="n">
        <v>1.94</v>
      </c>
      <c r="S23" s="5" t="str">
        <f aca="false">"Embarque"</f>
        <v>Embarque</v>
      </c>
      <c r="T23" s="5" t="str">
        <f aca="false">"TIAGO SILVA"</f>
        <v>TIAGO SILVA</v>
      </c>
      <c r="U23" s="11" t="n">
        <v>1</v>
      </c>
      <c r="V23" s="5" t="str">
        <f aca="false">""</f>
        <v/>
      </c>
    </row>
    <row r="24" customFormat="false" ht="12.8" hidden="false" customHeight="false" outlineLevel="0" collapsed="false">
      <c r="A24" s="4" t="n">
        <v>206</v>
      </c>
      <c r="B24" s="5" t="str">
        <f aca="false">"SILVANA CDSP"</f>
        <v>SILVANA CDSP</v>
      </c>
      <c r="C24" s="6" t="n">
        <v>947873</v>
      </c>
      <c r="D24" s="7" t="n">
        <v>45682</v>
      </c>
      <c r="E24" s="7" t="n">
        <v>45721</v>
      </c>
      <c r="F24" s="7"/>
      <c r="G24" s="7"/>
      <c r="H24" s="7"/>
      <c r="I24" s="5" t="str">
        <f aca="false">""</f>
        <v/>
      </c>
      <c r="J24" s="8" t="n">
        <v>916831</v>
      </c>
      <c r="K24" s="5" t="str">
        <f aca="false">"LEROY MER"</f>
        <v>LEROY MER</v>
      </c>
      <c r="L24" s="5" t="str">
        <f aca="false">"HOME CENTER"</f>
        <v>HOME CENTER</v>
      </c>
      <c r="M24" s="5" t="str">
        <f aca="false">"SP"</f>
        <v>SP</v>
      </c>
      <c r="N24" s="9" t="n">
        <v>19.62</v>
      </c>
      <c r="O24" s="10" t="n">
        <v>306.75</v>
      </c>
      <c r="P24" s="10" t="n">
        <v>249.24</v>
      </c>
      <c r="Q24" s="10" t="n">
        <v>0</v>
      </c>
      <c r="R24" s="10" t="n">
        <v>1.94</v>
      </c>
      <c r="S24" s="5" t="str">
        <f aca="false">"Embarque"</f>
        <v>Embarque</v>
      </c>
      <c r="T24" s="5" t="str">
        <f aca="false">"TIAGO SILVA"</f>
        <v>TIAGO SILVA</v>
      </c>
      <c r="U24" s="11" t="n">
        <v>1</v>
      </c>
      <c r="V24" s="5" t="str">
        <f aca="false">""</f>
        <v/>
      </c>
    </row>
    <row r="25" customFormat="false" ht="12.8" hidden="false" customHeight="false" outlineLevel="0" collapsed="false">
      <c r="A25" s="4" t="n">
        <v>206</v>
      </c>
      <c r="B25" s="5" t="str">
        <f aca="false">"SILVANA CDSP"</f>
        <v>SILVANA CDSP</v>
      </c>
      <c r="C25" s="6" t="n">
        <v>947874</v>
      </c>
      <c r="D25" s="7" t="n">
        <v>45682</v>
      </c>
      <c r="E25" s="7" t="n">
        <v>45721</v>
      </c>
      <c r="F25" s="7"/>
      <c r="G25" s="7"/>
      <c r="H25" s="7"/>
      <c r="I25" s="5" t="str">
        <f aca="false">""</f>
        <v/>
      </c>
      <c r="J25" s="8" t="n">
        <v>916817</v>
      </c>
      <c r="K25" s="5" t="str">
        <f aca="false">"LEROY NATAL"</f>
        <v>LEROY NATAL</v>
      </c>
      <c r="L25" s="5" t="str">
        <f aca="false">"HOME CENTER"</f>
        <v>HOME CENTER</v>
      </c>
      <c r="M25" s="5" t="str">
        <f aca="false">"RN"</f>
        <v>RN</v>
      </c>
      <c r="N25" s="9" t="n">
        <v>19.62</v>
      </c>
      <c r="O25" s="10" t="n">
        <v>306.75</v>
      </c>
      <c r="P25" s="10" t="n">
        <v>282.67</v>
      </c>
      <c r="Q25" s="10" t="n">
        <v>0</v>
      </c>
      <c r="R25" s="10" t="n">
        <v>1.94</v>
      </c>
      <c r="S25" s="5" t="str">
        <f aca="false">"Embarque"</f>
        <v>Embarque</v>
      </c>
      <c r="T25" s="5" t="str">
        <f aca="false">"B3"</f>
        <v>B3</v>
      </c>
      <c r="U25" s="11" t="n">
        <v>1</v>
      </c>
      <c r="V25" s="5" t="str">
        <f aca="false">""</f>
        <v/>
      </c>
    </row>
    <row r="26" customFormat="false" ht="12.8" hidden="false" customHeight="false" outlineLevel="0" collapsed="false">
      <c r="A26" s="4" t="n">
        <v>206</v>
      </c>
      <c r="B26" s="5" t="str">
        <f aca="false">"SILVANA CDSP"</f>
        <v>SILVANA CDSP</v>
      </c>
      <c r="C26" s="6" t="n">
        <v>947875</v>
      </c>
      <c r="D26" s="7" t="n">
        <v>45682</v>
      </c>
      <c r="E26" s="7" t="n">
        <v>45721</v>
      </c>
      <c r="F26" s="7"/>
      <c r="G26" s="7"/>
      <c r="H26" s="7"/>
      <c r="I26" s="5" t="str">
        <f aca="false">""</f>
        <v/>
      </c>
      <c r="J26" s="8" t="n">
        <v>916811</v>
      </c>
      <c r="K26" s="5" t="str">
        <f aca="false">"LEROY S-JOSE"</f>
        <v>LEROY S-JOSE</v>
      </c>
      <c r="L26" s="5" t="str">
        <f aca="false">"HOME CENTER"</f>
        <v>HOME CENTER</v>
      </c>
      <c r="M26" s="5" t="str">
        <f aca="false">"SC"</f>
        <v>SC</v>
      </c>
      <c r="N26" s="9" t="n">
        <v>19.62</v>
      </c>
      <c r="O26" s="10" t="n">
        <v>306.75</v>
      </c>
      <c r="P26" s="10" t="n">
        <v>267.48</v>
      </c>
      <c r="Q26" s="10" t="n">
        <v>0</v>
      </c>
      <c r="R26" s="10" t="n">
        <v>1.94</v>
      </c>
      <c r="S26" s="5" t="str">
        <f aca="false">"Embarque"</f>
        <v>Embarque</v>
      </c>
      <c r="T26" s="5" t="str">
        <f aca="false">"TIAGO SILVA"</f>
        <v>TIAGO SILVA</v>
      </c>
      <c r="U26" s="11" t="n">
        <v>1</v>
      </c>
      <c r="V26" s="5" t="str">
        <f aca="false">""</f>
        <v/>
      </c>
    </row>
    <row r="27" customFormat="false" ht="12.8" hidden="false" customHeight="false" outlineLevel="0" collapsed="false">
      <c r="A27" s="4" t="n">
        <v>206</v>
      </c>
      <c r="B27" s="5" t="str">
        <f aca="false">"SILVANA CDSP"</f>
        <v>SILVANA CDSP</v>
      </c>
      <c r="C27" s="6" t="n">
        <v>947876</v>
      </c>
      <c r="D27" s="7" t="n">
        <v>45682</v>
      </c>
      <c r="E27" s="7" t="n">
        <v>45721</v>
      </c>
      <c r="F27" s="7"/>
      <c r="G27" s="7"/>
      <c r="H27" s="7"/>
      <c r="I27" s="5" t="str">
        <f aca="false">""</f>
        <v/>
      </c>
      <c r="J27" s="8" t="n">
        <v>916822</v>
      </c>
      <c r="K27" s="5" t="str">
        <f aca="false">"LEROY SALVAD"</f>
        <v>LEROY SALVAD</v>
      </c>
      <c r="L27" s="5" t="str">
        <f aca="false">"HOME CENTER"</f>
        <v>HOME CENTER</v>
      </c>
      <c r="M27" s="5" t="str">
        <f aca="false">"BA"</f>
        <v>BA</v>
      </c>
      <c r="N27" s="9" t="n">
        <v>19.62</v>
      </c>
      <c r="O27" s="10" t="n">
        <v>306.75</v>
      </c>
      <c r="P27" s="10" t="n">
        <v>282.67</v>
      </c>
      <c r="Q27" s="10" t="n">
        <v>0</v>
      </c>
      <c r="R27" s="10" t="n">
        <v>1.94</v>
      </c>
      <c r="S27" s="5" t="str">
        <f aca="false">"Embarque"</f>
        <v>Embarque</v>
      </c>
      <c r="T27" s="5" t="str">
        <f aca="false">"FRANSWENDERS"</f>
        <v>FRANSWENDERS</v>
      </c>
      <c r="U27" s="11" t="n">
        <v>1</v>
      </c>
      <c r="V27" s="5" t="str">
        <f aca="false">""</f>
        <v/>
      </c>
    </row>
    <row r="28" customFormat="false" ht="12.8" hidden="false" customHeight="false" outlineLevel="0" collapsed="false">
      <c r="A28" s="4" t="n">
        <v>206</v>
      </c>
      <c r="B28" s="5" t="str">
        <f aca="false">"SILVANA CDSP"</f>
        <v>SILVANA CDSP</v>
      </c>
      <c r="C28" s="6" t="n">
        <v>947877</v>
      </c>
      <c r="D28" s="7" t="n">
        <v>45682</v>
      </c>
      <c r="E28" s="7" t="n">
        <v>45721</v>
      </c>
      <c r="F28" s="7"/>
      <c r="G28" s="7"/>
      <c r="H28" s="7"/>
      <c r="I28" s="5" t="str">
        <f aca="false">""</f>
        <v/>
      </c>
      <c r="J28" s="8" t="n">
        <v>916823</v>
      </c>
      <c r="K28" s="5" t="str">
        <f aca="false">"LEROY SANTOS"</f>
        <v>LEROY SANTOS</v>
      </c>
      <c r="L28" s="5" t="str">
        <f aca="false">"HOME CENTER"</f>
        <v>HOME CENTER</v>
      </c>
      <c r="M28" s="5" t="str">
        <f aca="false">"SP"</f>
        <v>SP</v>
      </c>
      <c r="N28" s="9" t="n">
        <v>19.62</v>
      </c>
      <c r="O28" s="10" t="n">
        <v>306.75</v>
      </c>
      <c r="P28" s="10" t="n">
        <v>249.24</v>
      </c>
      <c r="Q28" s="10" t="n">
        <v>0</v>
      </c>
      <c r="R28" s="10" t="n">
        <v>1.94</v>
      </c>
      <c r="S28" s="5" t="str">
        <f aca="false">"Embarque"</f>
        <v>Embarque</v>
      </c>
      <c r="T28" s="5" t="str">
        <f aca="false">"TIAGO SILVA"</f>
        <v>TIAGO SILVA</v>
      </c>
      <c r="U28" s="11" t="n">
        <v>1</v>
      </c>
      <c r="V28" s="5" t="str">
        <f aca="false">""</f>
        <v/>
      </c>
    </row>
    <row r="29" customFormat="false" ht="12.8" hidden="false" customHeight="false" outlineLevel="0" collapsed="false">
      <c r="A29" s="4" t="n">
        <v>206</v>
      </c>
      <c r="B29" s="5" t="str">
        <f aca="false">"SILVANA CDSP"</f>
        <v>SILVANA CDSP</v>
      </c>
      <c r="C29" s="6" t="n">
        <v>947878</v>
      </c>
      <c r="D29" s="7" t="n">
        <v>45682</v>
      </c>
      <c r="E29" s="7" t="n">
        <v>45721</v>
      </c>
      <c r="F29" s="7"/>
      <c r="G29" s="7"/>
      <c r="H29" s="7"/>
      <c r="I29" s="5" t="str">
        <f aca="false">""</f>
        <v/>
      </c>
      <c r="J29" s="8" t="n">
        <v>916819</v>
      </c>
      <c r="K29" s="5" t="str">
        <f aca="false">"LEROY TAUBAT"</f>
        <v>LEROY TAUBAT</v>
      </c>
      <c r="L29" s="5" t="str">
        <f aca="false">"HOME CENTER"</f>
        <v>HOME CENTER</v>
      </c>
      <c r="M29" s="5" t="str">
        <f aca="false">"SP"</f>
        <v>SP</v>
      </c>
      <c r="N29" s="9" t="n">
        <v>19.62</v>
      </c>
      <c r="O29" s="10" t="n">
        <v>306.75</v>
      </c>
      <c r="P29" s="10" t="n">
        <v>249.24</v>
      </c>
      <c r="Q29" s="10" t="n">
        <v>0</v>
      </c>
      <c r="R29" s="10" t="n">
        <v>1.94</v>
      </c>
      <c r="S29" s="5" t="str">
        <f aca="false">"Embarque"</f>
        <v>Embarque</v>
      </c>
      <c r="T29" s="5" t="str">
        <f aca="false">"NBPIRES"</f>
        <v>NBPIRES</v>
      </c>
      <c r="U29" s="11" t="n">
        <v>1</v>
      </c>
      <c r="V29" s="5" t="str">
        <f aca="false">""</f>
        <v/>
      </c>
    </row>
    <row r="30" customFormat="false" ht="12.8" hidden="false" customHeight="false" outlineLevel="0" collapsed="false">
      <c r="A30" s="4" t="n">
        <v>206</v>
      </c>
      <c r="B30" s="5" t="str">
        <f aca="false">"SILVANA CDSP"</f>
        <v>SILVANA CDSP</v>
      </c>
      <c r="C30" s="6" t="n">
        <v>947879</v>
      </c>
      <c r="D30" s="7" t="n">
        <v>45682</v>
      </c>
      <c r="E30" s="7" t="n">
        <v>45721</v>
      </c>
      <c r="F30" s="7"/>
      <c r="G30" s="7"/>
      <c r="H30" s="7"/>
      <c r="I30" s="5" t="str">
        <f aca="false">""</f>
        <v/>
      </c>
      <c r="J30" s="8" t="n">
        <v>916820</v>
      </c>
      <c r="K30" s="5" t="str">
        <f aca="false">"LEROY VITOR"</f>
        <v>LEROY VITOR</v>
      </c>
      <c r="L30" s="5" t="str">
        <f aca="false">"HOME CENTER"</f>
        <v>HOME CENTER</v>
      </c>
      <c r="M30" s="5" t="str">
        <f aca="false">"ES"</f>
        <v>ES</v>
      </c>
      <c r="N30" s="9" t="n">
        <v>19.62</v>
      </c>
      <c r="O30" s="10" t="n">
        <v>306.75</v>
      </c>
      <c r="P30" s="10" t="n">
        <v>282.67</v>
      </c>
      <c r="Q30" s="10" t="n">
        <v>0</v>
      </c>
      <c r="R30" s="10" t="n">
        <v>1.94</v>
      </c>
      <c r="S30" s="5" t="str">
        <f aca="false">"Embarque"</f>
        <v>Embarque</v>
      </c>
      <c r="T30" s="5" t="str">
        <f aca="false">"TIAGO SILVA"</f>
        <v>TIAGO SILVA</v>
      </c>
      <c r="U30" s="11" t="n">
        <v>1</v>
      </c>
      <c r="V30" s="5" t="str">
        <f aca="false">""</f>
        <v/>
      </c>
    </row>
    <row r="31" customFormat="false" ht="12.8" hidden="false" customHeight="false" outlineLevel="0" collapsed="false">
      <c r="A31" s="4" t="n">
        <v>206</v>
      </c>
      <c r="B31" s="5" t="str">
        <f aca="false">"SILVANA CDSP"</f>
        <v>SILVANA CDSP</v>
      </c>
      <c r="C31" s="6" t="n">
        <v>947880</v>
      </c>
      <c r="D31" s="7" t="n">
        <v>45682</v>
      </c>
      <c r="E31" s="7" t="n">
        <v>45721</v>
      </c>
      <c r="F31" s="7"/>
      <c r="G31" s="7"/>
      <c r="H31" s="7"/>
      <c r="I31" s="5" t="str">
        <f aca="false">""</f>
        <v/>
      </c>
      <c r="J31" s="8" t="n">
        <v>916814</v>
      </c>
      <c r="K31" s="5" t="str">
        <f aca="false">"LEROY- MS"</f>
        <v>LEROY- MS</v>
      </c>
      <c r="L31" s="5" t="str">
        <f aca="false">"HOME CENTER"</f>
        <v>HOME CENTER</v>
      </c>
      <c r="M31" s="5" t="str">
        <f aca="false">"MS"</f>
        <v>MS</v>
      </c>
      <c r="N31" s="9" t="n">
        <v>19.62</v>
      </c>
      <c r="O31" s="10" t="n">
        <v>306.75</v>
      </c>
      <c r="P31" s="10" t="n">
        <v>282.67</v>
      </c>
      <c r="Q31" s="10" t="n">
        <v>0</v>
      </c>
      <c r="R31" s="10" t="n">
        <v>1.94</v>
      </c>
      <c r="S31" s="5" t="str">
        <f aca="false">"Embarque"</f>
        <v>Embarque</v>
      </c>
      <c r="T31" s="5" t="str">
        <f aca="false">"TIAGO SILVA"</f>
        <v>TIAGO SILVA</v>
      </c>
      <c r="U31" s="11" t="n">
        <v>1</v>
      </c>
      <c r="V31" s="5" t="str">
        <f aca="false">""</f>
        <v/>
      </c>
    </row>
    <row r="32" customFormat="false" ht="12.8" hidden="false" customHeight="false" outlineLevel="0" collapsed="false">
      <c r="A32" s="4" t="n">
        <v>206</v>
      </c>
      <c r="B32" s="5" t="str">
        <f aca="false">"SILVANA CDSP"</f>
        <v>SILVANA CDSP</v>
      </c>
      <c r="C32" s="6" t="n">
        <v>947881</v>
      </c>
      <c r="D32" s="7" t="n">
        <v>45682</v>
      </c>
      <c r="E32" s="7" t="n">
        <v>45721</v>
      </c>
      <c r="F32" s="7"/>
      <c r="G32" s="7"/>
      <c r="H32" s="7"/>
      <c r="I32" s="5" t="str">
        <f aca="false">""</f>
        <v/>
      </c>
      <c r="J32" s="8" t="n">
        <v>916813</v>
      </c>
      <c r="K32" s="5" t="str">
        <f aca="false">"LEROY-JAGUA"</f>
        <v>LEROY-JAGUA</v>
      </c>
      <c r="L32" s="5" t="str">
        <f aca="false">"HOME CENTER"</f>
        <v>HOME CENTER</v>
      </c>
      <c r="M32" s="5" t="str">
        <f aca="false">"SP"</f>
        <v>SP</v>
      </c>
      <c r="N32" s="9" t="n">
        <v>19.62</v>
      </c>
      <c r="O32" s="10" t="n">
        <v>306.75</v>
      </c>
      <c r="P32" s="10" t="n">
        <v>249.24</v>
      </c>
      <c r="Q32" s="10" t="n">
        <v>0</v>
      </c>
      <c r="R32" s="10" t="n">
        <v>1.94</v>
      </c>
      <c r="S32" s="5" t="str">
        <f aca="false">"Embarque"</f>
        <v>Embarque</v>
      </c>
      <c r="T32" s="5" t="str">
        <f aca="false">"TIAGO SILVA"</f>
        <v>TIAGO SILVA</v>
      </c>
      <c r="U32" s="11" t="n">
        <v>1</v>
      </c>
      <c r="V32" s="5" t="str">
        <f aca="false">""</f>
        <v/>
      </c>
    </row>
    <row r="33" customFormat="false" ht="12.8" hidden="false" customHeight="false" outlineLevel="0" collapsed="false">
      <c r="A33" s="4" t="n">
        <v>206</v>
      </c>
      <c r="B33" s="5" t="str">
        <f aca="false">"SILVANA CDSP"</f>
        <v>SILVANA CDSP</v>
      </c>
      <c r="C33" s="6" t="n">
        <v>947864</v>
      </c>
      <c r="D33" s="7" t="n">
        <v>45682</v>
      </c>
      <c r="E33" s="7" t="n">
        <v>45721</v>
      </c>
      <c r="F33" s="7"/>
      <c r="G33" s="7"/>
      <c r="H33" s="7"/>
      <c r="I33" s="5" t="str">
        <f aca="false">""</f>
        <v/>
      </c>
      <c r="J33" s="8" t="n">
        <v>916808</v>
      </c>
      <c r="K33" s="5" t="str">
        <f aca="false">"LEROY ATUBA"</f>
        <v>LEROY ATUBA</v>
      </c>
      <c r="L33" s="5" t="str">
        <f aca="false">"HOME CENTER"</f>
        <v>HOME CENTER</v>
      </c>
      <c r="M33" s="5" t="str">
        <f aca="false">"PR"</f>
        <v>PR</v>
      </c>
      <c r="N33" s="9" t="n">
        <v>19.62</v>
      </c>
      <c r="O33" s="10" t="n">
        <v>306.75</v>
      </c>
      <c r="P33" s="10" t="n">
        <v>267.48</v>
      </c>
      <c r="Q33" s="10" t="n">
        <v>0</v>
      </c>
      <c r="R33" s="10" t="n">
        <v>1.94</v>
      </c>
      <c r="S33" s="5" t="str">
        <f aca="false">"Embarque"</f>
        <v>Embarque</v>
      </c>
      <c r="T33" s="5" t="str">
        <f aca="false">"Marcos Petri"</f>
        <v>Marcos Petri</v>
      </c>
      <c r="U33" s="11" t="n">
        <v>1</v>
      </c>
      <c r="V33" s="5" t="str">
        <f aca="false">""</f>
        <v/>
      </c>
    </row>
    <row r="34" customFormat="false" ht="12.8" hidden="false" customHeight="false" outlineLevel="0" collapsed="false">
      <c r="A34" s="4" t="n">
        <v>206</v>
      </c>
      <c r="B34" s="5" t="str">
        <f aca="false">"SILVANA CDSP"</f>
        <v>SILVANA CDSP</v>
      </c>
      <c r="C34" s="6" t="n">
        <v>947863</v>
      </c>
      <c r="D34" s="7" t="n">
        <v>45682</v>
      </c>
      <c r="E34" s="7" t="n">
        <v>45721</v>
      </c>
      <c r="F34" s="7"/>
      <c r="G34" s="7"/>
      <c r="H34" s="7"/>
      <c r="I34" s="5" t="str">
        <f aca="false">""</f>
        <v/>
      </c>
      <c r="J34" s="8" t="n">
        <v>916812</v>
      </c>
      <c r="K34" s="5" t="str">
        <f aca="false">"LEROY ANALIA"</f>
        <v>LEROY ANALIA</v>
      </c>
      <c r="L34" s="5" t="str">
        <f aca="false">"HOME CENTER"</f>
        <v>HOME CENTER</v>
      </c>
      <c r="M34" s="5" t="str">
        <f aca="false">"SP"</f>
        <v>SP</v>
      </c>
      <c r="N34" s="9" t="n">
        <v>19.62</v>
      </c>
      <c r="O34" s="10" t="n">
        <v>306.75</v>
      </c>
      <c r="P34" s="10" t="n">
        <v>249.24</v>
      </c>
      <c r="Q34" s="10" t="n">
        <v>0</v>
      </c>
      <c r="R34" s="10" t="n">
        <v>1.94</v>
      </c>
      <c r="S34" s="5" t="str">
        <f aca="false">"Embarque"</f>
        <v>Embarque</v>
      </c>
      <c r="T34" s="5" t="str">
        <f aca="false">"TIAGO SILVA"</f>
        <v>TIAGO SILVA</v>
      </c>
      <c r="U34" s="11" t="n">
        <v>1</v>
      </c>
      <c r="V34" s="5" t="str">
        <f aca="false">""</f>
        <v/>
      </c>
    </row>
    <row r="35" customFormat="false" ht="12.8" hidden="false" customHeight="false" outlineLevel="0" collapsed="false">
      <c r="A35" s="4" t="n">
        <v>206</v>
      </c>
      <c r="B35" s="5" t="str">
        <f aca="false">"SILVANA CDSP"</f>
        <v>SILVANA CDSP</v>
      </c>
      <c r="C35" s="6" t="n">
        <v>947862</v>
      </c>
      <c r="D35" s="7" t="n">
        <v>45682</v>
      </c>
      <c r="E35" s="7" t="n">
        <v>45721</v>
      </c>
      <c r="F35" s="7"/>
      <c r="G35" s="7"/>
      <c r="H35" s="7"/>
      <c r="I35" s="5" t="str">
        <f aca="false">""</f>
        <v/>
      </c>
      <c r="J35" s="8" t="n">
        <v>916816</v>
      </c>
      <c r="K35" s="5" t="str">
        <f aca="false">"LEROY -TAMBO"</f>
        <v>LEROY -TAMBO</v>
      </c>
      <c r="L35" s="5" t="str">
        <f aca="false">"HOME CENTER"</f>
        <v>HOME CENTER</v>
      </c>
      <c r="M35" s="5" t="str">
        <f aca="false">"SP"</f>
        <v>SP</v>
      </c>
      <c r="N35" s="9" t="n">
        <v>19.62</v>
      </c>
      <c r="O35" s="10" t="n">
        <v>306.75</v>
      </c>
      <c r="P35" s="10" t="n">
        <v>249.24</v>
      </c>
      <c r="Q35" s="10" t="n">
        <v>0</v>
      </c>
      <c r="R35" s="10" t="n">
        <v>1.94</v>
      </c>
      <c r="S35" s="5" t="str">
        <f aca="false">"Embarque"</f>
        <v>Embarque</v>
      </c>
      <c r="T35" s="5" t="str">
        <f aca="false">"TIAGO SILVA"</f>
        <v>TIAGO SILVA</v>
      </c>
      <c r="U35" s="11" t="n">
        <v>1</v>
      </c>
      <c r="V35" s="5" t="str">
        <f aca="false">""</f>
        <v/>
      </c>
    </row>
    <row r="36" customFormat="false" ht="12.8" hidden="false" customHeight="false" outlineLevel="0" collapsed="false">
      <c r="A36" s="4" t="n">
        <v>206</v>
      </c>
      <c r="B36" s="5" t="str">
        <f aca="false">"SILVANA CDSP"</f>
        <v>SILVANA CDSP</v>
      </c>
      <c r="C36" s="6" t="n">
        <v>947861</v>
      </c>
      <c r="D36" s="7" t="n">
        <v>45682</v>
      </c>
      <c r="E36" s="7" t="n">
        <v>45721</v>
      </c>
      <c r="F36" s="7"/>
      <c r="G36" s="7"/>
      <c r="H36" s="7"/>
      <c r="I36" s="5" t="str">
        <f aca="false">""</f>
        <v/>
      </c>
      <c r="J36" s="8" t="n">
        <v>916815</v>
      </c>
      <c r="K36" s="5" t="str">
        <f aca="false">"LEROY -SBC"</f>
        <v>LEROY -SBC</v>
      </c>
      <c r="L36" s="5" t="str">
        <f aca="false">"HOME CENTER"</f>
        <v>HOME CENTER</v>
      </c>
      <c r="M36" s="5" t="str">
        <f aca="false">"SP"</f>
        <v>SP</v>
      </c>
      <c r="N36" s="9" t="n">
        <v>19.62</v>
      </c>
      <c r="O36" s="10" t="n">
        <v>306.75</v>
      </c>
      <c r="P36" s="10" t="n">
        <v>249.24</v>
      </c>
      <c r="Q36" s="10" t="n">
        <v>0</v>
      </c>
      <c r="R36" s="10" t="n">
        <v>1.94</v>
      </c>
      <c r="S36" s="5" t="str">
        <f aca="false">"Embarque"</f>
        <v>Embarque</v>
      </c>
      <c r="T36" s="5" t="str">
        <f aca="false">"TIAGO SILVA"</f>
        <v>TIAGO SILVA</v>
      </c>
      <c r="U36" s="11" t="n">
        <v>1</v>
      </c>
      <c r="V36" s="5" t="str">
        <f aca="false">""</f>
        <v/>
      </c>
    </row>
    <row r="37" customFormat="false" ht="12.8" hidden="false" customHeight="false" outlineLevel="0" collapsed="false">
      <c r="A37" s="4" t="n">
        <v>206</v>
      </c>
      <c r="B37" s="5" t="str">
        <f aca="false">"SILVANA CDSP"</f>
        <v>SILVANA CDSP</v>
      </c>
      <c r="C37" s="6" t="n">
        <v>956349</v>
      </c>
      <c r="D37" s="7" t="n">
        <v>45687</v>
      </c>
      <c r="E37" s="7" t="n">
        <v>45749</v>
      </c>
      <c r="F37" s="7"/>
      <c r="G37" s="7"/>
      <c r="H37" s="7"/>
      <c r="I37" s="5" t="str">
        <f aca="false">""</f>
        <v/>
      </c>
      <c r="J37" s="8" t="n">
        <v>97190</v>
      </c>
      <c r="K37" s="5" t="str">
        <f aca="false">"HIDREL"</f>
        <v>HIDREL</v>
      </c>
      <c r="L37" s="5" t="str">
        <f aca="false">"FERRAGISTA"</f>
        <v>FERRAGISTA</v>
      </c>
      <c r="M37" s="5" t="str">
        <f aca="false">"SP"</f>
        <v>SP</v>
      </c>
      <c r="N37" s="9" t="n">
        <v>538.98</v>
      </c>
      <c r="O37" s="10" t="n">
        <v>294.54</v>
      </c>
      <c r="P37" s="10" t="n">
        <v>177.1</v>
      </c>
      <c r="Q37" s="10" t="n">
        <v>0</v>
      </c>
      <c r="R37" s="10" t="n">
        <v>3.93</v>
      </c>
      <c r="S37" s="5" t="str">
        <f aca="false">"Embarque"</f>
        <v>Embarque</v>
      </c>
      <c r="T37" s="5" t="str">
        <f aca="false">"NBPIRES"</f>
        <v>NBPIRES</v>
      </c>
      <c r="U37" s="11" t="n">
        <v>25</v>
      </c>
      <c r="V37" s="5" t="str">
        <f aca="false">""</f>
        <v/>
      </c>
    </row>
    <row r="38" customFormat="false" ht="12.8" hidden="false" customHeight="false" outlineLevel="0" collapsed="false">
      <c r="A38" s="4" t="n">
        <v>206</v>
      </c>
      <c r="B38" s="5" t="str">
        <f aca="false">"SILVANA CDSP"</f>
        <v>SILVANA CDSP</v>
      </c>
      <c r="C38" s="6" t="n">
        <v>956284</v>
      </c>
      <c r="D38" s="7" t="n">
        <v>45705</v>
      </c>
      <c r="E38" s="7" t="n">
        <v>45749</v>
      </c>
      <c r="F38" s="7"/>
      <c r="G38" s="7"/>
      <c r="H38" s="7"/>
      <c r="I38" s="5" t="str">
        <f aca="false">""</f>
        <v/>
      </c>
      <c r="J38" s="5" t="str">
        <f aca="false">"SPDSIL016151"</f>
        <v>SPDSIL016151</v>
      </c>
      <c r="K38" s="5" t="str">
        <f aca="false">"KALLEO"</f>
        <v>KALLEO</v>
      </c>
      <c r="L38" s="5" t="str">
        <f aca="false">"MATERIAL DE CONSTRUCAO"</f>
        <v>MATERIAL DE CONSTRUCAO</v>
      </c>
      <c r="M38" s="5" t="str">
        <f aca="false">"SC"</f>
        <v>SC</v>
      </c>
      <c r="N38" s="9" t="n">
        <v>0</v>
      </c>
      <c r="O38" s="10" t="n">
        <v>4750</v>
      </c>
      <c r="P38" s="10" t="n">
        <v>3740.63</v>
      </c>
      <c r="Q38" s="10" t="n">
        <v>0</v>
      </c>
      <c r="R38" s="10" t="n">
        <v>160.15</v>
      </c>
      <c r="S38" s="5" t="str">
        <f aca="false">"Embarque"</f>
        <v>Embarque</v>
      </c>
      <c r="T38" s="5" t="str">
        <f aca="false">"MGM TAVARES"</f>
        <v>MGM TAVARES</v>
      </c>
      <c r="U38" s="11" t="n">
        <v>25</v>
      </c>
      <c r="V38" s="5" t="str">
        <f aca="false">""</f>
        <v/>
      </c>
    </row>
    <row r="39" customFormat="false" ht="12.8" hidden="false" customHeight="false" outlineLevel="0" collapsed="false">
      <c r="A39" s="4" t="n">
        <v>206</v>
      </c>
      <c r="B39" s="5" t="str">
        <f aca="false">"SILVANA CDSP"</f>
        <v>SILVANA CDSP</v>
      </c>
      <c r="C39" s="6" t="n">
        <v>954948</v>
      </c>
      <c r="D39" s="7" t="n">
        <v>45708</v>
      </c>
      <c r="E39" s="7" t="n">
        <v>45744</v>
      </c>
      <c r="F39" s="7"/>
      <c r="G39" s="7"/>
      <c r="H39" s="7"/>
      <c r="I39" s="5" t="str">
        <f aca="false">""</f>
        <v/>
      </c>
      <c r="J39" s="12" t="n">
        <v>-1084</v>
      </c>
      <c r="K39" s="5" t="str">
        <f aca="false">"LE FERRAGENS"</f>
        <v>LE FERRAGENS</v>
      </c>
      <c r="L39" s="5" t="str">
        <f aca="false">"FERRAGISTA"</f>
        <v>FERRAGISTA</v>
      </c>
      <c r="M39" s="5" t="str">
        <f aca="false">"SP"</f>
        <v>SP</v>
      </c>
      <c r="N39" s="9" t="n">
        <v>2836.6</v>
      </c>
      <c r="O39" s="10" t="n">
        <v>2854.51</v>
      </c>
      <c r="P39" s="10" t="n">
        <v>1630.55</v>
      </c>
      <c r="Q39" s="10" t="n">
        <v>0</v>
      </c>
      <c r="R39" s="10" t="n">
        <v>53.75</v>
      </c>
      <c r="S39" s="5" t="str">
        <f aca="false">"Embarque"</f>
        <v>Embarque</v>
      </c>
      <c r="T39" s="5" t="str">
        <f aca="false">"PRIME CF"</f>
        <v>PRIME CF</v>
      </c>
      <c r="U39" s="11" t="n">
        <v>25</v>
      </c>
      <c r="V39" s="5" t="str">
        <f aca="false">""</f>
        <v/>
      </c>
    </row>
    <row r="40" customFormat="false" ht="12.8" hidden="false" customHeight="false" outlineLevel="0" collapsed="false">
      <c r="A40" s="4" t="n">
        <v>206</v>
      </c>
      <c r="B40" s="5" t="str">
        <f aca="false">"PAPAIZ"</f>
        <v>PAPAIZ</v>
      </c>
      <c r="C40" s="6" t="n">
        <v>956744</v>
      </c>
      <c r="D40" s="7" t="n">
        <v>45714</v>
      </c>
      <c r="E40" s="7" t="n">
        <v>45751</v>
      </c>
      <c r="F40" s="7"/>
      <c r="G40" s="7"/>
      <c r="H40" s="7"/>
      <c r="I40" s="5" t="str">
        <f aca="false">""</f>
        <v/>
      </c>
      <c r="J40" s="5" t="str">
        <f aca="false">"SPDPPZ025403"</f>
        <v>SPDPPZ025403</v>
      </c>
      <c r="K40" s="5" t="str">
        <f aca="false">"SKY VISION E"</f>
        <v>SKY VISION E</v>
      </c>
      <c r="L40" s="5" t="str">
        <f aca="false">"CONSTRUTORA"</f>
        <v>CONSTRUTORA</v>
      </c>
      <c r="M40" s="5" t="str">
        <f aca="false">"MG"</f>
        <v>MG</v>
      </c>
      <c r="N40" s="9" t="n">
        <v>0</v>
      </c>
      <c r="O40" s="10" t="n">
        <v>313.08</v>
      </c>
      <c r="P40" s="10" t="n">
        <v>256.73</v>
      </c>
      <c r="Q40" s="10" t="n">
        <v>0</v>
      </c>
      <c r="R40" s="10" t="n">
        <v>7.68</v>
      </c>
      <c r="S40" s="5" t="str">
        <f aca="false">"Embarque"</f>
        <v>Embarque</v>
      </c>
      <c r="T40" s="5" t="str">
        <f aca="false">"WTJ"</f>
        <v>WTJ</v>
      </c>
      <c r="U40" s="11" t="n">
        <v>25</v>
      </c>
      <c r="V40" s="5" t="str">
        <f aca="false">""</f>
        <v/>
      </c>
    </row>
    <row r="41" customFormat="false" ht="12.8" hidden="false" customHeight="false" outlineLevel="0" collapsed="false">
      <c r="A41" s="4" t="n">
        <v>206</v>
      </c>
      <c r="B41" s="5" t="str">
        <f aca="false">"PAPAIZ"</f>
        <v>PAPAIZ</v>
      </c>
      <c r="C41" s="6" t="n">
        <v>956833</v>
      </c>
      <c r="D41" s="7" t="n">
        <v>45719</v>
      </c>
      <c r="E41" s="7" t="n">
        <v>45751</v>
      </c>
      <c r="F41" s="7"/>
      <c r="G41" s="7"/>
      <c r="H41" s="7"/>
      <c r="I41" s="5" t="str">
        <f aca="false">""</f>
        <v/>
      </c>
      <c r="J41" s="5" t="str">
        <f aca="false">"SPDPPZ025749"</f>
        <v>SPDPPZ025749</v>
      </c>
      <c r="K41" s="5" t="str">
        <f aca="false">"1 F - VALERI"</f>
        <v>1 F - VALERI</v>
      </c>
      <c r="L41" s="5" t="str">
        <f aca="false">"FERRAGISTA"</f>
        <v>FERRAGISTA</v>
      </c>
      <c r="M41" s="5" t="str">
        <f aca="false">"SP"</f>
        <v>SP</v>
      </c>
      <c r="N41" s="9" t="n">
        <v>0</v>
      </c>
      <c r="O41" s="10" t="n">
        <v>11568</v>
      </c>
      <c r="P41" s="10" t="n">
        <v>8415.72</v>
      </c>
      <c r="Q41" s="10" t="n">
        <v>0</v>
      </c>
      <c r="R41" s="10" t="n">
        <v>64.2</v>
      </c>
      <c r="S41" s="5" t="str">
        <f aca="false">"Embarque"</f>
        <v>Embarque</v>
      </c>
      <c r="T41" s="5" t="str">
        <f aca="false">"JOYCECOVACEV"</f>
        <v>JOYCECOVACEV</v>
      </c>
      <c r="U41" s="11" t="n">
        <v>25</v>
      </c>
      <c r="V41" s="5" t="str">
        <f aca="false">""</f>
        <v/>
      </c>
    </row>
    <row r="42" customFormat="false" ht="12.8" hidden="false" customHeight="false" outlineLevel="0" collapsed="false">
      <c r="A42" s="4" t="n">
        <v>206</v>
      </c>
      <c r="B42" s="5" t="str">
        <f aca="false">"SILVANA CDSP"</f>
        <v>SILVANA CDSP</v>
      </c>
      <c r="C42" s="6" t="n">
        <v>950841</v>
      </c>
      <c r="D42" s="7" t="n">
        <v>45722</v>
      </c>
      <c r="E42" s="7" t="n">
        <v>45731</v>
      </c>
      <c r="F42" s="7"/>
      <c r="G42" s="7"/>
      <c r="H42" s="7"/>
      <c r="I42" s="5" t="str">
        <f aca="false">""</f>
        <v/>
      </c>
      <c r="J42" s="5" t="str">
        <f aca="false">"SPDSIL019769"</f>
        <v>SPDSIL019769</v>
      </c>
      <c r="K42" s="5" t="str">
        <f aca="false">"CCORREA"</f>
        <v>CCORREA</v>
      </c>
      <c r="L42" s="5" t="str">
        <f aca="false">"MATERIAL DE CONSTRUCAO"</f>
        <v>MATERIAL DE CONSTRUCAO</v>
      </c>
      <c r="M42" s="5" t="str">
        <f aca="false">"SP"</f>
        <v>SP</v>
      </c>
      <c r="N42" s="9" t="n">
        <v>216.96</v>
      </c>
      <c r="O42" s="10" t="n">
        <v>322.27</v>
      </c>
      <c r="P42" s="10" t="n">
        <v>184.09</v>
      </c>
      <c r="Q42" s="10" t="n">
        <v>0</v>
      </c>
      <c r="R42" s="10" t="n">
        <v>4.05</v>
      </c>
      <c r="S42" s="5" t="str">
        <f aca="false">"Embarque"</f>
        <v>Embarque</v>
      </c>
      <c r="T42" s="5" t="str">
        <f aca="false">"PAULO DE PAU"</f>
        <v>PAULO DE PAU</v>
      </c>
      <c r="U42" s="11" t="n">
        <v>25</v>
      </c>
      <c r="V42" s="5" t="str">
        <f aca="false">""</f>
        <v/>
      </c>
    </row>
    <row r="43" customFormat="false" ht="12.8" hidden="false" customHeight="false" outlineLevel="0" collapsed="false">
      <c r="A43" s="4" t="n">
        <v>206</v>
      </c>
      <c r="B43" s="5" t="str">
        <f aca="false">"SILVANA CDSP"</f>
        <v>SILVANA CDSP</v>
      </c>
      <c r="C43" s="6" t="n">
        <v>955726</v>
      </c>
      <c r="D43" s="7" t="n">
        <v>45726</v>
      </c>
      <c r="E43" s="7" t="n">
        <v>45748</v>
      </c>
      <c r="F43" s="7"/>
      <c r="G43" s="7"/>
      <c r="H43" s="7"/>
      <c r="I43" s="5" t="str">
        <f aca="false">""</f>
        <v/>
      </c>
      <c r="J43" s="5" t="str">
        <f aca="false">"SPDSIL019914"</f>
        <v>SPDSIL019914</v>
      </c>
      <c r="K43" s="5" t="str">
        <f aca="false">"KUSMA MAQUIN"</f>
        <v>KUSMA MAQUIN</v>
      </c>
      <c r="L43" s="5" t="str">
        <f aca="false">"MATERIAL DE CONSTRUCAO"</f>
        <v>MATERIAL DE CONSTRUCAO</v>
      </c>
      <c r="M43" s="5" t="str">
        <f aca="false">"PR"</f>
        <v>PR</v>
      </c>
      <c r="N43" s="9" t="n">
        <v>0</v>
      </c>
      <c r="O43" s="10" t="n">
        <v>204.62</v>
      </c>
      <c r="P43" s="10" t="n">
        <v>117.42</v>
      </c>
      <c r="Q43" s="10" t="n">
        <v>0</v>
      </c>
      <c r="R43" s="10" t="n">
        <v>2.72</v>
      </c>
      <c r="S43" s="5" t="str">
        <f aca="false">"Embarque"</f>
        <v>Embarque</v>
      </c>
      <c r="T43" s="5" t="str">
        <f aca="false">"BIANCASILVA"</f>
        <v>BIANCASILVA</v>
      </c>
      <c r="U43" s="11" t="n">
        <v>25</v>
      </c>
      <c r="V43" s="5" t="str">
        <f aca="false">""</f>
        <v/>
      </c>
    </row>
    <row r="44" customFormat="false" ht="12.8" hidden="false" customHeight="false" outlineLevel="0" collapsed="false">
      <c r="A44" s="4" t="n">
        <v>206</v>
      </c>
      <c r="B44" s="5" t="str">
        <f aca="false">"SILVANA CDSP"</f>
        <v>SILVANA CDSP</v>
      </c>
      <c r="C44" s="6" t="n">
        <v>952755</v>
      </c>
      <c r="D44" s="7" t="n">
        <v>45727</v>
      </c>
      <c r="E44" s="7" t="n">
        <v>45737</v>
      </c>
      <c r="F44" s="7"/>
      <c r="G44" s="7"/>
      <c r="H44" s="7"/>
      <c r="I44" s="5" t="str">
        <f aca="false">""</f>
        <v/>
      </c>
      <c r="J44" s="13" t="n">
        <v>1722</v>
      </c>
      <c r="K44" s="5" t="str">
        <f aca="false">"TAKEI"</f>
        <v>TAKEI</v>
      </c>
      <c r="L44" s="5" t="str">
        <f aca="false">"MATERIAL DE CONSTRUCAO"</f>
        <v>MATERIAL DE CONSTRUCAO</v>
      </c>
      <c r="M44" s="5" t="str">
        <f aca="false">"SP"</f>
        <v>SP</v>
      </c>
      <c r="N44" s="9" t="n">
        <v>622.14</v>
      </c>
      <c r="O44" s="10" t="n">
        <v>541.1</v>
      </c>
      <c r="P44" s="10" t="n">
        <v>341.42</v>
      </c>
      <c r="Q44" s="10" t="n">
        <v>0</v>
      </c>
      <c r="R44" s="10" t="n">
        <v>6.88</v>
      </c>
      <c r="S44" s="5" t="str">
        <f aca="false">"Embarque"</f>
        <v>Embarque</v>
      </c>
      <c r="T44" s="5" t="str">
        <f aca="false">"HANDRES NEW"</f>
        <v>HANDRES NEW</v>
      </c>
      <c r="U44" s="11" t="n">
        <v>25</v>
      </c>
      <c r="V44" s="5" t="str">
        <f aca="false">""</f>
        <v/>
      </c>
    </row>
    <row r="45" customFormat="false" ht="12.8" hidden="false" customHeight="false" outlineLevel="0" collapsed="false">
      <c r="A45" s="4" t="n">
        <v>206</v>
      </c>
      <c r="B45" s="5" t="str">
        <f aca="false">"SILVANA CDSP"</f>
        <v>SILVANA CDSP</v>
      </c>
      <c r="C45" s="6" t="n">
        <v>950009</v>
      </c>
      <c r="D45" s="7" t="n">
        <v>45728</v>
      </c>
      <c r="E45" s="7" t="n">
        <v>45728</v>
      </c>
      <c r="F45" s="7"/>
      <c r="G45" s="7"/>
      <c r="H45" s="7"/>
      <c r="I45" s="5" t="str">
        <f aca="false">""</f>
        <v/>
      </c>
      <c r="J45" s="5" t="str">
        <f aca="false">"SPDSIL020090"</f>
        <v>SPDSIL020090</v>
      </c>
      <c r="K45" s="5" t="str">
        <f aca="false">"Doneda Mater"</f>
        <v>Doneda Mater</v>
      </c>
      <c r="L45" s="5" t="str">
        <f aca="false">"ATACADISTA"</f>
        <v>ATACADISTA</v>
      </c>
      <c r="M45" s="5" t="str">
        <f aca="false">"SP"</f>
        <v>SP</v>
      </c>
      <c r="N45" s="9" t="n">
        <v>0</v>
      </c>
      <c r="O45" s="10" t="n">
        <v>54</v>
      </c>
      <c r="P45" s="10" t="n">
        <v>44.28</v>
      </c>
      <c r="Q45" s="10" t="n">
        <v>0</v>
      </c>
      <c r="R45" s="10" t="n">
        <v>1.38</v>
      </c>
      <c r="S45" s="5" t="str">
        <f aca="false">"Embarque"</f>
        <v>Embarque</v>
      </c>
      <c r="T45" s="5" t="str">
        <f aca="false">"PAULO DE PAU"</f>
        <v>PAULO DE PAU</v>
      </c>
      <c r="U45" s="11" t="n">
        <v>25</v>
      </c>
      <c r="V45" s="5" t="str">
        <f aca="false">""</f>
        <v/>
      </c>
    </row>
    <row r="46" customFormat="false" ht="12.8" hidden="false" customHeight="false" outlineLevel="0" collapsed="false">
      <c r="A46" s="4" t="n">
        <v>206</v>
      </c>
      <c r="B46" s="5" t="str">
        <f aca="false">"LA FONTE"</f>
        <v>LA FONTE</v>
      </c>
      <c r="C46" s="6" t="n">
        <v>955638</v>
      </c>
      <c r="D46" s="7" t="n">
        <v>45729</v>
      </c>
      <c r="E46" s="7" t="n">
        <v>45747</v>
      </c>
      <c r="F46" s="7"/>
      <c r="G46" s="7"/>
      <c r="H46" s="7"/>
      <c r="I46" s="5" t="str">
        <f aca="false">""</f>
        <v/>
      </c>
      <c r="J46" s="5" t="str">
        <f aca="false">"LPED906488"</f>
        <v>LPED906488</v>
      </c>
      <c r="K46" s="14" t="n">
        <v>181742330001</v>
      </c>
      <c r="L46" s="5" t="str">
        <f aca="false">"CONSTRUTORA"</f>
        <v>CONSTRUTORA</v>
      </c>
      <c r="M46" s="5" t="str">
        <f aca="false">"RJ"</f>
        <v>RJ</v>
      </c>
      <c r="N46" s="9" t="n">
        <v>0</v>
      </c>
      <c r="O46" s="10" t="n">
        <v>2695.15</v>
      </c>
      <c r="P46" s="10" t="n">
        <v>1960.72</v>
      </c>
      <c r="Q46" s="10" t="n">
        <v>0</v>
      </c>
      <c r="R46" s="10" t="n">
        <v>6.24</v>
      </c>
      <c r="S46" s="5" t="str">
        <f aca="false">"Embarque"</f>
        <v>Embarque</v>
      </c>
      <c r="T46" s="5" t="str">
        <f aca="false">"ORGUI"</f>
        <v>ORGUI</v>
      </c>
      <c r="U46" s="11" t="n">
        <v>24</v>
      </c>
      <c r="V46" s="5" t="str">
        <f aca="false">""</f>
        <v/>
      </c>
    </row>
    <row r="47" customFormat="false" ht="12.8" hidden="false" customHeight="false" outlineLevel="0" collapsed="false">
      <c r="A47" s="4" t="n">
        <v>206</v>
      </c>
      <c r="B47" s="5" t="str">
        <f aca="false">"SILVANA CDSP"</f>
        <v>SILVANA CDSP</v>
      </c>
      <c r="C47" s="6" t="n">
        <v>955344</v>
      </c>
      <c r="D47" s="7" t="n">
        <v>45733</v>
      </c>
      <c r="E47" s="7" t="n">
        <v>45745</v>
      </c>
      <c r="F47" s="7"/>
      <c r="G47" s="7"/>
      <c r="H47" s="7"/>
      <c r="I47" s="5" t="str">
        <f aca="false">""</f>
        <v/>
      </c>
      <c r="J47" s="12" t="n">
        <v>10335</v>
      </c>
      <c r="K47" s="5" t="str">
        <f aca="false">"P   J 2"</f>
        <v>P   J 2</v>
      </c>
      <c r="L47" s="5" t="str">
        <f aca="false">"ATACADISTA"</f>
        <v>ATACADISTA</v>
      </c>
      <c r="M47" s="5" t="str">
        <f aca="false">"SP"</f>
        <v>SP</v>
      </c>
      <c r="N47" s="9" t="n">
        <v>0</v>
      </c>
      <c r="O47" s="10" t="n">
        <v>186.79</v>
      </c>
      <c r="P47" s="10" t="n">
        <v>117.86</v>
      </c>
      <c r="Q47" s="10" t="n">
        <v>0</v>
      </c>
      <c r="R47" s="10" t="n">
        <v>4.13</v>
      </c>
      <c r="S47" s="5" t="str">
        <f aca="false">"Embarque"</f>
        <v>Embarque</v>
      </c>
      <c r="T47" s="5" t="str">
        <f aca="false">"HERCULES RIO"</f>
        <v>HERCULES RIO</v>
      </c>
      <c r="U47" s="11" t="n">
        <v>25</v>
      </c>
      <c r="V47" s="5" t="str">
        <f aca="false">""</f>
        <v/>
      </c>
    </row>
    <row r="48" customFormat="false" ht="12.8" hidden="false" customHeight="false" outlineLevel="0" collapsed="false">
      <c r="A48" s="4" t="n">
        <v>206</v>
      </c>
      <c r="B48" s="5" t="str">
        <f aca="false">"SILVANA CDSP"</f>
        <v>SILVANA CDSP</v>
      </c>
      <c r="C48" s="6" t="n">
        <v>955597</v>
      </c>
      <c r="D48" s="7" t="n">
        <v>45734</v>
      </c>
      <c r="E48" s="7" t="n">
        <v>45746</v>
      </c>
      <c r="F48" s="7"/>
      <c r="G48" s="7"/>
      <c r="H48" s="7"/>
      <c r="I48" s="5" t="str">
        <f aca="false">""</f>
        <v/>
      </c>
      <c r="J48" s="5" t="str">
        <f aca="false">"SPDSIL020581"</f>
        <v>SPDSIL020581</v>
      </c>
      <c r="K48" s="14" t="n">
        <v>55050610001</v>
      </c>
      <c r="L48" s="5" t="str">
        <f aca="false">"MATERIAL DE CONSTRUCAO"</f>
        <v>MATERIAL DE CONSTRUCAO</v>
      </c>
      <c r="M48" s="5" t="str">
        <f aca="false">"SP"</f>
        <v>SP</v>
      </c>
      <c r="N48" s="9" t="n">
        <v>0</v>
      </c>
      <c r="O48" s="10" t="n">
        <v>161</v>
      </c>
      <c r="P48" s="10" t="n">
        <v>96.71</v>
      </c>
      <c r="Q48" s="10" t="n">
        <v>0</v>
      </c>
      <c r="R48" s="10" t="n">
        <v>0.62</v>
      </c>
      <c r="S48" s="5" t="str">
        <f aca="false">"Embarque"</f>
        <v>Embarque</v>
      </c>
      <c r="T48" s="5" t="str">
        <f aca="false">"JOAO ROQUE"</f>
        <v>JOAO ROQUE</v>
      </c>
      <c r="U48" s="11" t="n">
        <v>25</v>
      </c>
      <c r="V48" s="5" t="str">
        <f aca="false">""</f>
        <v/>
      </c>
    </row>
    <row r="49" customFormat="false" ht="12.8" hidden="false" customHeight="false" outlineLevel="0" collapsed="false">
      <c r="A49" s="4" t="n">
        <v>206</v>
      </c>
      <c r="B49" s="5" t="str">
        <f aca="false">"SILVANA CDSP"</f>
        <v>SILVANA CDSP</v>
      </c>
      <c r="C49" s="6" t="n">
        <v>956707</v>
      </c>
      <c r="D49" s="7" t="n">
        <v>45734</v>
      </c>
      <c r="E49" s="7" t="n">
        <v>45751</v>
      </c>
      <c r="F49" s="7"/>
      <c r="G49" s="7"/>
      <c r="H49" s="7"/>
      <c r="I49" s="5" t="str">
        <f aca="false">""</f>
        <v/>
      </c>
      <c r="J49" s="5" t="str">
        <f aca="false">"SPDSIL020565"</f>
        <v>SPDSIL020565</v>
      </c>
      <c r="K49" s="5" t="str">
        <f aca="false">"MARQUEZINI A"</f>
        <v>MARQUEZINI A</v>
      </c>
      <c r="L49" s="5" t="str">
        <f aca="false">"OEM"</f>
        <v>OEM</v>
      </c>
      <c r="M49" s="5" t="str">
        <f aca="false">"SP"</f>
        <v>SP</v>
      </c>
      <c r="N49" s="9" t="n">
        <v>0</v>
      </c>
      <c r="O49" s="10" t="n">
        <v>6513.54</v>
      </c>
      <c r="P49" s="10" t="n">
        <v>4738.6</v>
      </c>
      <c r="Q49" s="10" t="n">
        <v>0</v>
      </c>
      <c r="R49" s="10" t="n">
        <v>160.13</v>
      </c>
      <c r="S49" s="5" t="str">
        <f aca="false">"Embarque"</f>
        <v>Embarque</v>
      </c>
      <c r="T49" s="5" t="str">
        <f aca="false">"LEANDRO R RE"</f>
        <v>LEANDRO R RE</v>
      </c>
      <c r="U49" s="11" t="n">
        <v>25</v>
      </c>
      <c r="V49" s="5" t="str">
        <f aca="false">""</f>
        <v/>
      </c>
    </row>
    <row r="50" customFormat="false" ht="12.8" hidden="false" customHeight="false" outlineLevel="0" collapsed="false">
      <c r="A50" s="4" t="n">
        <v>206</v>
      </c>
      <c r="B50" s="5" t="str">
        <f aca="false">"SILVANA CDSP"</f>
        <v>SILVANA CDSP</v>
      </c>
      <c r="C50" s="6" t="n">
        <v>955600</v>
      </c>
      <c r="D50" s="7" t="n">
        <v>45734</v>
      </c>
      <c r="E50" s="7" t="n">
        <v>45746</v>
      </c>
      <c r="F50" s="7"/>
      <c r="G50" s="7"/>
      <c r="H50" s="7"/>
      <c r="I50" s="5" t="str">
        <f aca="false">""</f>
        <v/>
      </c>
      <c r="J50" s="5" t="str">
        <f aca="false">"SPDSIL020562"</f>
        <v>SPDSIL020562</v>
      </c>
      <c r="K50" s="5" t="str">
        <f aca="false">"VIEWCO 26 EM"</f>
        <v>VIEWCO 26 EM</v>
      </c>
      <c r="L50" s="5" t="str">
        <f aca="false">"CONSTRUTORA"</f>
        <v>CONSTRUTORA</v>
      </c>
      <c r="M50" s="5" t="str">
        <f aca="false">"SP"</f>
        <v>SP</v>
      </c>
      <c r="N50" s="9" t="n">
        <v>0</v>
      </c>
      <c r="O50" s="10" t="n">
        <v>621.77</v>
      </c>
      <c r="P50" s="10" t="n">
        <v>438.1</v>
      </c>
      <c r="Q50" s="10" t="n">
        <v>0</v>
      </c>
      <c r="R50" s="10" t="n">
        <v>6.67</v>
      </c>
      <c r="S50" s="5" t="str">
        <f aca="false">"Embarque"</f>
        <v>Embarque</v>
      </c>
      <c r="T50" s="5" t="str">
        <f aca="false">"LEMAT REPRES"</f>
        <v>LEMAT REPRES</v>
      </c>
      <c r="U50" s="11" t="n">
        <v>25</v>
      </c>
      <c r="V50" s="5" t="str">
        <f aca="false">""</f>
        <v/>
      </c>
    </row>
    <row r="51" customFormat="false" ht="12.8" hidden="false" customHeight="false" outlineLevel="0" collapsed="false">
      <c r="A51" s="4" t="n">
        <v>206</v>
      </c>
      <c r="B51" s="5" t="str">
        <f aca="false">"PAPAIZ"</f>
        <v>PAPAIZ</v>
      </c>
      <c r="C51" s="6" t="n">
        <v>956358</v>
      </c>
      <c r="D51" s="7" t="n">
        <v>45735</v>
      </c>
      <c r="E51" s="7" t="n">
        <v>45749</v>
      </c>
      <c r="F51" s="7"/>
      <c r="G51" s="7"/>
      <c r="H51" s="7"/>
      <c r="I51" s="5" t="str">
        <f aca="false">""</f>
        <v/>
      </c>
      <c r="J51" s="5" t="str">
        <f aca="false">"SPDPPZ023742"</f>
        <v>SPDPPZ023742</v>
      </c>
      <c r="K51" s="5" t="str">
        <f aca="false">"YOSHIMURA"</f>
        <v>YOSHIMURA</v>
      </c>
      <c r="L51" s="5" t="str">
        <f aca="false">"MATERIAL DE CONSTRUCAO"</f>
        <v>MATERIAL DE CONSTRUCAO</v>
      </c>
      <c r="M51" s="5" t="str">
        <f aca="false">"SP"</f>
        <v>SP</v>
      </c>
      <c r="N51" s="9" t="n">
        <v>243.25</v>
      </c>
      <c r="O51" s="10" t="n">
        <v>297.8</v>
      </c>
      <c r="P51" s="10" t="n">
        <v>216.65</v>
      </c>
      <c r="Q51" s="10" t="n">
        <v>0</v>
      </c>
      <c r="R51" s="10" t="n">
        <v>2.37</v>
      </c>
      <c r="S51" s="5" t="str">
        <f aca="false">"Embarque"</f>
        <v>Embarque</v>
      </c>
      <c r="T51" s="5" t="str">
        <f aca="false">"HANDRES NEW"</f>
        <v>HANDRES NEW</v>
      </c>
      <c r="U51" s="11" t="n">
        <v>25</v>
      </c>
      <c r="V51" s="5" t="str">
        <f aca="false">""</f>
        <v/>
      </c>
    </row>
    <row r="52" customFormat="false" ht="12.8" hidden="false" customHeight="false" outlineLevel="0" collapsed="false">
      <c r="A52" s="4" t="n">
        <v>206</v>
      </c>
      <c r="B52" s="5" t="str">
        <f aca="false">"PAPAIZ"</f>
        <v>PAPAIZ</v>
      </c>
      <c r="C52" s="6" t="n">
        <v>956526</v>
      </c>
      <c r="D52" s="7" t="n">
        <v>45735</v>
      </c>
      <c r="E52" s="7" t="n">
        <v>45750</v>
      </c>
      <c r="F52" s="7"/>
      <c r="G52" s="7"/>
      <c r="H52" s="7"/>
      <c r="I52" s="5" t="str">
        <f aca="false">""</f>
        <v/>
      </c>
      <c r="J52" s="5" t="str">
        <f aca="false">"SPDPPZ023634"</f>
        <v>SPDPPZ023634</v>
      </c>
      <c r="K52" s="5" t="str">
        <f aca="false">"ALPHA ILUMIN"</f>
        <v>ALPHA ILUMIN</v>
      </c>
      <c r="L52" s="5" t="str">
        <f aca="false">"ATACADISTA"</f>
        <v>ATACADISTA</v>
      </c>
      <c r="M52" s="5" t="str">
        <f aca="false">"MG"</f>
        <v>MG</v>
      </c>
      <c r="N52" s="9" t="n">
        <v>0</v>
      </c>
      <c r="O52" s="10" t="n">
        <v>3692</v>
      </c>
      <c r="P52" s="10" t="n">
        <v>2907.45</v>
      </c>
      <c r="Q52" s="10" t="n">
        <v>0</v>
      </c>
      <c r="R52" s="10" t="n">
        <v>20</v>
      </c>
      <c r="S52" s="5" t="str">
        <f aca="false">"Embarque"</f>
        <v>Embarque</v>
      </c>
      <c r="T52" s="5" t="str">
        <f aca="false">"VIVIANE ALVE"</f>
        <v>VIVIANE ALVE</v>
      </c>
      <c r="U52" s="11" t="n">
        <v>25</v>
      </c>
      <c r="V52" s="5" t="str">
        <f aca="false">""</f>
        <v/>
      </c>
    </row>
    <row r="53" customFormat="false" ht="12.8" hidden="false" customHeight="false" outlineLevel="0" collapsed="false">
      <c r="A53" s="4" t="n">
        <v>206</v>
      </c>
      <c r="B53" s="5" t="str">
        <f aca="false">"SILVANA CDSP"</f>
        <v>SILVANA CDSP</v>
      </c>
      <c r="C53" s="6" t="n">
        <v>954827</v>
      </c>
      <c r="D53" s="7" t="n">
        <v>45735</v>
      </c>
      <c r="E53" s="7" t="n">
        <v>45743</v>
      </c>
      <c r="F53" s="7"/>
      <c r="G53" s="7"/>
      <c r="H53" s="7"/>
      <c r="I53" s="5" t="str">
        <f aca="false">""</f>
        <v/>
      </c>
      <c r="J53" s="5" t="str">
        <f aca="false">"SPDSIL020744"</f>
        <v>SPDSIL020744</v>
      </c>
      <c r="K53" s="5" t="str">
        <f aca="false">"S.O.S LAR"</f>
        <v>S.O.S LAR</v>
      </c>
      <c r="L53" s="5" t="str">
        <f aca="false">"MATERIAL DE CONSTRUCAO"</f>
        <v>MATERIAL DE CONSTRUCAO</v>
      </c>
      <c r="M53" s="5" t="str">
        <f aca="false">"SP"</f>
        <v>SP</v>
      </c>
      <c r="N53" s="9" t="n">
        <v>0</v>
      </c>
      <c r="O53" s="10" t="n">
        <v>144.68</v>
      </c>
      <c r="P53" s="10" t="n">
        <v>91.29</v>
      </c>
      <c r="Q53" s="10" t="n">
        <v>0</v>
      </c>
      <c r="R53" s="10" t="n">
        <v>1.24</v>
      </c>
      <c r="S53" s="5" t="str">
        <f aca="false">"Embarque"</f>
        <v>Embarque</v>
      </c>
      <c r="T53" s="5" t="str">
        <f aca="false">"FALCAO"</f>
        <v>FALCAO</v>
      </c>
      <c r="U53" s="11" t="n">
        <v>25</v>
      </c>
      <c r="V53" s="5" t="str">
        <f aca="false">""</f>
        <v/>
      </c>
    </row>
    <row r="54" customFormat="false" ht="12.8" hidden="false" customHeight="false" outlineLevel="0" collapsed="false">
      <c r="A54" s="4" t="n">
        <v>206</v>
      </c>
      <c r="B54" s="5" t="str">
        <f aca="false">"PAPAIZ"</f>
        <v>PAPAIZ</v>
      </c>
      <c r="C54" s="6" t="n">
        <v>956737</v>
      </c>
      <c r="D54" s="7" t="n">
        <v>45736</v>
      </c>
      <c r="E54" s="7" t="n">
        <v>45751</v>
      </c>
      <c r="F54" s="7"/>
      <c r="G54" s="7"/>
      <c r="H54" s="7"/>
      <c r="I54" s="5" t="str">
        <f aca="false">""</f>
        <v/>
      </c>
      <c r="J54" s="5" t="str">
        <f aca="false">"SPDPPZ028296"</f>
        <v>SPDPPZ028296</v>
      </c>
      <c r="K54" s="5" t="str">
        <f aca="false">"OPLIMA 2"</f>
        <v>OPLIMA 2</v>
      </c>
      <c r="L54" s="5" t="str">
        <f aca="false">"MATERIAL DE CONSTRUCAO"</f>
        <v>MATERIAL DE CONSTRUCAO</v>
      </c>
      <c r="M54" s="5" t="str">
        <f aca="false">"PA"</f>
        <v>PA</v>
      </c>
      <c r="N54" s="9" t="n">
        <v>8904.64</v>
      </c>
      <c r="O54" s="10" t="n">
        <v>12588.76</v>
      </c>
      <c r="P54" s="10" t="n">
        <v>10543.09</v>
      </c>
      <c r="Q54" s="10" t="n">
        <v>0</v>
      </c>
      <c r="R54" s="10" t="n">
        <v>96.81</v>
      </c>
      <c r="S54" s="5" t="str">
        <f aca="false">"Embarque"</f>
        <v>Embarque</v>
      </c>
      <c r="T54" s="5" t="str">
        <f aca="false">"Mirus"</f>
        <v>Mirus</v>
      </c>
      <c r="U54" s="11" t="n">
        <v>25</v>
      </c>
      <c r="V54" s="5" t="str">
        <f aca="false">""</f>
        <v/>
      </c>
    </row>
    <row r="55" customFormat="false" ht="12.8" hidden="false" customHeight="false" outlineLevel="0" collapsed="false">
      <c r="A55" s="4" t="n">
        <v>206</v>
      </c>
      <c r="B55" s="5" t="str">
        <f aca="false">"PAPAIZ"</f>
        <v>PAPAIZ</v>
      </c>
      <c r="C55" s="6" t="n">
        <v>951864</v>
      </c>
      <c r="D55" s="7" t="n">
        <v>45736</v>
      </c>
      <c r="E55" s="7" t="n">
        <v>45734</v>
      </c>
      <c r="F55" s="7"/>
      <c r="G55" s="7"/>
      <c r="H55" s="7"/>
      <c r="I55" s="5" t="str">
        <f aca="false">""</f>
        <v/>
      </c>
      <c r="J55" s="8" t="n">
        <v>191081</v>
      </c>
      <c r="K55" s="5" t="str">
        <f aca="false">"NORTEL 12"</f>
        <v>NORTEL 12</v>
      </c>
      <c r="L55" s="5" t="str">
        <f aca="false">"FERRAGISTA"</f>
        <v>FERRAGISTA</v>
      </c>
      <c r="M55" s="5" t="str">
        <f aca="false">"GO"</f>
        <v>GO</v>
      </c>
      <c r="N55" s="9" t="n">
        <v>0</v>
      </c>
      <c r="O55" s="10" t="n">
        <v>2060.3</v>
      </c>
      <c r="P55" s="10" t="n">
        <v>1725.5</v>
      </c>
      <c r="Q55" s="10" t="n">
        <v>0</v>
      </c>
      <c r="R55" s="10" t="n">
        <v>9.9</v>
      </c>
      <c r="S55" s="5" t="str">
        <f aca="false">"Embarque"</f>
        <v>Embarque</v>
      </c>
      <c r="T55" s="5" t="str">
        <f aca="false">"Luiz Carlos"</f>
        <v>Luiz Carlos</v>
      </c>
      <c r="U55" s="11" t="n">
        <v>25</v>
      </c>
      <c r="V55" s="5" t="str">
        <f aca="false">""</f>
        <v/>
      </c>
    </row>
    <row r="56" customFormat="false" ht="12.8" hidden="false" customHeight="false" outlineLevel="0" collapsed="false">
      <c r="A56" s="4" t="n">
        <v>206</v>
      </c>
      <c r="B56" s="5" t="str">
        <f aca="false">"SILVANA CDSP"</f>
        <v>SILVANA CDSP</v>
      </c>
      <c r="C56" s="6" t="n">
        <v>956686</v>
      </c>
      <c r="D56" s="7" t="n">
        <v>45736</v>
      </c>
      <c r="E56" s="7" t="n">
        <v>45751</v>
      </c>
      <c r="F56" s="7"/>
      <c r="G56" s="7"/>
      <c r="H56" s="7"/>
      <c r="I56" s="5" t="str">
        <f aca="false">""</f>
        <v/>
      </c>
      <c r="J56" s="5" t="str">
        <f aca="false">"TWEB00004206"</f>
        <v>TWEB00004206</v>
      </c>
      <c r="K56" s="5" t="str">
        <f aca="false">"AS ARTEFATO"</f>
        <v>AS ARTEFATO</v>
      </c>
      <c r="L56" s="5" t="str">
        <f aca="false">"WEBSHOP"</f>
        <v>WEBSHOP</v>
      </c>
      <c r="M56" s="5" t="str">
        <f aca="false">"SP"</f>
        <v>SP</v>
      </c>
      <c r="N56" s="9" t="n">
        <v>0</v>
      </c>
      <c r="O56" s="10" t="n">
        <v>930.48</v>
      </c>
      <c r="P56" s="10" t="n">
        <v>531.5</v>
      </c>
      <c r="Q56" s="10" t="n">
        <v>0</v>
      </c>
      <c r="R56" s="10" t="n">
        <v>27.26</v>
      </c>
      <c r="S56" s="5" t="str">
        <f aca="false">"Embarque"</f>
        <v>Embarque</v>
      </c>
      <c r="T56" s="5" t="str">
        <f aca="false">"GUSTAVO FRAN"</f>
        <v>GUSTAVO FRAN</v>
      </c>
      <c r="U56" s="11" t="n">
        <v>13</v>
      </c>
      <c r="V56" s="15" t="n">
        <v>3216636</v>
      </c>
    </row>
    <row r="57" customFormat="false" ht="12.8" hidden="false" customHeight="false" outlineLevel="0" collapsed="false">
      <c r="A57" s="4" t="n">
        <v>206</v>
      </c>
      <c r="B57" s="5" t="str">
        <f aca="false">"SILVANA CDSP"</f>
        <v>SILVANA CDSP</v>
      </c>
      <c r="C57" s="6" t="n">
        <v>955612</v>
      </c>
      <c r="D57" s="7" t="n">
        <v>45736</v>
      </c>
      <c r="E57" s="7" t="n">
        <v>45746</v>
      </c>
      <c r="F57" s="7"/>
      <c r="G57" s="7"/>
      <c r="H57" s="7"/>
      <c r="I57" s="5" t="str">
        <f aca="false">""</f>
        <v/>
      </c>
      <c r="J57" s="15" t="n">
        <v>84595</v>
      </c>
      <c r="K57" s="5" t="str">
        <f aca="false">"Upside"</f>
        <v>Upside</v>
      </c>
      <c r="L57" s="5" t="str">
        <f aca="false">"ATACADISTA"</f>
        <v>ATACADISTA</v>
      </c>
      <c r="M57" s="5" t="str">
        <f aca="false">"MG"</f>
        <v>MG</v>
      </c>
      <c r="N57" s="9" t="n">
        <v>348.48</v>
      </c>
      <c r="O57" s="10" t="n">
        <v>413.26</v>
      </c>
      <c r="P57" s="10" t="n">
        <v>278.21</v>
      </c>
      <c r="Q57" s="10" t="n">
        <v>0</v>
      </c>
      <c r="R57" s="10" t="n">
        <v>2.5</v>
      </c>
      <c r="S57" s="5" t="str">
        <f aca="false">"Embarque"</f>
        <v>Embarque</v>
      </c>
      <c r="T57" s="5" t="str">
        <f aca="false">"LUIZ LIMA"</f>
        <v>LUIZ LIMA</v>
      </c>
      <c r="U57" s="11" t="n">
        <v>25</v>
      </c>
      <c r="V57" s="5" t="str">
        <f aca="false">""</f>
        <v/>
      </c>
    </row>
    <row r="58" customFormat="false" ht="12.8" hidden="false" customHeight="false" outlineLevel="0" collapsed="false">
      <c r="A58" s="4" t="n">
        <v>206</v>
      </c>
      <c r="B58" s="5" t="str">
        <f aca="false">"PAPAIZ"</f>
        <v>PAPAIZ</v>
      </c>
      <c r="C58" s="6" t="n">
        <v>955598</v>
      </c>
      <c r="D58" s="7" t="n">
        <v>45736</v>
      </c>
      <c r="E58" s="7" t="n">
        <v>45746</v>
      </c>
      <c r="F58" s="7"/>
      <c r="G58" s="7"/>
      <c r="H58" s="7"/>
      <c r="I58" s="5" t="str">
        <f aca="false">""</f>
        <v/>
      </c>
      <c r="J58" s="5" t="str">
        <f aca="false">"SPDPPZ025976"</f>
        <v>SPDPPZ025976</v>
      </c>
      <c r="K58" s="5" t="str">
        <f aca="false">"H P COM"</f>
        <v>H P COM</v>
      </c>
      <c r="L58" s="5" t="str">
        <f aca="false">"MATERIAL DE CONSTRUCAO"</f>
        <v>MATERIAL DE CONSTRUCAO</v>
      </c>
      <c r="M58" s="5" t="str">
        <f aca="false">"PA"</f>
        <v>PA</v>
      </c>
      <c r="N58" s="9" t="n">
        <v>0</v>
      </c>
      <c r="O58" s="10" t="n">
        <v>382.56</v>
      </c>
      <c r="P58" s="10" t="n">
        <v>258.89</v>
      </c>
      <c r="Q58" s="10" t="n">
        <v>0</v>
      </c>
      <c r="R58" s="10" t="n">
        <v>2.63</v>
      </c>
      <c r="S58" s="5" t="str">
        <f aca="false">"Embarque"</f>
        <v>Embarque</v>
      </c>
      <c r="T58" s="5" t="str">
        <f aca="false">"POMBO REPRES"</f>
        <v>POMBO REPRES</v>
      </c>
      <c r="U58" s="11" t="n">
        <v>25</v>
      </c>
      <c r="V58" s="5" t="str">
        <f aca="false">""</f>
        <v/>
      </c>
    </row>
    <row r="59" customFormat="false" ht="12.8" hidden="false" customHeight="false" outlineLevel="0" collapsed="false">
      <c r="A59" s="4" t="n">
        <v>206</v>
      </c>
      <c r="B59" s="5" t="str">
        <f aca="false">"SILVANA CDSP"</f>
        <v>SILVANA CDSP</v>
      </c>
      <c r="C59" s="6" t="n">
        <v>953305</v>
      </c>
      <c r="D59" s="7" t="n">
        <v>45736</v>
      </c>
      <c r="E59" s="7" t="n">
        <v>45740</v>
      </c>
      <c r="F59" s="7"/>
      <c r="G59" s="7"/>
      <c r="H59" s="7"/>
      <c r="I59" s="5" t="str">
        <f aca="false">""</f>
        <v/>
      </c>
      <c r="J59" s="5" t="str">
        <f aca="false">"SPDSIL020821"</f>
        <v>SPDSIL020821</v>
      </c>
      <c r="K59" s="5" t="str">
        <f aca="false">"T TORRES MAT"</f>
        <v>T TORRES MAT</v>
      </c>
      <c r="L59" s="5" t="str">
        <f aca="false">"MATERIAL DE CONSTRUCAO"</f>
        <v>MATERIAL DE CONSTRUCAO</v>
      </c>
      <c r="M59" s="5" t="str">
        <f aca="false">"SP"</f>
        <v>SP</v>
      </c>
      <c r="N59" s="9" t="n">
        <v>0</v>
      </c>
      <c r="O59" s="10" t="n">
        <v>186.79</v>
      </c>
      <c r="P59" s="10" t="n">
        <v>117.86</v>
      </c>
      <c r="Q59" s="10" t="n">
        <v>0</v>
      </c>
      <c r="R59" s="10" t="n">
        <v>4.13</v>
      </c>
      <c r="S59" s="5" t="str">
        <f aca="false">"Embarque"</f>
        <v>Embarque</v>
      </c>
      <c r="T59" s="5" t="str">
        <f aca="false">"M SILVA REPR"</f>
        <v>M SILVA REPR</v>
      </c>
      <c r="U59" s="11" t="n">
        <v>25</v>
      </c>
      <c r="V59" s="5" t="str">
        <f aca="false">""</f>
        <v/>
      </c>
    </row>
    <row r="60" customFormat="false" ht="12.8" hidden="false" customHeight="false" outlineLevel="0" collapsed="false">
      <c r="A60" s="4" t="n">
        <v>206</v>
      </c>
      <c r="B60" s="5" t="str">
        <f aca="false">"SILVANA CDSP"</f>
        <v>SILVANA CDSP</v>
      </c>
      <c r="C60" s="6" t="n">
        <v>953206</v>
      </c>
      <c r="D60" s="7" t="n">
        <v>45737</v>
      </c>
      <c r="E60" s="7" t="n">
        <v>45739</v>
      </c>
      <c r="F60" s="7"/>
      <c r="G60" s="7"/>
      <c r="H60" s="7"/>
      <c r="I60" s="5" t="str">
        <f aca="false">""</f>
        <v/>
      </c>
      <c r="J60" s="5" t="str">
        <f aca="false">"SPDSIL020894"</f>
        <v>SPDSIL020894</v>
      </c>
      <c r="K60" s="5" t="str">
        <f aca="false">"CASA LIMA IT"</f>
        <v>CASA LIMA IT</v>
      </c>
      <c r="L60" s="5" t="str">
        <f aca="false">"MATERIAL DE CONSTRUCAO"</f>
        <v>MATERIAL DE CONSTRUCAO</v>
      </c>
      <c r="M60" s="5" t="str">
        <f aca="false">"SP"</f>
        <v>SP</v>
      </c>
      <c r="N60" s="9" t="n">
        <v>0</v>
      </c>
      <c r="O60" s="10" t="n">
        <v>186.79</v>
      </c>
      <c r="P60" s="10" t="n">
        <v>117.86</v>
      </c>
      <c r="Q60" s="10" t="n">
        <v>0</v>
      </c>
      <c r="R60" s="10" t="n">
        <v>4.13</v>
      </c>
      <c r="S60" s="5" t="str">
        <f aca="false">"Embarque"</f>
        <v>Embarque</v>
      </c>
      <c r="T60" s="5" t="str">
        <f aca="false">"M SILVA REPR"</f>
        <v>M SILVA REPR</v>
      </c>
      <c r="U60" s="11" t="n">
        <v>25</v>
      </c>
      <c r="V60" s="5" t="str">
        <f aca="false">""</f>
        <v/>
      </c>
    </row>
    <row r="61" customFormat="false" ht="12.8" hidden="false" customHeight="false" outlineLevel="0" collapsed="false">
      <c r="A61" s="4" t="n">
        <v>206</v>
      </c>
      <c r="B61" s="5" t="str">
        <f aca="false">"PAPAIZ"</f>
        <v>PAPAIZ</v>
      </c>
      <c r="C61" s="6" t="n">
        <v>956577</v>
      </c>
      <c r="D61" s="7" t="n">
        <v>45737</v>
      </c>
      <c r="E61" s="7" t="n">
        <v>45750</v>
      </c>
      <c r="F61" s="7"/>
      <c r="G61" s="7"/>
      <c r="H61" s="7"/>
      <c r="I61" s="5" t="str">
        <f aca="false">""</f>
        <v/>
      </c>
      <c r="J61" s="5" t="str">
        <f aca="false">"SPDPPZ026791"</f>
        <v>SPDPPZ026791</v>
      </c>
      <c r="K61" s="5" t="str">
        <f aca="false">"CASATINTAS"</f>
        <v>CASATINTAS</v>
      </c>
      <c r="L61" s="5" t="str">
        <f aca="false">"MATERIAL DE CONSTRUCAO"</f>
        <v>MATERIAL DE CONSTRUCAO</v>
      </c>
      <c r="M61" s="5" t="str">
        <f aca="false">"PA"</f>
        <v>PA</v>
      </c>
      <c r="N61" s="9" t="n">
        <v>277.98</v>
      </c>
      <c r="O61" s="10" t="n">
        <v>340.32</v>
      </c>
      <c r="P61" s="10" t="n">
        <v>285.02</v>
      </c>
      <c r="Q61" s="10" t="n">
        <v>0</v>
      </c>
      <c r="R61" s="10" t="n">
        <v>2.84</v>
      </c>
      <c r="S61" s="5" t="str">
        <f aca="false">"Embarque"</f>
        <v>Embarque</v>
      </c>
      <c r="T61" s="5" t="str">
        <f aca="false">"POMBO REPRES"</f>
        <v>POMBO REPRES</v>
      </c>
      <c r="U61" s="11" t="n">
        <v>25</v>
      </c>
      <c r="V61" s="5" t="str">
        <f aca="false">""</f>
        <v/>
      </c>
    </row>
    <row r="62" customFormat="false" ht="12.8" hidden="false" customHeight="false" outlineLevel="0" collapsed="false">
      <c r="A62" s="4" t="n">
        <v>206</v>
      </c>
      <c r="B62" s="5" t="str">
        <f aca="false">"PAPAIZ"</f>
        <v>PAPAIZ</v>
      </c>
      <c r="C62" s="6" t="n">
        <v>956587</v>
      </c>
      <c r="D62" s="7" t="n">
        <v>45737</v>
      </c>
      <c r="E62" s="7" t="n">
        <v>45750</v>
      </c>
      <c r="F62" s="7"/>
      <c r="G62" s="7"/>
      <c r="H62" s="7"/>
      <c r="I62" s="5" t="str">
        <f aca="false">""</f>
        <v/>
      </c>
      <c r="J62" s="5" t="str">
        <f aca="false">"SPDPPZ027575"</f>
        <v>SPDPPZ027575</v>
      </c>
      <c r="K62" s="5" t="str">
        <f aca="false">"D V TEIXEI"</f>
        <v>D V TEIXEI</v>
      </c>
      <c r="L62" s="5" t="str">
        <f aca="false">"FERRAGISTA"</f>
        <v>FERRAGISTA</v>
      </c>
      <c r="M62" s="5" t="str">
        <f aca="false">"RS"</f>
        <v>RS</v>
      </c>
      <c r="N62" s="9" t="n">
        <v>0</v>
      </c>
      <c r="O62" s="10" t="n">
        <v>2122.42</v>
      </c>
      <c r="P62" s="10" t="n">
        <v>1357.26</v>
      </c>
      <c r="Q62" s="10" t="n">
        <v>0</v>
      </c>
      <c r="R62" s="10" t="n">
        <v>12.51</v>
      </c>
      <c r="S62" s="5" t="str">
        <f aca="false">"Embarque"</f>
        <v>Embarque</v>
      </c>
      <c r="T62" s="5" t="str">
        <f aca="false">"BARSE REPRES"</f>
        <v>BARSE REPRES</v>
      </c>
      <c r="U62" s="11" t="n">
        <v>25</v>
      </c>
      <c r="V62" s="5" t="str">
        <f aca="false">""</f>
        <v/>
      </c>
    </row>
    <row r="63" customFormat="false" ht="12.8" hidden="false" customHeight="false" outlineLevel="0" collapsed="false">
      <c r="A63" s="4" t="n">
        <v>206</v>
      </c>
      <c r="B63" s="5" t="str">
        <f aca="false">"PAPAIZ"</f>
        <v>PAPAIZ</v>
      </c>
      <c r="C63" s="6" t="n">
        <v>954867</v>
      </c>
      <c r="D63" s="7" t="n">
        <v>45740</v>
      </c>
      <c r="E63" s="7" t="n">
        <v>45743</v>
      </c>
      <c r="F63" s="7"/>
      <c r="G63" s="7"/>
      <c r="H63" s="7"/>
      <c r="I63" s="5" t="str">
        <f aca="false">""</f>
        <v/>
      </c>
      <c r="J63" s="5" t="str">
        <f aca="false">"SPDPPZ027121"</f>
        <v>SPDPPZ027121</v>
      </c>
      <c r="K63" s="5" t="str">
        <f aca="false">"R S COM."</f>
        <v>R S COM.</v>
      </c>
      <c r="L63" s="5" t="str">
        <f aca="false">"FERRAGISTA"</f>
        <v>FERRAGISTA</v>
      </c>
      <c r="M63" s="5" t="str">
        <f aca="false">"RJ"</f>
        <v>RJ</v>
      </c>
      <c r="N63" s="9" t="n">
        <v>670.84</v>
      </c>
      <c r="O63" s="10" t="n">
        <v>326.42</v>
      </c>
      <c r="P63" s="10" t="n">
        <v>203.65</v>
      </c>
      <c r="Q63" s="10" t="n">
        <v>0</v>
      </c>
      <c r="R63" s="10" t="n">
        <v>0.73</v>
      </c>
      <c r="S63" s="5" t="str">
        <f aca="false">"Embarque"</f>
        <v>Embarque</v>
      </c>
      <c r="T63" s="5" t="str">
        <f aca="false">"PINHEIRO REP"</f>
        <v>PINHEIRO REP</v>
      </c>
      <c r="U63" s="11" t="n">
        <v>25</v>
      </c>
      <c r="V63" s="5" t="str">
        <f aca="false">""</f>
        <v/>
      </c>
    </row>
    <row r="64" customFormat="false" ht="12.8" hidden="false" customHeight="false" outlineLevel="0" collapsed="false">
      <c r="A64" s="4" t="n">
        <v>206</v>
      </c>
      <c r="B64" s="5" t="str">
        <f aca="false">"PAPAIZ"</f>
        <v>PAPAIZ</v>
      </c>
      <c r="C64" s="6" t="n">
        <v>953453</v>
      </c>
      <c r="D64" s="7" t="n">
        <v>45741</v>
      </c>
      <c r="E64" s="7" t="n">
        <v>45740</v>
      </c>
      <c r="F64" s="7"/>
      <c r="G64" s="7"/>
      <c r="H64" s="7"/>
      <c r="I64" s="5" t="str">
        <f aca="false">""</f>
        <v/>
      </c>
      <c r="J64" s="16" t="n">
        <v>-144074</v>
      </c>
      <c r="K64" s="5" t="str">
        <f aca="false">"CADEL MATS"</f>
        <v>CADEL MATS</v>
      </c>
      <c r="L64" s="5" t="str">
        <f aca="false">"MATERIAL DE CONSTRUCAO"</f>
        <v>MATERIAL DE CONSTRUCAO</v>
      </c>
      <c r="M64" s="5" t="str">
        <f aca="false">"RJ"</f>
        <v>RJ</v>
      </c>
      <c r="N64" s="9" t="n">
        <v>173.82</v>
      </c>
      <c r="O64" s="10" t="n">
        <v>1082.15</v>
      </c>
      <c r="P64" s="10" t="n">
        <v>702.36</v>
      </c>
      <c r="Q64" s="10" t="n">
        <v>0</v>
      </c>
      <c r="R64" s="10" t="n">
        <v>4.25</v>
      </c>
      <c r="S64" s="5" t="str">
        <f aca="false">"Embarque"</f>
        <v>Embarque</v>
      </c>
      <c r="T64" s="5" t="str">
        <f aca="false">"A S F SERRAN"</f>
        <v>A S F SERRAN</v>
      </c>
      <c r="U64" s="11" t="n">
        <v>25</v>
      </c>
      <c r="V64" s="5" t="str">
        <f aca="false">""</f>
        <v/>
      </c>
    </row>
    <row r="65" customFormat="false" ht="12.8" hidden="false" customHeight="false" outlineLevel="0" collapsed="false">
      <c r="A65" s="4" t="n">
        <v>206</v>
      </c>
      <c r="B65" s="5" t="str">
        <f aca="false">"SILVANA CDSP"</f>
        <v>SILVANA CDSP</v>
      </c>
      <c r="C65" s="6" t="n">
        <v>956025</v>
      </c>
      <c r="D65" s="7" t="n">
        <v>45741</v>
      </c>
      <c r="E65" s="7" t="n">
        <v>45748</v>
      </c>
      <c r="F65" s="7"/>
      <c r="G65" s="7"/>
      <c r="H65" s="7"/>
      <c r="I65" s="5" t="str">
        <f aca="false">""</f>
        <v/>
      </c>
      <c r="J65" s="5" t="str">
        <f aca="false">"44.320"</f>
        <v>44.320</v>
      </c>
      <c r="K65" s="5" t="str">
        <f aca="false">"DMC ATACADO"</f>
        <v>DMC ATACADO</v>
      </c>
      <c r="L65" s="5" t="str">
        <f aca="false">"ATACADISTA"</f>
        <v>ATACADISTA</v>
      </c>
      <c r="M65" s="5" t="str">
        <f aca="false">"DF"</f>
        <v>DF</v>
      </c>
      <c r="N65" s="9" t="n">
        <v>834.91</v>
      </c>
      <c r="O65" s="10" t="n">
        <v>505.35</v>
      </c>
      <c r="P65" s="10" t="n">
        <v>413.96</v>
      </c>
      <c r="Q65" s="10" t="n">
        <v>0</v>
      </c>
      <c r="R65" s="10" t="n">
        <v>15</v>
      </c>
      <c r="S65" s="5" t="str">
        <f aca="false">"Embarque"</f>
        <v>Embarque</v>
      </c>
      <c r="T65" s="5" t="str">
        <f aca="false">"EGO"</f>
        <v>EGO</v>
      </c>
      <c r="U65" s="11" t="n">
        <v>25</v>
      </c>
      <c r="V65" s="5" t="str">
        <f aca="false">""</f>
        <v/>
      </c>
    </row>
    <row r="66" customFormat="false" ht="12.8" hidden="false" customHeight="false" outlineLevel="0" collapsed="false">
      <c r="A66" s="4" t="n">
        <v>206</v>
      </c>
      <c r="B66" s="5" t="str">
        <f aca="false">"SILVANA CDSP"</f>
        <v>SILVANA CDSP</v>
      </c>
      <c r="C66" s="6" t="n">
        <v>954421</v>
      </c>
      <c r="D66" s="7" t="n">
        <v>45741</v>
      </c>
      <c r="E66" s="7" t="n">
        <v>45743</v>
      </c>
      <c r="F66" s="7"/>
      <c r="G66" s="7"/>
      <c r="H66" s="7"/>
      <c r="I66" s="5" t="str">
        <f aca="false">""</f>
        <v/>
      </c>
      <c r="J66" s="5" t="str">
        <f aca="false">"44.323"</f>
        <v>44.323</v>
      </c>
      <c r="K66" s="5" t="str">
        <f aca="false">"DMC ATACADAO"</f>
        <v>DMC ATACADAO</v>
      </c>
      <c r="L66" s="5" t="str">
        <f aca="false">"ATACADISTA"</f>
        <v>ATACADISTA</v>
      </c>
      <c r="M66" s="5" t="str">
        <f aca="false">"DF"</f>
        <v>DF</v>
      </c>
      <c r="N66" s="9" t="n">
        <v>910.92</v>
      </c>
      <c r="O66" s="10" t="n">
        <v>324</v>
      </c>
      <c r="P66" s="10" t="n">
        <v>271.35</v>
      </c>
      <c r="Q66" s="10" t="n">
        <v>0</v>
      </c>
      <c r="R66" s="10" t="n">
        <v>8.26</v>
      </c>
      <c r="S66" s="5" t="str">
        <f aca="false">"Embarque"</f>
        <v>Embarque</v>
      </c>
      <c r="T66" s="5" t="str">
        <f aca="false">"EGO"</f>
        <v>EGO</v>
      </c>
      <c r="U66" s="11" t="n">
        <v>25</v>
      </c>
      <c r="V66" s="5" t="str">
        <f aca="false">""</f>
        <v/>
      </c>
    </row>
    <row r="67" customFormat="false" ht="12.8" hidden="false" customHeight="false" outlineLevel="0" collapsed="false">
      <c r="A67" s="4" t="n">
        <v>206</v>
      </c>
      <c r="B67" s="5" t="str">
        <f aca="false">"LA FONTE"</f>
        <v>LA FONTE</v>
      </c>
      <c r="C67" s="6" t="n">
        <v>955690</v>
      </c>
      <c r="D67" s="7" t="n">
        <v>45741</v>
      </c>
      <c r="E67" s="7" t="n">
        <v>45747</v>
      </c>
      <c r="F67" s="7"/>
      <c r="G67" s="7"/>
      <c r="H67" s="7"/>
      <c r="I67" s="5" t="str">
        <f aca="false">""</f>
        <v/>
      </c>
      <c r="J67" s="5" t="str">
        <f aca="false">"SPDLFT004686"</f>
        <v>SPDLFT004686</v>
      </c>
      <c r="K67" s="5" t="str">
        <f aca="false">"NOVALTERNATI"</f>
        <v>NOVALTERNATI</v>
      </c>
      <c r="L67" s="5" t="str">
        <f aca="false">"CONSTRUTORA"</f>
        <v>CONSTRUTORA</v>
      </c>
      <c r="M67" s="5" t="str">
        <f aca="false">"RS"</f>
        <v>RS</v>
      </c>
      <c r="N67" s="9" t="n">
        <v>1202.52</v>
      </c>
      <c r="O67" s="10" t="n">
        <v>418.81</v>
      </c>
      <c r="P67" s="10" t="n">
        <v>286.09</v>
      </c>
      <c r="Q67" s="10" t="n">
        <v>0</v>
      </c>
      <c r="R67" s="10" t="n">
        <v>1.05</v>
      </c>
      <c r="S67" s="5" t="str">
        <f aca="false">"Embarque"</f>
        <v>Embarque</v>
      </c>
      <c r="T67" s="5" t="str">
        <f aca="false">"K&amp;S REPRESEN"</f>
        <v>K&amp;S REPRESEN</v>
      </c>
      <c r="U67" s="11" t="n">
        <v>25</v>
      </c>
      <c r="V67" s="5" t="str">
        <f aca="false">""</f>
        <v/>
      </c>
    </row>
    <row r="68" customFormat="false" ht="12.8" hidden="false" customHeight="false" outlineLevel="0" collapsed="false">
      <c r="A68" s="4" t="n">
        <v>206</v>
      </c>
      <c r="B68" s="5" t="str">
        <f aca="false">"SILVANA CDSP"</f>
        <v>SILVANA CDSP</v>
      </c>
      <c r="C68" s="6" t="n">
        <v>956346</v>
      </c>
      <c r="D68" s="7" t="n">
        <v>45742</v>
      </c>
      <c r="E68" s="7" t="n">
        <v>45749</v>
      </c>
      <c r="F68" s="7"/>
      <c r="G68" s="7"/>
      <c r="H68" s="7"/>
      <c r="I68" s="5" t="str">
        <f aca="false">""</f>
        <v/>
      </c>
      <c r="J68" s="5" t="str">
        <f aca="false">"83SFGAVH"</f>
        <v>83SFGAVH</v>
      </c>
      <c r="K68" s="5" t="str">
        <f aca="false">"AMAZON SERVI"</f>
        <v>AMAZON SERVI</v>
      </c>
      <c r="L68" s="5" t="str">
        <f aca="false">"WEBSHOP"</f>
        <v>WEBSHOP</v>
      </c>
      <c r="M68" s="5" t="str">
        <f aca="false">"SP"</f>
        <v>SP</v>
      </c>
      <c r="N68" s="9" t="n">
        <v>269.32</v>
      </c>
      <c r="O68" s="10" t="n">
        <v>388.77</v>
      </c>
      <c r="P68" s="10" t="n">
        <v>282.83</v>
      </c>
      <c r="Q68" s="10" t="n">
        <v>0</v>
      </c>
      <c r="R68" s="10" t="n">
        <v>3.33</v>
      </c>
      <c r="S68" s="5" t="str">
        <f aca="false">"Embarque"</f>
        <v>Embarque</v>
      </c>
      <c r="T68" s="5" t="str">
        <f aca="false">"LARISSA NELO"</f>
        <v>LARISSA NELO</v>
      </c>
      <c r="U68" s="11" t="n">
        <v>25</v>
      </c>
      <c r="V68" s="5" t="str">
        <f aca="false">""</f>
        <v/>
      </c>
    </row>
    <row r="69" customFormat="false" ht="12.8" hidden="false" customHeight="false" outlineLevel="0" collapsed="false">
      <c r="A69" s="4" t="n">
        <v>206</v>
      </c>
      <c r="B69" s="5" t="str">
        <f aca="false">"METALIKA"</f>
        <v>METALIKA</v>
      </c>
      <c r="C69" s="6" t="n">
        <v>956656</v>
      </c>
      <c r="D69" s="7" t="n">
        <v>45742</v>
      </c>
      <c r="E69" s="7" t="n">
        <v>45750</v>
      </c>
      <c r="F69" s="7"/>
      <c r="G69" s="7"/>
      <c r="H69" s="7"/>
      <c r="I69" s="5" t="str">
        <f aca="false">""</f>
        <v/>
      </c>
      <c r="J69" s="5" t="str">
        <f aca="false">"SPDMET001429"</f>
        <v>SPDMET001429</v>
      </c>
      <c r="K69" s="5" t="str">
        <f aca="false">"PLANO SAO FR"</f>
        <v>PLANO SAO FR</v>
      </c>
      <c r="L69" s="5" t="str">
        <f aca="false">"CONSTRUTORA"</f>
        <v>CONSTRUTORA</v>
      </c>
      <c r="M69" s="5" t="str">
        <f aca="false">"SP"</f>
        <v>SP</v>
      </c>
      <c r="N69" s="9" t="n">
        <v>0</v>
      </c>
      <c r="O69" s="10" t="n">
        <v>60.03</v>
      </c>
      <c r="P69" s="10" t="n">
        <v>43.67</v>
      </c>
      <c r="Q69" s="10" t="n">
        <v>0</v>
      </c>
      <c r="R69" s="10" t="n">
        <v>1.2</v>
      </c>
      <c r="S69" s="5" t="str">
        <f aca="false">"Embarque"</f>
        <v>Embarque</v>
      </c>
      <c r="T69" s="5" t="str">
        <f aca="false">"LEMAT REPRES"</f>
        <v>LEMAT REPRES</v>
      </c>
      <c r="U69" s="11" t="n">
        <v>25</v>
      </c>
      <c r="V69" s="5" t="str">
        <f aca="false">""</f>
        <v/>
      </c>
    </row>
    <row r="70" customFormat="false" ht="12.8" hidden="false" customHeight="false" outlineLevel="0" collapsed="false">
      <c r="A70" s="4" t="n">
        <v>206</v>
      </c>
      <c r="B70" s="5" t="str">
        <f aca="false">"SILVANA CDSP"</f>
        <v>SILVANA CDSP</v>
      </c>
      <c r="C70" s="6" t="n">
        <v>956348</v>
      </c>
      <c r="D70" s="7" t="n">
        <v>45742</v>
      </c>
      <c r="E70" s="7" t="n">
        <v>45749</v>
      </c>
      <c r="F70" s="7"/>
      <c r="G70" s="7"/>
      <c r="H70" s="7"/>
      <c r="I70" s="5" t="str">
        <f aca="false">""</f>
        <v/>
      </c>
      <c r="J70" s="5" t="str">
        <f aca="false">"2FCCX3JT"</f>
        <v>2FCCX3JT</v>
      </c>
      <c r="K70" s="5" t="str">
        <f aca="false">"AMAZON SERVI"</f>
        <v>AMAZON SERVI</v>
      </c>
      <c r="L70" s="5" t="str">
        <f aca="false">"WEBSHOP"</f>
        <v>WEBSHOP</v>
      </c>
      <c r="M70" s="5" t="str">
        <f aca="false">"SP"</f>
        <v>SP</v>
      </c>
      <c r="N70" s="9" t="n">
        <v>2956.67</v>
      </c>
      <c r="O70" s="10" t="n">
        <v>2549.85</v>
      </c>
      <c r="P70" s="10" t="n">
        <v>1828.03</v>
      </c>
      <c r="Q70" s="10" t="n">
        <v>0</v>
      </c>
      <c r="R70" s="10" t="n">
        <v>28</v>
      </c>
      <c r="S70" s="5" t="str">
        <f aca="false">"Embarque"</f>
        <v>Embarque</v>
      </c>
      <c r="T70" s="5" t="str">
        <f aca="false">"LARISSA NELO"</f>
        <v>LARISSA NELO</v>
      </c>
      <c r="U70" s="11" t="n">
        <v>25</v>
      </c>
      <c r="V70" s="5" t="str">
        <f aca="false">""</f>
        <v/>
      </c>
    </row>
    <row r="71" customFormat="false" ht="12.8" hidden="false" customHeight="false" outlineLevel="0" collapsed="false">
      <c r="A71" s="4" t="n">
        <v>206</v>
      </c>
      <c r="B71" s="5" t="str">
        <f aca="false">"PAPAIZ"</f>
        <v>PAPAIZ</v>
      </c>
      <c r="C71" s="6" t="n">
        <v>956429</v>
      </c>
      <c r="D71" s="7" t="n">
        <v>45743</v>
      </c>
      <c r="E71" s="7" t="n">
        <v>45750</v>
      </c>
      <c r="F71" s="7"/>
      <c r="G71" s="7"/>
      <c r="H71" s="7"/>
      <c r="I71" s="5" t="str">
        <f aca="false">""</f>
        <v/>
      </c>
      <c r="J71" s="5" t="str">
        <f aca="false">"SPDPPZ024194"</f>
        <v>SPDPPZ024194</v>
      </c>
      <c r="K71" s="5" t="str">
        <f aca="false">"SALES MELO"</f>
        <v>SALES MELO</v>
      </c>
      <c r="L71" s="5" t="str">
        <f aca="false">"MATERIAL DE CONSTRUCAO"</f>
        <v>MATERIAL DE CONSTRUCAO</v>
      </c>
      <c r="M71" s="5" t="str">
        <f aca="false">"PA"</f>
        <v>PA</v>
      </c>
      <c r="N71" s="9" t="n">
        <v>0</v>
      </c>
      <c r="O71" s="10" t="n">
        <v>403.2</v>
      </c>
      <c r="P71" s="10" t="n">
        <v>337.68</v>
      </c>
      <c r="Q71" s="10" t="n">
        <v>0</v>
      </c>
      <c r="R71" s="10" t="n">
        <v>3.72</v>
      </c>
      <c r="S71" s="5" t="str">
        <f aca="false">"Embarque"</f>
        <v>Embarque</v>
      </c>
      <c r="T71" s="5" t="str">
        <f aca="false">"Mirus"</f>
        <v>Mirus</v>
      </c>
      <c r="U71" s="11" t="n">
        <v>25</v>
      </c>
      <c r="V71" s="5" t="str">
        <f aca="false">""</f>
        <v/>
      </c>
    </row>
    <row r="72" customFormat="false" ht="12.8" hidden="false" customHeight="false" outlineLevel="0" collapsed="false">
      <c r="A72" s="4" t="n">
        <v>206</v>
      </c>
      <c r="B72" s="5" t="str">
        <f aca="false">"SILVANA CDSP"</f>
        <v>SILVANA CDSP</v>
      </c>
      <c r="C72" s="6" t="n">
        <v>956708</v>
      </c>
      <c r="D72" s="7" t="n">
        <v>45743</v>
      </c>
      <c r="E72" s="7" t="n">
        <v>45751</v>
      </c>
      <c r="F72" s="7"/>
      <c r="G72" s="7"/>
      <c r="H72" s="7"/>
      <c r="I72" s="5" t="str">
        <f aca="false">""</f>
        <v/>
      </c>
      <c r="J72" s="12" t="n">
        <v>32677</v>
      </c>
      <c r="K72" s="5" t="str">
        <f aca="false">"RR PARAFUSOS"</f>
        <v>RR PARAFUSOS</v>
      </c>
      <c r="L72" s="5" t="str">
        <f aca="false">"FERRAGISTA"</f>
        <v>FERRAGISTA</v>
      </c>
      <c r="M72" s="5" t="str">
        <f aca="false">"SP"</f>
        <v>SP</v>
      </c>
      <c r="N72" s="9" t="n">
        <v>0</v>
      </c>
      <c r="O72" s="10" t="n">
        <v>70.17</v>
      </c>
      <c r="P72" s="10" t="n">
        <v>40.09</v>
      </c>
      <c r="Q72" s="10" t="n">
        <v>0</v>
      </c>
      <c r="R72" s="10" t="n">
        <v>1.92</v>
      </c>
      <c r="S72" s="5" t="str">
        <f aca="false">"Embarque"</f>
        <v>Embarque</v>
      </c>
      <c r="T72" s="5" t="str">
        <f aca="false">"HERCULES RIO"</f>
        <v>HERCULES RIO</v>
      </c>
      <c r="U72" s="11" t="n">
        <v>25</v>
      </c>
      <c r="V72" s="5" t="str">
        <f aca="false">""</f>
        <v/>
      </c>
    </row>
    <row r="73" customFormat="false" ht="12.8" hidden="false" customHeight="false" outlineLevel="0" collapsed="false">
      <c r="A73" s="4" t="n">
        <v>206</v>
      </c>
      <c r="B73" s="5" t="str">
        <f aca="false">"PAPAIZ"</f>
        <v>PAPAIZ</v>
      </c>
      <c r="C73" s="6" t="n">
        <v>956424</v>
      </c>
      <c r="D73" s="7" t="n">
        <v>45743</v>
      </c>
      <c r="E73" s="7" t="n">
        <v>45750</v>
      </c>
      <c r="F73" s="7"/>
      <c r="G73" s="7"/>
      <c r="H73" s="7"/>
      <c r="I73" s="5" t="str">
        <f aca="false">""</f>
        <v/>
      </c>
      <c r="J73" s="5" t="str">
        <f aca="false">"SPDPPZ028134"</f>
        <v>SPDPPZ028134</v>
      </c>
      <c r="K73" s="5" t="str">
        <f aca="false">"PMC CENTRO D"</f>
        <v>PMC CENTRO D</v>
      </c>
      <c r="L73" s="5" t="str">
        <f aca="false">"ATACADISTA"</f>
        <v>ATACADISTA</v>
      </c>
      <c r="M73" s="5" t="str">
        <f aca="false">"BA"</f>
        <v>BA</v>
      </c>
      <c r="N73" s="9" t="n">
        <v>0</v>
      </c>
      <c r="O73" s="10" t="n">
        <v>333.54</v>
      </c>
      <c r="P73" s="10" t="n">
        <v>279.34</v>
      </c>
      <c r="Q73" s="10" t="n">
        <v>0</v>
      </c>
      <c r="R73" s="10" t="n">
        <v>2.84</v>
      </c>
      <c r="S73" s="5" t="str">
        <f aca="false">"Embarque"</f>
        <v>Embarque</v>
      </c>
      <c r="T73" s="5" t="str">
        <f aca="false">"PEIXOTO REP"</f>
        <v>PEIXOTO REP</v>
      </c>
      <c r="U73" s="11" t="n">
        <v>25</v>
      </c>
      <c r="V73" s="5" t="str">
        <f aca="false">""</f>
        <v/>
      </c>
    </row>
    <row r="74" customFormat="false" ht="12.8" hidden="false" customHeight="false" outlineLevel="0" collapsed="false">
      <c r="A74" s="4" t="n">
        <v>206</v>
      </c>
      <c r="B74" s="5" t="str">
        <f aca="false">"PAPAIZ"</f>
        <v>PAPAIZ</v>
      </c>
      <c r="C74" s="6" t="n">
        <v>954845</v>
      </c>
      <c r="D74" s="7" t="n">
        <v>45743</v>
      </c>
      <c r="E74" s="7" t="n">
        <v>45743</v>
      </c>
      <c r="F74" s="7"/>
      <c r="G74" s="7"/>
      <c r="H74" s="7"/>
      <c r="I74" s="5" t="str">
        <f aca="false">""</f>
        <v/>
      </c>
      <c r="J74" s="5" t="str">
        <f aca="false">"SPDPPZ024114"</f>
        <v>SPDPPZ024114</v>
      </c>
      <c r="K74" s="5" t="str">
        <f aca="false">"CONSTRUIR 60"</f>
        <v>CONSTRUIR 60</v>
      </c>
      <c r="L74" s="5" t="str">
        <f aca="false">"MATERIAL DE CONSTRUCAO"</f>
        <v>MATERIAL DE CONSTRUCAO</v>
      </c>
      <c r="M74" s="5" t="str">
        <f aca="false">"PA"</f>
        <v>PA</v>
      </c>
      <c r="N74" s="9" t="n">
        <v>257.34</v>
      </c>
      <c r="O74" s="10" t="n">
        <v>403.2</v>
      </c>
      <c r="P74" s="10" t="n">
        <v>337.68</v>
      </c>
      <c r="Q74" s="10" t="n">
        <v>0</v>
      </c>
      <c r="R74" s="10" t="n">
        <v>3.72</v>
      </c>
      <c r="S74" s="5" t="str">
        <f aca="false">"Embarque"</f>
        <v>Embarque</v>
      </c>
      <c r="T74" s="5" t="str">
        <f aca="false">"Mirus"</f>
        <v>Mirus</v>
      </c>
      <c r="U74" s="11" t="n">
        <v>25</v>
      </c>
      <c r="V74" s="5" t="str">
        <f aca="false">""</f>
        <v/>
      </c>
    </row>
    <row r="75" customFormat="false" ht="12.8" hidden="false" customHeight="false" outlineLevel="0" collapsed="false">
      <c r="A75" s="4" t="n">
        <v>206</v>
      </c>
      <c r="B75" s="5" t="str">
        <f aca="false">"SILVANA CDSP"</f>
        <v>SILVANA CDSP</v>
      </c>
      <c r="C75" s="6" t="n">
        <v>956697</v>
      </c>
      <c r="D75" s="7" t="n">
        <v>45743</v>
      </c>
      <c r="E75" s="7" t="n">
        <v>45751</v>
      </c>
      <c r="F75" s="7"/>
      <c r="G75" s="7"/>
      <c r="H75" s="7"/>
      <c r="I75" s="5" t="str">
        <f aca="false">""</f>
        <v/>
      </c>
      <c r="J75" s="5" t="str">
        <f aca="false">"SPDSIL021451"</f>
        <v>SPDSIL021451</v>
      </c>
      <c r="K75" s="5" t="str">
        <f aca="false">"DALZOTO   CA"</f>
        <v>DALZOTO   CA</v>
      </c>
      <c r="L75" s="5" t="str">
        <f aca="false">"ATACADISTA"</f>
        <v>ATACADISTA</v>
      </c>
      <c r="M75" s="5" t="str">
        <f aca="false">"PR"</f>
        <v>PR</v>
      </c>
      <c r="N75" s="9" t="n">
        <v>0</v>
      </c>
      <c r="O75" s="10" t="n">
        <v>177.62</v>
      </c>
      <c r="P75" s="10" t="n">
        <v>118.91</v>
      </c>
      <c r="Q75" s="10" t="n">
        <v>0</v>
      </c>
      <c r="R75" s="10" t="n">
        <v>3.84</v>
      </c>
      <c r="S75" s="5" t="str">
        <f aca="false">"Embarque"</f>
        <v>Embarque</v>
      </c>
      <c r="T75" s="5" t="str">
        <f aca="false">"LOTUS REP"</f>
        <v>LOTUS REP</v>
      </c>
      <c r="U75" s="11" t="n">
        <v>25</v>
      </c>
      <c r="V75" s="5" t="str">
        <f aca="false">""</f>
        <v/>
      </c>
    </row>
    <row r="76" customFormat="false" ht="12.8" hidden="false" customHeight="false" outlineLevel="0" collapsed="false">
      <c r="A76" s="4" t="n">
        <v>206</v>
      </c>
      <c r="B76" s="5" t="str">
        <f aca="false">"METALIKA"</f>
        <v>METALIKA</v>
      </c>
      <c r="C76" s="6" t="n">
        <v>956652</v>
      </c>
      <c r="D76" s="7" t="n">
        <v>45743</v>
      </c>
      <c r="E76" s="7" t="n">
        <v>45750</v>
      </c>
      <c r="F76" s="7"/>
      <c r="G76" s="7"/>
      <c r="H76" s="7"/>
      <c r="I76" s="5" t="str">
        <f aca="false">""</f>
        <v/>
      </c>
      <c r="J76" s="5" t="str">
        <f aca="false">"563/1"</f>
        <v>563/1</v>
      </c>
      <c r="K76" s="5" t="str">
        <f aca="false">"ORO EMPREEND"</f>
        <v>ORO EMPREEND</v>
      </c>
      <c r="L76" s="5" t="str">
        <f aca="false">"CONSTRUTORA"</f>
        <v>CONSTRUTORA</v>
      </c>
      <c r="M76" s="5" t="str">
        <f aca="false">"PR"</f>
        <v>PR</v>
      </c>
      <c r="N76" s="9" t="n">
        <v>0</v>
      </c>
      <c r="O76" s="10" t="n">
        <v>16497.18</v>
      </c>
      <c r="P76" s="10" t="n">
        <v>12001.7</v>
      </c>
      <c r="Q76" s="10" t="n">
        <v>0</v>
      </c>
      <c r="R76" s="10" t="n">
        <v>117.05</v>
      </c>
      <c r="S76" s="5" t="str">
        <f aca="false">"Embarque"</f>
        <v>Embarque</v>
      </c>
      <c r="T76" s="5" t="str">
        <f aca="false">"CHRISTIANO Q"</f>
        <v>CHRISTIANO Q</v>
      </c>
      <c r="U76" s="11" t="n">
        <v>25</v>
      </c>
      <c r="V76" s="5" t="str">
        <f aca="false">""</f>
        <v/>
      </c>
    </row>
    <row r="77" customFormat="false" ht="12.8" hidden="false" customHeight="false" outlineLevel="0" collapsed="false">
      <c r="A77" s="4" t="n">
        <v>206</v>
      </c>
      <c r="B77" s="5" t="str">
        <f aca="false">"PAPAIZ"</f>
        <v>PAPAIZ</v>
      </c>
      <c r="C77" s="6" t="n">
        <v>955543</v>
      </c>
      <c r="D77" s="7" t="n">
        <v>45744</v>
      </c>
      <c r="E77" s="7" t="n">
        <v>45745</v>
      </c>
      <c r="F77" s="7"/>
      <c r="G77" s="7"/>
      <c r="H77" s="7"/>
      <c r="I77" s="5" t="str">
        <f aca="false">""</f>
        <v/>
      </c>
      <c r="J77" s="5" t="str">
        <f aca="false">"TWEB00004234"</f>
        <v>TWEB00004234</v>
      </c>
      <c r="K77" s="5" t="str">
        <f aca="false">"EDUARDO ROGE"</f>
        <v>EDUARDO ROGE</v>
      </c>
      <c r="L77" s="5" t="str">
        <f aca="false">"WEBSHOP"</f>
        <v>WEBSHOP</v>
      </c>
      <c r="M77" s="5" t="str">
        <f aca="false">"SP"</f>
        <v>SP</v>
      </c>
      <c r="N77" s="9" t="n">
        <v>0</v>
      </c>
      <c r="O77" s="10" t="n">
        <v>220</v>
      </c>
      <c r="P77" s="10" t="n">
        <v>160.05</v>
      </c>
      <c r="Q77" s="10" t="n">
        <v>0</v>
      </c>
      <c r="R77" s="10" t="n">
        <v>1.64</v>
      </c>
      <c r="S77" s="5" t="str">
        <f aca="false">"Embarque"</f>
        <v>Embarque</v>
      </c>
      <c r="T77" s="5" t="str">
        <f aca="false">"GABRIEL WILL"</f>
        <v>GABRIEL WILL</v>
      </c>
      <c r="U77" s="11" t="n">
        <v>13</v>
      </c>
      <c r="V77" s="15" t="n">
        <v>3217675</v>
      </c>
    </row>
    <row r="78" customFormat="false" ht="12.8" hidden="false" customHeight="false" outlineLevel="0" collapsed="false">
      <c r="A78" s="4" t="n">
        <v>206</v>
      </c>
      <c r="B78" s="5" t="str">
        <f aca="false">"SILVANA CDSP"</f>
        <v>SILVANA CDSP</v>
      </c>
      <c r="C78" s="6" t="n">
        <v>955578</v>
      </c>
      <c r="D78" s="7" t="n">
        <v>45744</v>
      </c>
      <c r="E78" s="7" t="n">
        <v>45745</v>
      </c>
      <c r="F78" s="7"/>
      <c r="G78" s="7"/>
      <c r="H78" s="7"/>
      <c r="I78" s="5" t="str">
        <f aca="false">""</f>
        <v/>
      </c>
      <c r="J78" s="5" t="str">
        <f aca="false">"SPDSIL021532"</f>
        <v>SPDSIL021532</v>
      </c>
      <c r="K78" s="5" t="str">
        <f aca="false">"VACCARI &amp; VA"</f>
        <v>VACCARI &amp; VA</v>
      </c>
      <c r="L78" s="5" t="str">
        <f aca="false">"MATERIAL DE CONSTRUCAO"</f>
        <v>MATERIAL DE CONSTRUCAO</v>
      </c>
      <c r="M78" s="5" t="str">
        <f aca="false">"MT"</f>
        <v>MT</v>
      </c>
      <c r="N78" s="9" t="n">
        <v>452.23</v>
      </c>
      <c r="O78" s="10" t="n">
        <v>2704.54</v>
      </c>
      <c r="P78" s="10" t="n">
        <v>1898.42</v>
      </c>
      <c r="Q78" s="10" t="n">
        <v>0</v>
      </c>
      <c r="R78" s="10" t="n">
        <v>59.13</v>
      </c>
      <c r="S78" s="5" t="str">
        <f aca="false">"Embarque"</f>
        <v>Embarque</v>
      </c>
      <c r="T78" s="5" t="str">
        <f aca="false">"PREMIER REP"</f>
        <v>PREMIER REP</v>
      </c>
      <c r="U78" s="11" t="n">
        <v>25</v>
      </c>
      <c r="V78" s="5" t="str">
        <f aca="false">""</f>
        <v/>
      </c>
    </row>
    <row r="79" customFormat="false" ht="12.8" hidden="false" customHeight="false" outlineLevel="0" collapsed="false">
      <c r="A79" s="4" t="n">
        <v>206</v>
      </c>
      <c r="B79" s="5" t="str">
        <f aca="false">"PAPAIZ"</f>
        <v>PAPAIZ</v>
      </c>
      <c r="C79" s="6" t="n">
        <v>955596</v>
      </c>
      <c r="D79" s="7" t="n">
        <v>45745</v>
      </c>
      <c r="E79" s="7" t="n">
        <v>45745</v>
      </c>
      <c r="F79" s="7"/>
      <c r="G79" s="7"/>
      <c r="H79" s="7"/>
      <c r="I79" s="5" t="str">
        <f aca="false">""</f>
        <v/>
      </c>
      <c r="J79" s="5" t="str">
        <f aca="false">"SAC33541PZ"</f>
        <v>SAC33541PZ</v>
      </c>
      <c r="K79" s="5" t="str">
        <f aca="false">"FOGACA + BOZ"</f>
        <v>FOGACA + BOZ</v>
      </c>
      <c r="L79" s="5" t="str">
        <f aca="false">"MATERIAL DE CONSTRUCAO"</f>
        <v>MATERIAL DE CONSTRUCAO</v>
      </c>
      <c r="M79" s="5" t="str">
        <f aca="false">"SC"</f>
        <v>SC</v>
      </c>
      <c r="N79" s="9" t="n">
        <v>0</v>
      </c>
      <c r="O79" s="10" t="n">
        <v>45</v>
      </c>
      <c r="P79" s="10" t="n">
        <v>39.6</v>
      </c>
      <c r="Q79" s="10" t="n">
        <v>0</v>
      </c>
      <c r="R79" s="10" t="n">
        <v>0.42</v>
      </c>
      <c r="S79" s="5" t="str">
        <f aca="false">"Embarque"</f>
        <v>Embarque</v>
      </c>
      <c r="T79" s="5" t="str">
        <f aca="false">"LEANDRO MEDE"</f>
        <v>LEANDRO MEDE</v>
      </c>
      <c r="U79" s="11" t="n">
        <v>25</v>
      </c>
      <c r="V79" s="5" t="str">
        <f aca="false">""</f>
        <v/>
      </c>
    </row>
    <row r="80" customFormat="false" ht="12.8" hidden="false" customHeight="false" outlineLevel="0" collapsed="false">
      <c r="A80" s="4" t="n">
        <v>206</v>
      </c>
      <c r="B80" s="5" t="str">
        <f aca="false">"LA FONTE"</f>
        <v>LA FONTE</v>
      </c>
      <c r="C80" s="6" t="n">
        <v>955137</v>
      </c>
      <c r="D80" s="7" t="n">
        <v>45745</v>
      </c>
      <c r="E80" s="7" t="n">
        <v>45744</v>
      </c>
      <c r="F80" s="7"/>
      <c r="G80" s="7"/>
      <c r="H80" s="7"/>
      <c r="I80" s="5" t="str">
        <f aca="false">""</f>
        <v/>
      </c>
      <c r="J80" s="14" t="n">
        <v>4500335986</v>
      </c>
      <c r="K80" s="5" t="str">
        <f aca="false">"OBRAMAX JACA"</f>
        <v>OBRAMAX JACA</v>
      </c>
      <c r="L80" s="5" t="str">
        <f aca="false">"HOME CENTER"</f>
        <v>HOME CENTER</v>
      </c>
      <c r="M80" s="5" t="str">
        <f aca="false">"RJ"</f>
        <v>RJ</v>
      </c>
      <c r="N80" s="9" t="n">
        <v>0</v>
      </c>
      <c r="O80" s="10" t="n">
        <v>1560</v>
      </c>
      <c r="P80" s="10" t="n">
        <v>1372.8</v>
      </c>
      <c r="Q80" s="10" t="n">
        <v>0</v>
      </c>
      <c r="R80" s="10" t="n">
        <v>11.71</v>
      </c>
      <c r="S80" s="5" t="str">
        <f aca="false">"Embarque"</f>
        <v>Embarque</v>
      </c>
      <c r="T80" s="5" t="str">
        <f aca="false">"ALEXANDRE P"</f>
        <v>ALEXANDRE P</v>
      </c>
      <c r="U80" s="11" t="n">
        <v>6</v>
      </c>
      <c r="V80" s="5" t="str">
        <f aca="false">""</f>
        <v/>
      </c>
    </row>
    <row r="81" customFormat="false" ht="12.8" hidden="false" customHeight="false" outlineLevel="0" collapsed="false">
      <c r="A81" s="4" t="n">
        <v>206</v>
      </c>
      <c r="B81" s="5" t="str">
        <f aca="false">"METALIKA"</f>
        <v>METALIKA</v>
      </c>
      <c r="C81" s="6" t="n">
        <v>956657</v>
      </c>
      <c r="D81" s="7" t="n">
        <v>45747</v>
      </c>
      <c r="E81" s="7" t="n">
        <v>45750</v>
      </c>
      <c r="F81" s="7"/>
      <c r="G81" s="7"/>
      <c r="H81" s="7"/>
      <c r="I81" s="5" t="str">
        <f aca="false">""</f>
        <v/>
      </c>
      <c r="J81" s="5" t="str">
        <f aca="false">"SAC34799MT"</f>
        <v>SAC34799MT</v>
      </c>
      <c r="K81" s="5" t="str">
        <f aca="false">"PLANO SAO FR"</f>
        <v>PLANO SAO FR</v>
      </c>
      <c r="L81" s="5" t="str">
        <f aca="false">"CONSTRUTORA"</f>
        <v>CONSTRUTORA</v>
      </c>
      <c r="M81" s="5" t="str">
        <f aca="false">"SP"</f>
        <v>SP</v>
      </c>
      <c r="N81" s="9" t="n">
        <v>0</v>
      </c>
      <c r="O81" s="10" t="n">
        <v>370.8</v>
      </c>
      <c r="P81" s="10" t="n">
        <v>304.06</v>
      </c>
      <c r="Q81" s="10" t="n">
        <v>0</v>
      </c>
      <c r="R81" s="10" t="n">
        <v>15.71</v>
      </c>
      <c r="S81" s="5" t="str">
        <f aca="false">"Embarque"</f>
        <v>Embarque</v>
      </c>
      <c r="T81" s="5" t="str">
        <f aca="false">"LEMAT REPRES"</f>
        <v>LEMAT REPRES</v>
      </c>
      <c r="U81" s="11" t="n">
        <v>25</v>
      </c>
      <c r="V81" s="5" t="str">
        <f aca="false">""</f>
        <v/>
      </c>
    </row>
    <row r="82" customFormat="false" ht="12.8" hidden="false" customHeight="false" outlineLevel="0" collapsed="false">
      <c r="A82" s="4" t="n">
        <v>206</v>
      </c>
      <c r="B82" s="5" t="str">
        <f aca="false">"SILVANA CDSP"</f>
        <v>SILVANA CDSP</v>
      </c>
      <c r="C82" s="6" t="n">
        <v>955772</v>
      </c>
      <c r="D82" s="7" t="n">
        <v>45747</v>
      </c>
      <c r="E82" s="7" t="n">
        <v>45748</v>
      </c>
      <c r="F82" s="7"/>
      <c r="G82" s="7"/>
      <c r="H82" s="7"/>
      <c r="I82" s="5" t="str">
        <f aca="false">""</f>
        <v/>
      </c>
      <c r="J82" s="5" t="str">
        <f aca="false">"SPDSIL021660"</f>
        <v>SPDSIL021660</v>
      </c>
      <c r="K82" s="5" t="str">
        <f aca="false">"FOX"</f>
        <v>FOX</v>
      </c>
      <c r="L82" s="5" t="str">
        <f aca="false">"MATERIAL DE CONSTRUCAO"</f>
        <v>MATERIAL DE CONSTRUCAO</v>
      </c>
      <c r="M82" s="5" t="str">
        <f aca="false">"SP"</f>
        <v>SP</v>
      </c>
      <c r="N82" s="9" t="n">
        <v>2005.17</v>
      </c>
      <c r="O82" s="10" t="n">
        <v>706.6</v>
      </c>
      <c r="P82" s="10" t="n">
        <v>423.58</v>
      </c>
      <c r="Q82" s="10" t="n">
        <v>0</v>
      </c>
      <c r="R82" s="10" t="n">
        <v>10.55</v>
      </c>
      <c r="S82" s="5" t="str">
        <f aca="false">"Embarque"</f>
        <v>Embarque</v>
      </c>
      <c r="T82" s="5" t="str">
        <f aca="false">"PRIME CF"</f>
        <v>PRIME CF</v>
      </c>
      <c r="U82" s="11" t="n">
        <v>25</v>
      </c>
      <c r="V82" s="5" t="str">
        <f aca="false">""</f>
        <v/>
      </c>
    </row>
    <row r="83" customFormat="false" ht="12.8" hidden="false" customHeight="false" outlineLevel="0" collapsed="false">
      <c r="A83" s="4" t="n">
        <v>206</v>
      </c>
      <c r="B83" s="5" t="str">
        <f aca="false">"SILVANA CDSP"</f>
        <v>SILVANA CDSP</v>
      </c>
      <c r="C83" s="6" t="n">
        <v>956123</v>
      </c>
      <c r="D83" s="7" t="n">
        <v>45747</v>
      </c>
      <c r="E83" s="7" t="n">
        <v>45749</v>
      </c>
      <c r="F83" s="7"/>
      <c r="G83" s="7"/>
      <c r="H83" s="7"/>
      <c r="I83" s="5" t="str">
        <f aca="false">""</f>
        <v/>
      </c>
      <c r="J83" s="14" t="n">
        <v>4500352885</v>
      </c>
      <c r="K83" s="5" t="str">
        <f aca="false">"OBRAMAX CAR"</f>
        <v>OBRAMAX CAR</v>
      </c>
      <c r="L83" s="5" t="str">
        <f aca="false">"HOME CENTER"</f>
        <v>HOME CENTER</v>
      </c>
      <c r="M83" s="5" t="str">
        <f aca="false">"ES"</f>
        <v>ES</v>
      </c>
      <c r="N83" s="9" t="n">
        <v>39301.5</v>
      </c>
      <c r="O83" s="10" t="n">
        <v>1534.25</v>
      </c>
      <c r="P83" s="10" t="n">
        <v>1284.93</v>
      </c>
      <c r="Q83" s="10" t="n">
        <v>0</v>
      </c>
      <c r="R83" s="10" t="n">
        <v>20.96</v>
      </c>
      <c r="S83" s="5" t="str">
        <f aca="false">"Embarque"</f>
        <v>Embarque</v>
      </c>
      <c r="T83" s="5" t="str">
        <f aca="false">"J FIRMINO"</f>
        <v>J FIRMINO</v>
      </c>
      <c r="U83" s="11" t="n">
        <v>1</v>
      </c>
      <c r="V83" s="5" t="str">
        <f aca="false">""</f>
        <v/>
      </c>
    </row>
    <row r="84" customFormat="false" ht="12.8" hidden="false" customHeight="false" outlineLevel="0" collapsed="false">
      <c r="A84" s="4" t="n">
        <v>206</v>
      </c>
      <c r="B84" s="5" t="str">
        <f aca="false">"SILVANA CDSP"</f>
        <v>SILVANA CDSP</v>
      </c>
      <c r="C84" s="6" t="n">
        <v>956726</v>
      </c>
      <c r="D84" s="7" t="n">
        <v>45747</v>
      </c>
      <c r="E84" s="7" t="n">
        <v>45751</v>
      </c>
      <c r="F84" s="7"/>
      <c r="G84" s="7"/>
      <c r="H84" s="7"/>
      <c r="I84" s="5" t="str">
        <f aca="false">""</f>
        <v/>
      </c>
      <c r="J84" s="8" t="n">
        <v>126889</v>
      </c>
      <c r="K84" s="5" t="str">
        <f aca="false">"ESTOQUE II"</f>
        <v>ESTOQUE II</v>
      </c>
      <c r="L84" s="5" t="str">
        <f aca="false">"ATACADISTA"</f>
        <v>ATACADISTA</v>
      </c>
      <c r="M84" s="5" t="str">
        <f aca="false">"SP"</f>
        <v>SP</v>
      </c>
      <c r="N84" s="9" t="n">
        <v>538.75</v>
      </c>
      <c r="O84" s="10" t="n">
        <v>340.81</v>
      </c>
      <c r="P84" s="10" t="n">
        <v>194.68</v>
      </c>
      <c r="Q84" s="10" t="n">
        <v>0</v>
      </c>
      <c r="R84" s="10" t="n">
        <v>11.52</v>
      </c>
      <c r="S84" s="5" t="str">
        <f aca="false">"Embarque"</f>
        <v>Embarque</v>
      </c>
      <c r="T84" s="5" t="str">
        <f aca="false">"DAVID &amp; BARS"</f>
        <v>DAVID &amp; BARS</v>
      </c>
      <c r="U84" s="11" t="n">
        <v>25</v>
      </c>
      <c r="V84" s="5" t="str">
        <f aca="false">""</f>
        <v/>
      </c>
    </row>
    <row r="85" customFormat="false" ht="12.8" hidden="false" customHeight="false" outlineLevel="0" collapsed="false">
      <c r="A85" s="4" t="n">
        <v>206</v>
      </c>
      <c r="B85" s="5" t="str">
        <f aca="false">"PAPAIZ"</f>
        <v>PAPAIZ</v>
      </c>
      <c r="C85" s="6" t="n">
        <v>956073</v>
      </c>
      <c r="D85" s="7" t="n">
        <v>45747</v>
      </c>
      <c r="E85" s="7" t="n">
        <v>45749</v>
      </c>
      <c r="F85" s="7"/>
      <c r="G85" s="7"/>
      <c r="H85" s="7"/>
      <c r="I85" s="5" t="str">
        <f aca="false">""</f>
        <v/>
      </c>
      <c r="J85" s="5" t="str">
        <f aca="false">"SPDPPZ025256"</f>
        <v>SPDPPZ025256</v>
      </c>
      <c r="K85" s="5" t="str">
        <f aca="false">"FECHE CERR4"</f>
        <v>FECHE CERR4</v>
      </c>
      <c r="L85" s="5" t="str">
        <f aca="false">"FERRAGISTA"</f>
        <v>FERRAGISTA</v>
      </c>
      <c r="M85" s="5" t="str">
        <f aca="false">"RS"</f>
        <v>RS</v>
      </c>
      <c r="N85" s="9" t="n">
        <v>0</v>
      </c>
      <c r="O85" s="10" t="n">
        <v>410.82</v>
      </c>
      <c r="P85" s="10" t="n">
        <v>262.71</v>
      </c>
      <c r="Q85" s="10" t="n">
        <v>0</v>
      </c>
      <c r="R85" s="10" t="n">
        <v>1.9</v>
      </c>
      <c r="S85" s="5" t="str">
        <f aca="false">"Embarque"</f>
        <v>Embarque</v>
      </c>
      <c r="T85" s="5" t="str">
        <f aca="false">"ELAINE FERNA"</f>
        <v>ELAINE FERNA</v>
      </c>
      <c r="U85" s="11" t="n">
        <v>25</v>
      </c>
      <c r="V85" s="5" t="str">
        <f aca="false">""</f>
        <v/>
      </c>
    </row>
    <row r="86" customFormat="false" ht="12.8" hidden="false" customHeight="false" outlineLevel="0" collapsed="false">
      <c r="A86" s="4" t="n">
        <v>206</v>
      </c>
      <c r="B86" s="5" t="str">
        <f aca="false">"PAPAIZ"</f>
        <v>PAPAIZ</v>
      </c>
      <c r="C86" s="6" t="n">
        <v>956076</v>
      </c>
      <c r="D86" s="7" t="n">
        <v>45747</v>
      </c>
      <c r="E86" s="7" t="n">
        <v>45749</v>
      </c>
      <c r="F86" s="7"/>
      <c r="G86" s="7"/>
      <c r="H86" s="7"/>
      <c r="I86" s="5" t="str">
        <f aca="false">""</f>
        <v/>
      </c>
      <c r="J86" s="5" t="str">
        <f aca="false">"TWEB00004246"</f>
        <v>TWEB00004246</v>
      </c>
      <c r="K86" s="5" t="str">
        <f aca="false">"FUNDACAO7"</f>
        <v>FUNDACAO7</v>
      </c>
      <c r="L86" s="5" t="str">
        <f aca="false">"WEBSHOP"</f>
        <v>WEBSHOP</v>
      </c>
      <c r="M86" s="5" t="str">
        <f aca="false">"SP"</f>
        <v>SP</v>
      </c>
      <c r="N86" s="9" t="n">
        <v>0</v>
      </c>
      <c r="O86" s="10" t="n">
        <v>516.69</v>
      </c>
      <c r="P86" s="10" t="n">
        <v>375.89</v>
      </c>
      <c r="Q86" s="10" t="n">
        <v>0</v>
      </c>
      <c r="R86" s="10" t="n">
        <v>6.06</v>
      </c>
      <c r="S86" s="5" t="str">
        <f aca="false">"Embarque"</f>
        <v>Embarque</v>
      </c>
      <c r="T86" s="5" t="str">
        <f aca="false">"DANIEL LIMA"</f>
        <v>DANIEL LIMA</v>
      </c>
      <c r="U86" s="11" t="n">
        <v>13</v>
      </c>
      <c r="V86" s="15" t="n">
        <v>3217874</v>
      </c>
    </row>
    <row r="87" customFormat="false" ht="12.8" hidden="false" customHeight="false" outlineLevel="0" collapsed="false">
      <c r="A87" s="4" t="n">
        <v>206</v>
      </c>
      <c r="B87" s="5" t="str">
        <f aca="false">"SILVANA CDSP"</f>
        <v>SILVANA CDSP</v>
      </c>
      <c r="C87" s="6" t="n">
        <v>956738</v>
      </c>
      <c r="D87" s="7" t="n">
        <v>45748</v>
      </c>
      <c r="E87" s="7" t="n">
        <v>45751</v>
      </c>
      <c r="F87" s="7"/>
      <c r="G87" s="7"/>
      <c r="H87" s="7"/>
      <c r="I87" s="5" t="str">
        <f aca="false">""</f>
        <v/>
      </c>
      <c r="J87" s="12" t="n">
        <v>10479</v>
      </c>
      <c r="K87" s="5" t="str">
        <f aca="false">"P   J 2"</f>
        <v>P   J 2</v>
      </c>
      <c r="L87" s="5" t="str">
        <f aca="false">"ATACADISTA"</f>
        <v>ATACADISTA</v>
      </c>
      <c r="M87" s="5" t="str">
        <f aca="false">"SP"</f>
        <v>SP</v>
      </c>
      <c r="N87" s="9" t="n">
        <v>1851.2</v>
      </c>
      <c r="O87" s="10" t="n">
        <v>1058.45</v>
      </c>
      <c r="P87" s="10" t="n">
        <v>667.85</v>
      </c>
      <c r="Q87" s="10" t="n">
        <v>0</v>
      </c>
      <c r="R87" s="10" t="n">
        <v>9.3</v>
      </c>
      <c r="S87" s="5" t="str">
        <f aca="false">"Embarque"</f>
        <v>Embarque</v>
      </c>
      <c r="T87" s="5" t="str">
        <f aca="false">"HERCULES RIO"</f>
        <v>HERCULES RIO</v>
      </c>
      <c r="U87" s="11" t="n">
        <v>25</v>
      </c>
      <c r="V87" s="5" t="str">
        <f aca="false">""</f>
        <v/>
      </c>
    </row>
    <row r="88" customFormat="false" ht="12.8" hidden="false" customHeight="false" outlineLevel="0" collapsed="false">
      <c r="A88" s="4" t="n">
        <v>206</v>
      </c>
      <c r="B88" s="5" t="str">
        <f aca="false">"PAPAIZ"</f>
        <v>PAPAIZ</v>
      </c>
      <c r="C88" s="6" t="n">
        <v>956288</v>
      </c>
      <c r="D88" s="7" t="n">
        <v>45748</v>
      </c>
      <c r="E88" s="7" t="n">
        <v>45749</v>
      </c>
      <c r="F88" s="7"/>
      <c r="G88" s="7"/>
      <c r="H88" s="7"/>
      <c r="I88" s="5" t="str">
        <f aca="false">""</f>
        <v/>
      </c>
      <c r="J88" s="5" t="str">
        <f aca="false">"TWEB00004250"</f>
        <v>TWEB00004250</v>
      </c>
      <c r="K88" s="5" t="str">
        <f aca="false">"NILO CIMENTO"</f>
        <v>NILO CIMENTO</v>
      </c>
      <c r="L88" s="5" t="str">
        <f aca="false">"WEBSHOP"</f>
        <v>WEBSHOP</v>
      </c>
      <c r="M88" s="5" t="str">
        <f aca="false">"CE"</f>
        <v>CE</v>
      </c>
      <c r="N88" s="9" t="n">
        <v>0</v>
      </c>
      <c r="O88" s="10" t="n">
        <v>1939</v>
      </c>
      <c r="P88" s="10" t="n">
        <v>1623.91</v>
      </c>
      <c r="Q88" s="10" t="n">
        <v>0</v>
      </c>
      <c r="R88" s="10" t="n">
        <v>16.4</v>
      </c>
      <c r="S88" s="5" t="str">
        <f aca="false">"Embarque"</f>
        <v>Embarque</v>
      </c>
      <c r="T88" s="5" t="str">
        <f aca="false">"GABRIEL WILL"</f>
        <v>GABRIEL WILL</v>
      </c>
      <c r="U88" s="11" t="n">
        <v>13</v>
      </c>
      <c r="V88" s="15" t="n">
        <v>3218305</v>
      </c>
    </row>
    <row r="89" customFormat="false" ht="12.8" hidden="false" customHeight="false" outlineLevel="0" collapsed="false">
      <c r="A89" s="4" t="n">
        <v>206</v>
      </c>
      <c r="B89" s="5" t="str">
        <f aca="false">"SILVANA CDSP"</f>
        <v>SILVANA CDSP</v>
      </c>
      <c r="C89" s="6" t="n">
        <v>956585</v>
      </c>
      <c r="D89" s="7" t="n">
        <v>45748</v>
      </c>
      <c r="E89" s="7" t="n">
        <v>45750</v>
      </c>
      <c r="F89" s="7"/>
      <c r="G89" s="7"/>
      <c r="H89" s="7"/>
      <c r="I89" s="5" t="str">
        <f aca="false">""</f>
        <v/>
      </c>
      <c r="J89" s="5" t="str">
        <f aca="false">"SPDSIL021777"</f>
        <v>SPDSIL021777</v>
      </c>
      <c r="K89" s="5" t="str">
        <f aca="false">"COSTA MARE"</f>
        <v>COSTA MARE</v>
      </c>
      <c r="L89" s="5" t="str">
        <f aca="false">"MATERIAL DE CONSTRUCAO"</f>
        <v>MATERIAL DE CONSTRUCAO</v>
      </c>
      <c r="M89" s="5" t="str">
        <f aca="false">"SP"</f>
        <v>SP</v>
      </c>
      <c r="N89" s="9" t="n">
        <v>474.61</v>
      </c>
      <c r="O89" s="10" t="n">
        <v>686.69</v>
      </c>
      <c r="P89" s="10" t="n">
        <v>412.46</v>
      </c>
      <c r="Q89" s="10" t="n">
        <v>0</v>
      </c>
      <c r="R89" s="10" t="n">
        <v>6.79</v>
      </c>
      <c r="S89" s="5" t="str">
        <f aca="false">"Embarque"</f>
        <v>Embarque</v>
      </c>
      <c r="T89" s="5" t="str">
        <f aca="false">"LORS REP"</f>
        <v>LORS REP</v>
      </c>
      <c r="U89" s="11" t="n">
        <v>25</v>
      </c>
      <c r="V89" s="5" t="str">
        <f aca="false">""</f>
        <v/>
      </c>
    </row>
    <row r="90" customFormat="false" ht="12.8" hidden="false" customHeight="false" outlineLevel="0" collapsed="false">
      <c r="A90" s="4" t="n">
        <v>206</v>
      </c>
      <c r="B90" s="5" t="str">
        <f aca="false">"PAPAIZ"</f>
        <v>PAPAIZ</v>
      </c>
      <c r="C90" s="6" t="n">
        <v>956290</v>
      </c>
      <c r="D90" s="7" t="n">
        <v>45748</v>
      </c>
      <c r="E90" s="7" t="n">
        <v>45749</v>
      </c>
      <c r="F90" s="7"/>
      <c r="G90" s="7"/>
      <c r="H90" s="7"/>
      <c r="I90" s="5" t="str">
        <f aca="false">""</f>
        <v/>
      </c>
      <c r="J90" s="5" t="str">
        <f aca="false">"SPDPPZ031990"</f>
        <v>SPDPPZ031990</v>
      </c>
      <c r="K90" s="5" t="str">
        <f aca="false">"UDINESE"</f>
        <v>UDINESE</v>
      </c>
      <c r="L90" s="5" t="str">
        <f aca="false">"INTERCOMPANY/BRZ"</f>
        <v>INTERCOMPANY/BRZ</v>
      </c>
      <c r="M90" s="5" t="str">
        <f aca="false">"SP"</f>
        <v>SP</v>
      </c>
      <c r="N90" s="9" t="n">
        <v>0</v>
      </c>
      <c r="O90" s="10" t="n">
        <v>30565.5</v>
      </c>
      <c r="P90" s="10" t="n">
        <v>20879.25</v>
      </c>
      <c r="Q90" s="10" t="n">
        <v>0</v>
      </c>
      <c r="R90" s="10" t="n">
        <v>42</v>
      </c>
      <c r="S90" s="5" t="str">
        <f aca="false">"Embarque"</f>
        <v>Embarque</v>
      </c>
      <c r="T90" s="5" t="str">
        <f aca="false">"UDINESE"</f>
        <v>UDINESE</v>
      </c>
      <c r="U90" s="11" t="n">
        <v>25</v>
      </c>
      <c r="V90" s="5" t="str">
        <f aca="false">""</f>
        <v/>
      </c>
    </row>
    <row r="91" customFormat="false" ht="12.8" hidden="false" customHeight="false" outlineLevel="0" collapsed="false">
      <c r="A91" s="4" t="n">
        <v>206</v>
      </c>
      <c r="B91" s="5" t="str">
        <f aca="false">"PAPAIZ"</f>
        <v>PAPAIZ</v>
      </c>
      <c r="C91" s="6" t="n">
        <v>954510</v>
      </c>
      <c r="D91" s="7" t="n">
        <v>45748</v>
      </c>
      <c r="E91" s="7" t="n">
        <v>45743</v>
      </c>
      <c r="F91" s="7"/>
      <c r="G91" s="7"/>
      <c r="H91" s="7"/>
      <c r="I91" s="5" t="str">
        <f aca="false">""</f>
        <v/>
      </c>
      <c r="J91" s="17" t="n">
        <v>28</v>
      </c>
      <c r="K91" s="5" t="str">
        <f aca="false">"TAMBASA"</f>
        <v>TAMBASA</v>
      </c>
      <c r="L91" s="5" t="str">
        <f aca="false">"ATACADISTA"</f>
        <v>ATACADISTA</v>
      </c>
      <c r="M91" s="5" t="str">
        <f aca="false">"MG"</f>
        <v>MG</v>
      </c>
      <c r="N91" s="9" t="n">
        <v>0</v>
      </c>
      <c r="O91" s="10" t="n">
        <v>5158.4</v>
      </c>
      <c r="P91" s="10" t="n">
        <v>4539.39</v>
      </c>
      <c r="Q91" s="10" t="n">
        <v>0</v>
      </c>
      <c r="R91" s="10" t="n">
        <v>48.88</v>
      </c>
      <c r="S91" s="5" t="str">
        <f aca="false">"Embarque"</f>
        <v>Embarque</v>
      </c>
      <c r="T91" s="5" t="str">
        <f aca="false">"LUIZ LIMA"</f>
        <v>LUIZ LIMA</v>
      </c>
      <c r="U91" s="11" t="n">
        <v>25</v>
      </c>
      <c r="V91" s="5" t="str">
        <f aca="false">""</f>
        <v/>
      </c>
    </row>
    <row r="92" customFormat="false" ht="12.8" hidden="false" customHeight="false" outlineLevel="0" collapsed="false">
      <c r="A92" s="4" t="n">
        <v>206</v>
      </c>
      <c r="B92" s="5" t="str">
        <f aca="false">"PAPAIZ"</f>
        <v>PAPAIZ</v>
      </c>
      <c r="C92" s="6" t="n">
        <v>956547</v>
      </c>
      <c r="D92" s="7" t="n">
        <v>45749</v>
      </c>
      <c r="E92" s="7" t="n">
        <v>45750</v>
      </c>
      <c r="F92" s="7"/>
      <c r="G92" s="7"/>
      <c r="H92" s="7"/>
      <c r="I92" s="5" t="str">
        <f aca="false">""</f>
        <v/>
      </c>
      <c r="J92" s="5" t="str">
        <f aca="false">"TWEB00004268"</f>
        <v>TWEB00004268</v>
      </c>
      <c r="K92" s="5" t="str">
        <f aca="false">"JOSÉ74"</f>
        <v>JOSÉ74</v>
      </c>
      <c r="L92" s="5" t="str">
        <f aca="false">"WEBSHOP"</f>
        <v>WEBSHOP</v>
      </c>
      <c r="M92" s="5" t="str">
        <f aca="false">"SP"</f>
        <v>SP</v>
      </c>
      <c r="N92" s="9" t="n">
        <v>0</v>
      </c>
      <c r="O92" s="10" t="n">
        <v>172.23</v>
      </c>
      <c r="P92" s="10" t="n">
        <v>125.3</v>
      </c>
      <c r="Q92" s="10" t="n">
        <v>0</v>
      </c>
      <c r="R92" s="10" t="n">
        <v>2.02</v>
      </c>
      <c r="S92" s="5" t="str">
        <f aca="false">"Embarque"</f>
        <v>Embarque</v>
      </c>
      <c r="T92" s="5" t="str">
        <f aca="false">"DANIEL LIMA"</f>
        <v>DANIEL LIMA</v>
      </c>
      <c r="U92" s="11" t="n">
        <v>13</v>
      </c>
      <c r="V92" s="15" t="n">
        <v>3218822</v>
      </c>
    </row>
    <row r="93" customFormat="false" ht="12.8" hidden="false" customHeight="false" outlineLevel="0" collapsed="false">
      <c r="A93" s="4" t="n">
        <v>206</v>
      </c>
      <c r="B93" s="5" t="str">
        <f aca="false">"PAPAIZ"</f>
        <v>PAPAIZ</v>
      </c>
      <c r="C93" s="6" t="n">
        <v>956396</v>
      </c>
      <c r="D93" s="7" t="n">
        <v>45749</v>
      </c>
      <c r="E93" s="7" t="n">
        <v>45750</v>
      </c>
      <c r="F93" s="7"/>
      <c r="G93" s="7"/>
      <c r="H93" s="7"/>
      <c r="I93" s="5" t="str">
        <f aca="false">""</f>
        <v/>
      </c>
      <c r="J93" s="5" t="str">
        <f aca="false">"BPPZ00018931"</f>
        <v>BPPZ00018931</v>
      </c>
      <c r="K93" s="5" t="str">
        <f aca="false">"CARLOS576"</f>
        <v>CARLOS576</v>
      </c>
      <c r="L93" s="5" t="str">
        <f aca="false">"WEBSHOP"</f>
        <v>WEBSHOP</v>
      </c>
      <c r="M93" s="5" t="str">
        <f aca="false">"BA"</f>
        <v>BA</v>
      </c>
      <c r="N93" s="9" t="n">
        <v>0</v>
      </c>
      <c r="O93" s="10" t="n">
        <v>209.33</v>
      </c>
      <c r="P93" s="10" t="n">
        <v>152.29</v>
      </c>
      <c r="Q93" s="10" t="n">
        <v>0</v>
      </c>
      <c r="R93" s="10" t="n">
        <v>0.73</v>
      </c>
      <c r="S93" s="5" t="str">
        <f aca="false">"Embarque"</f>
        <v>Embarque</v>
      </c>
      <c r="T93" s="5" t="str">
        <f aca="false">"WEBSHOPPPZ"</f>
        <v>WEBSHOPPPZ</v>
      </c>
      <c r="U93" s="11" t="n">
        <v>13</v>
      </c>
      <c r="V93" s="12" t="n">
        <v>35060</v>
      </c>
    </row>
    <row r="94" customFormat="false" ht="12.8" hidden="false" customHeight="false" outlineLevel="0" collapsed="false">
      <c r="A94" s="4" t="n">
        <v>206</v>
      </c>
      <c r="B94" s="5" t="str">
        <f aca="false">"SILVANA CDSP"</f>
        <v>SILVANA CDSP</v>
      </c>
      <c r="C94" s="6" t="n">
        <v>956400</v>
      </c>
      <c r="D94" s="7" t="n">
        <v>45749</v>
      </c>
      <c r="E94" s="7" t="n">
        <v>45750</v>
      </c>
      <c r="F94" s="7"/>
      <c r="G94" s="7"/>
      <c r="H94" s="7"/>
      <c r="I94" s="5" t="str">
        <f aca="false">""</f>
        <v/>
      </c>
      <c r="J94" s="5" t="str">
        <f aca="false">"SPDSIL021824"</f>
        <v>SPDSIL021824</v>
      </c>
      <c r="K94" s="5" t="str">
        <f aca="false">"CRMATCONSTR"</f>
        <v>CRMATCONSTR</v>
      </c>
      <c r="L94" s="5" t="str">
        <f aca="false">"MATERIAL DE CONSTRUCAO"</f>
        <v>MATERIAL DE CONSTRUCAO</v>
      </c>
      <c r="M94" s="5" t="str">
        <f aca="false">"MT"</f>
        <v>MT</v>
      </c>
      <c r="N94" s="9" t="n">
        <v>0</v>
      </c>
      <c r="O94" s="10" t="n">
        <v>1294.61</v>
      </c>
      <c r="P94" s="10" t="n">
        <v>1009.18</v>
      </c>
      <c r="Q94" s="10" t="n">
        <v>0</v>
      </c>
      <c r="R94" s="10" t="n">
        <v>19.16</v>
      </c>
      <c r="S94" s="5" t="str">
        <f aca="false">"Embarque"</f>
        <v>Embarque</v>
      </c>
      <c r="T94" s="5" t="str">
        <f aca="false">"LUCAS COSTA"</f>
        <v>LUCAS COSTA</v>
      </c>
      <c r="U94" s="11" t="n">
        <v>25</v>
      </c>
      <c r="V94" s="5" t="str">
        <f aca="false">""</f>
        <v/>
      </c>
    </row>
    <row r="95" customFormat="false" ht="12.8" hidden="false" customHeight="false" outlineLevel="0" collapsed="false">
      <c r="A95" s="4" t="n">
        <v>206</v>
      </c>
      <c r="B95" s="5" t="str">
        <f aca="false">"SILVANA CDSP"</f>
        <v>SILVANA CDSP</v>
      </c>
      <c r="C95" s="6" t="n">
        <v>956354</v>
      </c>
      <c r="D95" s="7" t="n">
        <v>45749</v>
      </c>
      <c r="E95" s="7" t="n">
        <v>45749</v>
      </c>
      <c r="F95" s="7"/>
      <c r="G95" s="7"/>
      <c r="H95" s="7"/>
      <c r="I95" s="5" t="str">
        <f aca="false">""</f>
        <v/>
      </c>
      <c r="J95" s="5" t="str">
        <f aca="false">"SAC328411S"</f>
        <v>SAC328411S</v>
      </c>
      <c r="K95" s="5" t="str">
        <f aca="false">"JESIL CONSTR"</f>
        <v>JESIL CONSTR</v>
      </c>
      <c r="L95" s="5" t="str">
        <f aca="false">"CONSTRUTORA"</f>
        <v>CONSTRUTORA</v>
      </c>
      <c r="M95" s="5" t="str">
        <f aca="false">"PB"</f>
        <v>PB</v>
      </c>
      <c r="N95" s="9" t="n">
        <v>0</v>
      </c>
      <c r="O95" s="10" t="n">
        <v>193.9</v>
      </c>
      <c r="P95" s="10" t="n">
        <v>154</v>
      </c>
      <c r="Q95" s="10" t="n">
        <v>0</v>
      </c>
      <c r="R95" s="10" t="n">
        <v>2.02</v>
      </c>
      <c r="S95" s="5" t="str">
        <f aca="false">"Embarque"</f>
        <v>Embarque</v>
      </c>
      <c r="T95" s="5" t="str">
        <f aca="false">"SESB REP"</f>
        <v>SESB REP</v>
      </c>
      <c r="U95" s="11" t="n">
        <v>25</v>
      </c>
      <c r="V95" s="5" t="str">
        <f aca="false">""</f>
        <v/>
      </c>
    </row>
    <row r="96" customFormat="false" ht="12.8" hidden="false" customHeight="false" outlineLevel="0" collapsed="false">
      <c r="A96" s="4" t="n">
        <v>206</v>
      </c>
      <c r="B96" s="5" t="str">
        <f aca="false">"LA FONTE"</f>
        <v>LA FONTE</v>
      </c>
      <c r="C96" s="6" t="n">
        <v>956401</v>
      </c>
      <c r="D96" s="7" t="n">
        <v>45749</v>
      </c>
      <c r="E96" s="7" t="n">
        <v>45750</v>
      </c>
      <c r="F96" s="7"/>
      <c r="G96" s="7"/>
      <c r="H96" s="7"/>
      <c r="I96" s="5" t="str">
        <f aca="false">""</f>
        <v/>
      </c>
      <c r="J96" s="5" t="str">
        <f aca="false">"BLF000001687"</f>
        <v>BLF000001687</v>
      </c>
      <c r="K96" s="5" t="str">
        <f aca="false">"ELAINE BORGE"</f>
        <v>ELAINE BORGE</v>
      </c>
      <c r="L96" s="5" t="str">
        <f aca="false">"WEBSHOP"</f>
        <v>WEBSHOP</v>
      </c>
      <c r="M96" s="5" t="str">
        <f aca="false">"SP"</f>
        <v>SP</v>
      </c>
      <c r="N96" s="9" t="n">
        <v>0</v>
      </c>
      <c r="O96" s="10" t="n">
        <v>1489.68</v>
      </c>
      <c r="P96" s="10" t="n">
        <v>1083.74</v>
      </c>
      <c r="Q96" s="10" t="n">
        <v>0</v>
      </c>
      <c r="R96" s="10" t="n">
        <v>60.48</v>
      </c>
      <c r="S96" s="5" t="str">
        <f aca="false">"Embarque"</f>
        <v>Embarque</v>
      </c>
      <c r="T96" s="5" t="str">
        <f aca="false">"WEBSHOPLF"</f>
        <v>WEBSHOPLF</v>
      </c>
      <c r="U96" s="11" t="n">
        <v>13</v>
      </c>
      <c r="V96" s="12" t="n">
        <v>35057</v>
      </c>
    </row>
    <row r="97" customFormat="false" ht="12.8" hidden="false" customHeight="false" outlineLevel="0" collapsed="false">
      <c r="A97" s="4" t="n">
        <v>206</v>
      </c>
      <c r="B97" s="5" t="str">
        <f aca="false">"SILVANA CDSP"</f>
        <v>SILVANA CDSP</v>
      </c>
      <c r="C97" s="6" t="n">
        <v>956395</v>
      </c>
      <c r="D97" s="7" t="n">
        <v>45749</v>
      </c>
      <c r="E97" s="7" t="n">
        <v>45750</v>
      </c>
      <c r="F97" s="7"/>
      <c r="G97" s="7"/>
      <c r="H97" s="7"/>
      <c r="I97" s="5" t="str">
        <f aca="false">""</f>
        <v/>
      </c>
      <c r="J97" s="5" t="str">
        <f aca="false">"TWEB00004265"</f>
        <v>TWEB00004265</v>
      </c>
      <c r="K97" s="5" t="str">
        <f aca="false">"CALIMAN MADE"</f>
        <v>CALIMAN MADE</v>
      </c>
      <c r="L97" s="5" t="str">
        <f aca="false">"WEBSHOP"</f>
        <v>WEBSHOP</v>
      </c>
      <c r="M97" s="5" t="str">
        <f aca="false">"RJ"</f>
        <v>RJ</v>
      </c>
      <c r="N97" s="9" t="n">
        <v>0</v>
      </c>
      <c r="O97" s="10" t="n">
        <v>7692.43</v>
      </c>
      <c r="P97" s="10" t="n">
        <v>5362.88</v>
      </c>
      <c r="Q97" s="10" t="n">
        <v>0</v>
      </c>
      <c r="R97" s="10" t="n">
        <v>97.25</v>
      </c>
      <c r="S97" s="5" t="str">
        <f aca="false">"Embarque"</f>
        <v>Embarque</v>
      </c>
      <c r="T97" s="5" t="str">
        <f aca="false">"GUSTAVO FRAN"</f>
        <v>GUSTAVO FRAN</v>
      </c>
      <c r="U97" s="11" t="n">
        <v>13</v>
      </c>
      <c r="V97" s="15" t="n">
        <v>3218787</v>
      </c>
    </row>
    <row r="98" customFormat="false" ht="12.8" hidden="false" customHeight="false" outlineLevel="0" collapsed="false">
      <c r="A98" s="4" t="n">
        <v>206</v>
      </c>
      <c r="B98" s="5" t="str">
        <f aca="false">"PAPAIZ"</f>
        <v>PAPAIZ</v>
      </c>
      <c r="C98" s="6" t="n">
        <v>956408</v>
      </c>
      <c r="D98" s="7" t="n">
        <v>45749</v>
      </c>
      <c r="E98" s="7" t="n">
        <v>45750</v>
      </c>
      <c r="F98" s="7"/>
      <c r="G98" s="7"/>
      <c r="H98" s="7"/>
      <c r="I98" s="5" t="str">
        <f aca="false">""</f>
        <v/>
      </c>
      <c r="J98" s="5" t="str">
        <f aca="false">"BPPZ00018929"</f>
        <v>BPPZ00018929</v>
      </c>
      <c r="K98" s="5" t="str">
        <f aca="false">"HARDI SCHMAT"</f>
        <v>HARDI SCHMAT</v>
      </c>
      <c r="L98" s="5" t="str">
        <f aca="false">"WEBSHOP"</f>
        <v>WEBSHOP</v>
      </c>
      <c r="M98" s="5" t="str">
        <f aca="false">"RS"</f>
        <v>RS</v>
      </c>
      <c r="N98" s="9" t="n">
        <v>0</v>
      </c>
      <c r="O98" s="10" t="n">
        <v>220.35</v>
      </c>
      <c r="P98" s="10" t="n">
        <v>160.3</v>
      </c>
      <c r="Q98" s="10" t="n">
        <v>0</v>
      </c>
      <c r="R98" s="10" t="n">
        <v>0.73</v>
      </c>
      <c r="S98" s="5" t="str">
        <f aca="false">"Embarque"</f>
        <v>Embarque</v>
      </c>
      <c r="T98" s="5" t="str">
        <f aca="false">"WEBSHOPPPZ"</f>
        <v>WEBSHOPPPZ</v>
      </c>
      <c r="U98" s="11" t="n">
        <v>13</v>
      </c>
      <c r="V98" s="12" t="n">
        <v>35050</v>
      </c>
    </row>
    <row r="99" customFormat="false" ht="12.8" hidden="false" customHeight="false" outlineLevel="0" collapsed="false">
      <c r="A99" s="4" t="n">
        <v>206</v>
      </c>
      <c r="B99" s="5" t="str">
        <f aca="false">"PAPAIZ"</f>
        <v>PAPAIZ</v>
      </c>
      <c r="C99" s="6" t="n">
        <v>956563</v>
      </c>
      <c r="D99" s="7" t="n">
        <v>45749</v>
      </c>
      <c r="E99" s="7" t="n">
        <v>45750</v>
      </c>
      <c r="F99" s="7"/>
      <c r="G99" s="7"/>
      <c r="H99" s="7"/>
      <c r="I99" s="5" t="str">
        <f aca="false">""</f>
        <v/>
      </c>
      <c r="J99" s="5" t="str">
        <f aca="false">"TWEB00004267"</f>
        <v>TWEB00004267</v>
      </c>
      <c r="K99" s="5" t="str">
        <f aca="false">"ALIANCAMA08"</f>
        <v>ALIANCAMA08</v>
      </c>
      <c r="L99" s="5" t="str">
        <f aca="false">"WEBSHOP"</f>
        <v>WEBSHOP</v>
      </c>
      <c r="M99" s="5" t="str">
        <f aca="false">"BA"</f>
        <v>BA</v>
      </c>
      <c r="N99" s="9" t="n">
        <v>230.85</v>
      </c>
      <c r="O99" s="10" t="n">
        <v>8774.45</v>
      </c>
      <c r="P99" s="10" t="n">
        <v>7348.6</v>
      </c>
      <c r="Q99" s="10" t="n">
        <v>0</v>
      </c>
      <c r="R99" s="10" t="n">
        <v>51.68</v>
      </c>
      <c r="S99" s="5" t="str">
        <f aca="false">"Embarque"</f>
        <v>Embarque</v>
      </c>
      <c r="T99" s="5" t="str">
        <f aca="false">"GABRIEL WILL"</f>
        <v>GABRIEL WILL</v>
      </c>
      <c r="U99" s="11" t="n">
        <v>13</v>
      </c>
      <c r="V99" s="15" t="n">
        <v>3218747</v>
      </c>
    </row>
    <row r="100" customFormat="false" ht="12.8" hidden="false" customHeight="false" outlineLevel="0" collapsed="false">
      <c r="A100" s="4" t="n">
        <v>206</v>
      </c>
      <c r="B100" s="5" t="str">
        <f aca="false">"SILVANA CDSP"</f>
        <v>SILVANA CDSP</v>
      </c>
      <c r="C100" s="6" t="n">
        <v>956643</v>
      </c>
      <c r="D100" s="7" t="n">
        <v>45749</v>
      </c>
      <c r="E100" s="7" t="n">
        <v>45750</v>
      </c>
      <c r="F100" s="7"/>
      <c r="G100" s="7"/>
      <c r="H100" s="7"/>
      <c r="I100" s="5" t="str">
        <f aca="false">""</f>
        <v/>
      </c>
      <c r="J100" s="12" t="n">
        <v>53860</v>
      </c>
      <c r="K100" s="5" t="str">
        <f aca="false">"UTIL ARTE MA"</f>
        <v>UTIL ARTE MA</v>
      </c>
      <c r="L100" s="5" t="str">
        <f aca="false">"FERRAGISTA"</f>
        <v>FERRAGISTA</v>
      </c>
      <c r="M100" s="5" t="str">
        <f aca="false">"SP"</f>
        <v>SP</v>
      </c>
      <c r="N100" s="9" t="n">
        <v>1619.34</v>
      </c>
      <c r="O100" s="10" t="n">
        <v>2241.09</v>
      </c>
      <c r="P100" s="10" t="n">
        <v>1355.33</v>
      </c>
      <c r="Q100" s="10" t="n">
        <v>0</v>
      </c>
      <c r="R100" s="10" t="n">
        <v>26.66</v>
      </c>
      <c r="S100" s="5" t="str">
        <f aca="false">"Embarque"</f>
        <v>Embarque</v>
      </c>
      <c r="T100" s="5" t="str">
        <f aca="false">"EVOLUIR REP"</f>
        <v>EVOLUIR REP</v>
      </c>
      <c r="U100" s="11" t="n">
        <v>25</v>
      </c>
      <c r="V100" s="5" t="str">
        <f aca="false">""</f>
        <v/>
      </c>
    </row>
    <row r="101" customFormat="false" ht="12.8" hidden="false" customHeight="false" outlineLevel="0" collapsed="false">
      <c r="A101" s="4" t="n">
        <v>206</v>
      </c>
      <c r="B101" s="5" t="str">
        <f aca="false">"PAPAIZ"</f>
        <v>PAPAIZ</v>
      </c>
      <c r="C101" s="6" t="n">
        <v>956693</v>
      </c>
      <c r="D101" s="7" t="n">
        <v>45749</v>
      </c>
      <c r="E101" s="7" t="n">
        <v>45751</v>
      </c>
      <c r="F101" s="7"/>
      <c r="G101" s="7"/>
      <c r="H101" s="7"/>
      <c r="I101" s="5" t="str">
        <f aca="false">""</f>
        <v/>
      </c>
      <c r="J101" s="15" t="n">
        <v>1964712</v>
      </c>
      <c r="K101" s="5" t="str">
        <f aca="false">"BOTTINO-CA"</f>
        <v>BOTTINO-CA</v>
      </c>
      <c r="L101" s="5" t="str">
        <f aca="false">"HOME CENTER"</f>
        <v>HOME CENTER</v>
      </c>
      <c r="M101" s="5" t="str">
        <f aca="false">"RJ"</f>
        <v>RJ</v>
      </c>
      <c r="N101" s="9" t="n">
        <v>0</v>
      </c>
      <c r="O101" s="10" t="n">
        <v>499.6</v>
      </c>
      <c r="P101" s="10" t="n">
        <v>393.44</v>
      </c>
      <c r="Q101" s="10" t="n">
        <v>0</v>
      </c>
      <c r="R101" s="10" t="n">
        <v>2.87</v>
      </c>
      <c r="S101" s="5" t="str">
        <f aca="false">"Embarque"</f>
        <v>Embarque</v>
      </c>
      <c r="T101" s="5" t="str">
        <f aca="false">"ALEXANDRE P"</f>
        <v>ALEXANDRE P</v>
      </c>
      <c r="U101" s="11" t="n">
        <v>25</v>
      </c>
      <c r="V101" s="5" t="str">
        <f aca="false">""</f>
        <v/>
      </c>
    </row>
    <row r="102" customFormat="false" ht="12.8" hidden="false" customHeight="false" outlineLevel="0" collapsed="false">
      <c r="A102" s="4" t="n">
        <v>206</v>
      </c>
      <c r="B102" s="5" t="str">
        <f aca="false">"PAPAIZ"</f>
        <v>PAPAIZ</v>
      </c>
      <c r="C102" s="6" t="n">
        <v>956308</v>
      </c>
      <c r="D102" s="7" t="n">
        <v>45749</v>
      </c>
      <c r="E102" s="7" t="n">
        <v>45749</v>
      </c>
      <c r="F102" s="7"/>
      <c r="G102" s="7"/>
      <c r="H102" s="7"/>
      <c r="I102" s="5" t="str">
        <f aca="false">""</f>
        <v/>
      </c>
      <c r="J102" s="5" t="str">
        <f aca="false">"TWEB00004257"</f>
        <v>TWEB00004257</v>
      </c>
      <c r="K102" s="5" t="str">
        <f aca="false">"HL EQUPAMEN"</f>
        <v>HL EQUPAMEN</v>
      </c>
      <c r="L102" s="5" t="str">
        <f aca="false">"WEBSHOP"</f>
        <v>WEBSHOP</v>
      </c>
      <c r="M102" s="5" t="str">
        <f aca="false">"RJ"</f>
        <v>RJ</v>
      </c>
      <c r="N102" s="9" t="n">
        <v>682.4</v>
      </c>
      <c r="O102" s="10" t="n">
        <v>1308.24</v>
      </c>
      <c r="P102" s="10" t="n">
        <v>1030.24</v>
      </c>
      <c r="Q102" s="10" t="n">
        <v>0</v>
      </c>
      <c r="R102" s="10" t="n">
        <v>14.76</v>
      </c>
      <c r="S102" s="5" t="str">
        <f aca="false">"Embarque"</f>
        <v>Embarque</v>
      </c>
      <c r="T102" s="5" t="str">
        <f aca="false">"DANIEL LIMA"</f>
        <v>DANIEL LIMA</v>
      </c>
      <c r="U102" s="11" t="n">
        <v>13</v>
      </c>
      <c r="V102" s="15" t="n">
        <v>3218461</v>
      </c>
    </row>
    <row r="103" customFormat="false" ht="12.8" hidden="false" customHeight="false" outlineLevel="0" collapsed="false">
      <c r="A103" s="4" t="n">
        <v>206</v>
      </c>
      <c r="B103" s="5" t="str">
        <f aca="false">"METALIKA"</f>
        <v>METALIKA</v>
      </c>
      <c r="C103" s="6" t="n">
        <v>956659</v>
      </c>
      <c r="D103" s="7" t="n">
        <v>45749</v>
      </c>
      <c r="E103" s="7" t="n">
        <v>45750</v>
      </c>
      <c r="F103" s="7"/>
      <c r="G103" s="7"/>
      <c r="H103" s="7"/>
      <c r="I103" s="5" t="str">
        <f aca="false">""</f>
        <v/>
      </c>
      <c r="J103" s="5" t="str">
        <f aca="false">"SAC34800MT"</f>
        <v>SAC34800MT</v>
      </c>
      <c r="K103" s="5" t="str">
        <f aca="false">"PLANO SAO FR"</f>
        <v>PLANO SAO FR</v>
      </c>
      <c r="L103" s="5" t="str">
        <f aca="false">"CONSTRUTORA"</f>
        <v>CONSTRUTORA</v>
      </c>
      <c r="M103" s="5" t="str">
        <f aca="false">"SP"</f>
        <v>SP</v>
      </c>
      <c r="N103" s="9" t="n">
        <v>0</v>
      </c>
      <c r="O103" s="10" t="n">
        <v>221</v>
      </c>
      <c r="P103" s="10" t="n">
        <v>181.22</v>
      </c>
      <c r="Q103" s="10" t="n">
        <v>0</v>
      </c>
      <c r="R103" s="10" t="n">
        <v>1.2</v>
      </c>
      <c r="S103" s="5" t="str">
        <f aca="false">"Embarque"</f>
        <v>Embarque</v>
      </c>
      <c r="T103" s="5" t="str">
        <f aca="false">"LEMAT REPRES"</f>
        <v>LEMAT REPRES</v>
      </c>
      <c r="U103" s="11" t="n">
        <v>25</v>
      </c>
      <c r="V103" s="5" t="str">
        <f aca="false">""</f>
        <v/>
      </c>
    </row>
    <row r="104" customFormat="false" ht="12.8" hidden="false" customHeight="false" outlineLevel="0" collapsed="false">
      <c r="A104" s="4" t="n">
        <v>206</v>
      </c>
      <c r="B104" s="5" t="str">
        <f aca="false">"SILVANA CDSP"</f>
        <v>SILVANA CDSP</v>
      </c>
      <c r="C104" s="6" t="n">
        <v>956605</v>
      </c>
      <c r="D104" s="7" t="n">
        <v>45750</v>
      </c>
      <c r="E104" s="7" t="n">
        <v>45750</v>
      </c>
      <c r="F104" s="7"/>
      <c r="G104" s="7"/>
      <c r="H104" s="7"/>
      <c r="I104" s="5" t="str">
        <f aca="false">""</f>
        <v/>
      </c>
      <c r="J104" s="5" t="str">
        <f aca="false">"SPDSIL021841"</f>
        <v>SPDSIL021841</v>
      </c>
      <c r="K104" s="5" t="str">
        <f aca="false">"GRANTEL CES"</f>
        <v>GRANTEL CES</v>
      </c>
      <c r="L104" s="5" t="str">
        <f aca="false">"MATERIAL DE CONSTRUCAO"</f>
        <v>MATERIAL DE CONSTRUCAO</v>
      </c>
      <c r="M104" s="5" t="str">
        <f aca="false">"SP"</f>
        <v>SP</v>
      </c>
      <c r="N104" s="9" t="n">
        <v>159.12</v>
      </c>
      <c r="O104" s="10" t="n">
        <v>2553.66</v>
      </c>
      <c r="P104" s="10" t="n">
        <v>1458.7</v>
      </c>
      <c r="Q104" s="10" t="n">
        <v>0</v>
      </c>
      <c r="R104" s="10" t="n">
        <v>49.93</v>
      </c>
      <c r="S104" s="5" t="str">
        <f aca="false">"Embarque"</f>
        <v>Embarque</v>
      </c>
      <c r="T104" s="5" t="str">
        <f aca="false">"TH FABIO REP"</f>
        <v>TH FABIO REP</v>
      </c>
      <c r="U104" s="11" t="n">
        <v>25</v>
      </c>
      <c r="V104" s="5" t="str">
        <f aca="false">""</f>
        <v/>
      </c>
    </row>
    <row r="105" customFormat="false" ht="12.8" hidden="false" customHeight="false" outlineLevel="0" collapsed="false">
      <c r="A105" s="4" t="n">
        <v>206</v>
      </c>
      <c r="B105" s="5" t="str">
        <f aca="false">"PAPAIZ"</f>
        <v>PAPAIZ</v>
      </c>
      <c r="C105" s="6" t="n">
        <v>955966</v>
      </c>
      <c r="D105" s="7" t="n">
        <v>45750</v>
      </c>
      <c r="E105" s="7" t="n">
        <v>45748</v>
      </c>
      <c r="F105" s="7"/>
      <c r="G105" s="7"/>
      <c r="H105" s="7"/>
      <c r="I105" s="5" t="str">
        <f aca="false">""</f>
        <v/>
      </c>
      <c r="J105" s="14" t="n">
        <v>4520353927</v>
      </c>
      <c r="K105" s="5" t="str">
        <f aca="false">"LEROY"</f>
        <v>LEROY</v>
      </c>
      <c r="L105" s="5" t="str">
        <f aca="false">"HOME CENTER"</f>
        <v>HOME CENTER</v>
      </c>
      <c r="M105" s="5" t="str">
        <f aca="false">"SP"</f>
        <v>SP</v>
      </c>
      <c r="N105" s="9" t="n">
        <v>0</v>
      </c>
      <c r="O105" s="10" t="n">
        <v>170.4</v>
      </c>
      <c r="P105" s="10" t="n">
        <v>116.4</v>
      </c>
      <c r="Q105" s="10" t="n">
        <v>0</v>
      </c>
      <c r="R105" s="10" t="n">
        <v>3.16</v>
      </c>
      <c r="S105" s="5" t="str">
        <f aca="false">"Embarque"</f>
        <v>Embarque</v>
      </c>
      <c r="T105" s="5" t="str">
        <f aca="false">"TIAGO SILVA"</f>
        <v>TIAGO SILVA</v>
      </c>
      <c r="U105" s="11" t="n">
        <v>6</v>
      </c>
      <c r="V105" s="5" t="str">
        <f aca="false">""</f>
        <v/>
      </c>
    </row>
    <row r="106" customFormat="false" ht="12.8" hidden="false" customHeight="false" outlineLevel="0" collapsed="false">
      <c r="A106" s="4" t="n">
        <v>206</v>
      </c>
      <c r="B106" s="5" t="str">
        <f aca="false">"SILVANA CDSP"</f>
        <v>SILVANA CDSP</v>
      </c>
      <c r="C106" s="6" t="n">
        <v>956740</v>
      </c>
      <c r="D106" s="7" t="n">
        <v>45750</v>
      </c>
      <c r="E106" s="7" t="n">
        <v>45751</v>
      </c>
      <c r="F106" s="7"/>
      <c r="G106" s="7"/>
      <c r="H106" s="7"/>
      <c r="I106" s="5" t="str">
        <f aca="false">""</f>
        <v/>
      </c>
      <c r="J106" s="5" t="str">
        <f aca="false">"SPDSIL021879"</f>
        <v>SPDSIL021879</v>
      </c>
      <c r="K106" s="5" t="str">
        <f aca="false">"PARANA GLASS"</f>
        <v>PARANA GLASS</v>
      </c>
      <c r="L106" s="5" t="str">
        <f aca="false">"ATACADISTA"</f>
        <v>ATACADISTA</v>
      </c>
      <c r="M106" s="5" t="str">
        <f aca="false">"MS"</f>
        <v>MS</v>
      </c>
      <c r="N106" s="9" t="n">
        <v>4319.9</v>
      </c>
      <c r="O106" s="10" t="n">
        <v>1950.9</v>
      </c>
      <c r="P106" s="10" t="n">
        <v>1633.88</v>
      </c>
      <c r="Q106" s="10" t="n">
        <v>0</v>
      </c>
      <c r="R106" s="10" t="n">
        <v>28.35</v>
      </c>
      <c r="S106" s="5" t="str">
        <f aca="false">"Embarque"</f>
        <v>Embarque</v>
      </c>
      <c r="T106" s="5" t="str">
        <f aca="false">"FG REPRES"</f>
        <v>FG REPRES</v>
      </c>
      <c r="U106" s="11" t="n">
        <v>25</v>
      </c>
      <c r="V106" s="5" t="str">
        <f aca="false">""</f>
        <v/>
      </c>
    </row>
    <row r="107" customFormat="false" ht="12.8" hidden="false" customHeight="false" outlineLevel="0" collapsed="false">
      <c r="A107" s="4" t="n">
        <v>206</v>
      </c>
      <c r="B107" s="5" t="str">
        <f aca="false">"SILVANA CDSP"</f>
        <v>SILVANA CDSP</v>
      </c>
      <c r="C107" s="6" t="n">
        <v>956736</v>
      </c>
      <c r="D107" s="7" t="n">
        <v>45750</v>
      </c>
      <c r="E107" s="7" t="n">
        <v>45751</v>
      </c>
      <c r="F107" s="7"/>
      <c r="G107" s="7"/>
      <c r="H107" s="7"/>
      <c r="I107" s="5" t="str">
        <f aca="false">""</f>
        <v/>
      </c>
      <c r="J107" s="5" t="str">
        <f aca="false">"SPDSIL021882"</f>
        <v>SPDSIL021882</v>
      </c>
      <c r="K107" s="5" t="str">
        <f aca="false">"MULTI TUDO"</f>
        <v>MULTI TUDO</v>
      </c>
      <c r="L107" s="5" t="str">
        <f aca="false">"MATERIAL DE CONSTRUCAO"</f>
        <v>MATERIAL DE CONSTRUCAO</v>
      </c>
      <c r="M107" s="5" t="str">
        <f aca="false">"MT"</f>
        <v>MT</v>
      </c>
      <c r="N107" s="9" t="n">
        <v>419.66</v>
      </c>
      <c r="O107" s="10" t="n">
        <v>7285.67</v>
      </c>
      <c r="P107" s="10" t="n">
        <v>5261.97</v>
      </c>
      <c r="Q107" s="10" t="n">
        <v>0</v>
      </c>
      <c r="R107" s="10" t="n">
        <v>105.81</v>
      </c>
      <c r="S107" s="5" t="str">
        <f aca="false">"Embarque"</f>
        <v>Embarque</v>
      </c>
      <c r="T107" s="5" t="str">
        <f aca="false">"KELBER"</f>
        <v>KELBER</v>
      </c>
      <c r="U107" s="11" t="n">
        <v>25</v>
      </c>
      <c r="V107" s="5" t="str">
        <f aca="false">""</f>
        <v/>
      </c>
    </row>
    <row r="108" customFormat="false" ht="12.8" hidden="false" customHeight="false" outlineLevel="0" collapsed="false">
      <c r="A108" s="4" t="n">
        <v>206</v>
      </c>
      <c r="B108" s="5" t="str">
        <f aca="false">"LA FONTE"</f>
        <v>LA FONTE</v>
      </c>
      <c r="C108" s="6" t="n">
        <v>955683</v>
      </c>
      <c r="D108" s="7" t="n">
        <v>45750</v>
      </c>
      <c r="E108" s="7" t="n">
        <v>45747</v>
      </c>
      <c r="F108" s="7"/>
      <c r="G108" s="7"/>
      <c r="H108" s="7"/>
      <c r="I108" s="5" t="str">
        <f aca="false">""</f>
        <v/>
      </c>
      <c r="J108" s="5" t="str">
        <f aca="false">"SPDLFT004837"</f>
        <v>SPDLFT004837</v>
      </c>
      <c r="K108" s="5" t="str">
        <f aca="false">"MARELLI MO"</f>
        <v>MARELLI MO</v>
      </c>
      <c r="L108" s="5" t="str">
        <f aca="false">"OEM"</f>
        <v>OEM</v>
      </c>
      <c r="M108" s="5" t="str">
        <f aca="false">"RS"</f>
        <v>RS</v>
      </c>
      <c r="N108" s="9" t="n">
        <v>158.44</v>
      </c>
      <c r="O108" s="10" t="n">
        <v>449.19</v>
      </c>
      <c r="P108" s="10" t="n">
        <v>395.29</v>
      </c>
      <c r="Q108" s="10" t="n">
        <v>0</v>
      </c>
      <c r="R108" s="10" t="n">
        <v>3.43</v>
      </c>
      <c r="S108" s="5" t="str">
        <f aca="false">"Embarque"</f>
        <v>Embarque</v>
      </c>
      <c r="T108" s="5" t="str">
        <f aca="false">"BARSE REPRES"</f>
        <v>BARSE REPRES</v>
      </c>
      <c r="U108" s="11" t="n">
        <v>25</v>
      </c>
      <c r="V108" s="5" t="str">
        <f aca="false">""</f>
        <v/>
      </c>
    </row>
    <row r="109" customFormat="false" ht="12.8" hidden="false" customHeight="false" outlineLevel="0" collapsed="false">
      <c r="A109" s="4" t="n">
        <v>206</v>
      </c>
      <c r="B109" s="5" t="str">
        <f aca="false">"SILVANA CDSP"</f>
        <v>SILVANA CDSP</v>
      </c>
      <c r="C109" s="6" t="n">
        <v>956684</v>
      </c>
      <c r="D109" s="7" t="n">
        <v>45750</v>
      </c>
      <c r="E109" s="7" t="n">
        <v>45751</v>
      </c>
      <c r="F109" s="7"/>
      <c r="G109" s="7"/>
      <c r="H109" s="7"/>
      <c r="I109" s="5" t="str">
        <f aca="false">""</f>
        <v/>
      </c>
      <c r="J109" s="5" t="str">
        <f aca="false">"TWEB00004272"</f>
        <v>TWEB00004272</v>
      </c>
      <c r="K109" s="5" t="str">
        <f aca="false">"ALIANCAMA08"</f>
        <v>ALIANCAMA08</v>
      </c>
      <c r="L109" s="5" t="str">
        <f aca="false">"WEBSHOP"</f>
        <v>WEBSHOP</v>
      </c>
      <c r="M109" s="5" t="str">
        <f aca="false">"BA"</f>
        <v>BA</v>
      </c>
      <c r="N109" s="9" t="n">
        <v>38.94</v>
      </c>
      <c r="O109" s="10" t="n">
        <v>9756.02</v>
      </c>
      <c r="P109" s="10" t="n">
        <v>8146.02</v>
      </c>
      <c r="Q109" s="10" t="n">
        <v>0</v>
      </c>
      <c r="R109" s="10" t="n">
        <v>105.53</v>
      </c>
      <c r="S109" s="5" t="str">
        <f aca="false">"Embarque"</f>
        <v>Embarque</v>
      </c>
      <c r="T109" s="5" t="str">
        <f aca="false">"GUSTAVO FRAN"</f>
        <v>GUSTAVO FRAN</v>
      </c>
      <c r="U109" s="11" t="n">
        <v>13</v>
      </c>
      <c r="V109" s="15" t="n">
        <v>3218990</v>
      </c>
    </row>
    <row r="110" customFormat="false" ht="12.8" hidden="false" customHeight="false" outlineLevel="0" collapsed="false">
      <c r="A110" s="4" t="n">
        <v>206</v>
      </c>
      <c r="B110" s="5" t="str">
        <f aca="false">"PAPAIZ"</f>
        <v>PAPAIZ</v>
      </c>
      <c r="C110" s="6" t="n">
        <v>956704</v>
      </c>
      <c r="D110" s="7" t="n">
        <v>45750</v>
      </c>
      <c r="E110" s="7" t="n">
        <v>45751</v>
      </c>
      <c r="F110" s="7"/>
      <c r="G110" s="7"/>
      <c r="H110" s="7"/>
      <c r="I110" s="5" t="str">
        <f aca="false">""</f>
        <v/>
      </c>
      <c r="J110" s="14" t="n">
        <v>4520354857</v>
      </c>
      <c r="K110" s="5" t="str">
        <f aca="false">"LEROY RIO NO"</f>
        <v>LEROY RIO NO</v>
      </c>
      <c r="L110" s="5" t="str">
        <f aca="false">"HOME CENTER"</f>
        <v>HOME CENTER</v>
      </c>
      <c r="M110" s="5" t="str">
        <f aca="false">"RJ"</f>
        <v>RJ</v>
      </c>
      <c r="N110" s="9" t="n">
        <v>0</v>
      </c>
      <c r="O110" s="10" t="n">
        <v>134.4</v>
      </c>
      <c r="P110" s="10" t="n">
        <v>105.84</v>
      </c>
      <c r="Q110" s="10" t="n">
        <v>0</v>
      </c>
      <c r="R110" s="10" t="n">
        <v>0.8</v>
      </c>
      <c r="S110" s="5" t="str">
        <f aca="false">"Embarque"</f>
        <v>Embarque</v>
      </c>
      <c r="T110" s="5" t="str">
        <f aca="false">"ALEXANDRE P"</f>
        <v>ALEXANDRE P</v>
      </c>
      <c r="U110" s="11" t="n">
        <v>6</v>
      </c>
      <c r="V110" s="5" t="str">
        <f aca="false">""</f>
        <v/>
      </c>
    </row>
    <row r="111" customFormat="false" ht="12.8" hidden="false" customHeight="false" outlineLevel="0" collapsed="false">
      <c r="A111" s="4" t="n">
        <v>206</v>
      </c>
      <c r="B111" s="5" t="str">
        <f aca="false">"PAPAIZ"</f>
        <v>PAPAIZ</v>
      </c>
      <c r="C111" s="6" t="n">
        <v>956703</v>
      </c>
      <c r="D111" s="7" t="n">
        <v>45750</v>
      </c>
      <c r="E111" s="7" t="n">
        <v>45751</v>
      </c>
      <c r="F111" s="7"/>
      <c r="G111" s="7"/>
      <c r="H111" s="7"/>
      <c r="I111" s="5" t="str">
        <f aca="false">""</f>
        <v/>
      </c>
      <c r="J111" s="14" t="n">
        <v>4520352783</v>
      </c>
      <c r="K111" s="5" t="str">
        <f aca="false">"LEROY RIB PR"</f>
        <v>LEROY RIB PR</v>
      </c>
      <c r="L111" s="5" t="str">
        <f aca="false">"HOME CENTER"</f>
        <v>HOME CENTER</v>
      </c>
      <c r="M111" s="5" t="str">
        <f aca="false">"SP"</f>
        <v>SP</v>
      </c>
      <c r="N111" s="9" t="n">
        <v>0</v>
      </c>
      <c r="O111" s="10" t="n">
        <v>26.88</v>
      </c>
      <c r="P111" s="10" t="n">
        <v>19.56</v>
      </c>
      <c r="Q111" s="10" t="n">
        <v>0</v>
      </c>
      <c r="R111" s="10" t="n">
        <v>0.16</v>
      </c>
      <c r="S111" s="5" t="str">
        <f aca="false">"Embarque"</f>
        <v>Embarque</v>
      </c>
      <c r="T111" s="5" t="str">
        <f aca="false">"TIAGO SILVA"</f>
        <v>TIAGO SILVA</v>
      </c>
      <c r="U111" s="11" t="n">
        <v>6</v>
      </c>
      <c r="V111" s="5" t="str">
        <f aca="false">""</f>
        <v/>
      </c>
    </row>
    <row r="112" customFormat="false" ht="12.8" hidden="false" customHeight="false" outlineLevel="0" collapsed="false">
      <c r="A112" s="4" t="n">
        <v>206</v>
      </c>
      <c r="B112" s="5" t="str">
        <f aca="false">"PAPAIZ"</f>
        <v>PAPAIZ</v>
      </c>
      <c r="C112" s="6" t="n">
        <v>956702</v>
      </c>
      <c r="D112" s="7" t="n">
        <v>45750</v>
      </c>
      <c r="E112" s="7" t="n">
        <v>45751</v>
      </c>
      <c r="F112" s="7"/>
      <c r="G112" s="7"/>
      <c r="H112" s="7"/>
      <c r="I112" s="5" t="str">
        <f aca="false">""</f>
        <v/>
      </c>
      <c r="J112" s="14" t="n">
        <v>4520355685</v>
      </c>
      <c r="K112" s="5" t="str">
        <f aca="false">"LEROY MACEIO"</f>
        <v>LEROY MACEIO</v>
      </c>
      <c r="L112" s="5" t="str">
        <f aca="false">"HOME CENTER"</f>
        <v>HOME CENTER</v>
      </c>
      <c r="M112" s="5" t="str">
        <f aca="false">"AL"</f>
        <v>AL</v>
      </c>
      <c r="N112" s="9" t="n">
        <v>0</v>
      </c>
      <c r="O112" s="10" t="n">
        <v>134.4</v>
      </c>
      <c r="P112" s="10" t="n">
        <v>112.56</v>
      </c>
      <c r="Q112" s="10" t="n">
        <v>0</v>
      </c>
      <c r="R112" s="10" t="n">
        <v>0.8</v>
      </c>
      <c r="S112" s="5" t="str">
        <f aca="false">"Embarque"</f>
        <v>Embarque</v>
      </c>
      <c r="T112" s="5" t="str">
        <f aca="false">"AEP REPRE"</f>
        <v>AEP REPRE</v>
      </c>
      <c r="U112" s="11" t="n">
        <v>6</v>
      </c>
      <c r="V112" s="5" t="str">
        <f aca="false">""</f>
        <v/>
      </c>
    </row>
    <row r="113" customFormat="false" ht="12.8" hidden="false" customHeight="false" outlineLevel="0" collapsed="false">
      <c r="A113" s="4" t="n">
        <v>206</v>
      </c>
      <c r="B113" s="5" t="str">
        <f aca="false">"SILVANA CDSP"</f>
        <v>SILVANA CDSP</v>
      </c>
      <c r="C113" s="6" t="n">
        <v>956641</v>
      </c>
      <c r="D113" s="7" t="n">
        <v>45750</v>
      </c>
      <c r="E113" s="7" t="n">
        <v>45750</v>
      </c>
      <c r="F113" s="7"/>
      <c r="G113" s="7"/>
      <c r="H113" s="7"/>
      <c r="I113" s="5" t="str">
        <f aca="false">""</f>
        <v/>
      </c>
      <c r="J113" s="5" t="str">
        <f aca="false">"SPDSIL021840"</f>
        <v>SPDSIL021840</v>
      </c>
      <c r="K113" s="5" t="str">
        <f aca="false">"T TORRES MAT"</f>
        <v>T TORRES MAT</v>
      </c>
      <c r="L113" s="5" t="str">
        <f aca="false">"MATERIAL DE CONSTRUCAO"</f>
        <v>MATERIAL DE CONSTRUCAO</v>
      </c>
      <c r="M113" s="5" t="str">
        <f aca="false">"SP"</f>
        <v>SP</v>
      </c>
      <c r="N113" s="9" t="n">
        <v>226.44</v>
      </c>
      <c r="O113" s="10" t="n">
        <v>1291.53</v>
      </c>
      <c r="P113" s="10" t="n">
        <v>786.2</v>
      </c>
      <c r="Q113" s="10" t="n">
        <v>0</v>
      </c>
      <c r="R113" s="10" t="n">
        <v>14.55</v>
      </c>
      <c r="S113" s="5" t="str">
        <f aca="false">"Embarque"</f>
        <v>Embarque</v>
      </c>
      <c r="T113" s="5" t="str">
        <f aca="false">"M SILVA REPR"</f>
        <v>M SILVA REPR</v>
      </c>
      <c r="U113" s="11" t="n">
        <v>25</v>
      </c>
      <c r="V113" s="5" t="str">
        <f aca="false">""</f>
        <v/>
      </c>
    </row>
    <row r="114" customFormat="false" ht="12.8" hidden="false" customHeight="false" outlineLevel="0" collapsed="false">
      <c r="A114" s="4" t="n">
        <v>206</v>
      </c>
      <c r="B114" s="5" t="str">
        <f aca="false">"PAPAIZ"</f>
        <v>PAPAIZ</v>
      </c>
      <c r="C114" s="6" t="n">
        <v>956523</v>
      </c>
      <c r="D114" s="7" t="n">
        <v>45750</v>
      </c>
      <c r="E114" s="7" t="n">
        <v>45750</v>
      </c>
      <c r="F114" s="7"/>
      <c r="G114" s="7"/>
      <c r="H114" s="7"/>
      <c r="I114" s="5" t="str">
        <f aca="false">""</f>
        <v/>
      </c>
      <c r="J114" s="5" t="str">
        <f aca="false">"TWEB00004270"</f>
        <v>TWEB00004270</v>
      </c>
      <c r="K114" s="5" t="str">
        <f aca="false">"A M III"</f>
        <v>A M III</v>
      </c>
      <c r="L114" s="5" t="str">
        <f aca="false">"WEBSHOP"</f>
        <v>WEBSHOP</v>
      </c>
      <c r="M114" s="5" t="str">
        <f aca="false">"SP"</f>
        <v>SP</v>
      </c>
      <c r="N114" s="9" t="n">
        <v>0</v>
      </c>
      <c r="O114" s="10" t="n">
        <v>885.65</v>
      </c>
      <c r="P114" s="10" t="n">
        <v>604.99</v>
      </c>
      <c r="Q114" s="10" t="n">
        <v>0</v>
      </c>
      <c r="R114" s="10" t="n">
        <v>7.09</v>
      </c>
      <c r="S114" s="5" t="str">
        <f aca="false">"Embarque"</f>
        <v>Embarque</v>
      </c>
      <c r="T114" s="5" t="str">
        <f aca="false">"DANIEL LIMA"</f>
        <v>DANIEL LIMA</v>
      </c>
      <c r="U114" s="11" t="n">
        <v>13</v>
      </c>
      <c r="V114" s="15" t="n">
        <v>3218912</v>
      </c>
    </row>
    <row r="115" customFormat="false" ht="12.8" hidden="false" customHeight="false" outlineLevel="0" collapsed="false">
      <c r="A115" s="4" t="n">
        <v>206</v>
      </c>
      <c r="B115" s="5" t="str">
        <f aca="false">"SILVANA CDSP"</f>
        <v>SILVANA CDSP</v>
      </c>
      <c r="C115" s="6" t="n">
        <v>956719</v>
      </c>
      <c r="D115" s="7" t="n">
        <v>45750</v>
      </c>
      <c r="E115" s="7" t="n">
        <v>45751</v>
      </c>
      <c r="F115" s="7"/>
      <c r="G115" s="7"/>
      <c r="H115" s="7"/>
      <c r="I115" s="5" t="str">
        <f aca="false">""</f>
        <v/>
      </c>
      <c r="J115" s="5" t="str">
        <f aca="false">"SPDSIL021923"</f>
        <v>SPDSIL021923</v>
      </c>
      <c r="K115" s="5" t="str">
        <f aca="false">"CASA FUSCO M"</f>
        <v>CASA FUSCO M</v>
      </c>
      <c r="L115" s="5" t="str">
        <f aca="false">"MATERIAL DE CONSTRUCAO"</f>
        <v>MATERIAL DE CONSTRUCAO</v>
      </c>
      <c r="M115" s="5" t="str">
        <f aca="false">"SP"</f>
        <v>SP</v>
      </c>
      <c r="N115" s="9" t="n">
        <v>967.32</v>
      </c>
      <c r="O115" s="10" t="n">
        <v>1299.95</v>
      </c>
      <c r="P115" s="10" t="n">
        <v>765.71</v>
      </c>
      <c r="Q115" s="10" t="n">
        <v>0</v>
      </c>
      <c r="R115" s="10" t="n">
        <v>20.65</v>
      </c>
      <c r="S115" s="5" t="str">
        <f aca="false">"Embarque"</f>
        <v>Embarque</v>
      </c>
      <c r="T115" s="5" t="str">
        <f aca="false">"PAULO DE PAU"</f>
        <v>PAULO DE PAU</v>
      </c>
      <c r="U115" s="11" t="n">
        <v>25</v>
      </c>
      <c r="V115" s="5" t="str">
        <f aca="false">""</f>
        <v/>
      </c>
    </row>
    <row r="116" customFormat="false" ht="12.8" hidden="false" customHeight="false" outlineLevel="0" collapsed="false">
      <c r="A116" s="4" t="n">
        <v>206</v>
      </c>
      <c r="B116" s="5" t="str">
        <f aca="false">"SILVANA CDSP"</f>
        <v>SILVANA CDSP</v>
      </c>
      <c r="C116" s="6" t="n">
        <v>956591</v>
      </c>
      <c r="D116" s="7" t="n">
        <v>45750</v>
      </c>
      <c r="E116" s="7" t="n">
        <v>45750</v>
      </c>
      <c r="F116" s="7"/>
      <c r="G116" s="7"/>
      <c r="H116" s="7"/>
      <c r="I116" s="5" t="str">
        <f aca="false">""</f>
        <v/>
      </c>
      <c r="J116" s="5" t="str">
        <f aca="false">"SPDSIL021839"</f>
        <v>SPDSIL021839</v>
      </c>
      <c r="K116" s="5" t="str">
        <f aca="false">"ENL"</f>
        <v>ENL</v>
      </c>
      <c r="L116" s="5" t="str">
        <f aca="false">"FERRAGISTA"</f>
        <v>FERRAGISTA</v>
      </c>
      <c r="M116" s="5" t="str">
        <f aca="false">"SP"</f>
        <v>SP</v>
      </c>
      <c r="N116" s="9" t="n">
        <v>84</v>
      </c>
      <c r="O116" s="10" t="n">
        <v>1015.25</v>
      </c>
      <c r="P116" s="10" t="n">
        <v>600.19</v>
      </c>
      <c r="Q116" s="10" t="n">
        <v>0</v>
      </c>
      <c r="R116" s="10" t="n">
        <v>17.51</v>
      </c>
      <c r="S116" s="5" t="str">
        <f aca="false">"Embarque"</f>
        <v>Embarque</v>
      </c>
      <c r="T116" s="5" t="str">
        <f aca="false">"HANDRES NEW"</f>
        <v>HANDRES NEW</v>
      </c>
      <c r="U116" s="11" t="n">
        <v>25</v>
      </c>
      <c r="V116" s="5" t="str">
        <f aca="false">""</f>
        <v/>
      </c>
    </row>
    <row r="117" customFormat="false" ht="12.8" hidden="false" customHeight="false" outlineLevel="0" collapsed="false">
      <c r="A117" s="4" t="n">
        <v>206</v>
      </c>
      <c r="B117" s="5" t="str">
        <f aca="false">"PAPAIZ"</f>
        <v>PAPAIZ</v>
      </c>
      <c r="C117" s="6" t="n">
        <v>951267</v>
      </c>
      <c r="D117" s="7" t="n">
        <v>45752</v>
      </c>
      <c r="E117" s="7" t="n">
        <v>45734</v>
      </c>
      <c r="F117" s="7"/>
      <c r="G117" s="7"/>
      <c r="H117" s="7"/>
      <c r="I117" s="5" t="str">
        <f aca="false">""</f>
        <v/>
      </c>
      <c r="J117" s="15" t="n">
        <v>1964708</v>
      </c>
      <c r="K117" s="5" t="str">
        <f aca="false">"BOTTINO"</f>
        <v>BOTTINO</v>
      </c>
      <c r="L117" s="5" t="str">
        <f aca="false">"HOME CENTER"</f>
        <v>HOME CENTER</v>
      </c>
      <c r="M117" s="5" t="str">
        <f aca="false">"RJ"</f>
        <v>RJ</v>
      </c>
      <c r="N117" s="9" t="n">
        <v>0</v>
      </c>
      <c r="O117" s="10" t="n">
        <v>685.6</v>
      </c>
      <c r="P117" s="10" t="n">
        <v>539.91</v>
      </c>
      <c r="Q117" s="10" t="n">
        <v>0</v>
      </c>
      <c r="R117" s="10" t="n">
        <v>3</v>
      </c>
      <c r="S117" s="5" t="str">
        <f aca="false">"Embarque"</f>
        <v>Embarque</v>
      </c>
      <c r="T117" s="5" t="str">
        <f aca="false">"ALEXANDRE P"</f>
        <v>ALEXANDRE P</v>
      </c>
      <c r="U117" s="11" t="n">
        <v>25</v>
      </c>
      <c r="V117" s="5" t="str">
        <f aca="false">""</f>
        <v/>
      </c>
    </row>
    <row r="118" customFormat="false" ht="12.8" hidden="false" customHeight="false" outlineLevel="0" collapsed="false">
      <c r="A118" s="4" t="n">
        <v>206</v>
      </c>
      <c r="B118" s="5" t="str">
        <f aca="false">"PAPAIZ"</f>
        <v>PAPAIZ</v>
      </c>
      <c r="C118" s="6" t="n">
        <v>951268</v>
      </c>
      <c r="D118" s="7" t="n">
        <v>45752</v>
      </c>
      <c r="E118" s="7" t="n">
        <v>45734</v>
      </c>
      <c r="F118" s="7"/>
      <c r="G118" s="7"/>
      <c r="H118" s="7"/>
      <c r="I118" s="5" t="str">
        <f aca="false">""</f>
        <v/>
      </c>
      <c r="J118" s="15" t="n">
        <v>1964720</v>
      </c>
      <c r="K118" s="5" t="str">
        <f aca="false">"BOTTINO - FR"</f>
        <v>BOTTINO - FR</v>
      </c>
      <c r="L118" s="5" t="str">
        <f aca="false">"HOME CENTER"</f>
        <v>HOME CENTER</v>
      </c>
      <c r="M118" s="5" t="str">
        <f aca="false">"RJ"</f>
        <v>RJ</v>
      </c>
      <c r="N118" s="9" t="n">
        <v>0</v>
      </c>
      <c r="O118" s="10" t="n">
        <v>685.6</v>
      </c>
      <c r="P118" s="10" t="n">
        <v>539.91</v>
      </c>
      <c r="Q118" s="10" t="n">
        <v>0</v>
      </c>
      <c r="R118" s="10" t="n">
        <v>3</v>
      </c>
      <c r="S118" s="5" t="str">
        <f aca="false">"Embarque"</f>
        <v>Embarque</v>
      </c>
      <c r="T118" s="5" t="str">
        <f aca="false">"ALEXANDRE P"</f>
        <v>ALEXANDRE P</v>
      </c>
      <c r="U118" s="11" t="n">
        <v>25</v>
      </c>
      <c r="V118" s="5" t="str">
        <f aca="false">""</f>
        <v/>
      </c>
    </row>
    <row r="119" customFormat="false" ht="12.8" hidden="false" customHeight="false" outlineLevel="0" collapsed="false">
      <c r="A119" s="4" t="n">
        <v>206</v>
      </c>
      <c r="B119" s="5" t="str">
        <f aca="false">"PAPAIZ"</f>
        <v>PAPAIZ</v>
      </c>
      <c r="C119" s="6" t="n">
        <v>956685</v>
      </c>
      <c r="D119" s="7" t="n">
        <v>45752</v>
      </c>
      <c r="E119" s="7" t="n">
        <v>45751</v>
      </c>
      <c r="F119" s="7"/>
      <c r="G119" s="7"/>
      <c r="H119" s="7"/>
      <c r="I119" s="5" t="str">
        <f aca="false">""</f>
        <v/>
      </c>
      <c r="J119" s="15" t="n">
        <v>1964690</v>
      </c>
      <c r="K119" s="5" t="str">
        <f aca="false">"AMOEDO"</f>
        <v>AMOEDO</v>
      </c>
      <c r="L119" s="5" t="str">
        <f aca="false">"MATERIAL DE CONSTRUCAO"</f>
        <v>MATERIAL DE CONSTRUCAO</v>
      </c>
      <c r="M119" s="5" t="str">
        <f aca="false">"RJ"</f>
        <v>RJ</v>
      </c>
      <c r="N119" s="9" t="n">
        <v>0</v>
      </c>
      <c r="O119" s="10" t="n">
        <v>286.6</v>
      </c>
      <c r="P119" s="10" t="n">
        <v>225.7</v>
      </c>
      <c r="Q119" s="10" t="n">
        <v>0</v>
      </c>
      <c r="R119" s="10" t="n">
        <v>1.59</v>
      </c>
      <c r="S119" s="5" t="str">
        <f aca="false">"Embarque"</f>
        <v>Embarque</v>
      </c>
      <c r="T119" s="5" t="str">
        <f aca="false">"ALEXANDRE P"</f>
        <v>ALEXANDRE P</v>
      </c>
      <c r="U119" s="11" t="n">
        <v>25</v>
      </c>
      <c r="V119" s="5" t="str">
        <f aca="false">""</f>
        <v/>
      </c>
    </row>
    <row r="120" customFormat="false" ht="12.8" hidden="false" customHeight="false" outlineLevel="0" collapsed="false">
      <c r="A120" s="4" t="n">
        <v>206</v>
      </c>
      <c r="B120" s="5" t="str">
        <f aca="false">"PAPAIZ"</f>
        <v>PAPAIZ</v>
      </c>
      <c r="C120" s="6" t="n">
        <v>951271</v>
      </c>
      <c r="D120" s="7" t="n">
        <v>45752</v>
      </c>
      <c r="E120" s="7" t="n">
        <v>45734</v>
      </c>
      <c r="F120" s="7"/>
      <c r="G120" s="7"/>
      <c r="H120" s="7"/>
      <c r="I120" s="5" t="str">
        <f aca="false">""</f>
        <v/>
      </c>
      <c r="J120" s="15" t="n">
        <v>1964703</v>
      </c>
      <c r="K120" s="5" t="str">
        <f aca="false">"BOTTINO NIT"</f>
        <v>BOTTINO NIT</v>
      </c>
      <c r="L120" s="5" t="str">
        <f aca="false">"HOME CENTER"</f>
        <v>HOME CENTER</v>
      </c>
      <c r="M120" s="5" t="str">
        <f aca="false">"RJ"</f>
        <v>RJ</v>
      </c>
      <c r="N120" s="9" t="n">
        <v>0</v>
      </c>
      <c r="O120" s="10" t="n">
        <v>342.8</v>
      </c>
      <c r="P120" s="10" t="n">
        <v>269.96</v>
      </c>
      <c r="Q120" s="10" t="n">
        <v>0</v>
      </c>
      <c r="R120" s="10" t="n">
        <v>1.5</v>
      </c>
      <c r="S120" s="5" t="str">
        <f aca="false">"Embarque"</f>
        <v>Embarque</v>
      </c>
      <c r="T120" s="5" t="str">
        <f aca="false">"ALEXANDRE P"</f>
        <v>ALEXANDRE P</v>
      </c>
      <c r="U120" s="11" t="n">
        <v>25</v>
      </c>
      <c r="V120" s="5" t="str">
        <f aca="false">""</f>
        <v/>
      </c>
    </row>
    <row r="121" customFormat="false" ht="12.8" hidden="false" customHeight="false" outlineLevel="0" collapsed="false">
      <c r="A121" s="4" t="n">
        <v>206</v>
      </c>
      <c r="B121" s="5" t="str">
        <f aca="false">"PAPAIZ"</f>
        <v>PAPAIZ</v>
      </c>
      <c r="C121" s="6" t="n">
        <v>951272</v>
      </c>
      <c r="D121" s="7" t="n">
        <v>45752</v>
      </c>
      <c r="E121" s="7" t="n">
        <v>45734</v>
      </c>
      <c r="F121" s="7"/>
      <c r="G121" s="7"/>
      <c r="H121" s="7"/>
      <c r="I121" s="5" t="str">
        <f aca="false">""</f>
        <v/>
      </c>
      <c r="J121" s="15" t="n">
        <v>1964697</v>
      </c>
      <c r="K121" s="5" t="str">
        <f aca="false">"BOTTINO REC"</f>
        <v>BOTTINO REC</v>
      </c>
      <c r="L121" s="5" t="str">
        <f aca="false">"HOME CENTER"</f>
        <v>HOME CENTER</v>
      </c>
      <c r="M121" s="5" t="str">
        <f aca="false">"RJ"</f>
        <v>RJ</v>
      </c>
      <c r="N121" s="9" t="n">
        <v>0</v>
      </c>
      <c r="O121" s="10" t="n">
        <v>685.6</v>
      </c>
      <c r="P121" s="10" t="n">
        <v>539.91</v>
      </c>
      <c r="Q121" s="10" t="n">
        <v>0</v>
      </c>
      <c r="R121" s="10" t="n">
        <v>3</v>
      </c>
      <c r="S121" s="5" t="str">
        <f aca="false">"Embarque"</f>
        <v>Embarque</v>
      </c>
      <c r="T121" s="5" t="str">
        <f aca="false">"ALEXANDRE P"</f>
        <v>ALEXANDRE P</v>
      </c>
      <c r="U121" s="11" t="n">
        <v>25</v>
      </c>
      <c r="V121" s="5" t="str">
        <f aca="false">""</f>
        <v/>
      </c>
    </row>
    <row r="122" customFormat="false" ht="12.8" hidden="false" customHeight="false" outlineLevel="0" collapsed="false">
      <c r="A122" s="4" t="n">
        <v>206</v>
      </c>
      <c r="B122" s="5" t="str">
        <f aca="false">"PAPAIZ"</f>
        <v>PAPAIZ</v>
      </c>
      <c r="C122" s="6" t="n">
        <v>951269</v>
      </c>
      <c r="D122" s="7" t="n">
        <v>45752</v>
      </c>
      <c r="E122" s="7" t="n">
        <v>45734</v>
      </c>
      <c r="F122" s="7"/>
      <c r="G122" s="7"/>
      <c r="H122" s="7"/>
      <c r="I122" s="5" t="str">
        <f aca="false">""</f>
        <v/>
      </c>
      <c r="J122" s="15" t="n">
        <v>1964700</v>
      </c>
      <c r="K122" s="5" t="str">
        <f aca="false">"BOTTINO FREE"</f>
        <v>BOTTINO FREE</v>
      </c>
      <c r="L122" s="5" t="str">
        <f aca="false">"HOME CENTER"</f>
        <v>HOME CENTER</v>
      </c>
      <c r="M122" s="5" t="str">
        <f aca="false">"RJ"</f>
        <v>RJ</v>
      </c>
      <c r="N122" s="9" t="n">
        <v>0</v>
      </c>
      <c r="O122" s="10" t="n">
        <v>342.8</v>
      </c>
      <c r="P122" s="10" t="n">
        <v>269.96</v>
      </c>
      <c r="Q122" s="10" t="n">
        <v>0</v>
      </c>
      <c r="R122" s="10" t="n">
        <v>1.5</v>
      </c>
      <c r="S122" s="5" t="str">
        <f aca="false">"Embarque"</f>
        <v>Embarque</v>
      </c>
      <c r="T122" s="5" t="str">
        <f aca="false">"ALEXANDRE P"</f>
        <v>ALEXANDRE P</v>
      </c>
      <c r="U122" s="11" t="n">
        <v>25</v>
      </c>
      <c r="V122" s="5" t="str">
        <f aca="false">""</f>
        <v/>
      </c>
    </row>
    <row r="123" customFormat="false" ht="12.8" hidden="false" customHeight="false" outlineLevel="0" collapsed="false">
      <c r="A123" s="4" t="n">
        <v>206</v>
      </c>
      <c r="B123" s="5" t="str">
        <f aca="false">"PAPAIZ"</f>
        <v>PAPAIZ</v>
      </c>
      <c r="C123" s="6" t="n">
        <v>951270</v>
      </c>
      <c r="D123" s="7" t="n">
        <v>45752</v>
      </c>
      <c r="E123" s="7" t="n">
        <v>45734</v>
      </c>
      <c r="F123" s="7"/>
      <c r="G123" s="7"/>
      <c r="H123" s="7"/>
      <c r="I123" s="5" t="str">
        <f aca="false">""</f>
        <v/>
      </c>
      <c r="J123" s="15" t="n">
        <v>1964717</v>
      </c>
      <c r="K123" s="5" t="str">
        <f aca="false">"BOTTINO MATE"</f>
        <v>BOTTINO MATE</v>
      </c>
      <c r="L123" s="5" t="str">
        <f aca="false">"HOME CENTER"</f>
        <v>HOME CENTER</v>
      </c>
      <c r="M123" s="5" t="str">
        <f aca="false">"RJ"</f>
        <v>RJ</v>
      </c>
      <c r="N123" s="9" t="n">
        <v>0</v>
      </c>
      <c r="O123" s="10" t="n">
        <v>342.8</v>
      </c>
      <c r="P123" s="10" t="n">
        <v>269.96</v>
      </c>
      <c r="Q123" s="10" t="n">
        <v>0</v>
      </c>
      <c r="R123" s="10" t="n">
        <v>1.5</v>
      </c>
      <c r="S123" s="5" t="str">
        <f aca="false">"Embarque"</f>
        <v>Embarque</v>
      </c>
      <c r="T123" s="5" t="str">
        <f aca="false">"ALEXANDRE P"</f>
        <v>ALEXANDRE P</v>
      </c>
      <c r="U123" s="11" t="n">
        <v>25</v>
      </c>
      <c r="V123" s="5" t="str">
        <f aca="false">""</f>
        <v/>
      </c>
    </row>
    <row r="124" customFormat="false" ht="12.8" hidden="false" customHeight="false" outlineLevel="0" collapsed="false">
      <c r="A124" s="4" t="n">
        <v>206</v>
      </c>
      <c r="B124" s="5" t="str">
        <f aca="false">"PAPAIZ"</f>
        <v>PAPAIZ</v>
      </c>
      <c r="C124" s="6" t="n">
        <v>954807</v>
      </c>
      <c r="D124" s="7" t="n">
        <v>45754</v>
      </c>
      <c r="E124" s="7" t="n">
        <v>45743</v>
      </c>
      <c r="F124" s="7"/>
      <c r="G124" s="7"/>
      <c r="H124" s="7"/>
      <c r="I124" s="5" t="str">
        <f aca="false">""</f>
        <v/>
      </c>
      <c r="J124" s="5" t="str">
        <f aca="false">"OC 16050"</f>
        <v>OC 16050</v>
      </c>
      <c r="K124" s="5" t="str">
        <f aca="false">"LUFAT"</f>
        <v>LUFAT</v>
      </c>
      <c r="L124" s="5" t="str">
        <f aca="false">"VAREJO VIP"</f>
        <v>VAREJO VIP</v>
      </c>
      <c r="M124" s="5" t="str">
        <f aca="false">"RS"</f>
        <v>RS</v>
      </c>
      <c r="N124" s="9" t="n">
        <v>0</v>
      </c>
      <c r="O124" s="10" t="n">
        <v>259.11</v>
      </c>
      <c r="P124" s="10" t="n">
        <v>165.69</v>
      </c>
      <c r="Q124" s="10" t="n">
        <v>0</v>
      </c>
      <c r="R124" s="10" t="n">
        <v>1.11</v>
      </c>
      <c r="S124" s="5" t="str">
        <f aca="false">"Embarque"</f>
        <v>Embarque</v>
      </c>
      <c r="T124" s="5" t="str">
        <f aca="false">"THAIS TORALE"</f>
        <v>THAIS TORALE</v>
      </c>
      <c r="U124" s="11" t="n">
        <v>25</v>
      </c>
      <c r="V124" s="5" t="str">
        <f aca="false">""</f>
        <v/>
      </c>
    </row>
    <row r="125" customFormat="false" ht="12.8" hidden="false" customHeight="false" outlineLevel="0" collapsed="false">
      <c r="A125" s="4" t="n">
        <v>206</v>
      </c>
      <c r="B125" s="5" t="str">
        <f aca="false">"PAPAIZ"</f>
        <v>PAPAIZ</v>
      </c>
      <c r="C125" s="6" t="n">
        <v>956546</v>
      </c>
      <c r="D125" s="7" t="n">
        <v>45755</v>
      </c>
      <c r="E125" s="7" t="n">
        <v>45750</v>
      </c>
      <c r="F125" s="7"/>
      <c r="G125" s="7"/>
      <c r="H125" s="7"/>
      <c r="I125" s="5" t="str">
        <f aca="false">""</f>
        <v/>
      </c>
      <c r="J125" s="5" t="str">
        <f aca="false">"SPDPPZ028267"</f>
        <v>SPDPPZ028267</v>
      </c>
      <c r="K125" s="5" t="str">
        <f aca="false">"ISOVIDROS"</f>
        <v>ISOVIDROS</v>
      </c>
      <c r="L125" s="5" t="str">
        <f aca="false">"OEM"</f>
        <v>OEM</v>
      </c>
      <c r="M125" s="5" t="str">
        <f aca="false">"MS"</f>
        <v>MS</v>
      </c>
      <c r="N125" s="9" t="n">
        <v>0</v>
      </c>
      <c r="O125" s="10" t="n">
        <v>3150</v>
      </c>
      <c r="P125" s="10" t="n">
        <v>2638.13</v>
      </c>
      <c r="Q125" s="10" t="n">
        <v>0</v>
      </c>
      <c r="R125" s="10" t="n">
        <v>27.27</v>
      </c>
      <c r="S125" s="5" t="str">
        <f aca="false">"Embarque"</f>
        <v>Embarque</v>
      </c>
      <c r="T125" s="5" t="str">
        <f aca="false">"Tsukumi"</f>
        <v>Tsukumi</v>
      </c>
      <c r="U125" s="11" t="n">
        <v>25</v>
      </c>
      <c r="V125" s="5" t="str">
        <f aca="false">""</f>
        <v/>
      </c>
    </row>
    <row r="126" customFormat="false" ht="12.8" hidden="false" customHeight="false" outlineLevel="0" collapsed="false">
      <c r="A126" s="4" t="n">
        <v>206</v>
      </c>
      <c r="B126" s="5" t="str">
        <f aca="false">"PAPAIZ"</f>
        <v>PAPAIZ</v>
      </c>
      <c r="C126" s="6" t="n">
        <v>956555</v>
      </c>
      <c r="D126" s="7" t="n">
        <v>45755</v>
      </c>
      <c r="E126" s="7" t="n">
        <v>45750</v>
      </c>
      <c r="F126" s="7"/>
      <c r="G126" s="7"/>
      <c r="H126" s="7"/>
      <c r="I126" s="5" t="str">
        <f aca="false">""</f>
        <v/>
      </c>
      <c r="J126" s="8" t="n">
        <v>1918</v>
      </c>
      <c r="K126" s="5" t="str">
        <f aca="false">"Thermotemp"</f>
        <v>Thermotemp</v>
      </c>
      <c r="L126" s="5" t="str">
        <f aca="false">"OEM"</f>
        <v>OEM</v>
      </c>
      <c r="M126" s="5" t="str">
        <f aca="false">"SP"</f>
        <v>SP</v>
      </c>
      <c r="N126" s="9" t="n">
        <v>0</v>
      </c>
      <c r="O126" s="10" t="n">
        <v>1007.06</v>
      </c>
      <c r="P126" s="10" t="n">
        <v>687.92</v>
      </c>
      <c r="Q126" s="10" t="n">
        <v>0</v>
      </c>
      <c r="R126" s="10" t="n">
        <v>3.35</v>
      </c>
      <c r="S126" s="5" t="str">
        <f aca="false">"Embarque"</f>
        <v>Embarque</v>
      </c>
      <c r="T126" s="5" t="str">
        <f aca="false">"Luiz Carlos"</f>
        <v>Luiz Carlos</v>
      </c>
      <c r="U126" s="11" t="n">
        <v>25</v>
      </c>
      <c r="V126" s="5" t="str">
        <f aca="false">""</f>
        <v/>
      </c>
    </row>
    <row r="127" customFormat="false" ht="12.8" hidden="false" customHeight="false" outlineLevel="0" collapsed="false">
      <c r="A127" s="4" t="n">
        <v>206</v>
      </c>
      <c r="B127" s="5" t="str">
        <f aca="false">"PAPAIZ"</f>
        <v>PAPAIZ</v>
      </c>
      <c r="C127" s="6" t="n">
        <v>956694</v>
      </c>
      <c r="D127" s="7" t="n">
        <v>45756</v>
      </c>
      <c r="E127" s="7" t="n">
        <v>45751</v>
      </c>
      <c r="F127" s="7"/>
      <c r="G127" s="7"/>
      <c r="H127" s="7"/>
      <c r="I127" s="5" t="str">
        <f aca="false">""</f>
        <v/>
      </c>
      <c r="J127" s="5" t="str">
        <f aca="false">"SPDPPZ032348"</f>
        <v>SPDPPZ032348</v>
      </c>
      <c r="K127" s="5" t="str">
        <f aca="false">"C R M MULTIE"</f>
        <v>C R M MULTIE</v>
      </c>
      <c r="L127" s="5" t="str">
        <f aca="false">"MATERIAL DE CONSTRUCAO"</f>
        <v>MATERIAL DE CONSTRUCAO</v>
      </c>
      <c r="M127" s="5" t="str">
        <f aca="false">"SP"</f>
        <v>SP</v>
      </c>
      <c r="N127" s="9" t="n">
        <v>0</v>
      </c>
      <c r="O127" s="10" t="n">
        <v>530.2</v>
      </c>
      <c r="P127" s="10" t="n">
        <v>385.72</v>
      </c>
      <c r="Q127" s="10" t="n">
        <v>0</v>
      </c>
      <c r="R127" s="10" t="n">
        <v>3.36</v>
      </c>
      <c r="S127" s="5" t="str">
        <f aca="false">"Embarque"</f>
        <v>Embarque</v>
      </c>
      <c r="T127" s="5" t="str">
        <f aca="false">"VARGAS REP"</f>
        <v>VARGAS REP</v>
      </c>
      <c r="U127" s="11" t="n">
        <v>25</v>
      </c>
      <c r="V127" s="5" t="str">
        <f aca="false">""</f>
        <v/>
      </c>
    </row>
    <row r="128" customFormat="false" ht="12.8" hidden="false" customHeight="false" outlineLevel="0" collapsed="false">
      <c r="A128" s="4" t="n">
        <v>206</v>
      </c>
      <c r="B128" s="5" t="str">
        <f aca="false">"PAPAIZ"</f>
        <v>PAPAIZ</v>
      </c>
      <c r="C128" s="6" t="n">
        <v>956649</v>
      </c>
      <c r="D128" s="7" t="n">
        <v>45756</v>
      </c>
      <c r="E128" s="7" t="n">
        <v>45750</v>
      </c>
      <c r="F128" s="7"/>
      <c r="G128" s="7"/>
      <c r="H128" s="7"/>
      <c r="I128" s="5" t="str">
        <f aca="false">""</f>
        <v/>
      </c>
      <c r="J128" s="5" t="str">
        <f aca="false">"SPDPPZ032346"</f>
        <v>SPDPPZ032346</v>
      </c>
      <c r="K128" s="5" t="str">
        <f aca="false">"CRUZADA"</f>
        <v>CRUZADA</v>
      </c>
      <c r="L128" s="5" t="str">
        <f aca="false">"ATACADISTA"</f>
        <v>ATACADISTA</v>
      </c>
      <c r="M128" s="5" t="str">
        <f aca="false">"RJ"</f>
        <v>RJ</v>
      </c>
      <c r="N128" s="9" t="n">
        <v>0</v>
      </c>
      <c r="O128" s="10" t="n">
        <v>579.24</v>
      </c>
      <c r="P128" s="10" t="n">
        <v>509.73</v>
      </c>
      <c r="Q128" s="10" t="n">
        <v>0</v>
      </c>
      <c r="R128" s="10" t="n">
        <v>3.9</v>
      </c>
      <c r="S128" s="5" t="str">
        <f aca="false">"Embarque"</f>
        <v>Embarque</v>
      </c>
      <c r="T128" s="5" t="str">
        <f aca="false">"F2RIO REPRE"</f>
        <v>F2RIO REPRE</v>
      </c>
      <c r="U128" s="11" t="n">
        <v>25</v>
      </c>
      <c r="V128" s="5" t="str">
        <f aca="false">""</f>
        <v/>
      </c>
    </row>
    <row r="129" customFormat="false" ht="12.8" hidden="false" customHeight="false" outlineLevel="0" collapsed="false">
      <c r="A129" s="4" t="n">
        <v>206</v>
      </c>
      <c r="B129" s="5" t="str">
        <f aca="false">"PAPAIZ"</f>
        <v>PAPAIZ</v>
      </c>
      <c r="C129" s="6" t="n">
        <v>956837</v>
      </c>
      <c r="D129" s="7" t="n">
        <v>45757</v>
      </c>
      <c r="E129" s="7" t="n">
        <v>45751</v>
      </c>
      <c r="F129" s="7"/>
      <c r="G129" s="7"/>
      <c r="H129" s="7"/>
      <c r="I129" s="5" t="str">
        <f aca="false">""</f>
        <v/>
      </c>
      <c r="J129" s="14" t="n">
        <v>4520409332</v>
      </c>
      <c r="K129" s="5" t="str">
        <f aca="false">"LEROY ANHAGU"</f>
        <v>LEROY ANHAGU</v>
      </c>
      <c r="L129" s="5" t="str">
        <f aca="false">"HOME CENTER"</f>
        <v>HOME CENTER</v>
      </c>
      <c r="M129" s="5" t="str">
        <f aca="false">"SP"</f>
        <v>SP</v>
      </c>
      <c r="N129" s="9" t="n">
        <v>0</v>
      </c>
      <c r="O129" s="10" t="n">
        <v>593.2</v>
      </c>
      <c r="P129" s="10" t="n">
        <v>416.42</v>
      </c>
      <c r="Q129" s="10" t="n">
        <v>0</v>
      </c>
      <c r="R129" s="10" t="n">
        <v>7.72</v>
      </c>
      <c r="S129" s="5" t="str">
        <f aca="false">"Embarque"</f>
        <v>Embarque</v>
      </c>
      <c r="T129" s="5" t="str">
        <f aca="false">"TIAGO SILVA"</f>
        <v>TIAGO SILVA</v>
      </c>
      <c r="U129" s="11" t="n">
        <v>6</v>
      </c>
      <c r="V129" s="5" t="str">
        <f aca="false">""</f>
        <v/>
      </c>
    </row>
    <row r="130" customFormat="false" ht="12.8" hidden="false" customHeight="false" outlineLevel="0" collapsed="false">
      <c r="A130" s="4" t="n">
        <v>206</v>
      </c>
      <c r="B130" s="5" t="str">
        <f aca="false">"PAPAIZ"</f>
        <v>PAPAIZ</v>
      </c>
      <c r="C130" s="6" t="n">
        <v>956835</v>
      </c>
      <c r="D130" s="7" t="n">
        <v>45757</v>
      </c>
      <c r="E130" s="7" t="n">
        <v>45751</v>
      </c>
      <c r="F130" s="7"/>
      <c r="G130" s="7"/>
      <c r="H130" s="7"/>
      <c r="I130" s="5" t="str">
        <f aca="false">""</f>
        <v/>
      </c>
      <c r="J130" s="14" t="n">
        <v>4520409136</v>
      </c>
      <c r="K130" s="5" t="str">
        <f aca="false">"LEROY POA"</f>
        <v>LEROY POA</v>
      </c>
      <c r="L130" s="5" t="str">
        <f aca="false">"HOME CENTER"</f>
        <v>HOME CENTER</v>
      </c>
      <c r="M130" s="5" t="str">
        <f aca="false">"RS"</f>
        <v>RS</v>
      </c>
      <c r="N130" s="9" t="n">
        <v>0</v>
      </c>
      <c r="O130" s="10" t="n">
        <v>545.3</v>
      </c>
      <c r="P130" s="10" t="n">
        <v>417.14</v>
      </c>
      <c r="Q130" s="10" t="n">
        <v>0</v>
      </c>
      <c r="R130" s="10" t="n">
        <v>6.56</v>
      </c>
      <c r="S130" s="5" t="str">
        <f aca="false">"Embarque"</f>
        <v>Embarque</v>
      </c>
      <c r="T130" s="5" t="str">
        <f aca="false">"TIAGO SILVA"</f>
        <v>TIAGO SILVA</v>
      </c>
      <c r="U130" s="11" t="n">
        <v>6</v>
      </c>
      <c r="V130" s="5" t="str">
        <f aca="false">""</f>
        <v/>
      </c>
    </row>
    <row r="131" customFormat="false" ht="12.8" hidden="false" customHeight="false" outlineLevel="0" collapsed="false">
      <c r="A131" s="4" t="n">
        <v>206</v>
      </c>
      <c r="B131" s="5" t="str">
        <f aca="false">"PAPAIZ"</f>
        <v>PAPAIZ</v>
      </c>
      <c r="C131" s="6" t="n">
        <v>956836</v>
      </c>
      <c r="D131" s="7" t="n">
        <v>45757</v>
      </c>
      <c r="E131" s="7" t="n">
        <v>45751</v>
      </c>
      <c r="F131" s="7"/>
      <c r="G131" s="7"/>
      <c r="H131" s="7"/>
      <c r="I131" s="5" t="str">
        <f aca="false">""</f>
        <v/>
      </c>
      <c r="J131" s="14" t="n">
        <v>4520408545</v>
      </c>
      <c r="K131" s="5" t="str">
        <f aca="false">"LEROY LONDRI"</f>
        <v>LEROY LONDRI</v>
      </c>
      <c r="L131" s="5" t="str">
        <f aca="false">"HOME CENTER"</f>
        <v>HOME CENTER</v>
      </c>
      <c r="M131" s="5" t="str">
        <f aca="false">"PR"</f>
        <v>PR</v>
      </c>
      <c r="N131" s="9" t="n">
        <v>0</v>
      </c>
      <c r="O131" s="10" t="n">
        <v>1058.2</v>
      </c>
      <c r="P131" s="10" t="n">
        <v>808.76</v>
      </c>
      <c r="Q131" s="10" t="n">
        <v>0</v>
      </c>
      <c r="R131" s="10" t="n">
        <v>13.27</v>
      </c>
      <c r="S131" s="5" t="str">
        <f aca="false">"Embarque"</f>
        <v>Embarque</v>
      </c>
      <c r="T131" s="5" t="str">
        <f aca="false">"INNOVATE REP"</f>
        <v>INNOVATE REP</v>
      </c>
      <c r="U131" s="11" t="n">
        <v>6</v>
      </c>
      <c r="V131" s="5" t="str">
        <f aca="false">""</f>
        <v/>
      </c>
    </row>
    <row r="132" customFormat="false" ht="12.8" hidden="false" customHeight="false" outlineLevel="0" collapsed="false">
      <c r="A132" s="4" t="n">
        <v>206</v>
      </c>
      <c r="B132" s="5" t="str">
        <f aca="false">"PAPAIZ"</f>
        <v>PAPAIZ</v>
      </c>
      <c r="C132" s="6" t="n">
        <v>953484</v>
      </c>
      <c r="D132" s="7" t="n">
        <v>45757</v>
      </c>
      <c r="E132" s="7" t="n">
        <v>45740</v>
      </c>
      <c r="F132" s="7"/>
      <c r="G132" s="7"/>
      <c r="H132" s="7"/>
      <c r="I132" s="5" t="str">
        <f aca="false">""</f>
        <v/>
      </c>
      <c r="J132" s="5" t="str">
        <f aca="false">"SPDPPZ027710"</f>
        <v>SPDPPZ027710</v>
      </c>
      <c r="K132" s="5" t="str">
        <f aca="false">"VECCHINI"</f>
        <v>VECCHINI</v>
      </c>
      <c r="L132" s="5" t="str">
        <f aca="false">"MATERIAL DE CONSTRUCAO"</f>
        <v>MATERIAL DE CONSTRUCAO</v>
      </c>
      <c r="M132" s="5" t="str">
        <f aca="false">"SP"</f>
        <v>SP</v>
      </c>
      <c r="N132" s="9" t="n">
        <v>0</v>
      </c>
      <c r="O132" s="10" t="n">
        <v>299.8</v>
      </c>
      <c r="P132" s="10" t="n">
        <v>200.35</v>
      </c>
      <c r="Q132" s="10" t="n">
        <v>0</v>
      </c>
      <c r="R132" s="10" t="n">
        <v>0.98</v>
      </c>
      <c r="S132" s="5" t="str">
        <f aca="false">"Embarque"</f>
        <v>Embarque</v>
      </c>
      <c r="T132" s="5" t="str">
        <f aca="false">"JOYCECOVACEV"</f>
        <v>JOYCECOVACEV</v>
      </c>
      <c r="U132" s="11" t="n">
        <v>25</v>
      </c>
      <c r="V132" s="5" t="str">
        <f aca="false">""</f>
        <v/>
      </c>
    </row>
    <row r="133" customFormat="false" ht="12.8" hidden="false" customHeight="false" outlineLevel="0" collapsed="false">
      <c r="A133" s="4" t="n">
        <v>206</v>
      </c>
      <c r="B133" s="5" t="str">
        <f aca="false">"PAPAIZ"</f>
        <v>PAPAIZ</v>
      </c>
      <c r="C133" s="6" t="n">
        <v>956838</v>
      </c>
      <c r="D133" s="7" t="n">
        <v>45757</v>
      </c>
      <c r="E133" s="7" t="n">
        <v>45751</v>
      </c>
      <c r="F133" s="7"/>
      <c r="G133" s="7"/>
      <c r="H133" s="7"/>
      <c r="I133" s="5" t="str">
        <f aca="false">""</f>
        <v/>
      </c>
      <c r="J133" s="14" t="n">
        <v>4520411241</v>
      </c>
      <c r="K133" s="5" t="str">
        <f aca="false">"LEROY S.J.C"</f>
        <v>LEROY S.J.C</v>
      </c>
      <c r="L133" s="5" t="str">
        <f aca="false">"HOME CENTER"</f>
        <v>HOME CENTER</v>
      </c>
      <c r="M133" s="5" t="str">
        <f aca="false">"SP"</f>
        <v>SP</v>
      </c>
      <c r="N133" s="9" t="n">
        <v>0</v>
      </c>
      <c r="O133" s="10" t="n">
        <v>926.7</v>
      </c>
      <c r="P133" s="10" t="n">
        <v>662.83</v>
      </c>
      <c r="Q133" s="10" t="n">
        <v>0</v>
      </c>
      <c r="R133" s="10" t="n">
        <v>9.56</v>
      </c>
      <c r="S133" s="5" t="str">
        <f aca="false">"Embarque"</f>
        <v>Embarque</v>
      </c>
      <c r="T133" s="5" t="str">
        <f aca="false">"TIAGO SILVA"</f>
        <v>TIAGO SILVA</v>
      </c>
      <c r="U133" s="11" t="n">
        <v>6</v>
      </c>
      <c r="V133" s="5" t="str">
        <f aca="false">""</f>
        <v/>
      </c>
    </row>
    <row r="134" customFormat="false" ht="12.8" hidden="false" customHeight="false" outlineLevel="0" collapsed="false">
      <c r="A134" s="4" t="n">
        <v>206</v>
      </c>
      <c r="B134" s="5" t="str">
        <f aca="false">"PAPAIZ"</f>
        <v>PAPAIZ</v>
      </c>
      <c r="C134" s="6" t="n">
        <v>956701</v>
      </c>
      <c r="D134" s="7" t="n">
        <v>45757</v>
      </c>
      <c r="E134" s="7" t="n">
        <v>45751</v>
      </c>
      <c r="F134" s="7"/>
      <c r="G134" s="7"/>
      <c r="H134" s="7"/>
      <c r="I134" s="5" t="str">
        <f aca="false">""</f>
        <v/>
      </c>
      <c r="J134" s="14" t="n">
        <v>4520409878</v>
      </c>
      <c r="K134" s="5" t="str">
        <f aca="false">"LEROY"</f>
        <v>LEROY</v>
      </c>
      <c r="L134" s="5" t="str">
        <f aca="false">"HOME CENTER"</f>
        <v>HOME CENTER</v>
      </c>
      <c r="M134" s="5" t="str">
        <f aca="false">"SP"</f>
        <v>SP</v>
      </c>
      <c r="N134" s="9" t="n">
        <v>0</v>
      </c>
      <c r="O134" s="10" t="n">
        <v>645.6</v>
      </c>
      <c r="P134" s="10" t="n">
        <v>446.98</v>
      </c>
      <c r="Q134" s="10" t="n">
        <v>0</v>
      </c>
      <c r="R134" s="10" t="n">
        <v>10.13</v>
      </c>
      <c r="S134" s="5" t="str">
        <f aca="false">"Embarque"</f>
        <v>Embarque</v>
      </c>
      <c r="T134" s="5" t="str">
        <f aca="false">"TIAGO SILVA"</f>
        <v>TIAGO SILVA</v>
      </c>
      <c r="U134" s="11" t="n">
        <v>6</v>
      </c>
      <c r="V134" s="5" t="str">
        <f aca="false">""</f>
        <v/>
      </c>
    </row>
    <row r="135" customFormat="false" ht="12.8" hidden="false" customHeight="false" outlineLevel="0" collapsed="false">
      <c r="A135" s="4" t="n">
        <v>206</v>
      </c>
      <c r="B135" s="5" t="str">
        <f aca="false">"PAPAIZ"</f>
        <v>PAPAIZ</v>
      </c>
      <c r="C135" s="6" t="n">
        <v>956437</v>
      </c>
      <c r="D135" s="7" t="n">
        <v>45757</v>
      </c>
      <c r="E135" s="7" t="n">
        <v>45750</v>
      </c>
      <c r="F135" s="7"/>
      <c r="G135" s="7"/>
      <c r="H135" s="7"/>
      <c r="I135" s="5" t="str">
        <f aca="false">""</f>
        <v/>
      </c>
      <c r="J135" s="5" t="str">
        <f aca="false">"TR110225"</f>
        <v>TR110225</v>
      </c>
      <c r="K135" s="5" t="str">
        <f aca="false">"AAB RCD GA16"</f>
        <v>AAB RCD GA16</v>
      </c>
      <c r="L135" s="5" t="str">
        <f aca="false">"OEM"</f>
        <v>OEM</v>
      </c>
      <c r="M135" s="5" t="str">
        <f aca="false">"SC"</f>
        <v>SC</v>
      </c>
      <c r="N135" s="9" t="n">
        <v>2210.08</v>
      </c>
      <c r="O135" s="10" t="n">
        <v>403.88</v>
      </c>
      <c r="P135" s="10" t="n">
        <v>355.41</v>
      </c>
      <c r="Q135" s="10" t="n">
        <v>0</v>
      </c>
      <c r="R135" s="10" t="n">
        <v>2.96</v>
      </c>
      <c r="S135" s="5" t="str">
        <f aca="false">"Embarque"</f>
        <v>Embarque</v>
      </c>
      <c r="T135" s="5" t="str">
        <f aca="false">"INTEGRAÇÃO"</f>
        <v>INTEGRAÇÃO</v>
      </c>
      <c r="U135" s="11" t="n">
        <v>7</v>
      </c>
      <c r="V135" s="5" t="str">
        <f aca="false">""</f>
        <v/>
      </c>
    </row>
    <row r="136" customFormat="false" ht="12.8" hidden="false" customHeight="false" outlineLevel="0" collapsed="false">
      <c r="A136" s="4" t="n">
        <v>206</v>
      </c>
      <c r="B136" s="5" t="str">
        <f aca="false">"PAPAIZ"</f>
        <v>PAPAIZ</v>
      </c>
      <c r="C136" s="6" t="n">
        <v>955595</v>
      </c>
      <c r="D136" s="7" t="n">
        <v>45758</v>
      </c>
      <c r="E136" s="7" t="n">
        <v>45745</v>
      </c>
      <c r="F136" s="7"/>
      <c r="G136" s="7"/>
      <c r="H136" s="7"/>
      <c r="I136" s="5" t="str">
        <f aca="false">""</f>
        <v/>
      </c>
      <c r="J136" s="5" t="str">
        <f aca="false">"SAC327182P"</f>
        <v>SAC327182P</v>
      </c>
      <c r="K136" s="5" t="str">
        <f aca="false">"CADEL MATS"</f>
        <v>CADEL MATS</v>
      </c>
      <c r="L136" s="5" t="str">
        <f aca="false">"MATERIAL DE CONSTRUCAO"</f>
        <v>MATERIAL DE CONSTRUCAO</v>
      </c>
      <c r="M136" s="5" t="str">
        <f aca="false">"RJ"</f>
        <v>RJ</v>
      </c>
      <c r="N136" s="9" t="n">
        <v>0</v>
      </c>
      <c r="O136" s="10" t="n">
        <v>225</v>
      </c>
      <c r="P136" s="10" t="n">
        <v>198</v>
      </c>
      <c r="Q136" s="10" t="n">
        <v>0</v>
      </c>
      <c r="R136" s="10" t="n">
        <v>2.09</v>
      </c>
      <c r="S136" s="5" t="str">
        <f aca="false">"Embarque"</f>
        <v>Embarque</v>
      </c>
      <c r="T136" s="5" t="str">
        <f aca="false">"A S F SERRAN"</f>
        <v>A S F SERRAN</v>
      </c>
      <c r="U136" s="11" t="n">
        <v>25</v>
      </c>
      <c r="V136" s="5" t="str">
        <f aca="false">""</f>
        <v/>
      </c>
    </row>
    <row r="137" customFormat="false" ht="12.8" hidden="false" customHeight="false" outlineLevel="0" collapsed="false">
      <c r="A137" s="4" t="n">
        <v>206</v>
      </c>
      <c r="B137" s="5" t="str">
        <f aca="false">"PAPAIZ"</f>
        <v>PAPAIZ</v>
      </c>
      <c r="C137" s="6" t="n">
        <v>951044</v>
      </c>
      <c r="D137" s="7" t="n">
        <v>45758</v>
      </c>
      <c r="E137" s="7" t="n">
        <v>45731</v>
      </c>
      <c r="F137" s="7"/>
      <c r="G137" s="7"/>
      <c r="H137" s="7"/>
      <c r="I137" s="5" t="str">
        <f aca="false">""</f>
        <v/>
      </c>
      <c r="J137" s="12" t="n">
        <v>18971</v>
      </c>
      <c r="K137" s="5" t="str">
        <f aca="false">"MANA COMERC"</f>
        <v>MANA COMERC</v>
      </c>
      <c r="L137" s="5" t="str">
        <f aca="false">"FERRAGISTA"</f>
        <v>FERRAGISTA</v>
      </c>
      <c r="M137" s="5" t="str">
        <f aca="false">"RJ"</f>
        <v>RJ</v>
      </c>
      <c r="N137" s="9" t="n">
        <v>1262.04</v>
      </c>
      <c r="O137" s="10" t="n">
        <v>1135.8</v>
      </c>
      <c r="P137" s="10" t="n">
        <v>894.44</v>
      </c>
      <c r="Q137" s="10" t="n">
        <v>0</v>
      </c>
      <c r="R137" s="10" t="n">
        <v>6.21</v>
      </c>
      <c r="S137" s="5" t="str">
        <f aca="false">"Embarque"</f>
        <v>Embarque</v>
      </c>
      <c r="T137" s="5" t="str">
        <f aca="false">"MOUNTAIN"</f>
        <v>MOUNTAIN</v>
      </c>
      <c r="U137" s="11" t="n">
        <v>25</v>
      </c>
      <c r="V137" s="5" t="str">
        <f aca="false">""</f>
        <v/>
      </c>
    </row>
    <row r="138" customFormat="false" ht="12.8" hidden="false" customHeight="false" outlineLevel="0" collapsed="false">
      <c r="A138" s="4" t="n">
        <v>206</v>
      </c>
      <c r="B138" s="5" t="str">
        <f aca="false">"PAPAIZ"</f>
        <v>PAPAIZ</v>
      </c>
      <c r="C138" s="6" t="n">
        <v>956413</v>
      </c>
      <c r="D138" s="7" t="n">
        <v>45761</v>
      </c>
      <c r="E138" s="7" t="n">
        <v>45750</v>
      </c>
      <c r="F138" s="7"/>
      <c r="G138" s="7"/>
      <c r="H138" s="7"/>
      <c r="I138" s="5" t="str">
        <f aca="false">""</f>
        <v/>
      </c>
      <c r="J138" s="5" t="str">
        <f aca="false">"SPDPPZ027085"</f>
        <v>SPDPPZ027085</v>
      </c>
      <c r="K138" s="5" t="str">
        <f aca="false">"JOAO ANDRA"</f>
        <v>JOAO ANDRA</v>
      </c>
      <c r="L138" s="5" t="str">
        <f aca="false">"MATERIAL DE CONSTRUCAO"</f>
        <v>MATERIAL DE CONSTRUCAO</v>
      </c>
      <c r="M138" s="5" t="str">
        <f aca="false">"ES"</f>
        <v>ES</v>
      </c>
      <c r="N138" s="9" t="n">
        <v>0</v>
      </c>
      <c r="O138" s="10" t="n">
        <v>340.32</v>
      </c>
      <c r="P138" s="10" t="n">
        <v>285.02</v>
      </c>
      <c r="Q138" s="10" t="n">
        <v>0</v>
      </c>
      <c r="R138" s="10" t="n">
        <v>2.84</v>
      </c>
      <c r="S138" s="5" t="str">
        <f aca="false">"Embarque"</f>
        <v>Embarque</v>
      </c>
      <c r="T138" s="5" t="str">
        <f aca="false">"J FIRMINO"</f>
        <v>J FIRMINO</v>
      </c>
      <c r="U138" s="11" t="n">
        <v>25</v>
      </c>
      <c r="V138" s="5" t="str">
        <f aca="false">""</f>
        <v/>
      </c>
    </row>
    <row r="139" customFormat="false" ht="12.8" hidden="false" customHeight="false" outlineLevel="0" collapsed="false">
      <c r="A139" s="4" t="n">
        <v>206</v>
      </c>
      <c r="B139" s="5" t="str">
        <f aca="false">"PAPAIZ"</f>
        <v>PAPAIZ</v>
      </c>
      <c r="C139" s="6" t="n">
        <v>956402</v>
      </c>
      <c r="D139" s="7" t="n">
        <v>45761</v>
      </c>
      <c r="E139" s="7" t="n">
        <v>45750</v>
      </c>
      <c r="F139" s="7"/>
      <c r="G139" s="7"/>
      <c r="H139" s="7"/>
      <c r="I139" s="5" t="str">
        <f aca="false">""</f>
        <v/>
      </c>
      <c r="J139" s="5" t="str">
        <f aca="false">"SPDPPZ032317"</f>
        <v>SPDPPZ032317</v>
      </c>
      <c r="K139" s="5" t="str">
        <f aca="false">"ENL"</f>
        <v>ENL</v>
      </c>
      <c r="L139" s="5" t="str">
        <f aca="false">"FERRAGISTA"</f>
        <v>FERRAGISTA</v>
      </c>
      <c r="M139" s="5" t="str">
        <f aca="false">"SP"</f>
        <v>SP</v>
      </c>
      <c r="N139" s="9" t="n">
        <v>0</v>
      </c>
      <c r="O139" s="10" t="n">
        <v>1303.65</v>
      </c>
      <c r="P139" s="10" t="n">
        <v>948.41</v>
      </c>
      <c r="Q139" s="10" t="n">
        <v>0</v>
      </c>
      <c r="R139" s="10" t="n">
        <v>7.15</v>
      </c>
      <c r="S139" s="5" t="str">
        <f aca="false">"Embarque"</f>
        <v>Embarque</v>
      </c>
      <c r="T139" s="5" t="str">
        <f aca="false">"HANDRES NEW"</f>
        <v>HANDRES NEW</v>
      </c>
      <c r="U139" s="11" t="n">
        <v>25</v>
      </c>
      <c r="V139" s="5" t="str">
        <f aca="false">""</f>
        <v/>
      </c>
    </row>
    <row r="140" customFormat="false" ht="12.8" hidden="false" customHeight="false" outlineLevel="0" collapsed="false">
      <c r="A140" s="4" t="n">
        <v>206</v>
      </c>
      <c r="B140" s="5" t="str">
        <f aca="false">"LA FONTE"</f>
        <v>LA FONTE</v>
      </c>
      <c r="C140" s="6" t="n">
        <v>952590</v>
      </c>
      <c r="D140" s="7" t="n">
        <v>45761</v>
      </c>
      <c r="E140" s="7" t="n">
        <v>45736</v>
      </c>
      <c r="F140" s="7"/>
      <c r="G140" s="7"/>
      <c r="H140" s="7"/>
      <c r="I140" s="5" t="str">
        <f aca="false">""</f>
        <v/>
      </c>
      <c r="J140" s="5" t="str">
        <f aca="false">"SAC34609LF"</f>
        <v>SAC34609LF</v>
      </c>
      <c r="K140" s="5" t="str">
        <f aca="false">"ACESSO Distr"</f>
        <v>ACESSO Distr</v>
      </c>
      <c r="L140" s="5" t="str">
        <f aca="false">"MATERIAL DE CONSTRUCAO"</f>
        <v>MATERIAL DE CONSTRUCAO</v>
      </c>
      <c r="M140" s="5" t="str">
        <f aca="false">"PB"</f>
        <v>PB</v>
      </c>
      <c r="N140" s="9" t="n">
        <v>0</v>
      </c>
      <c r="O140" s="10" t="n">
        <v>132.59</v>
      </c>
      <c r="P140" s="10" t="n">
        <v>115.79</v>
      </c>
      <c r="Q140" s="10" t="n">
        <v>0</v>
      </c>
      <c r="R140" s="10" t="n">
        <v>2.28</v>
      </c>
      <c r="S140" s="5" t="str">
        <f aca="false">"Embarque"</f>
        <v>Embarque</v>
      </c>
      <c r="T140" s="5" t="str">
        <f aca="false">"APACON"</f>
        <v>APACON</v>
      </c>
      <c r="U140" s="11" t="n">
        <v>25</v>
      </c>
      <c r="V140" s="5" t="str">
        <f aca="false">""</f>
        <v/>
      </c>
    </row>
    <row r="141" customFormat="false" ht="12.8" hidden="false" customHeight="false" outlineLevel="0" collapsed="false">
      <c r="A141" s="4" t="n">
        <v>206</v>
      </c>
      <c r="B141" s="5" t="str">
        <f aca="false">"PAPAIZ"</f>
        <v>PAPAIZ</v>
      </c>
      <c r="C141" s="6" t="n">
        <v>955549</v>
      </c>
      <c r="D141" s="7" t="n">
        <v>45761</v>
      </c>
      <c r="E141" s="7" t="n">
        <v>45745</v>
      </c>
      <c r="F141" s="7"/>
      <c r="G141" s="7"/>
      <c r="H141" s="7"/>
      <c r="I141" s="5" t="str">
        <f aca="false">""</f>
        <v/>
      </c>
      <c r="J141" s="8" t="n">
        <v>138554</v>
      </c>
      <c r="K141" s="5" t="str">
        <f aca="false">"UDINESE"</f>
        <v>UDINESE</v>
      </c>
      <c r="L141" s="5" t="str">
        <f aca="false">"INTERCOMPANY/BRZ"</f>
        <v>INTERCOMPANY/BRZ</v>
      </c>
      <c r="M141" s="5" t="str">
        <f aca="false">"SP"</f>
        <v>SP</v>
      </c>
      <c r="N141" s="9" t="n">
        <v>0</v>
      </c>
      <c r="O141" s="10" t="n">
        <v>325.98</v>
      </c>
      <c r="P141" s="10" t="n">
        <v>237.15</v>
      </c>
      <c r="Q141" s="10" t="n">
        <v>0</v>
      </c>
      <c r="R141" s="10" t="n">
        <v>2.95</v>
      </c>
      <c r="S141" s="5" t="str">
        <f aca="false">"Embarque"</f>
        <v>Embarque</v>
      </c>
      <c r="T141" s="5" t="str">
        <f aca="false">"UDINESE"</f>
        <v>UDINESE</v>
      </c>
      <c r="U141" s="11" t="n">
        <v>25</v>
      </c>
      <c r="V141" s="5" t="str">
        <f aca="false">""</f>
        <v/>
      </c>
    </row>
    <row r="142" customFormat="false" ht="12.8" hidden="false" customHeight="false" outlineLevel="0" collapsed="false">
      <c r="A142" s="4" t="n">
        <v>206</v>
      </c>
      <c r="B142" s="5" t="str">
        <f aca="false">"PAPAIZ"</f>
        <v>PAPAIZ</v>
      </c>
      <c r="C142" s="6" t="n">
        <v>954974</v>
      </c>
      <c r="D142" s="7" t="n">
        <v>45761</v>
      </c>
      <c r="E142" s="7" t="n">
        <v>45744</v>
      </c>
      <c r="F142" s="7"/>
      <c r="G142" s="7"/>
      <c r="H142" s="7"/>
      <c r="I142" s="5" t="str">
        <f aca="false">""</f>
        <v/>
      </c>
      <c r="J142" s="5" t="str">
        <f aca="false">"SPDPPZ031214"</f>
        <v>SPDPPZ031214</v>
      </c>
      <c r="K142" s="5" t="str">
        <f aca="false">"SUAPE PROJE"</f>
        <v>SUAPE PROJE</v>
      </c>
      <c r="L142" s="5" t="str">
        <f aca="false">"CONSTRUTORA"</f>
        <v>CONSTRUTORA</v>
      </c>
      <c r="M142" s="5" t="str">
        <f aca="false">"SE"</f>
        <v>SE</v>
      </c>
      <c r="N142" s="9" t="n">
        <v>0</v>
      </c>
      <c r="O142" s="10" t="n">
        <v>1795</v>
      </c>
      <c r="P142" s="10" t="n">
        <v>1305.86</v>
      </c>
      <c r="Q142" s="10" t="n">
        <v>0</v>
      </c>
      <c r="R142" s="10" t="n">
        <v>16.4</v>
      </c>
      <c r="S142" s="5" t="str">
        <f aca="false">"Embarque"</f>
        <v>Embarque</v>
      </c>
      <c r="T142" s="5" t="str">
        <f aca="false">"PRIMME REP"</f>
        <v>PRIMME REP</v>
      </c>
      <c r="U142" s="11" t="n">
        <v>25</v>
      </c>
      <c r="V142" s="5" t="str">
        <f aca="false">""</f>
        <v/>
      </c>
    </row>
    <row r="143" customFormat="false" ht="12.8" hidden="false" customHeight="false" outlineLevel="0" collapsed="false">
      <c r="A143" s="4" t="n">
        <v>206</v>
      </c>
      <c r="B143" s="5" t="str">
        <f aca="false">"PAPAIZ"</f>
        <v>PAPAIZ</v>
      </c>
      <c r="C143" s="6" t="n">
        <v>954932</v>
      </c>
      <c r="D143" s="7" t="n">
        <v>45761</v>
      </c>
      <c r="E143" s="7" t="n">
        <v>45744</v>
      </c>
      <c r="F143" s="7"/>
      <c r="G143" s="7"/>
      <c r="H143" s="7"/>
      <c r="I143" s="5" t="str">
        <f aca="false">""</f>
        <v/>
      </c>
      <c r="J143" s="5" t="str">
        <f aca="false">"SPDPPZ031266"</f>
        <v>SPDPPZ031266</v>
      </c>
      <c r="K143" s="5" t="str">
        <f aca="false">"ELLO MAT CON"</f>
        <v>ELLO MAT CON</v>
      </c>
      <c r="L143" s="5" t="str">
        <f aca="false">"MATERIAL DE CONSTRUCAO"</f>
        <v>MATERIAL DE CONSTRUCAO</v>
      </c>
      <c r="M143" s="5" t="str">
        <f aca="false">"RJ"</f>
        <v>RJ</v>
      </c>
      <c r="N143" s="9" t="n">
        <v>0</v>
      </c>
      <c r="O143" s="10" t="n">
        <v>410</v>
      </c>
      <c r="P143" s="10" t="n">
        <v>322.88</v>
      </c>
      <c r="Q143" s="10" t="n">
        <v>0</v>
      </c>
      <c r="R143" s="10" t="n">
        <v>3.28</v>
      </c>
      <c r="S143" s="5" t="str">
        <f aca="false">"Embarque"</f>
        <v>Embarque</v>
      </c>
      <c r="T143" s="5" t="str">
        <f aca="false">"PINHEIRO REP"</f>
        <v>PINHEIRO REP</v>
      </c>
      <c r="U143" s="11" t="n">
        <v>25</v>
      </c>
      <c r="V143" s="5" t="str">
        <f aca="false">""</f>
        <v/>
      </c>
    </row>
    <row r="144" customFormat="false" ht="12.8" hidden="false" customHeight="false" outlineLevel="0" collapsed="false">
      <c r="A144" s="4" t="n">
        <v>206</v>
      </c>
      <c r="B144" s="5" t="str">
        <f aca="false">"PAPAIZ"</f>
        <v>PAPAIZ</v>
      </c>
      <c r="C144" s="6" t="n">
        <v>956543</v>
      </c>
      <c r="D144" s="7" t="n">
        <v>45761</v>
      </c>
      <c r="E144" s="7" t="n">
        <v>45750</v>
      </c>
      <c r="F144" s="7"/>
      <c r="G144" s="7"/>
      <c r="H144" s="7"/>
      <c r="I144" s="5" t="str">
        <f aca="false">""</f>
        <v/>
      </c>
      <c r="J144" s="5" t="str">
        <f aca="false">"SPDPPZ028089"</f>
        <v>SPDPPZ028089</v>
      </c>
      <c r="K144" s="5" t="str">
        <f aca="false">"GRINGA"</f>
        <v>GRINGA</v>
      </c>
      <c r="L144" s="5" t="str">
        <f aca="false">"CONSTRUTORA"</f>
        <v>CONSTRUTORA</v>
      </c>
      <c r="M144" s="5" t="str">
        <f aca="false">"RJ"</f>
        <v>RJ</v>
      </c>
      <c r="N144" s="9" t="n">
        <v>102.6</v>
      </c>
      <c r="O144" s="10" t="n">
        <v>3544.85</v>
      </c>
      <c r="P144" s="10" t="n">
        <v>2578.88</v>
      </c>
      <c r="Q144" s="10" t="n">
        <v>0</v>
      </c>
      <c r="R144" s="10" t="n">
        <v>18.12</v>
      </c>
      <c r="S144" s="5" t="str">
        <f aca="false">"Embarque"</f>
        <v>Embarque</v>
      </c>
      <c r="T144" s="5" t="str">
        <f aca="false">"NBPIRES"</f>
        <v>NBPIRES</v>
      </c>
      <c r="U144" s="11" t="n">
        <v>25</v>
      </c>
      <c r="V144" s="5" t="str">
        <f aca="false">""</f>
        <v/>
      </c>
    </row>
    <row r="145" customFormat="false" ht="12.8" hidden="false" customHeight="false" outlineLevel="0" collapsed="false">
      <c r="A145" s="4" t="n">
        <v>206</v>
      </c>
      <c r="B145" s="5" t="str">
        <f aca="false">"PAPAIZ"</f>
        <v>PAPAIZ</v>
      </c>
      <c r="C145" s="6" t="n">
        <v>949998</v>
      </c>
      <c r="D145" s="7" t="n">
        <v>45762</v>
      </c>
      <c r="E145" s="7" t="n">
        <v>45728</v>
      </c>
      <c r="F145" s="7"/>
      <c r="G145" s="7"/>
      <c r="H145" s="7"/>
      <c r="I145" s="5" t="str">
        <f aca="false">""</f>
        <v/>
      </c>
      <c r="J145" s="5" t="str">
        <f aca="false">"SPDPPZ030228"</f>
        <v>SPDPPZ030228</v>
      </c>
      <c r="K145" s="5" t="str">
        <f aca="false">"NERY LTDA"</f>
        <v>NERY LTDA</v>
      </c>
      <c r="L145" s="5" t="str">
        <f aca="false">"MATERIAL DE CONSTRUCAO"</f>
        <v>MATERIAL DE CONSTRUCAO</v>
      </c>
      <c r="M145" s="5" t="str">
        <f aca="false">"SP"</f>
        <v>SP</v>
      </c>
      <c r="N145" s="9" t="n">
        <v>0</v>
      </c>
      <c r="O145" s="10" t="n">
        <v>421.1</v>
      </c>
      <c r="P145" s="10" t="n">
        <v>287.65</v>
      </c>
      <c r="Q145" s="10" t="n">
        <v>0</v>
      </c>
      <c r="R145" s="10" t="n">
        <v>1.67</v>
      </c>
      <c r="S145" s="5" t="str">
        <f aca="false">"Embarque"</f>
        <v>Embarque</v>
      </c>
      <c r="T145" s="5" t="str">
        <f aca="false">"C RUIVO"</f>
        <v>C RUIVO</v>
      </c>
      <c r="U145" s="11" t="n">
        <v>25</v>
      </c>
      <c r="V145" s="5" t="str">
        <f aca="false">""</f>
        <v/>
      </c>
    </row>
    <row r="146" customFormat="false" ht="12.8" hidden="false" customHeight="false" outlineLevel="0" collapsed="false">
      <c r="A146" s="4" t="n">
        <v>206</v>
      </c>
      <c r="B146" s="5" t="str">
        <f aca="false">"PAPAIZ"</f>
        <v>PAPAIZ</v>
      </c>
      <c r="C146" s="6" t="n">
        <v>956399</v>
      </c>
      <c r="D146" s="7" t="n">
        <v>45762</v>
      </c>
      <c r="E146" s="7" t="n">
        <v>45750</v>
      </c>
      <c r="F146" s="7"/>
      <c r="G146" s="7"/>
      <c r="H146" s="7"/>
      <c r="I146" s="5" t="str">
        <f aca="false">""</f>
        <v/>
      </c>
      <c r="J146" s="5" t="str">
        <f aca="false">"SPDPPZ032261"</f>
        <v>SPDPPZ032261</v>
      </c>
      <c r="K146" s="5" t="str">
        <f aca="false">"CHAVEIRO RED"</f>
        <v>CHAVEIRO RED</v>
      </c>
      <c r="L146" s="5" t="str">
        <f aca="false">"FERRAGISTA"</f>
        <v>FERRAGISTA</v>
      </c>
      <c r="M146" s="5" t="str">
        <f aca="false">"SP"</f>
        <v>SP</v>
      </c>
      <c r="N146" s="9" t="n">
        <v>0</v>
      </c>
      <c r="O146" s="10" t="n">
        <v>883.4</v>
      </c>
      <c r="P146" s="10" t="n">
        <v>642.67</v>
      </c>
      <c r="Q146" s="10" t="n">
        <v>0</v>
      </c>
      <c r="R146" s="10" t="n">
        <v>8.93</v>
      </c>
      <c r="S146" s="5" t="str">
        <f aca="false">"Embarque"</f>
        <v>Embarque</v>
      </c>
      <c r="T146" s="5" t="str">
        <f aca="false">"VARGAS REP"</f>
        <v>VARGAS REP</v>
      </c>
      <c r="U146" s="11" t="n">
        <v>25</v>
      </c>
      <c r="V146" s="5" t="str">
        <f aca="false">""</f>
        <v/>
      </c>
    </row>
    <row r="147" customFormat="false" ht="12.8" hidden="false" customHeight="false" outlineLevel="0" collapsed="false">
      <c r="A147" s="4" t="n">
        <v>206</v>
      </c>
      <c r="B147" s="5" t="str">
        <f aca="false">"PAPAIZ"</f>
        <v>PAPAIZ</v>
      </c>
      <c r="C147" s="6" t="n">
        <v>956422</v>
      </c>
      <c r="D147" s="7" t="n">
        <v>45762</v>
      </c>
      <c r="E147" s="7" t="n">
        <v>45750</v>
      </c>
      <c r="F147" s="7"/>
      <c r="G147" s="7"/>
      <c r="H147" s="7"/>
      <c r="I147" s="5" t="str">
        <f aca="false">""</f>
        <v/>
      </c>
      <c r="J147" s="12" t="n">
        <v>10661</v>
      </c>
      <c r="K147" s="5" t="str">
        <f aca="false">"P   J 2"</f>
        <v>P   J 2</v>
      </c>
      <c r="L147" s="5" t="str">
        <f aca="false">"ATACADISTA"</f>
        <v>ATACADISTA</v>
      </c>
      <c r="M147" s="5" t="str">
        <f aca="false">"SP"</f>
        <v>SP</v>
      </c>
      <c r="N147" s="9" t="n">
        <v>0</v>
      </c>
      <c r="O147" s="10" t="n">
        <v>1091.9</v>
      </c>
      <c r="P147" s="10" t="n">
        <v>794.36</v>
      </c>
      <c r="Q147" s="10" t="n">
        <v>0</v>
      </c>
      <c r="R147" s="10" t="n">
        <v>8.03</v>
      </c>
      <c r="S147" s="5" t="str">
        <f aca="false">"Embarque"</f>
        <v>Embarque</v>
      </c>
      <c r="T147" s="5" t="str">
        <f aca="false">"HERCULES RIO"</f>
        <v>HERCULES RIO</v>
      </c>
      <c r="U147" s="11" t="n">
        <v>25</v>
      </c>
      <c r="V147" s="5" t="str">
        <f aca="false">""</f>
        <v/>
      </c>
    </row>
    <row r="148" customFormat="false" ht="12.8" hidden="false" customHeight="false" outlineLevel="0" collapsed="false">
      <c r="A148" s="4" t="n">
        <v>206</v>
      </c>
      <c r="B148" s="5" t="str">
        <f aca="false">"PAPAIZ"</f>
        <v>PAPAIZ</v>
      </c>
      <c r="C148" s="6" t="n">
        <v>955599</v>
      </c>
      <c r="D148" s="7" t="n">
        <v>45762</v>
      </c>
      <c r="E148" s="7" t="n">
        <v>45746</v>
      </c>
      <c r="F148" s="7"/>
      <c r="G148" s="7"/>
      <c r="H148" s="7"/>
      <c r="I148" s="5" t="str">
        <f aca="false">""</f>
        <v/>
      </c>
      <c r="J148" s="8" t="n">
        <v>195245</v>
      </c>
      <c r="K148" s="5" t="str">
        <f aca="false">"NORTEL 11"</f>
        <v>NORTEL 11</v>
      </c>
      <c r="L148" s="5" t="str">
        <f aca="false">"MATERIAL DE CONSTRUCAO"</f>
        <v>MATERIAL DE CONSTRUCAO</v>
      </c>
      <c r="M148" s="5" t="str">
        <f aca="false">"ES"</f>
        <v>ES</v>
      </c>
      <c r="N148" s="9" t="n">
        <v>0</v>
      </c>
      <c r="O148" s="10" t="n">
        <v>508.8</v>
      </c>
      <c r="P148" s="10" t="n">
        <v>426.12</v>
      </c>
      <c r="Q148" s="10" t="n">
        <v>0</v>
      </c>
      <c r="R148" s="10" t="n">
        <v>1.95</v>
      </c>
      <c r="S148" s="5" t="str">
        <f aca="false">"Embarque"</f>
        <v>Embarque</v>
      </c>
      <c r="T148" s="5" t="str">
        <f aca="false">"Luiz Carlos"</f>
        <v>Luiz Carlos</v>
      </c>
      <c r="U148" s="11" t="n">
        <v>25</v>
      </c>
      <c r="V148" s="5" t="str">
        <f aca="false">""</f>
        <v/>
      </c>
    </row>
    <row r="149" customFormat="false" ht="12.8" hidden="false" customHeight="false" outlineLevel="0" collapsed="false">
      <c r="A149" s="4" t="n">
        <v>206</v>
      </c>
      <c r="B149" s="5" t="str">
        <f aca="false">"PAPAIZ"</f>
        <v>PAPAIZ</v>
      </c>
      <c r="C149" s="6" t="n">
        <v>954814</v>
      </c>
      <c r="D149" s="7" t="n">
        <v>45763</v>
      </c>
      <c r="E149" s="7" t="n">
        <v>45743</v>
      </c>
      <c r="F149" s="7"/>
      <c r="G149" s="7"/>
      <c r="H149" s="7"/>
      <c r="I149" s="5" t="str">
        <f aca="false">""</f>
        <v/>
      </c>
      <c r="J149" s="15" t="n">
        <v>5755</v>
      </c>
      <c r="K149" s="5" t="str">
        <f aca="false">"NOVA MARQUES"</f>
        <v>NOVA MARQUES</v>
      </c>
      <c r="L149" s="5" t="str">
        <f aca="false">"MATERIAL DE CONSTRUCAO"</f>
        <v>MATERIAL DE CONSTRUCAO</v>
      </c>
      <c r="M149" s="5" t="str">
        <f aca="false">"SP"</f>
        <v>SP</v>
      </c>
      <c r="N149" s="9" t="n">
        <v>0</v>
      </c>
      <c r="O149" s="10" t="n">
        <v>403.2</v>
      </c>
      <c r="P149" s="10" t="n">
        <v>293.33</v>
      </c>
      <c r="Q149" s="10" t="n">
        <v>0</v>
      </c>
      <c r="R149" s="10" t="n">
        <v>3</v>
      </c>
      <c r="S149" s="5" t="str">
        <f aca="false">"Embarque"</f>
        <v>Embarque</v>
      </c>
      <c r="T149" s="5" t="str">
        <f aca="false">"BRFOKUS"</f>
        <v>BRFOKUS</v>
      </c>
      <c r="U149" s="11" t="n">
        <v>25</v>
      </c>
      <c r="V149" s="5" t="str">
        <f aca="false">""</f>
        <v/>
      </c>
    </row>
    <row r="150" customFormat="false" ht="12.8" hidden="false" customHeight="false" outlineLevel="0" collapsed="false">
      <c r="A150" s="4" t="n">
        <v>206</v>
      </c>
      <c r="B150" s="5" t="str">
        <f aca="false">"PAPAIZ"</f>
        <v>PAPAIZ</v>
      </c>
      <c r="C150" s="6" t="n">
        <v>954931</v>
      </c>
      <c r="D150" s="7" t="n">
        <v>45763</v>
      </c>
      <c r="E150" s="7" t="n">
        <v>45744</v>
      </c>
      <c r="F150" s="7"/>
      <c r="G150" s="7"/>
      <c r="H150" s="7"/>
      <c r="I150" s="5" t="str">
        <f aca="false">""</f>
        <v/>
      </c>
      <c r="J150" s="5" t="str">
        <f aca="false">"SPDPPZ031283"</f>
        <v>SPDPPZ031283</v>
      </c>
      <c r="K150" s="5" t="str">
        <f aca="false">"DONATAN.COM"</f>
        <v>DONATAN.COM</v>
      </c>
      <c r="L150" s="5" t="str">
        <f aca="false">"ATACADISTA"</f>
        <v>ATACADISTA</v>
      </c>
      <c r="M150" s="5" t="str">
        <f aca="false">"PI"</f>
        <v>PI</v>
      </c>
      <c r="N150" s="9" t="n">
        <v>0</v>
      </c>
      <c r="O150" s="10" t="n">
        <v>528.6</v>
      </c>
      <c r="P150" s="10" t="n">
        <v>442.7</v>
      </c>
      <c r="Q150" s="10" t="n">
        <v>0</v>
      </c>
      <c r="R150" s="10" t="n">
        <v>4.92</v>
      </c>
      <c r="S150" s="5" t="str">
        <f aca="false">"Embarque"</f>
        <v>Embarque</v>
      </c>
      <c r="T150" s="5" t="str">
        <f aca="false">"B SANTOS"</f>
        <v>B SANTOS</v>
      </c>
      <c r="U150" s="11" t="n">
        <v>25</v>
      </c>
      <c r="V150" s="5" t="str">
        <f aca="false">""</f>
        <v/>
      </c>
    </row>
    <row r="151" customFormat="false" ht="12.8" hidden="false" customHeight="false" outlineLevel="0" collapsed="false">
      <c r="A151" s="4" t="n">
        <v>206</v>
      </c>
      <c r="B151" s="5" t="str">
        <f aca="false">"PAPAIZ"</f>
        <v>PAPAIZ</v>
      </c>
      <c r="C151" s="6" t="n">
        <v>954934</v>
      </c>
      <c r="D151" s="7" t="n">
        <v>45764</v>
      </c>
      <c r="E151" s="7" t="n">
        <v>45744</v>
      </c>
      <c r="F151" s="7"/>
      <c r="G151" s="7"/>
      <c r="H151" s="7"/>
      <c r="I151" s="5" t="str">
        <f aca="false">""</f>
        <v/>
      </c>
      <c r="J151" s="5" t="str">
        <f aca="false">"SPDPPZ031535"</f>
        <v>SPDPPZ031535</v>
      </c>
      <c r="K151" s="5" t="str">
        <f aca="false">"F. SOUSA"</f>
        <v>F. SOUSA</v>
      </c>
      <c r="L151" s="5" t="str">
        <f aca="false">"MATERIAL DE CONSTRUCAO"</f>
        <v>MATERIAL DE CONSTRUCAO</v>
      </c>
      <c r="M151" s="5" t="str">
        <f aca="false">"PI"</f>
        <v>PI</v>
      </c>
      <c r="N151" s="9" t="n">
        <v>0</v>
      </c>
      <c r="O151" s="10" t="n">
        <v>387.8</v>
      </c>
      <c r="P151" s="10" t="n">
        <v>324.78</v>
      </c>
      <c r="Q151" s="10" t="n">
        <v>0</v>
      </c>
      <c r="R151" s="10" t="n">
        <v>3.28</v>
      </c>
      <c r="S151" s="5" t="str">
        <f aca="false">"Embarque"</f>
        <v>Embarque</v>
      </c>
      <c r="T151" s="5" t="str">
        <f aca="false">"Elpidio"</f>
        <v>Elpidio</v>
      </c>
      <c r="U151" s="11" t="n">
        <v>25</v>
      </c>
      <c r="V151" s="5" t="str">
        <f aca="false">""</f>
        <v/>
      </c>
    </row>
    <row r="152" customFormat="false" ht="12.8" hidden="false" customHeight="false" outlineLevel="0" collapsed="false">
      <c r="A152" s="4" t="n">
        <v>206</v>
      </c>
      <c r="B152" s="5" t="str">
        <f aca="false">"PAPAIZ"</f>
        <v>PAPAIZ</v>
      </c>
      <c r="C152" s="6" t="n">
        <v>954911</v>
      </c>
      <c r="D152" s="7" t="n">
        <v>45764</v>
      </c>
      <c r="E152" s="7" t="n">
        <v>45744</v>
      </c>
      <c r="F152" s="7"/>
      <c r="G152" s="7"/>
      <c r="H152" s="7"/>
      <c r="I152" s="5" t="str">
        <f aca="false">""</f>
        <v/>
      </c>
      <c r="J152" s="5" t="str">
        <f aca="false">"SPDPPZ031548"</f>
        <v>SPDPPZ031548</v>
      </c>
      <c r="K152" s="5" t="str">
        <f aca="false">"ACO &amp; COMPA"</f>
        <v>ACO &amp; COMPA</v>
      </c>
      <c r="L152" s="5" t="str">
        <f aca="false">"ATACADISTA"</f>
        <v>ATACADISTA</v>
      </c>
      <c r="M152" s="5" t="str">
        <f aca="false">"RN"</f>
        <v>RN</v>
      </c>
      <c r="N152" s="9" t="n">
        <v>0</v>
      </c>
      <c r="O152" s="10" t="n">
        <v>440.5</v>
      </c>
      <c r="P152" s="10" t="n">
        <v>368.92</v>
      </c>
      <c r="Q152" s="10" t="n">
        <v>0</v>
      </c>
      <c r="R152" s="10" t="n">
        <v>4.1</v>
      </c>
      <c r="S152" s="5" t="str">
        <f aca="false">"Embarque"</f>
        <v>Embarque</v>
      </c>
      <c r="T152" s="5" t="str">
        <f aca="false">"B3"</f>
        <v>B3</v>
      </c>
      <c r="U152" s="11" t="n">
        <v>25</v>
      </c>
      <c r="V152" s="5" t="str">
        <f aca="false">""</f>
        <v/>
      </c>
    </row>
    <row r="153" customFormat="false" ht="12.8" hidden="false" customHeight="false" outlineLevel="0" collapsed="false">
      <c r="A153" s="4" t="n">
        <v>206</v>
      </c>
      <c r="B153" s="5" t="str">
        <f aca="false">"LA FONTE"</f>
        <v>LA FONTE</v>
      </c>
      <c r="C153" s="6" t="n">
        <v>955653</v>
      </c>
      <c r="D153" s="7" t="n">
        <v>45764</v>
      </c>
      <c r="E153" s="7" t="n">
        <v>45747</v>
      </c>
      <c r="F153" s="7"/>
      <c r="G153" s="7"/>
      <c r="H153" s="7"/>
      <c r="I153" s="5" t="str">
        <f aca="false">""</f>
        <v/>
      </c>
      <c r="J153" s="5" t="str">
        <f aca="false">"SPDLFT005091"</f>
        <v>SPDLFT005091</v>
      </c>
      <c r="K153" s="5" t="str">
        <f aca="false">"CLASSIC"</f>
        <v>CLASSIC</v>
      </c>
      <c r="L153" s="5" t="str">
        <f aca="false">"FERRAGISTA"</f>
        <v>FERRAGISTA</v>
      </c>
      <c r="M153" s="5" t="str">
        <f aca="false">"SP"</f>
        <v>SP</v>
      </c>
      <c r="N153" s="9" t="n">
        <v>0</v>
      </c>
      <c r="O153" s="10" t="n">
        <v>539.24</v>
      </c>
      <c r="P153" s="10" t="n">
        <v>340.24</v>
      </c>
      <c r="Q153" s="10" t="n">
        <v>0</v>
      </c>
      <c r="R153" s="10" t="n">
        <v>2.01</v>
      </c>
      <c r="S153" s="5" t="str">
        <f aca="false">"Embarque"</f>
        <v>Embarque</v>
      </c>
      <c r="T153" s="5" t="str">
        <f aca="false">"PRIME CF"</f>
        <v>PRIME CF</v>
      </c>
      <c r="U153" s="11" t="n">
        <v>25</v>
      </c>
      <c r="V153" s="5" t="str">
        <f aca="false">""</f>
        <v/>
      </c>
    </row>
    <row r="154" customFormat="false" ht="12.8" hidden="false" customHeight="false" outlineLevel="0" collapsed="false">
      <c r="A154" s="4" t="n">
        <v>206</v>
      </c>
      <c r="B154" s="5" t="str">
        <f aca="false">"PAPAIZ"</f>
        <v>PAPAIZ</v>
      </c>
      <c r="C154" s="6" t="n">
        <v>954977</v>
      </c>
      <c r="D154" s="7" t="n">
        <v>45764</v>
      </c>
      <c r="E154" s="7" t="n">
        <v>45744</v>
      </c>
      <c r="F154" s="7"/>
      <c r="G154" s="7"/>
      <c r="H154" s="7"/>
      <c r="I154" s="5" t="str">
        <f aca="false">""</f>
        <v/>
      </c>
      <c r="J154" s="5" t="str">
        <f aca="false">"SPDPPZ031407"</f>
        <v>SPDPPZ031407</v>
      </c>
      <c r="K154" s="5" t="str">
        <f aca="false">"UTIL ARTE MA"</f>
        <v>UTIL ARTE MA</v>
      </c>
      <c r="L154" s="5" t="str">
        <f aca="false">"FERRAGISTA"</f>
        <v>FERRAGISTA</v>
      </c>
      <c r="M154" s="5" t="str">
        <f aca="false">"SP"</f>
        <v>SP</v>
      </c>
      <c r="N154" s="9" t="n">
        <v>228.4</v>
      </c>
      <c r="O154" s="10" t="n">
        <v>659.7</v>
      </c>
      <c r="P154" s="10" t="n">
        <v>479.93</v>
      </c>
      <c r="Q154" s="10" t="n">
        <v>0</v>
      </c>
      <c r="R154" s="10" t="n">
        <v>4.92</v>
      </c>
      <c r="S154" s="5" t="str">
        <f aca="false">"Embarque"</f>
        <v>Embarque</v>
      </c>
      <c r="T154" s="5" t="str">
        <f aca="false">"EDUARDO PAUL"</f>
        <v>EDUARDO PAUL</v>
      </c>
      <c r="U154" s="11" t="n">
        <v>25</v>
      </c>
      <c r="V154" s="5" t="str">
        <f aca="false">""</f>
        <v/>
      </c>
    </row>
    <row r="155" customFormat="false" ht="12.8" hidden="false" customHeight="false" outlineLevel="0" collapsed="false">
      <c r="A155" s="4" t="n">
        <v>206</v>
      </c>
      <c r="B155" s="5" t="str">
        <f aca="false">"PAPAIZ"</f>
        <v>PAPAIZ</v>
      </c>
      <c r="C155" s="6" t="n">
        <v>955544</v>
      </c>
      <c r="D155" s="7" t="n">
        <v>45764</v>
      </c>
      <c r="E155" s="7" t="n">
        <v>45745</v>
      </c>
      <c r="F155" s="7"/>
      <c r="G155" s="7"/>
      <c r="H155" s="7"/>
      <c r="I155" s="5" t="str">
        <f aca="false">""</f>
        <v/>
      </c>
      <c r="J155" s="5" t="str">
        <f aca="false">"SPDPPZ031551"</f>
        <v>SPDPPZ031551</v>
      </c>
      <c r="K155" s="5" t="str">
        <f aca="false">"FERRARI"</f>
        <v>FERRARI</v>
      </c>
      <c r="L155" s="5" t="str">
        <f aca="false">"FERRAGISTA"</f>
        <v>FERRAGISTA</v>
      </c>
      <c r="M155" s="5" t="str">
        <f aca="false">"ES"</f>
        <v>ES</v>
      </c>
      <c r="N155" s="9" t="n">
        <v>0</v>
      </c>
      <c r="O155" s="10" t="n">
        <v>387.8</v>
      </c>
      <c r="P155" s="10" t="n">
        <v>324.78</v>
      </c>
      <c r="Q155" s="10" t="n">
        <v>0</v>
      </c>
      <c r="R155" s="10" t="n">
        <v>3.28</v>
      </c>
      <c r="S155" s="5" t="str">
        <f aca="false">"Embarque"</f>
        <v>Embarque</v>
      </c>
      <c r="T155" s="5" t="str">
        <f aca="false">"J FIRMINO"</f>
        <v>J FIRMINO</v>
      </c>
      <c r="U155" s="11" t="n">
        <v>25</v>
      </c>
      <c r="V155" s="5" t="str">
        <f aca="false">""</f>
        <v/>
      </c>
    </row>
    <row r="156" customFormat="false" ht="12.8" hidden="false" customHeight="false" outlineLevel="0" collapsed="false">
      <c r="A156" s="4" t="n">
        <v>206</v>
      </c>
      <c r="B156" s="5" t="str">
        <f aca="false">"PAPAIZ"</f>
        <v>PAPAIZ</v>
      </c>
      <c r="C156" s="6" t="n">
        <v>956839</v>
      </c>
      <c r="D156" s="7" t="n">
        <v>45764</v>
      </c>
      <c r="E156" s="7" t="n">
        <v>45751</v>
      </c>
      <c r="F156" s="7"/>
      <c r="G156" s="7"/>
      <c r="H156" s="7"/>
      <c r="I156" s="5" t="str">
        <f aca="false">""</f>
        <v/>
      </c>
      <c r="J156" s="14" t="n">
        <v>4520471258</v>
      </c>
      <c r="K156" s="5" t="str">
        <f aca="false">"LEROY"</f>
        <v>LEROY</v>
      </c>
      <c r="L156" s="5" t="str">
        <f aca="false">"HOME CENTER"</f>
        <v>HOME CENTER</v>
      </c>
      <c r="M156" s="5" t="str">
        <f aca="false">"SP"</f>
        <v>SP</v>
      </c>
      <c r="N156" s="9" t="n">
        <v>0</v>
      </c>
      <c r="O156" s="10" t="n">
        <v>901.2</v>
      </c>
      <c r="P156" s="10" t="n">
        <v>621.58</v>
      </c>
      <c r="Q156" s="10" t="n">
        <v>0</v>
      </c>
      <c r="R156" s="10" t="n">
        <v>14.84</v>
      </c>
      <c r="S156" s="5" t="str">
        <f aca="false">"Embarque"</f>
        <v>Embarque</v>
      </c>
      <c r="T156" s="5" t="str">
        <f aca="false">"TIAGO SILVA"</f>
        <v>TIAGO SILVA</v>
      </c>
      <c r="U156" s="11" t="n">
        <v>6</v>
      </c>
      <c r="V156" s="5" t="str">
        <f aca="false">""</f>
        <v/>
      </c>
    </row>
    <row r="157" customFormat="false" ht="12.8" hidden="false" customHeight="false" outlineLevel="0" collapsed="false">
      <c r="A157" s="4" t="n">
        <v>206</v>
      </c>
      <c r="B157" s="5" t="str">
        <f aca="false">"PAPAIZ"</f>
        <v>PAPAIZ</v>
      </c>
      <c r="C157" s="6" t="n">
        <v>956840</v>
      </c>
      <c r="D157" s="7" t="n">
        <v>45764</v>
      </c>
      <c r="E157" s="7" t="n">
        <v>45751</v>
      </c>
      <c r="F157" s="7"/>
      <c r="G157" s="7"/>
      <c r="H157" s="7"/>
      <c r="I157" s="5" t="str">
        <f aca="false">""</f>
        <v/>
      </c>
      <c r="J157" s="14" t="n">
        <v>4520470379</v>
      </c>
      <c r="K157" s="5" t="str">
        <f aca="false">"LEROY -TAMBO"</f>
        <v>LEROY -TAMBO</v>
      </c>
      <c r="L157" s="5" t="str">
        <f aca="false">"HOME CENTER"</f>
        <v>HOME CENTER</v>
      </c>
      <c r="M157" s="5" t="str">
        <f aca="false">"SP"</f>
        <v>SP</v>
      </c>
      <c r="N157" s="9" t="n">
        <v>0</v>
      </c>
      <c r="O157" s="10" t="n">
        <v>918.9</v>
      </c>
      <c r="P157" s="10" t="n">
        <v>645.8</v>
      </c>
      <c r="Q157" s="10" t="n">
        <v>0</v>
      </c>
      <c r="R157" s="10" t="n">
        <v>11.87</v>
      </c>
      <c r="S157" s="5" t="str">
        <f aca="false">"Embarque"</f>
        <v>Embarque</v>
      </c>
      <c r="T157" s="5" t="str">
        <f aca="false">"TIAGO SILVA"</f>
        <v>TIAGO SILVA</v>
      </c>
      <c r="U157" s="11" t="n">
        <v>6</v>
      </c>
      <c r="V157" s="5" t="str">
        <f aca="false">""</f>
        <v/>
      </c>
    </row>
    <row r="158" customFormat="false" ht="12.8" hidden="false" customHeight="false" outlineLevel="0" collapsed="false">
      <c r="A158" s="4" t="n">
        <v>206</v>
      </c>
      <c r="B158" s="5" t="str">
        <f aca="false">"PAPAIZ"</f>
        <v>PAPAIZ</v>
      </c>
      <c r="C158" s="6" t="n">
        <v>956841</v>
      </c>
      <c r="D158" s="7" t="n">
        <v>45764</v>
      </c>
      <c r="E158" s="7" t="n">
        <v>45751</v>
      </c>
      <c r="F158" s="7"/>
      <c r="G158" s="7"/>
      <c r="H158" s="7"/>
      <c r="I158" s="5" t="str">
        <f aca="false">""</f>
        <v/>
      </c>
      <c r="J158" s="14" t="n">
        <v>4520474087</v>
      </c>
      <c r="K158" s="5" t="str">
        <f aca="false">"LEROY CONTAG"</f>
        <v>LEROY CONTAG</v>
      </c>
      <c r="L158" s="5" t="str">
        <f aca="false">"HOME CENTER"</f>
        <v>HOME CENTER</v>
      </c>
      <c r="M158" s="5" t="str">
        <f aca="false">"MG"</f>
        <v>MG</v>
      </c>
      <c r="N158" s="9" t="n">
        <v>0</v>
      </c>
      <c r="O158" s="10" t="n">
        <v>715.7</v>
      </c>
      <c r="P158" s="10" t="n">
        <v>543.14</v>
      </c>
      <c r="Q158" s="10" t="n">
        <v>0</v>
      </c>
      <c r="R158" s="10" t="n">
        <v>9.6</v>
      </c>
      <c r="S158" s="5" t="str">
        <f aca="false">"Embarque"</f>
        <v>Embarque</v>
      </c>
      <c r="T158" s="5" t="str">
        <f aca="false">"FRADE"</f>
        <v>FRADE</v>
      </c>
      <c r="U158" s="11" t="n">
        <v>6</v>
      </c>
      <c r="V158" s="5" t="str">
        <f aca="false">""</f>
        <v/>
      </c>
    </row>
    <row r="159" customFormat="false" ht="12.8" hidden="false" customHeight="false" outlineLevel="0" collapsed="false">
      <c r="A159" s="4" t="n">
        <v>206</v>
      </c>
      <c r="B159" s="5" t="str">
        <f aca="false">"PAPAIZ"</f>
        <v>PAPAIZ</v>
      </c>
      <c r="C159" s="6" t="n">
        <v>954915</v>
      </c>
      <c r="D159" s="7" t="n">
        <v>45764</v>
      </c>
      <c r="E159" s="7" t="n">
        <v>45744</v>
      </c>
      <c r="F159" s="7"/>
      <c r="G159" s="7"/>
      <c r="H159" s="7"/>
      <c r="I159" s="5" t="str">
        <f aca="false">""</f>
        <v/>
      </c>
      <c r="J159" s="5" t="str">
        <f aca="false">"SPDPPZ031449"</f>
        <v>SPDPPZ031449</v>
      </c>
      <c r="K159" s="5" t="str">
        <f aca="false">"Armarinhos F"</f>
        <v>Armarinhos F</v>
      </c>
      <c r="L159" s="5" t="str">
        <f aca="false">"ATACADISTA"</f>
        <v>ATACADISTA</v>
      </c>
      <c r="M159" s="5" t="str">
        <f aca="false">"SP"</f>
        <v>SP</v>
      </c>
      <c r="N159" s="9" t="n">
        <v>0</v>
      </c>
      <c r="O159" s="10" t="n">
        <v>7996</v>
      </c>
      <c r="P159" s="10" t="n">
        <v>5817.09</v>
      </c>
      <c r="Q159" s="10" t="n">
        <v>0</v>
      </c>
      <c r="R159" s="10" t="n">
        <v>65.6</v>
      </c>
      <c r="S159" s="5" t="str">
        <f aca="false">"Embarque"</f>
        <v>Embarque</v>
      </c>
      <c r="T159" s="5" t="str">
        <f aca="false">"FHACHUL"</f>
        <v>FHACHUL</v>
      </c>
      <c r="U159" s="11" t="n">
        <v>25</v>
      </c>
      <c r="V159" s="5" t="str">
        <f aca="false">""</f>
        <v/>
      </c>
    </row>
    <row r="160" customFormat="false" ht="12.8" hidden="false" customHeight="false" outlineLevel="0" collapsed="false">
      <c r="A160" s="4" t="n">
        <v>206</v>
      </c>
      <c r="B160" s="5" t="str">
        <f aca="false">"PAPAIZ"</f>
        <v>PAPAIZ</v>
      </c>
      <c r="C160" s="6" t="n">
        <v>956843</v>
      </c>
      <c r="D160" s="7" t="n">
        <v>45765</v>
      </c>
      <c r="E160" s="7" t="n">
        <v>45751</v>
      </c>
      <c r="F160" s="7"/>
      <c r="G160" s="7"/>
      <c r="H160" s="7"/>
      <c r="I160" s="5" t="str">
        <f aca="false">""</f>
        <v/>
      </c>
      <c r="J160" s="14" t="n">
        <v>4520473255</v>
      </c>
      <c r="K160" s="5" t="str">
        <f aca="false">"LEROY MORUMB"</f>
        <v>LEROY MORUMB</v>
      </c>
      <c r="L160" s="5" t="str">
        <f aca="false">"HOME CENTER"</f>
        <v>HOME CENTER</v>
      </c>
      <c r="M160" s="5" t="str">
        <f aca="false">"SP"</f>
        <v>SP</v>
      </c>
      <c r="N160" s="9" t="n">
        <v>0</v>
      </c>
      <c r="O160" s="10" t="n">
        <v>1092.5</v>
      </c>
      <c r="P160" s="10" t="n">
        <v>753.18</v>
      </c>
      <c r="Q160" s="10" t="n">
        <v>0</v>
      </c>
      <c r="R160" s="10" t="n">
        <v>18.23</v>
      </c>
      <c r="S160" s="5" t="str">
        <f aca="false">"Embarque"</f>
        <v>Embarque</v>
      </c>
      <c r="T160" s="5" t="str">
        <f aca="false">"TIAGO SILVA"</f>
        <v>TIAGO SILVA</v>
      </c>
      <c r="U160" s="11" t="n">
        <v>6</v>
      </c>
      <c r="V160" s="5" t="str">
        <f aca="false">""</f>
        <v/>
      </c>
    </row>
    <row r="161" customFormat="false" ht="12.8" hidden="false" customHeight="false" outlineLevel="0" collapsed="false">
      <c r="A161" s="4" t="n">
        <v>206</v>
      </c>
      <c r="B161" s="5" t="str">
        <f aca="false">"PAPAIZ"</f>
        <v>PAPAIZ</v>
      </c>
      <c r="C161" s="6" t="n">
        <v>956844</v>
      </c>
      <c r="D161" s="7" t="n">
        <v>45765</v>
      </c>
      <c r="E161" s="7" t="n">
        <v>45751</v>
      </c>
      <c r="F161" s="7"/>
      <c r="G161" s="7"/>
      <c r="H161" s="7"/>
      <c r="I161" s="5" t="str">
        <f aca="false">""</f>
        <v/>
      </c>
      <c r="J161" s="14" t="n">
        <v>4520472892</v>
      </c>
      <c r="K161" s="5" t="str">
        <f aca="false">"LEROY RJAFET"</f>
        <v>LEROY RJAFET</v>
      </c>
      <c r="L161" s="5" t="str">
        <f aca="false">"HOME CENTER"</f>
        <v>HOME CENTER</v>
      </c>
      <c r="M161" s="5" t="str">
        <f aca="false">"SP"</f>
        <v>SP</v>
      </c>
      <c r="N161" s="9" t="n">
        <v>0</v>
      </c>
      <c r="O161" s="10" t="n">
        <v>957.8</v>
      </c>
      <c r="P161" s="10" t="n">
        <v>677.88</v>
      </c>
      <c r="Q161" s="10" t="n">
        <v>0</v>
      </c>
      <c r="R161" s="10" t="n">
        <v>11.32</v>
      </c>
      <c r="S161" s="5" t="str">
        <f aca="false">"Embarque"</f>
        <v>Embarque</v>
      </c>
      <c r="T161" s="5" t="str">
        <f aca="false">"TIAGO SILVA"</f>
        <v>TIAGO SILVA</v>
      </c>
      <c r="U161" s="11" t="n">
        <v>6</v>
      </c>
      <c r="V161" s="5" t="str">
        <f aca="false">""</f>
        <v/>
      </c>
    </row>
    <row r="162" customFormat="false" ht="12.8" hidden="false" customHeight="false" outlineLevel="0" collapsed="false">
      <c r="A162" s="4" t="n">
        <v>206</v>
      </c>
      <c r="B162" s="5" t="str">
        <f aca="false">"PAPAIZ"</f>
        <v>PAPAIZ</v>
      </c>
      <c r="C162" s="6" t="n">
        <v>956842</v>
      </c>
      <c r="D162" s="7" t="n">
        <v>45765</v>
      </c>
      <c r="E162" s="7" t="n">
        <v>45751</v>
      </c>
      <c r="F162" s="7"/>
      <c r="G162" s="7"/>
      <c r="H162" s="7"/>
      <c r="I162" s="5" t="str">
        <f aca="false">""</f>
        <v/>
      </c>
      <c r="J162" s="14" t="n">
        <v>4520473730</v>
      </c>
      <c r="K162" s="5" t="str">
        <f aca="false">"LEROY RIO BA"</f>
        <v>LEROY RIO BA</v>
      </c>
      <c r="L162" s="5" t="str">
        <f aca="false">"HOME CENTER"</f>
        <v>HOME CENTER</v>
      </c>
      <c r="M162" s="5" t="str">
        <f aca="false">"RJ"</f>
        <v>RJ</v>
      </c>
      <c r="N162" s="9" t="n">
        <v>0</v>
      </c>
      <c r="O162" s="10" t="n">
        <v>545.3</v>
      </c>
      <c r="P162" s="10" t="n">
        <v>417.14</v>
      </c>
      <c r="Q162" s="10" t="n">
        <v>0</v>
      </c>
      <c r="R162" s="10" t="n">
        <v>6.53</v>
      </c>
      <c r="S162" s="5" t="str">
        <f aca="false">"Embarque"</f>
        <v>Embarque</v>
      </c>
      <c r="T162" s="5" t="str">
        <f aca="false">"ALEXANDRE P"</f>
        <v>ALEXANDRE P</v>
      </c>
      <c r="U162" s="11" t="n">
        <v>6</v>
      </c>
      <c r="V162" s="5" t="str">
        <f aca="false">""</f>
        <v/>
      </c>
    </row>
    <row r="163" customFormat="false" ht="12.8" hidden="false" customHeight="false" outlineLevel="0" collapsed="false">
      <c r="A163" s="4" t="n">
        <v>206</v>
      </c>
      <c r="B163" s="5" t="str">
        <f aca="false">"PAPAIZ"</f>
        <v>PAPAIZ</v>
      </c>
      <c r="C163" s="6" t="n">
        <v>954972</v>
      </c>
      <c r="D163" s="7" t="n">
        <v>45765</v>
      </c>
      <c r="E163" s="7" t="n">
        <v>45744</v>
      </c>
      <c r="F163" s="7"/>
      <c r="G163" s="7"/>
      <c r="H163" s="7"/>
      <c r="I163" s="5" t="str">
        <f aca="false">""</f>
        <v/>
      </c>
      <c r="J163" s="8" t="n">
        <v>35108</v>
      </c>
      <c r="K163" s="5" t="str">
        <f aca="false">"SANTIL"</f>
        <v>SANTIL</v>
      </c>
      <c r="L163" s="5" t="str">
        <f aca="false">"FERRAGISTA"</f>
        <v>FERRAGISTA</v>
      </c>
      <c r="M163" s="5" t="str">
        <f aca="false">"SP"</f>
        <v>SP</v>
      </c>
      <c r="N163" s="9" t="n">
        <v>0</v>
      </c>
      <c r="O163" s="10" t="n">
        <v>654.2</v>
      </c>
      <c r="P163" s="10" t="n">
        <v>475.93</v>
      </c>
      <c r="Q163" s="10" t="n">
        <v>0</v>
      </c>
      <c r="R163" s="10" t="n">
        <v>4.36</v>
      </c>
      <c r="S163" s="5" t="str">
        <f aca="false">"Embarque"</f>
        <v>Embarque</v>
      </c>
      <c r="T163" s="5" t="str">
        <f aca="false">"FHACHUL"</f>
        <v>FHACHUL</v>
      </c>
      <c r="U163" s="11" t="n">
        <v>25</v>
      </c>
      <c r="V163" s="5" t="str">
        <f aca="false">""</f>
        <v/>
      </c>
    </row>
    <row r="164" customFormat="false" ht="12.8" hidden="false" customHeight="false" outlineLevel="0" collapsed="false">
      <c r="A164" s="4" t="n">
        <v>206</v>
      </c>
      <c r="B164" s="5" t="str">
        <f aca="false">"PAPAIZ"</f>
        <v>PAPAIZ</v>
      </c>
      <c r="C164" s="6" t="n">
        <v>954971</v>
      </c>
      <c r="D164" s="7" t="n">
        <v>45765</v>
      </c>
      <c r="E164" s="7" t="n">
        <v>45744</v>
      </c>
      <c r="F164" s="7"/>
      <c r="G164" s="7"/>
      <c r="H164" s="7"/>
      <c r="I164" s="5" t="str">
        <f aca="false">""</f>
        <v/>
      </c>
      <c r="J164" s="5" t="str">
        <f aca="false">"SPDPPZ031686"</f>
        <v>SPDPPZ031686</v>
      </c>
      <c r="K164" s="5" t="str">
        <f aca="false">"RPROCOMIMP"</f>
        <v>RPROCOMIMP</v>
      </c>
      <c r="L164" s="5" t="str">
        <f aca="false">"ATACADISTA"</f>
        <v>ATACADISTA</v>
      </c>
      <c r="M164" s="5" t="str">
        <f aca="false">"SP"</f>
        <v>SP</v>
      </c>
      <c r="N164" s="9" t="n">
        <v>0</v>
      </c>
      <c r="O164" s="10" t="n">
        <v>999.5</v>
      </c>
      <c r="P164" s="10" t="n">
        <v>727.14</v>
      </c>
      <c r="Q164" s="10" t="n">
        <v>0</v>
      </c>
      <c r="R164" s="10" t="n">
        <v>8.2</v>
      </c>
      <c r="S164" s="5" t="str">
        <f aca="false">"Embarque"</f>
        <v>Embarque</v>
      </c>
      <c r="T164" s="5" t="str">
        <f aca="false">"VARGAS REP"</f>
        <v>VARGAS REP</v>
      </c>
      <c r="U164" s="11" t="n">
        <v>25</v>
      </c>
      <c r="V164" s="5" t="str">
        <f aca="false">""</f>
        <v/>
      </c>
    </row>
    <row r="165" customFormat="false" ht="12.8" hidden="false" customHeight="false" outlineLevel="0" collapsed="false">
      <c r="A165" s="4" t="n">
        <v>206</v>
      </c>
      <c r="B165" s="5" t="str">
        <f aca="false">"PAPAIZ"</f>
        <v>PAPAIZ</v>
      </c>
      <c r="C165" s="6" t="n">
        <v>951383</v>
      </c>
      <c r="D165" s="7" t="n">
        <v>45765</v>
      </c>
      <c r="E165" s="7" t="n">
        <v>45734</v>
      </c>
      <c r="F165" s="7"/>
      <c r="G165" s="7"/>
      <c r="H165" s="7"/>
      <c r="I165" s="5" t="str">
        <f aca="false">""</f>
        <v/>
      </c>
      <c r="J165" s="5" t="str">
        <f aca="false">"SPDPPZ030510"</f>
        <v>SPDPPZ030510</v>
      </c>
      <c r="K165" s="5" t="str">
        <f aca="false">"AO REI DOS P"</f>
        <v>AO REI DOS P</v>
      </c>
      <c r="L165" s="5" t="str">
        <f aca="false">"FERRAGISTA"</f>
        <v>FERRAGISTA</v>
      </c>
      <c r="M165" s="5" t="str">
        <f aca="false">"SP"</f>
        <v>SP</v>
      </c>
      <c r="N165" s="9" t="n">
        <v>0</v>
      </c>
      <c r="O165" s="10" t="n">
        <v>149.55</v>
      </c>
      <c r="P165" s="10" t="n">
        <v>108.8</v>
      </c>
      <c r="Q165" s="10" t="n">
        <v>0</v>
      </c>
      <c r="R165" s="10" t="n">
        <v>0.75</v>
      </c>
      <c r="S165" s="5" t="str">
        <f aca="false">"Embarque"</f>
        <v>Embarque</v>
      </c>
      <c r="T165" s="5" t="str">
        <f aca="false">"VARGAS REP"</f>
        <v>VARGAS REP</v>
      </c>
      <c r="U165" s="11" t="n">
        <v>25</v>
      </c>
      <c r="V165" s="5" t="str">
        <f aca="false">""</f>
        <v/>
      </c>
    </row>
    <row r="166" customFormat="false" ht="12.8" hidden="false" customHeight="false" outlineLevel="0" collapsed="false">
      <c r="A166" s="4" t="n">
        <v>206</v>
      </c>
      <c r="B166" s="5" t="str">
        <f aca="false">"PAPAIZ"</f>
        <v>PAPAIZ</v>
      </c>
      <c r="C166" s="6" t="n">
        <v>954941</v>
      </c>
      <c r="D166" s="7" t="n">
        <v>45765</v>
      </c>
      <c r="E166" s="7" t="n">
        <v>45744</v>
      </c>
      <c r="F166" s="7"/>
      <c r="G166" s="7"/>
      <c r="H166" s="7"/>
      <c r="I166" s="5" t="str">
        <f aca="false">""</f>
        <v/>
      </c>
      <c r="J166" s="5" t="str">
        <f aca="false">"SPDPPZ031638"</f>
        <v>SPDPPZ031638</v>
      </c>
      <c r="K166" s="5" t="str">
        <f aca="false">"INDIANA MAT"</f>
        <v>INDIANA MAT</v>
      </c>
      <c r="L166" s="5" t="str">
        <f aca="false">"MATERIAL DE CONSTRUCAO"</f>
        <v>MATERIAL DE CONSTRUCAO</v>
      </c>
      <c r="M166" s="5" t="str">
        <f aca="false">"RJ"</f>
        <v>RJ</v>
      </c>
      <c r="N166" s="9" t="n">
        <v>0</v>
      </c>
      <c r="O166" s="10" t="n">
        <v>307.5</v>
      </c>
      <c r="P166" s="10" t="n">
        <v>242.16</v>
      </c>
      <c r="Q166" s="10" t="n">
        <v>0</v>
      </c>
      <c r="R166" s="10" t="n">
        <v>2.46</v>
      </c>
      <c r="S166" s="5" t="str">
        <f aca="false">"Embarque"</f>
        <v>Embarque</v>
      </c>
      <c r="T166" s="5" t="str">
        <f aca="false">"CMU REP"</f>
        <v>CMU REP</v>
      </c>
      <c r="U166" s="11" t="n">
        <v>25</v>
      </c>
      <c r="V166" s="5" t="str">
        <f aca="false">""</f>
        <v/>
      </c>
    </row>
    <row r="167" customFormat="false" ht="12.8" hidden="false" customHeight="false" outlineLevel="0" collapsed="false">
      <c r="A167" s="4" t="n">
        <v>206</v>
      </c>
      <c r="B167" s="5" t="str">
        <f aca="false">"PAPAIZ"</f>
        <v>PAPAIZ</v>
      </c>
      <c r="C167" s="6" t="n">
        <v>954498</v>
      </c>
      <c r="D167" s="7" t="n">
        <v>45765</v>
      </c>
      <c r="E167" s="7" t="n">
        <v>45743</v>
      </c>
      <c r="F167" s="7"/>
      <c r="G167" s="7"/>
      <c r="H167" s="7"/>
      <c r="I167" s="5" t="str">
        <f aca="false">""</f>
        <v/>
      </c>
      <c r="J167" s="5" t="str">
        <f aca="false">"SPDPPZ030496"</f>
        <v>SPDPPZ030496</v>
      </c>
      <c r="K167" s="5" t="str">
        <f aca="false">"DAVID CHAV"</f>
        <v>DAVID CHAV</v>
      </c>
      <c r="L167" s="5" t="str">
        <f aca="false">"FERRAGISTA"</f>
        <v>FERRAGISTA</v>
      </c>
      <c r="M167" s="5" t="str">
        <f aca="false">"SP"</f>
        <v>SP</v>
      </c>
      <c r="N167" s="9" t="n">
        <v>0</v>
      </c>
      <c r="O167" s="10" t="n">
        <v>192.38</v>
      </c>
      <c r="P167" s="10" t="n">
        <v>121.39</v>
      </c>
      <c r="Q167" s="10" t="n">
        <v>0</v>
      </c>
      <c r="R167" s="10" t="n">
        <v>1.22</v>
      </c>
      <c r="S167" s="5" t="str">
        <f aca="false">"Embarque"</f>
        <v>Embarque</v>
      </c>
      <c r="T167" s="5" t="str">
        <f aca="false">"JOYCECOVACEV"</f>
        <v>JOYCECOVACEV</v>
      </c>
      <c r="U167" s="11" t="n">
        <v>25</v>
      </c>
      <c r="V167" s="5" t="str">
        <f aca="false">""</f>
        <v/>
      </c>
    </row>
    <row r="168" customFormat="false" ht="12.8" hidden="false" customHeight="false" outlineLevel="0" collapsed="false">
      <c r="A168" s="4" t="n">
        <v>206</v>
      </c>
      <c r="B168" s="5" t="str">
        <f aca="false">"PAPAIZ"</f>
        <v>PAPAIZ</v>
      </c>
      <c r="C168" s="6" t="n">
        <v>954920</v>
      </c>
      <c r="D168" s="7" t="n">
        <v>45765</v>
      </c>
      <c r="E168" s="7" t="n">
        <v>45744</v>
      </c>
      <c r="F168" s="7"/>
      <c r="G168" s="7"/>
      <c r="H168" s="7"/>
      <c r="I168" s="5" t="str">
        <f aca="false">""</f>
        <v/>
      </c>
      <c r="J168" s="5" t="str">
        <f aca="false">"SPDPPZ031620"</f>
        <v>SPDPPZ031620</v>
      </c>
      <c r="K168" s="5" t="str">
        <f aca="false">"CASA VITRO"</f>
        <v>CASA VITRO</v>
      </c>
      <c r="L168" s="5" t="str">
        <f aca="false">"MATERIAL DE CONSTRUCAO"</f>
        <v>MATERIAL DE CONSTRUCAO</v>
      </c>
      <c r="M168" s="5" t="str">
        <f aca="false">"SP"</f>
        <v>SP</v>
      </c>
      <c r="N168" s="9" t="n">
        <v>0</v>
      </c>
      <c r="O168" s="10" t="n">
        <v>439.8</v>
      </c>
      <c r="P168" s="10" t="n">
        <v>319.95</v>
      </c>
      <c r="Q168" s="10" t="n">
        <v>0</v>
      </c>
      <c r="R168" s="10" t="n">
        <v>3.28</v>
      </c>
      <c r="S168" s="5" t="str">
        <f aca="false">"Embarque"</f>
        <v>Embarque</v>
      </c>
      <c r="T168" s="5" t="str">
        <f aca="false">"FALCAO"</f>
        <v>FALCAO</v>
      </c>
      <c r="U168" s="11" t="n">
        <v>25</v>
      </c>
      <c r="V168" s="5" t="str">
        <f aca="false">""</f>
        <v/>
      </c>
    </row>
    <row r="169" customFormat="false" ht="12.8" hidden="false" customHeight="false" outlineLevel="0" collapsed="false">
      <c r="A169" s="4" t="n">
        <v>206</v>
      </c>
      <c r="B169" s="5" t="str">
        <f aca="false">"PAPAIZ"</f>
        <v>PAPAIZ</v>
      </c>
      <c r="C169" s="6" t="n">
        <v>955539</v>
      </c>
      <c r="D169" s="7" t="n">
        <v>45766</v>
      </c>
      <c r="E169" s="7" t="n">
        <v>45745</v>
      </c>
      <c r="F169" s="7"/>
      <c r="G169" s="7"/>
      <c r="H169" s="7"/>
      <c r="I169" s="5" t="str">
        <f aca="false">""</f>
        <v/>
      </c>
      <c r="J169" s="5" t="str">
        <f aca="false">"SPDPPZ031689"</f>
        <v>SPDPPZ031689</v>
      </c>
      <c r="K169" s="5" t="str">
        <f aca="false">"ATACADO C"</f>
        <v>ATACADO C</v>
      </c>
      <c r="L169" s="5" t="str">
        <f aca="false">"ATACADISTA"</f>
        <v>ATACADISTA</v>
      </c>
      <c r="M169" s="5" t="str">
        <f aca="false">"ES"</f>
        <v>ES</v>
      </c>
      <c r="N169" s="9" t="n">
        <v>0</v>
      </c>
      <c r="O169" s="10" t="n">
        <v>352.4</v>
      </c>
      <c r="P169" s="10" t="n">
        <v>295.14</v>
      </c>
      <c r="Q169" s="10" t="n">
        <v>0</v>
      </c>
      <c r="R169" s="10" t="n">
        <v>3.28</v>
      </c>
      <c r="S169" s="5" t="str">
        <f aca="false">"Embarque"</f>
        <v>Embarque</v>
      </c>
      <c r="T169" s="5" t="str">
        <f aca="false">"J FIRMINO"</f>
        <v>J FIRMINO</v>
      </c>
      <c r="U169" s="11" t="n">
        <v>25</v>
      </c>
      <c r="V169" s="5" t="str">
        <f aca="false">""</f>
        <v/>
      </c>
    </row>
    <row r="170" customFormat="false" ht="12.8" hidden="false" customHeight="false" outlineLevel="0" collapsed="false">
      <c r="A170" s="4" t="n">
        <v>206</v>
      </c>
      <c r="B170" s="5" t="str">
        <f aca="false">"PAPAIZ"</f>
        <v>PAPAIZ</v>
      </c>
      <c r="C170" s="6" t="n">
        <v>956845</v>
      </c>
      <c r="D170" s="7" t="n">
        <v>45766</v>
      </c>
      <c r="E170" s="7" t="n">
        <v>45751</v>
      </c>
      <c r="F170" s="7"/>
      <c r="G170" s="7"/>
      <c r="H170" s="7"/>
      <c r="I170" s="5" t="str">
        <f aca="false">""</f>
        <v/>
      </c>
      <c r="J170" s="14" t="n">
        <v>4520473115</v>
      </c>
      <c r="K170" s="5" t="str">
        <f aca="false">"LEROY MACEIO"</f>
        <v>LEROY MACEIO</v>
      </c>
      <c r="L170" s="5" t="str">
        <f aca="false">"HOME CENTER"</f>
        <v>HOME CENTER</v>
      </c>
      <c r="M170" s="5" t="str">
        <f aca="false">"AL"</f>
        <v>AL</v>
      </c>
      <c r="N170" s="9" t="n">
        <v>0</v>
      </c>
      <c r="O170" s="10" t="n">
        <v>890.1</v>
      </c>
      <c r="P170" s="10" t="n">
        <v>723.68</v>
      </c>
      <c r="Q170" s="10" t="n">
        <v>0</v>
      </c>
      <c r="R170" s="10" t="n">
        <v>11.82</v>
      </c>
      <c r="S170" s="5" t="str">
        <f aca="false">"Embarque"</f>
        <v>Embarque</v>
      </c>
      <c r="T170" s="5" t="str">
        <f aca="false">"AEP REPRE"</f>
        <v>AEP REPRE</v>
      </c>
      <c r="U170" s="11" t="n">
        <v>6</v>
      </c>
      <c r="V170" s="5" t="str">
        <f aca="false">""</f>
        <v/>
      </c>
    </row>
    <row r="171" customFormat="false" ht="12.8" hidden="false" customHeight="false" outlineLevel="0" collapsed="false">
      <c r="A171" s="4" t="n">
        <v>206</v>
      </c>
      <c r="B171" s="5" t="str">
        <f aca="false">"PAPAIZ"</f>
        <v>PAPAIZ</v>
      </c>
      <c r="C171" s="6" t="n">
        <v>951405</v>
      </c>
      <c r="D171" s="7" t="n">
        <v>45766</v>
      </c>
      <c r="E171" s="7" t="n">
        <v>45734</v>
      </c>
      <c r="F171" s="7"/>
      <c r="G171" s="7"/>
      <c r="H171" s="7"/>
      <c r="I171" s="5" t="str">
        <f aca="false">""</f>
        <v/>
      </c>
      <c r="J171" s="5" t="str">
        <f aca="false">"SPDPPZ030522"</f>
        <v>SPDPPZ030522</v>
      </c>
      <c r="K171" s="5" t="str">
        <f aca="false">"COMLSAODIMAS"</f>
        <v>COMLSAODIMAS</v>
      </c>
      <c r="L171" s="5" t="str">
        <f aca="false">"MATERIAL DE CONSTRUCAO"</f>
        <v>MATERIAL DE CONSTRUCAO</v>
      </c>
      <c r="M171" s="5" t="str">
        <f aca="false">"SP"</f>
        <v>SP</v>
      </c>
      <c r="N171" s="9" t="n">
        <v>0</v>
      </c>
      <c r="O171" s="10" t="n">
        <v>89.73</v>
      </c>
      <c r="P171" s="10" t="n">
        <v>65.28</v>
      </c>
      <c r="Q171" s="10" t="n">
        <v>0</v>
      </c>
      <c r="R171" s="10" t="n">
        <v>0.45</v>
      </c>
      <c r="S171" s="5" t="str">
        <f aca="false">"Embarque"</f>
        <v>Embarque</v>
      </c>
      <c r="T171" s="5" t="str">
        <f aca="false">"HERCULES RIO"</f>
        <v>HERCULES RIO</v>
      </c>
      <c r="U171" s="11" t="n">
        <v>25</v>
      </c>
      <c r="V171" s="5" t="str">
        <f aca="false">""</f>
        <v/>
      </c>
    </row>
    <row r="172" customFormat="false" ht="12.8" hidden="false" customHeight="false" outlineLevel="0" collapsed="false">
      <c r="A172" s="4" t="n">
        <v>206</v>
      </c>
      <c r="B172" s="5" t="str">
        <f aca="false">"PAPAIZ"</f>
        <v>PAPAIZ</v>
      </c>
      <c r="C172" s="6" t="n">
        <v>954930</v>
      </c>
      <c r="D172" s="7" t="n">
        <v>45766</v>
      </c>
      <c r="E172" s="7" t="n">
        <v>45744</v>
      </c>
      <c r="F172" s="7"/>
      <c r="G172" s="7"/>
      <c r="H172" s="7"/>
      <c r="I172" s="5" t="str">
        <f aca="false">""</f>
        <v/>
      </c>
      <c r="J172" s="15" t="n">
        <v>1803</v>
      </c>
      <c r="K172" s="5" t="str">
        <f aca="false">"DOMINIUM MAT"</f>
        <v>DOMINIUM MAT</v>
      </c>
      <c r="L172" s="5" t="str">
        <f aca="false">"MATERIAL DE CONSTRUCAO"</f>
        <v>MATERIAL DE CONSTRUCAO</v>
      </c>
      <c r="M172" s="5" t="str">
        <f aca="false">"SP"</f>
        <v>SP</v>
      </c>
      <c r="N172" s="9" t="n">
        <v>0</v>
      </c>
      <c r="O172" s="10" t="n">
        <v>439.8</v>
      </c>
      <c r="P172" s="10" t="n">
        <v>319.95</v>
      </c>
      <c r="Q172" s="10" t="n">
        <v>0</v>
      </c>
      <c r="R172" s="10" t="n">
        <v>3.28</v>
      </c>
      <c r="S172" s="5" t="str">
        <f aca="false">"Embarque"</f>
        <v>Embarque</v>
      </c>
      <c r="T172" s="5" t="str">
        <f aca="false">"HANDRES NEW"</f>
        <v>HANDRES NEW</v>
      </c>
      <c r="U172" s="11" t="n">
        <v>25</v>
      </c>
      <c r="V172" s="5" t="str">
        <f aca="false">""</f>
        <v/>
      </c>
    </row>
    <row r="173" customFormat="false" ht="12.8" hidden="false" customHeight="false" outlineLevel="0" collapsed="false">
      <c r="A173" s="4" t="n">
        <v>206</v>
      </c>
      <c r="B173" s="5" t="str">
        <f aca="false">"PAPAIZ"</f>
        <v>PAPAIZ</v>
      </c>
      <c r="C173" s="6" t="n">
        <v>955546</v>
      </c>
      <c r="D173" s="7" t="n">
        <v>45766</v>
      </c>
      <c r="E173" s="7" t="n">
        <v>45745</v>
      </c>
      <c r="F173" s="7"/>
      <c r="G173" s="7"/>
      <c r="H173" s="7"/>
      <c r="I173" s="5" t="str">
        <f aca="false">""</f>
        <v/>
      </c>
      <c r="J173" s="5" t="str">
        <f aca="false">"206.883"</f>
        <v>206.883</v>
      </c>
      <c r="K173" s="5" t="str">
        <f aca="false">"NOVA CASA 35"</f>
        <v>NOVA CASA 35</v>
      </c>
      <c r="L173" s="5" t="str">
        <f aca="false">"ATACADISTA"</f>
        <v>ATACADISTA</v>
      </c>
      <c r="M173" s="5" t="str">
        <f aca="false">"PA"</f>
        <v>PA</v>
      </c>
      <c r="N173" s="9" t="n">
        <v>0</v>
      </c>
      <c r="O173" s="10" t="n">
        <v>3524</v>
      </c>
      <c r="P173" s="10" t="n">
        <v>2951.35</v>
      </c>
      <c r="Q173" s="10" t="n">
        <v>0</v>
      </c>
      <c r="R173" s="10" t="n">
        <v>32.8</v>
      </c>
      <c r="S173" s="5" t="str">
        <f aca="false">"Embarque"</f>
        <v>Embarque</v>
      </c>
      <c r="T173" s="5" t="str">
        <f aca="false">"JG SILVA"</f>
        <v>JG SILVA</v>
      </c>
      <c r="U173" s="11" t="n">
        <v>25</v>
      </c>
      <c r="V173" s="5" t="str">
        <f aca="false">""</f>
        <v/>
      </c>
    </row>
    <row r="174" customFormat="false" ht="12.8" hidden="false" customHeight="false" outlineLevel="0" collapsed="false">
      <c r="A174" s="4" t="n">
        <v>206</v>
      </c>
      <c r="B174" s="5" t="str">
        <f aca="false">"LA FONTE"</f>
        <v>LA FONTE</v>
      </c>
      <c r="C174" s="6" t="n">
        <v>955491</v>
      </c>
      <c r="D174" s="7" t="n">
        <v>45768</v>
      </c>
      <c r="E174" s="7" t="n">
        <v>45745</v>
      </c>
      <c r="F174" s="7"/>
      <c r="G174" s="7"/>
      <c r="H174" s="7"/>
      <c r="I174" s="5" t="str">
        <f aca="false">""</f>
        <v/>
      </c>
      <c r="J174" s="8" t="n">
        <v>15704</v>
      </c>
      <c r="K174" s="5" t="str">
        <f aca="false">"ABATEX"</f>
        <v>ABATEX</v>
      </c>
      <c r="L174" s="5" t="str">
        <f aca="false">"OEM"</f>
        <v>OEM</v>
      </c>
      <c r="M174" s="5" t="str">
        <f aca="false">"SP"</f>
        <v>SP</v>
      </c>
      <c r="N174" s="9" t="n">
        <v>31.89</v>
      </c>
      <c r="O174" s="10" t="n">
        <v>482.73</v>
      </c>
      <c r="P174" s="10" t="n">
        <v>351.19</v>
      </c>
      <c r="Q174" s="10" t="n">
        <v>0</v>
      </c>
      <c r="R174" s="10" t="n">
        <v>2.31</v>
      </c>
      <c r="S174" s="5" t="str">
        <f aca="false">"Embarque"</f>
        <v>Embarque</v>
      </c>
      <c r="T174" s="5" t="str">
        <f aca="false">"REINALDO M"</f>
        <v>REINALDO M</v>
      </c>
      <c r="U174" s="11" t="n">
        <v>25</v>
      </c>
      <c r="V174" s="5" t="str">
        <f aca="false">""</f>
        <v/>
      </c>
    </row>
    <row r="175" customFormat="false" ht="12.8" hidden="false" customHeight="false" outlineLevel="0" collapsed="false">
      <c r="A175" s="4" t="n">
        <v>206</v>
      </c>
      <c r="B175" s="5" t="str">
        <f aca="false">"PAPAIZ"</f>
        <v>PAPAIZ</v>
      </c>
      <c r="C175" s="6" t="n">
        <v>956560</v>
      </c>
      <c r="D175" s="7" t="n">
        <v>45768</v>
      </c>
      <c r="E175" s="7" t="n">
        <v>45750</v>
      </c>
      <c r="F175" s="7"/>
      <c r="G175" s="7"/>
      <c r="H175" s="7"/>
      <c r="I175" s="5" t="str">
        <f aca="false">""</f>
        <v/>
      </c>
      <c r="J175" s="5" t="str">
        <f aca="false">"SPDPPZ028845"</f>
        <v>SPDPPZ028845</v>
      </c>
      <c r="K175" s="5" t="str">
        <f aca="false">"VISION COLI"</f>
        <v>VISION COLI</v>
      </c>
      <c r="L175" s="5" t="str">
        <f aca="false">"CONSTRUTORA"</f>
        <v>CONSTRUTORA</v>
      </c>
      <c r="M175" s="5" t="str">
        <f aca="false">"SP"</f>
        <v>SP</v>
      </c>
      <c r="N175" s="9" t="n">
        <v>0</v>
      </c>
      <c r="O175" s="10" t="n">
        <v>3863.4</v>
      </c>
      <c r="P175" s="10" t="n">
        <v>2810.62</v>
      </c>
      <c r="Q175" s="10" t="n">
        <v>0</v>
      </c>
      <c r="R175" s="10" t="n">
        <v>54.1</v>
      </c>
      <c r="S175" s="5" t="str">
        <f aca="false">"Embarque"</f>
        <v>Embarque</v>
      </c>
      <c r="T175" s="5" t="str">
        <f aca="false">"ORGUI"</f>
        <v>ORGUI</v>
      </c>
      <c r="U175" s="11" t="n">
        <v>25</v>
      </c>
      <c r="V175" s="5" t="str">
        <f aca="false">""</f>
        <v/>
      </c>
    </row>
    <row r="176" customFormat="false" ht="12.8" hidden="false" customHeight="false" outlineLevel="0" collapsed="false">
      <c r="A176" s="4" t="n">
        <v>206</v>
      </c>
      <c r="B176" s="5" t="str">
        <f aca="false">"PAPAIZ"</f>
        <v>PAPAIZ</v>
      </c>
      <c r="C176" s="6" t="n">
        <v>954411</v>
      </c>
      <c r="D176" s="7" t="n">
        <v>45768</v>
      </c>
      <c r="E176" s="7" t="n">
        <v>45743</v>
      </c>
      <c r="F176" s="7"/>
      <c r="G176" s="7"/>
      <c r="H176" s="7"/>
      <c r="I176" s="5" t="str">
        <f aca="false">""</f>
        <v/>
      </c>
      <c r="J176" s="5" t="str">
        <f aca="false">"SPDPPZ031793"</f>
        <v>SPDPPZ031793</v>
      </c>
      <c r="K176" s="5" t="str">
        <f aca="false">"COELINHO"</f>
        <v>COELINHO</v>
      </c>
      <c r="L176" s="5" t="str">
        <f aca="false">"MATERIAL DE CONSTRUCAO"</f>
        <v>MATERIAL DE CONSTRUCAO</v>
      </c>
      <c r="M176" s="5" t="str">
        <f aca="false">"PA"</f>
        <v>PA</v>
      </c>
      <c r="N176" s="9" t="n">
        <v>0</v>
      </c>
      <c r="O176" s="10" t="n">
        <v>3576.61</v>
      </c>
      <c r="P176" s="10" t="n">
        <v>2393.74</v>
      </c>
      <c r="Q176" s="10" t="n">
        <v>0</v>
      </c>
      <c r="R176" s="10" t="n">
        <v>37.4</v>
      </c>
      <c r="S176" s="5" t="str">
        <f aca="false">"Embarque"</f>
        <v>Embarque</v>
      </c>
      <c r="T176" s="5" t="str">
        <f aca="false">"Mirus"</f>
        <v>Mirus</v>
      </c>
      <c r="U176" s="11" t="n">
        <v>25</v>
      </c>
      <c r="V176" s="5" t="str">
        <f aca="false">""</f>
        <v/>
      </c>
    </row>
    <row r="177" customFormat="false" ht="12.8" hidden="false" customHeight="false" outlineLevel="0" collapsed="false">
      <c r="A177" s="4" t="n">
        <v>206</v>
      </c>
      <c r="B177" s="5" t="str">
        <f aca="false">"PAPAIZ"</f>
        <v>PAPAIZ</v>
      </c>
      <c r="C177" s="6" t="n">
        <v>955554</v>
      </c>
      <c r="D177" s="7" t="n">
        <v>45768</v>
      </c>
      <c r="E177" s="7" t="n">
        <v>45745</v>
      </c>
      <c r="F177" s="7"/>
      <c r="G177" s="7"/>
      <c r="H177" s="7"/>
      <c r="I177" s="5" t="str">
        <f aca="false">""</f>
        <v/>
      </c>
      <c r="J177" s="5" t="str">
        <f aca="false">"SPDPPZ031195"</f>
        <v>SPDPPZ031195</v>
      </c>
      <c r="K177" s="5" t="str">
        <f aca="false">"C. N. DE A."</f>
        <v>C. N. DE A.</v>
      </c>
      <c r="L177" s="5" t="str">
        <f aca="false">"MATERIAL DE CONSTRUCAO"</f>
        <v>MATERIAL DE CONSTRUCAO</v>
      </c>
      <c r="M177" s="5" t="str">
        <f aca="false">"PI"</f>
        <v>PI</v>
      </c>
      <c r="N177" s="9" t="n">
        <v>837</v>
      </c>
      <c r="O177" s="10" t="n">
        <v>1005</v>
      </c>
      <c r="P177" s="10" t="n">
        <v>841.69</v>
      </c>
      <c r="Q177" s="10" t="n">
        <v>0</v>
      </c>
      <c r="R177" s="10" t="n">
        <v>8.2</v>
      </c>
      <c r="S177" s="5" t="str">
        <f aca="false">"Embarque"</f>
        <v>Embarque</v>
      </c>
      <c r="T177" s="5" t="str">
        <f aca="false">"B SANTOS"</f>
        <v>B SANTOS</v>
      </c>
      <c r="U177" s="11" t="n">
        <v>25</v>
      </c>
      <c r="V177" s="5" t="str">
        <f aca="false">""</f>
        <v/>
      </c>
    </row>
    <row r="178" customFormat="false" ht="12.8" hidden="false" customHeight="false" outlineLevel="0" collapsed="false">
      <c r="A178" s="4" t="n">
        <v>206</v>
      </c>
      <c r="B178" s="5" t="str">
        <f aca="false">"PAPAIZ"</f>
        <v>PAPAIZ</v>
      </c>
      <c r="C178" s="6" t="n">
        <v>956542</v>
      </c>
      <c r="D178" s="7" t="n">
        <v>45768</v>
      </c>
      <c r="E178" s="7" t="n">
        <v>45750</v>
      </c>
      <c r="F178" s="7"/>
      <c r="G178" s="7"/>
      <c r="H178" s="7"/>
      <c r="I178" s="5" t="str">
        <f aca="false">""</f>
        <v/>
      </c>
      <c r="J178" s="5" t="str">
        <f aca="false">"SPDPPZ031208"</f>
        <v>SPDPPZ031208</v>
      </c>
      <c r="K178" s="5" t="str">
        <f aca="false">"GENNARO"</f>
        <v>GENNARO</v>
      </c>
      <c r="L178" s="5" t="str">
        <f aca="false">"FERRAGISTA"</f>
        <v>FERRAGISTA</v>
      </c>
      <c r="M178" s="5" t="str">
        <f aca="false">"SP"</f>
        <v>SP</v>
      </c>
      <c r="N178" s="9" t="n">
        <v>0</v>
      </c>
      <c r="O178" s="10" t="n">
        <v>406.32</v>
      </c>
      <c r="P178" s="10" t="n">
        <v>295.6</v>
      </c>
      <c r="Q178" s="10" t="n">
        <v>0</v>
      </c>
      <c r="R178" s="10" t="n">
        <v>2.07</v>
      </c>
      <c r="S178" s="5" t="str">
        <f aca="false">"Embarque"</f>
        <v>Embarque</v>
      </c>
      <c r="T178" s="5" t="str">
        <f aca="false">"HANDRES NEW"</f>
        <v>HANDRES NEW</v>
      </c>
      <c r="U178" s="11" t="n">
        <v>25</v>
      </c>
      <c r="V178" s="5" t="str">
        <f aca="false">""</f>
        <v/>
      </c>
    </row>
    <row r="179" customFormat="false" ht="12.8" hidden="false" customHeight="false" outlineLevel="0" collapsed="false">
      <c r="A179" s="4" t="n">
        <v>206</v>
      </c>
      <c r="B179" s="5" t="str">
        <f aca="false">"PAPAIZ"</f>
        <v>PAPAIZ</v>
      </c>
      <c r="C179" s="6" t="n">
        <v>955545</v>
      </c>
      <c r="D179" s="7" t="n">
        <v>45768</v>
      </c>
      <c r="E179" s="7" t="n">
        <v>45745</v>
      </c>
      <c r="F179" s="7"/>
      <c r="G179" s="7"/>
      <c r="H179" s="7"/>
      <c r="I179" s="5" t="str">
        <f aca="false">""</f>
        <v/>
      </c>
      <c r="J179" s="12" t="n">
        <v>36515</v>
      </c>
      <c r="K179" s="5" t="str">
        <f aca="false">"GUIDUGLI"</f>
        <v>GUIDUGLI</v>
      </c>
      <c r="L179" s="5" t="str">
        <f aca="false">"MATERIAL DE CONSTRUCAO"</f>
        <v>MATERIAL DE CONSTRUCAO</v>
      </c>
      <c r="M179" s="5" t="str">
        <f aca="false">"SP"</f>
        <v>SP</v>
      </c>
      <c r="N179" s="9" t="n">
        <v>0</v>
      </c>
      <c r="O179" s="10" t="n">
        <v>219.9</v>
      </c>
      <c r="P179" s="10" t="n">
        <v>159.98</v>
      </c>
      <c r="Q179" s="10" t="n">
        <v>0</v>
      </c>
      <c r="R179" s="10" t="n">
        <v>1.64</v>
      </c>
      <c r="S179" s="5" t="str">
        <f aca="false">"Embarque"</f>
        <v>Embarque</v>
      </c>
      <c r="T179" s="5" t="str">
        <f aca="false">"REAL PRICE"</f>
        <v>REAL PRICE</v>
      </c>
      <c r="U179" s="11" t="n">
        <v>25</v>
      </c>
      <c r="V179" s="5" t="str">
        <f aca="false">""</f>
        <v/>
      </c>
    </row>
    <row r="180" customFormat="false" ht="12.8" hidden="false" customHeight="false" outlineLevel="0" collapsed="false">
      <c r="A180" s="4" t="n">
        <v>206</v>
      </c>
      <c r="B180" s="5" t="str">
        <f aca="false">"PAPAIZ"</f>
        <v>PAPAIZ</v>
      </c>
      <c r="C180" s="6" t="n">
        <v>955605</v>
      </c>
      <c r="D180" s="7" t="n">
        <v>45768</v>
      </c>
      <c r="E180" s="7" t="n">
        <v>45746</v>
      </c>
      <c r="F180" s="7"/>
      <c r="G180" s="7"/>
      <c r="H180" s="7"/>
      <c r="I180" s="5" t="str">
        <f aca="false">""</f>
        <v/>
      </c>
      <c r="J180" s="5" t="str">
        <f aca="false">"SPDPPZ032012"</f>
        <v>SPDPPZ032012</v>
      </c>
      <c r="K180" s="5" t="str">
        <f aca="false">"GOF NEGREI"</f>
        <v>GOF NEGREI</v>
      </c>
      <c r="L180" s="5" t="str">
        <f aca="false">"MATERIAL DE CONSTRUCAO"</f>
        <v>MATERIAL DE CONSTRUCAO</v>
      </c>
      <c r="M180" s="5" t="str">
        <f aca="false">"SP"</f>
        <v>SP</v>
      </c>
      <c r="N180" s="9" t="n">
        <v>1832</v>
      </c>
      <c r="O180" s="10" t="n">
        <v>659.7</v>
      </c>
      <c r="P180" s="10" t="n">
        <v>479.93</v>
      </c>
      <c r="Q180" s="10" t="n">
        <v>0</v>
      </c>
      <c r="R180" s="10" t="n">
        <v>4.92</v>
      </c>
      <c r="S180" s="5" t="str">
        <f aca="false">"Embarque"</f>
        <v>Embarque</v>
      </c>
      <c r="T180" s="5" t="str">
        <f aca="false">"HANDRES NEW"</f>
        <v>HANDRES NEW</v>
      </c>
      <c r="U180" s="11" t="n">
        <v>25</v>
      </c>
      <c r="V180" s="5" t="str">
        <f aca="false">""</f>
        <v/>
      </c>
    </row>
    <row r="181" customFormat="false" ht="12.8" hidden="false" customHeight="false" outlineLevel="0" collapsed="false">
      <c r="A181" s="4" t="n">
        <v>206</v>
      </c>
      <c r="B181" s="5" t="str">
        <f aca="false">"PAPAIZ"</f>
        <v>PAPAIZ</v>
      </c>
      <c r="C181" s="6" t="n">
        <v>956551</v>
      </c>
      <c r="D181" s="7" t="n">
        <v>45769</v>
      </c>
      <c r="E181" s="7" t="n">
        <v>45750</v>
      </c>
      <c r="F181" s="7"/>
      <c r="G181" s="7"/>
      <c r="H181" s="7"/>
      <c r="I181" s="5" t="str">
        <f aca="false">""</f>
        <v/>
      </c>
      <c r="J181" s="5" t="str">
        <f aca="false">"BPPZ34975"</f>
        <v>BPPZ34975</v>
      </c>
      <c r="K181" s="5" t="str">
        <f aca="false">"MARIA AP MAN"</f>
        <v>MARIA AP MAN</v>
      </c>
      <c r="L181" s="5" t="str">
        <f aca="false">"WEBSHOP"</f>
        <v>WEBSHOP</v>
      </c>
      <c r="M181" s="5" t="str">
        <f aca="false">"PA"</f>
        <v>PA</v>
      </c>
      <c r="N181" s="9" t="n">
        <v>102.12</v>
      </c>
      <c r="O181" s="10" t="n">
        <v>108.76</v>
      </c>
      <c r="P181" s="10" t="n">
        <v>74.29</v>
      </c>
      <c r="Q181" s="10" t="n">
        <v>0</v>
      </c>
      <c r="R181" s="10" t="n">
        <v>0.82</v>
      </c>
      <c r="S181" s="5" t="str">
        <f aca="false">"Embarque"</f>
        <v>Embarque</v>
      </c>
      <c r="T181" s="5" t="str">
        <f aca="false">"WEBSHOPPPZ"</f>
        <v>WEBSHOPPPZ</v>
      </c>
      <c r="U181" s="11" t="n">
        <v>1</v>
      </c>
      <c r="V181" s="5" t="str">
        <f aca="false">""</f>
        <v/>
      </c>
    </row>
    <row r="182" customFormat="false" ht="12.8" hidden="false" customHeight="false" outlineLevel="0" collapsed="false">
      <c r="A182" s="4" t="n">
        <v>206</v>
      </c>
      <c r="B182" s="5" t="str">
        <f aca="false">"PAPAIZ"</f>
        <v>PAPAIZ</v>
      </c>
      <c r="C182" s="6" t="n">
        <v>956721</v>
      </c>
      <c r="D182" s="7" t="n">
        <v>45769</v>
      </c>
      <c r="E182" s="7" t="n">
        <v>45751</v>
      </c>
      <c r="F182" s="7"/>
      <c r="G182" s="7"/>
      <c r="H182" s="7"/>
      <c r="I182" s="5" t="str">
        <f aca="false">""</f>
        <v/>
      </c>
      <c r="J182" s="5" t="str">
        <f aca="false">"SPDPPZ030604"</f>
        <v>SPDPPZ030604</v>
      </c>
      <c r="K182" s="5" t="str">
        <f aca="false">"CONS DATERRA"</f>
        <v>CONS DATERRA</v>
      </c>
      <c r="L182" s="5" t="str">
        <f aca="false">"CONSTRUTORA"</f>
        <v>CONSTRUTORA</v>
      </c>
      <c r="M182" s="5" t="str">
        <f aca="false">"PB"</f>
        <v>PB</v>
      </c>
      <c r="N182" s="9" t="n">
        <v>2682.7</v>
      </c>
      <c r="O182" s="10" t="n">
        <v>606.3</v>
      </c>
      <c r="P182" s="10" t="n">
        <v>441.08</v>
      </c>
      <c r="Q182" s="10" t="n">
        <v>0</v>
      </c>
      <c r="R182" s="10" t="n">
        <v>0</v>
      </c>
      <c r="S182" s="5" t="str">
        <f aca="false">"Embarque"</f>
        <v>Embarque</v>
      </c>
      <c r="T182" s="5" t="str">
        <f aca="false">"SESB REP"</f>
        <v>SESB REP</v>
      </c>
      <c r="U182" s="11" t="n">
        <v>25</v>
      </c>
      <c r="V182" s="5" t="str">
        <f aca="false">""</f>
        <v/>
      </c>
    </row>
    <row r="183" customFormat="false" ht="12.8" hidden="false" customHeight="false" outlineLevel="0" collapsed="false">
      <c r="A183" s="4" t="n">
        <v>206</v>
      </c>
      <c r="B183" s="5" t="str">
        <f aca="false">"PAPAIZ"</f>
        <v>PAPAIZ</v>
      </c>
      <c r="C183" s="6" t="n">
        <v>951930</v>
      </c>
      <c r="D183" s="7" t="n">
        <v>45769</v>
      </c>
      <c r="E183" s="7" t="n">
        <v>45735</v>
      </c>
      <c r="F183" s="7"/>
      <c r="G183" s="7"/>
      <c r="H183" s="7"/>
      <c r="I183" s="5" t="str">
        <f aca="false">""</f>
        <v/>
      </c>
      <c r="J183" s="5" t="str">
        <f aca="false">"SPDPPZ030741"</f>
        <v>SPDPPZ030741</v>
      </c>
      <c r="K183" s="5" t="str">
        <f aca="false">"RIBEIRO &amp;"</f>
        <v>RIBEIRO &amp;</v>
      </c>
      <c r="L183" s="5" t="str">
        <f aca="false">"MATERIAL DE CONSTRUCAO"</f>
        <v>MATERIAL DE CONSTRUCAO</v>
      </c>
      <c r="M183" s="5" t="str">
        <f aca="false">"SP"</f>
        <v>SP</v>
      </c>
      <c r="N183" s="9" t="n">
        <v>296.58</v>
      </c>
      <c r="O183" s="10" t="n">
        <v>695.5</v>
      </c>
      <c r="P183" s="10" t="n">
        <v>505.98</v>
      </c>
      <c r="Q183" s="10" t="n">
        <v>0</v>
      </c>
      <c r="R183" s="10" t="n">
        <v>3.18</v>
      </c>
      <c r="S183" s="5" t="str">
        <f aca="false">"Embarque"</f>
        <v>Embarque</v>
      </c>
      <c r="T183" s="5" t="str">
        <f aca="false">"NBPIRES"</f>
        <v>NBPIRES</v>
      </c>
      <c r="U183" s="11" t="n">
        <v>25</v>
      </c>
      <c r="V183" s="5" t="str">
        <f aca="false">""</f>
        <v/>
      </c>
    </row>
    <row r="184" customFormat="false" ht="12.8" hidden="false" customHeight="false" outlineLevel="0" collapsed="false">
      <c r="A184" s="4" t="n">
        <v>206</v>
      </c>
      <c r="B184" s="5" t="str">
        <f aca="false">"PAPAIZ"</f>
        <v>PAPAIZ</v>
      </c>
      <c r="C184" s="6" t="n">
        <v>956524</v>
      </c>
      <c r="D184" s="7" t="n">
        <v>45769</v>
      </c>
      <c r="E184" s="7" t="n">
        <v>45750</v>
      </c>
      <c r="F184" s="7"/>
      <c r="G184" s="7"/>
      <c r="H184" s="7"/>
      <c r="I184" s="5" t="str">
        <f aca="false">""</f>
        <v/>
      </c>
      <c r="J184" s="5" t="str">
        <f aca="false">"SPDPPZ030798"</f>
        <v>SPDPPZ030798</v>
      </c>
      <c r="K184" s="5" t="str">
        <f aca="false">"ALG"</f>
        <v>ALG</v>
      </c>
      <c r="L184" s="5" t="str">
        <f aca="false">"CONSTRUTORA"</f>
        <v>CONSTRUTORA</v>
      </c>
      <c r="M184" s="5" t="str">
        <f aca="false">"SC"</f>
        <v>SC</v>
      </c>
      <c r="N184" s="9" t="n">
        <v>0</v>
      </c>
      <c r="O184" s="10" t="n">
        <v>713.5</v>
      </c>
      <c r="P184" s="10" t="n">
        <v>519.07</v>
      </c>
      <c r="Q184" s="10" t="n">
        <v>0</v>
      </c>
      <c r="R184" s="10" t="n">
        <v>3.91</v>
      </c>
      <c r="S184" s="5" t="str">
        <f aca="false">"Embarque"</f>
        <v>Embarque</v>
      </c>
      <c r="T184" s="5" t="str">
        <f aca="false">"CAMPIONE"</f>
        <v>CAMPIONE</v>
      </c>
      <c r="U184" s="11" t="n">
        <v>25</v>
      </c>
      <c r="V184" s="5" t="str">
        <f aca="false">""</f>
        <v/>
      </c>
    </row>
    <row r="185" customFormat="false" ht="12.8" hidden="false" customHeight="false" outlineLevel="0" collapsed="false">
      <c r="A185" s="4" t="n">
        <v>206</v>
      </c>
      <c r="B185" s="5" t="str">
        <f aca="false">"PAPAIZ"</f>
        <v>PAPAIZ</v>
      </c>
      <c r="C185" s="6" t="n">
        <v>956304</v>
      </c>
      <c r="D185" s="7" t="n">
        <v>45770</v>
      </c>
      <c r="E185" s="7" t="n">
        <v>45749</v>
      </c>
      <c r="F185" s="7"/>
      <c r="G185" s="7"/>
      <c r="H185" s="7"/>
      <c r="I185" s="5" t="str">
        <f aca="false">""</f>
        <v/>
      </c>
      <c r="J185" s="5" t="str">
        <f aca="false">"SPDPPZ032077"</f>
        <v>SPDPPZ032077</v>
      </c>
      <c r="K185" s="5" t="str">
        <f aca="false">"F. &amp; L. MUN"</f>
        <v>F. &amp; L. MUN</v>
      </c>
      <c r="L185" s="5" t="str">
        <f aca="false">"NOVOS CANAIS"</f>
        <v>NOVOS CANAIS</v>
      </c>
      <c r="M185" s="5" t="str">
        <f aca="false">"SP"</f>
        <v>SP</v>
      </c>
      <c r="N185" s="9" t="n">
        <v>183.1</v>
      </c>
      <c r="O185" s="10" t="n">
        <v>659.7</v>
      </c>
      <c r="P185" s="10" t="n">
        <v>479.93</v>
      </c>
      <c r="Q185" s="10" t="n">
        <v>0</v>
      </c>
      <c r="R185" s="10" t="n">
        <v>4.92</v>
      </c>
      <c r="S185" s="5" t="str">
        <f aca="false">"Embarque"</f>
        <v>Embarque</v>
      </c>
      <c r="T185" s="5" t="str">
        <f aca="false">"C RUIVO"</f>
        <v>C RUIVO</v>
      </c>
      <c r="U185" s="11" t="n">
        <v>25</v>
      </c>
      <c r="V185" s="5" t="str">
        <f aca="false">""</f>
        <v/>
      </c>
    </row>
    <row r="186" customFormat="false" ht="12.8" hidden="false" customHeight="false" outlineLevel="0" collapsed="false">
      <c r="A186" s="4" t="n">
        <v>206</v>
      </c>
      <c r="B186" s="5" t="str">
        <f aca="false">"PAPAIZ"</f>
        <v>PAPAIZ</v>
      </c>
      <c r="C186" s="6" t="n">
        <v>956324</v>
      </c>
      <c r="D186" s="7" t="n">
        <v>45770</v>
      </c>
      <c r="E186" s="7" t="n">
        <v>45749</v>
      </c>
      <c r="F186" s="7"/>
      <c r="G186" s="7"/>
      <c r="H186" s="7"/>
      <c r="I186" s="5" t="str">
        <f aca="false">""</f>
        <v/>
      </c>
      <c r="J186" s="5" t="str">
        <f aca="false">"SPDPPZ032143"</f>
        <v>SPDPPZ032143</v>
      </c>
      <c r="K186" s="5" t="str">
        <f aca="false">"STA. EDWIGES"</f>
        <v>STA. EDWIGES</v>
      </c>
      <c r="L186" s="5" t="str">
        <f aca="false">"FERRAGISTA"</f>
        <v>FERRAGISTA</v>
      </c>
      <c r="M186" s="5" t="str">
        <f aca="false">"PA"</f>
        <v>PA</v>
      </c>
      <c r="N186" s="9" t="n">
        <v>807.5</v>
      </c>
      <c r="O186" s="10" t="n">
        <v>969.5</v>
      </c>
      <c r="P186" s="10" t="n">
        <v>811.96</v>
      </c>
      <c r="Q186" s="10" t="n">
        <v>0</v>
      </c>
      <c r="R186" s="10" t="n">
        <v>8.2</v>
      </c>
      <c r="S186" s="5" t="str">
        <f aca="false">"Embarque"</f>
        <v>Embarque</v>
      </c>
      <c r="T186" s="5" t="str">
        <f aca="false">"ROCHA REPRE"</f>
        <v>ROCHA REPRE</v>
      </c>
      <c r="U186" s="11" t="n">
        <v>25</v>
      </c>
      <c r="V186" s="5" t="str">
        <f aca="false">""</f>
        <v/>
      </c>
    </row>
    <row r="187" customFormat="false" ht="12.8" hidden="false" customHeight="false" outlineLevel="0" collapsed="false">
      <c r="A187" s="4" t="n">
        <v>206</v>
      </c>
      <c r="B187" s="5" t="str">
        <f aca="false">"PAPAIZ"</f>
        <v>PAPAIZ</v>
      </c>
      <c r="C187" s="6" t="n">
        <v>956418</v>
      </c>
      <c r="D187" s="7" t="n">
        <v>45770</v>
      </c>
      <c r="E187" s="7" t="n">
        <v>45750</v>
      </c>
      <c r="F187" s="7"/>
      <c r="G187" s="7"/>
      <c r="H187" s="7"/>
      <c r="I187" s="5" t="str">
        <f aca="false">""</f>
        <v/>
      </c>
      <c r="J187" s="5" t="str">
        <f aca="false">"SPDPPZ032125"</f>
        <v>SPDPPZ032125</v>
      </c>
      <c r="K187" s="5" t="str">
        <f aca="false">"LORES COMERC"</f>
        <v>LORES COMERC</v>
      </c>
      <c r="L187" s="5" t="str">
        <f aca="false">"FERRAGISTA"</f>
        <v>FERRAGISTA</v>
      </c>
      <c r="M187" s="5" t="str">
        <f aca="false">"SP"</f>
        <v>SP</v>
      </c>
      <c r="N187" s="9" t="n">
        <v>0</v>
      </c>
      <c r="O187" s="10" t="n">
        <v>219.9</v>
      </c>
      <c r="P187" s="10" t="n">
        <v>159.98</v>
      </c>
      <c r="Q187" s="10" t="n">
        <v>0</v>
      </c>
      <c r="R187" s="10" t="n">
        <v>1.64</v>
      </c>
      <c r="S187" s="5" t="str">
        <f aca="false">"Embarque"</f>
        <v>Embarque</v>
      </c>
      <c r="T187" s="5" t="str">
        <f aca="false">"C RUIVO"</f>
        <v>C RUIVO</v>
      </c>
      <c r="U187" s="11" t="n">
        <v>25</v>
      </c>
      <c r="V187" s="5" t="str">
        <f aca="false">""</f>
        <v/>
      </c>
    </row>
    <row r="188" customFormat="false" ht="12.8" hidden="false" customHeight="false" outlineLevel="0" collapsed="false">
      <c r="A188" s="4" t="n">
        <v>206</v>
      </c>
      <c r="B188" s="5" t="str">
        <f aca="false">"PAPAIZ"</f>
        <v>PAPAIZ</v>
      </c>
      <c r="C188" s="6" t="n">
        <v>956650</v>
      </c>
      <c r="D188" s="7" t="n">
        <v>45770</v>
      </c>
      <c r="E188" s="7" t="n">
        <v>45750</v>
      </c>
      <c r="F188" s="7"/>
      <c r="G188" s="7"/>
      <c r="H188" s="7"/>
      <c r="I188" s="5" t="str">
        <f aca="false">""</f>
        <v/>
      </c>
      <c r="J188" s="5" t="str">
        <f aca="false">"SPDPPZ032044"</f>
        <v>SPDPPZ032044</v>
      </c>
      <c r="K188" s="5" t="str">
        <f aca="false">"RODRIGO GIM"</f>
        <v>RODRIGO GIM</v>
      </c>
      <c r="L188" s="5" t="str">
        <f aca="false">"CLIENTE FINAL"</f>
        <v>CLIENTE FINAL</v>
      </c>
      <c r="M188" s="5" t="str">
        <f aca="false">"SP"</f>
        <v>SP</v>
      </c>
      <c r="N188" s="9" t="n">
        <v>0</v>
      </c>
      <c r="O188" s="10" t="n">
        <v>31.26</v>
      </c>
      <c r="P188" s="10" t="n">
        <v>25.63</v>
      </c>
      <c r="Q188" s="10" t="n">
        <v>0</v>
      </c>
      <c r="R188" s="10" t="n">
        <v>0.27</v>
      </c>
      <c r="S188" s="5" t="str">
        <f aca="false">"Embarque"</f>
        <v>Embarque</v>
      </c>
      <c r="T188" s="5" t="str">
        <f aca="false">"Padrao"</f>
        <v>Padrao</v>
      </c>
      <c r="U188" s="11" t="n">
        <v>25</v>
      </c>
      <c r="V188" s="5" t="str">
        <f aca="false">""</f>
        <v/>
      </c>
    </row>
    <row r="189" customFormat="false" ht="12.8" hidden="false" customHeight="false" outlineLevel="0" collapsed="false">
      <c r="A189" s="4" t="n">
        <v>206</v>
      </c>
      <c r="B189" s="5" t="str">
        <f aca="false">"PAPAIZ"</f>
        <v>PAPAIZ</v>
      </c>
      <c r="C189" s="6" t="n">
        <v>954928</v>
      </c>
      <c r="D189" s="7" t="n">
        <v>45770</v>
      </c>
      <c r="E189" s="7" t="n">
        <v>45744</v>
      </c>
      <c r="F189" s="7"/>
      <c r="G189" s="7"/>
      <c r="H189" s="7"/>
      <c r="I189" s="5" t="str">
        <f aca="false">""</f>
        <v/>
      </c>
      <c r="J189" s="5" t="str">
        <f aca="false">"SPDPPZ031552"</f>
        <v>SPDPPZ031552</v>
      </c>
      <c r="K189" s="5" t="str">
        <f aca="false">"DELTA SALT"</f>
        <v>DELTA SALT</v>
      </c>
      <c r="L189" s="5" t="str">
        <f aca="false">"MATERIAL DE CONSTRUCAO"</f>
        <v>MATERIAL DE CONSTRUCAO</v>
      </c>
      <c r="M189" s="5" t="str">
        <f aca="false">"ES"</f>
        <v>ES</v>
      </c>
      <c r="N189" s="9" t="n">
        <v>0</v>
      </c>
      <c r="O189" s="10" t="n">
        <v>581.7</v>
      </c>
      <c r="P189" s="10" t="n">
        <v>487.17</v>
      </c>
      <c r="Q189" s="10" t="n">
        <v>0</v>
      </c>
      <c r="R189" s="10" t="n">
        <v>4.92</v>
      </c>
      <c r="S189" s="5" t="str">
        <f aca="false">"Embarque"</f>
        <v>Embarque</v>
      </c>
      <c r="T189" s="5" t="str">
        <f aca="false">"J FIRMINO"</f>
        <v>J FIRMINO</v>
      </c>
      <c r="U189" s="11" t="n">
        <v>25</v>
      </c>
      <c r="V189" s="5" t="str">
        <f aca="false">""</f>
        <v/>
      </c>
    </row>
    <row r="190" customFormat="false" ht="12.8" hidden="false" customHeight="false" outlineLevel="0" collapsed="false">
      <c r="A190" s="4" t="n">
        <v>206</v>
      </c>
      <c r="B190" s="5" t="str">
        <f aca="false">"PAPAIZ"</f>
        <v>PAPAIZ</v>
      </c>
      <c r="C190" s="6" t="n">
        <v>956023</v>
      </c>
      <c r="D190" s="7" t="n">
        <v>45770</v>
      </c>
      <c r="E190" s="7" t="n">
        <v>45748</v>
      </c>
      <c r="F190" s="7"/>
      <c r="G190" s="7"/>
      <c r="H190" s="7"/>
      <c r="I190" s="5" t="str">
        <f aca="false">""</f>
        <v/>
      </c>
      <c r="J190" s="5" t="str">
        <f aca="false">"SPDPPZ032083"</f>
        <v>SPDPPZ032083</v>
      </c>
      <c r="K190" s="5" t="str">
        <f aca="false">"COMER MARCI"</f>
        <v>COMER MARCI</v>
      </c>
      <c r="L190" s="5" t="str">
        <f aca="false">"MATERIAL DE CONSTRUCAO"</f>
        <v>MATERIAL DE CONSTRUCAO</v>
      </c>
      <c r="M190" s="5" t="str">
        <f aca="false">"ES"</f>
        <v>ES</v>
      </c>
      <c r="N190" s="9" t="n">
        <v>807.5</v>
      </c>
      <c r="O190" s="10" t="n">
        <v>581.7</v>
      </c>
      <c r="P190" s="10" t="n">
        <v>487.17</v>
      </c>
      <c r="Q190" s="10" t="n">
        <v>0</v>
      </c>
      <c r="R190" s="10" t="n">
        <v>4.92</v>
      </c>
      <c r="S190" s="5" t="str">
        <f aca="false">"Embarque"</f>
        <v>Embarque</v>
      </c>
      <c r="T190" s="5" t="str">
        <f aca="false">"J FIRMINO"</f>
        <v>J FIRMINO</v>
      </c>
      <c r="U190" s="11" t="n">
        <v>25</v>
      </c>
      <c r="V190" s="5" t="str">
        <f aca="false">""</f>
        <v/>
      </c>
    </row>
    <row r="191" customFormat="false" ht="12.8" hidden="false" customHeight="false" outlineLevel="0" collapsed="false">
      <c r="A191" s="4" t="n">
        <v>206</v>
      </c>
      <c r="B191" s="5" t="str">
        <f aca="false">"PAPAIZ"</f>
        <v>PAPAIZ</v>
      </c>
      <c r="C191" s="6" t="n">
        <v>954905</v>
      </c>
      <c r="D191" s="7" t="n">
        <v>45770</v>
      </c>
      <c r="E191" s="7" t="n">
        <v>45743</v>
      </c>
      <c r="F191" s="7"/>
      <c r="G191" s="7"/>
      <c r="H191" s="7"/>
      <c r="I191" s="5" t="str">
        <f aca="false">""</f>
        <v/>
      </c>
      <c r="J191" s="5" t="str">
        <f aca="false">"SAC34722PZ"</f>
        <v>SAC34722PZ</v>
      </c>
      <c r="K191" s="5" t="str">
        <f aca="false">"ALEXANDRA F"</f>
        <v>ALEXANDRA F</v>
      </c>
      <c r="L191" s="5" t="str">
        <f aca="false">"CLIENTE FINAL"</f>
        <v>CLIENTE FINAL</v>
      </c>
      <c r="M191" s="5" t="str">
        <f aca="false">"RJ"</f>
        <v>RJ</v>
      </c>
      <c r="N191" s="9" t="n">
        <v>0</v>
      </c>
      <c r="O191" s="10" t="n">
        <v>86.19</v>
      </c>
      <c r="P191" s="10" t="n">
        <v>70.68</v>
      </c>
      <c r="Q191" s="10" t="n">
        <v>0</v>
      </c>
      <c r="R191" s="10" t="n">
        <v>0.69</v>
      </c>
      <c r="S191" s="5" t="str">
        <f aca="false">"Embarque"</f>
        <v>Embarque</v>
      </c>
      <c r="T191" s="5" t="str">
        <f aca="false">"Padrao"</f>
        <v>Padrao</v>
      </c>
      <c r="U191" s="11" t="n">
        <v>25</v>
      </c>
      <c r="V191" s="5" t="str">
        <f aca="false">""</f>
        <v/>
      </c>
    </row>
    <row r="192" customFormat="false" ht="12.8" hidden="false" customHeight="false" outlineLevel="0" collapsed="false">
      <c r="A192" s="4" t="n">
        <v>206</v>
      </c>
      <c r="B192" s="5" t="str">
        <f aca="false">"PAPAIZ"</f>
        <v>PAPAIZ</v>
      </c>
      <c r="C192" s="6" t="n">
        <v>956246</v>
      </c>
      <c r="D192" s="7" t="n">
        <v>45770</v>
      </c>
      <c r="E192" s="7" t="n">
        <v>45749</v>
      </c>
      <c r="F192" s="7"/>
      <c r="G192" s="7"/>
      <c r="H192" s="7"/>
      <c r="I192" s="5" t="str">
        <f aca="false">""</f>
        <v/>
      </c>
      <c r="J192" s="5" t="str">
        <f aca="false">"SAC34975PZ"</f>
        <v>SAC34975PZ</v>
      </c>
      <c r="K192" s="5" t="str">
        <f aca="false">"NORTEL 12"</f>
        <v>NORTEL 12</v>
      </c>
      <c r="L192" s="5" t="str">
        <f aca="false">"FERRAGISTA"</f>
        <v>FERRAGISTA</v>
      </c>
      <c r="M192" s="5" t="str">
        <f aca="false">"GO"</f>
        <v>GO</v>
      </c>
      <c r="N192" s="9" t="n">
        <v>0</v>
      </c>
      <c r="O192" s="10" t="n">
        <v>1400</v>
      </c>
      <c r="P192" s="10" t="n">
        <v>1302</v>
      </c>
      <c r="Q192" s="10" t="n">
        <v>0</v>
      </c>
      <c r="R192" s="10" t="n">
        <v>16.4</v>
      </c>
      <c r="S192" s="5" t="str">
        <f aca="false">"Embarque"</f>
        <v>Embarque</v>
      </c>
      <c r="T192" s="5" t="str">
        <f aca="false">"Luiz Carlos"</f>
        <v>Luiz Carlos</v>
      </c>
      <c r="U192" s="11" t="n">
        <v>25</v>
      </c>
      <c r="V192" s="5" t="str">
        <f aca="false">""</f>
        <v/>
      </c>
    </row>
    <row r="193" customFormat="false" ht="12.8" hidden="false" customHeight="false" outlineLevel="0" collapsed="false">
      <c r="A193" s="4" t="n">
        <v>206</v>
      </c>
      <c r="B193" s="5" t="str">
        <f aca="false">"PAPAIZ"</f>
        <v>PAPAIZ</v>
      </c>
      <c r="C193" s="6" t="n">
        <v>956302</v>
      </c>
      <c r="D193" s="7" t="n">
        <v>45770</v>
      </c>
      <c r="E193" s="7" t="n">
        <v>45749</v>
      </c>
      <c r="F193" s="7"/>
      <c r="G193" s="7"/>
      <c r="H193" s="7"/>
      <c r="I193" s="5" t="str">
        <f aca="false">""</f>
        <v/>
      </c>
      <c r="J193" s="5" t="str">
        <f aca="false">"SPDPPZ032087"</f>
        <v>SPDPPZ032087</v>
      </c>
      <c r="K193" s="5" t="str">
        <f aca="false">"DISMAGUA"</f>
        <v>DISMAGUA</v>
      </c>
      <c r="L193" s="5" t="str">
        <f aca="false">"MATERIAL DE CONSTRUCAO"</f>
        <v>MATERIAL DE CONSTRUCAO</v>
      </c>
      <c r="M193" s="5" t="str">
        <f aca="false">"ES"</f>
        <v>ES</v>
      </c>
      <c r="N193" s="9" t="n">
        <v>323</v>
      </c>
      <c r="O193" s="10" t="n">
        <v>387.8</v>
      </c>
      <c r="P193" s="10" t="n">
        <v>324.78</v>
      </c>
      <c r="Q193" s="10" t="n">
        <v>0</v>
      </c>
      <c r="R193" s="10" t="n">
        <v>3.28</v>
      </c>
      <c r="S193" s="5" t="str">
        <f aca="false">"Embarque"</f>
        <v>Embarque</v>
      </c>
      <c r="T193" s="5" t="str">
        <f aca="false">"JC CASAGRAND"</f>
        <v>JC CASAGRAND</v>
      </c>
      <c r="U193" s="11" t="n">
        <v>25</v>
      </c>
      <c r="V193" s="5" t="str">
        <f aca="false">""</f>
        <v/>
      </c>
    </row>
    <row r="194" customFormat="false" ht="12.8" hidden="false" customHeight="false" outlineLevel="0" collapsed="false">
      <c r="A194" s="4" t="n">
        <v>206</v>
      </c>
      <c r="B194" s="5" t="str">
        <f aca="false">"PAPAIZ"</f>
        <v>PAPAIZ</v>
      </c>
      <c r="C194" s="6" t="n">
        <v>956530</v>
      </c>
      <c r="D194" s="7" t="n">
        <v>45770</v>
      </c>
      <c r="E194" s="7" t="n">
        <v>45750</v>
      </c>
      <c r="F194" s="7"/>
      <c r="G194" s="7"/>
      <c r="H194" s="7"/>
      <c r="I194" s="5" t="str">
        <f aca="false">""</f>
        <v/>
      </c>
      <c r="J194" s="15" t="n">
        <v>6049</v>
      </c>
      <c r="K194" s="5" t="str">
        <f aca="false">"C MARQUES"</f>
        <v>C MARQUES</v>
      </c>
      <c r="L194" s="5" t="str">
        <f aca="false">"MATERIAL DE CONSTRUCAO"</f>
        <v>MATERIAL DE CONSTRUCAO</v>
      </c>
      <c r="M194" s="5" t="str">
        <f aca="false">"SP"</f>
        <v>SP</v>
      </c>
      <c r="N194" s="9" t="n">
        <v>0</v>
      </c>
      <c r="O194" s="10" t="n">
        <v>220</v>
      </c>
      <c r="P194" s="10" t="n">
        <v>160.05</v>
      </c>
      <c r="Q194" s="10" t="n">
        <v>0</v>
      </c>
      <c r="R194" s="10" t="n">
        <v>1.64</v>
      </c>
      <c r="S194" s="5" t="str">
        <f aca="false">"Embarque"</f>
        <v>Embarque</v>
      </c>
      <c r="T194" s="5" t="str">
        <f aca="false">"BRFOKUS"</f>
        <v>BRFOKUS</v>
      </c>
      <c r="U194" s="11" t="n">
        <v>25</v>
      </c>
      <c r="V194" s="5" t="str">
        <f aca="false">""</f>
        <v/>
      </c>
    </row>
    <row r="195" customFormat="false" ht="12.8" hidden="false" customHeight="false" outlineLevel="0" collapsed="false">
      <c r="A195" s="4" t="n">
        <v>206</v>
      </c>
      <c r="B195" s="5" t="str">
        <f aca="false">"PAPAIZ"</f>
        <v>PAPAIZ</v>
      </c>
      <c r="C195" s="6" t="n">
        <v>956438</v>
      </c>
      <c r="D195" s="7" t="n">
        <v>45770</v>
      </c>
      <c r="E195" s="7" t="n">
        <v>45750</v>
      </c>
      <c r="F195" s="7"/>
      <c r="G195" s="7"/>
      <c r="H195" s="7"/>
      <c r="I195" s="5" t="str">
        <f aca="false">""</f>
        <v/>
      </c>
      <c r="J195" s="5" t="str">
        <f aca="false">"TR050325"</f>
        <v>TR050325</v>
      </c>
      <c r="K195" s="5" t="str">
        <f aca="false">"AAB RCD GA16"</f>
        <v>AAB RCD GA16</v>
      </c>
      <c r="L195" s="5" t="str">
        <f aca="false">"INTERCOMPANY/BRZ"</f>
        <v>INTERCOMPANY/BRZ</v>
      </c>
      <c r="M195" s="5" t="str">
        <f aca="false">"SC"</f>
        <v>SC</v>
      </c>
      <c r="N195" s="9" t="n">
        <v>2638.51</v>
      </c>
      <c r="O195" s="10" t="n">
        <v>1171.41</v>
      </c>
      <c r="P195" s="10" t="n">
        <v>1030.84</v>
      </c>
      <c r="Q195" s="10" t="n">
        <v>0</v>
      </c>
      <c r="R195" s="10" t="n">
        <v>18.05</v>
      </c>
      <c r="S195" s="5" t="str">
        <f aca="false">"Embarque"</f>
        <v>Embarque</v>
      </c>
      <c r="T195" s="5" t="str">
        <f aca="false">"INTEGRAÇÃO"</f>
        <v>INTEGRAÇÃO</v>
      </c>
      <c r="U195" s="11" t="n">
        <v>7</v>
      </c>
      <c r="V195" s="5" t="str">
        <f aca="false">""</f>
        <v/>
      </c>
    </row>
    <row r="196" customFormat="false" ht="12.8" hidden="false" customHeight="false" outlineLevel="0" collapsed="false">
      <c r="A196" s="4" t="n">
        <v>206</v>
      </c>
      <c r="B196" s="5" t="str">
        <f aca="false">"PAPAIZ"</f>
        <v>PAPAIZ</v>
      </c>
      <c r="C196" s="6" t="n">
        <v>954967</v>
      </c>
      <c r="D196" s="7" t="n">
        <v>45771</v>
      </c>
      <c r="E196" s="7" t="n">
        <v>45744</v>
      </c>
      <c r="F196" s="7"/>
      <c r="G196" s="7"/>
      <c r="H196" s="7"/>
      <c r="I196" s="5" t="str">
        <f aca="false">""</f>
        <v/>
      </c>
      <c r="J196" s="5" t="str">
        <f aca="false">"SPDPPZ031624"</f>
        <v>SPDPPZ031624</v>
      </c>
      <c r="K196" s="5" t="str">
        <f aca="false">"PRIMIZ UTILI"</f>
        <v>PRIMIZ UTILI</v>
      </c>
      <c r="L196" s="5" t="str">
        <f aca="false">"FERRAGISTA"</f>
        <v>FERRAGISTA</v>
      </c>
      <c r="M196" s="5" t="str">
        <f aca="false">"BA"</f>
        <v>BA</v>
      </c>
      <c r="N196" s="9" t="n">
        <v>1405.12</v>
      </c>
      <c r="O196" s="10" t="n">
        <v>970</v>
      </c>
      <c r="P196" s="10" t="n">
        <v>812.38</v>
      </c>
      <c r="Q196" s="10" t="n">
        <v>0</v>
      </c>
      <c r="R196" s="10" t="n">
        <v>8.2</v>
      </c>
      <c r="S196" s="5" t="str">
        <f aca="false">"Embarque"</f>
        <v>Embarque</v>
      </c>
      <c r="T196" s="5" t="str">
        <f aca="false">"Borges"</f>
        <v>Borges</v>
      </c>
      <c r="U196" s="11" t="n">
        <v>25</v>
      </c>
      <c r="V196" s="5" t="str">
        <f aca="false">""</f>
        <v/>
      </c>
    </row>
    <row r="197" customFormat="false" ht="12.8" hidden="false" customHeight="false" outlineLevel="0" collapsed="false">
      <c r="A197" s="4" t="n">
        <v>206</v>
      </c>
      <c r="B197" s="5" t="str">
        <f aca="false">"Várias"</f>
        <v>Várias</v>
      </c>
      <c r="C197" s="6" t="n">
        <v>951243</v>
      </c>
      <c r="D197" s="7" t="n">
        <v>45771</v>
      </c>
      <c r="E197" s="7" t="n">
        <v>45733</v>
      </c>
      <c r="F197" s="7"/>
      <c r="G197" s="7"/>
      <c r="H197" s="7"/>
      <c r="I197" s="5" t="str">
        <f aca="false">""</f>
        <v/>
      </c>
      <c r="J197" s="5" t="str">
        <f aca="false">"PEDFULL020"</f>
        <v>PEDFULL020</v>
      </c>
      <c r="K197" s="5" t="str">
        <f aca="false">"MELI FULL"</f>
        <v>MELI FULL</v>
      </c>
      <c r="L197" s="5" t="str">
        <f aca="false">""</f>
        <v/>
      </c>
      <c r="M197" s="5" t="str">
        <f aca="false">"SP"</f>
        <v>SP</v>
      </c>
      <c r="N197" s="9" t="n">
        <v>0</v>
      </c>
      <c r="O197" s="10" t="n">
        <v>22453</v>
      </c>
      <c r="P197" s="10" t="n">
        <v>18411.46</v>
      </c>
      <c r="Q197" s="10" t="n">
        <v>0</v>
      </c>
      <c r="R197" s="10" t="n">
        <v>312.19</v>
      </c>
      <c r="S197" s="5" t="str">
        <f aca="false">"Embarque"</f>
        <v>Embarque</v>
      </c>
      <c r="T197" s="5" t="str">
        <f aca="false">"CA SP"</f>
        <v>CA SP</v>
      </c>
      <c r="U197" s="11" t="n">
        <v>1</v>
      </c>
      <c r="V197" s="5" t="str">
        <f aca="false">""</f>
        <v/>
      </c>
    </row>
    <row r="198" customFormat="false" ht="12.8" hidden="false" customHeight="false" outlineLevel="0" collapsed="false">
      <c r="A198" s="4" t="n">
        <v>206</v>
      </c>
      <c r="B198" s="5" t="str">
        <f aca="false">"PAPAIZ"</f>
        <v>PAPAIZ</v>
      </c>
      <c r="C198" s="6" t="n">
        <v>956307</v>
      </c>
      <c r="D198" s="7" t="n">
        <v>45771</v>
      </c>
      <c r="E198" s="7" t="n">
        <v>45749</v>
      </c>
      <c r="F198" s="7"/>
      <c r="G198" s="7"/>
      <c r="H198" s="7"/>
      <c r="I198" s="5" t="str">
        <f aca="false">""</f>
        <v/>
      </c>
      <c r="J198" s="14" t="n">
        <v>4500310045</v>
      </c>
      <c r="K198" s="5" t="str">
        <f aca="false">"GRAVIA IND"</f>
        <v>GRAVIA IND</v>
      </c>
      <c r="L198" s="5" t="str">
        <f aca="false">"OEM"</f>
        <v>OEM</v>
      </c>
      <c r="M198" s="5" t="str">
        <f aca="false">"DF"</f>
        <v>DF</v>
      </c>
      <c r="N198" s="9" t="n">
        <v>508.8</v>
      </c>
      <c r="O198" s="10" t="n">
        <v>538.8</v>
      </c>
      <c r="P198" s="10" t="n">
        <v>451.25</v>
      </c>
      <c r="Q198" s="10" t="n">
        <v>0</v>
      </c>
      <c r="R198" s="10" t="n">
        <v>4.92</v>
      </c>
      <c r="S198" s="5" t="str">
        <f aca="false">"Embarque"</f>
        <v>Embarque</v>
      </c>
      <c r="T198" s="5" t="str">
        <f aca="false">"KGS NEW"</f>
        <v>KGS NEW</v>
      </c>
      <c r="U198" s="11" t="n">
        <v>25</v>
      </c>
      <c r="V198" s="5" t="str">
        <f aca="false">""</f>
        <v/>
      </c>
    </row>
    <row r="199" customFormat="false" ht="12.8" hidden="false" customHeight="false" outlineLevel="0" collapsed="false">
      <c r="A199" s="4" t="n">
        <v>206</v>
      </c>
      <c r="B199" s="5" t="str">
        <f aca="false">"PAPAIZ"</f>
        <v>PAPAIZ</v>
      </c>
      <c r="C199" s="6" t="n">
        <v>956420</v>
      </c>
      <c r="D199" s="7" t="n">
        <v>45771</v>
      </c>
      <c r="E199" s="7" t="n">
        <v>45750</v>
      </c>
      <c r="F199" s="7"/>
      <c r="G199" s="7"/>
      <c r="H199" s="7"/>
      <c r="I199" s="5" t="str">
        <f aca="false">""</f>
        <v/>
      </c>
      <c r="J199" s="5" t="str">
        <f aca="false">"SPDPPZ030845"</f>
        <v>SPDPPZ030845</v>
      </c>
      <c r="K199" s="5" t="str">
        <f aca="false">"MEND. MATERI"</f>
        <v>MEND. MATERI</v>
      </c>
      <c r="L199" s="5" t="str">
        <f aca="false">"MATERIAL DE CONSTRUCAO"</f>
        <v>MATERIAL DE CONSTRUCAO</v>
      </c>
      <c r="M199" s="5" t="str">
        <f aca="false">"ES"</f>
        <v>ES</v>
      </c>
      <c r="N199" s="9" t="n">
        <v>0</v>
      </c>
      <c r="O199" s="10" t="n">
        <v>283.6</v>
      </c>
      <c r="P199" s="10" t="n">
        <v>237.52</v>
      </c>
      <c r="Q199" s="10" t="n">
        <v>0</v>
      </c>
      <c r="R199" s="10" t="n">
        <v>2.37</v>
      </c>
      <c r="S199" s="5" t="str">
        <f aca="false">"Embarque"</f>
        <v>Embarque</v>
      </c>
      <c r="T199" s="5" t="str">
        <f aca="false">"J FIRMINO"</f>
        <v>J FIRMINO</v>
      </c>
      <c r="U199" s="11" t="n">
        <v>25</v>
      </c>
      <c r="V199" s="5" t="str">
        <f aca="false">""</f>
        <v/>
      </c>
    </row>
    <row r="200" customFormat="false" ht="12.8" hidden="false" customHeight="false" outlineLevel="0" collapsed="false">
      <c r="A200" s="4" t="n">
        <v>206</v>
      </c>
      <c r="B200" s="5" t="str">
        <f aca="false">"PAPAIZ"</f>
        <v>PAPAIZ</v>
      </c>
      <c r="C200" s="6" t="n">
        <v>956266</v>
      </c>
      <c r="D200" s="7" t="n">
        <v>45771</v>
      </c>
      <c r="E200" s="7" t="n">
        <v>45749</v>
      </c>
      <c r="F200" s="7"/>
      <c r="G200" s="7"/>
      <c r="H200" s="7"/>
      <c r="I200" s="5" t="str">
        <f aca="false">""</f>
        <v/>
      </c>
      <c r="J200" s="5" t="str">
        <f aca="false">"SPDPPZ032196"</f>
        <v>SPDPPZ032196</v>
      </c>
      <c r="K200" s="5" t="str">
        <f aca="false">"ARAMAQ"</f>
        <v>ARAMAQ</v>
      </c>
      <c r="L200" s="5" t="str">
        <f aca="false">"FERRAGISTA"</f>
        <v>FERRAGISTA</v>
      </c>
      <c r="M200" s="5" t="str">
        <f aca="false">"SP"</f>
        <v>SP</v>
      </c>
      <c r="N200" s="9" t="n">
        <v>0</v>
      </c>
      <c r="O200" s="10" t="n">
        <v>6866.6</v>
      </c>
      <c r="P200" s="10" t="n">
        <v>4995.45</v>
      </c>
      <c r="Q200" s="10" t="n">
        <v>0</v>
      </c>
      <c r="R200" s="10" t="n">
        <v>50.9</v>
      </c>
      <c r="S200" s="5" t="str">
        <f aca="false">"Embarque"</f>
        <v>Embarque</v>
      </c>
      <c r="T200" s="5" t="str">
        <f aca="false">"PERLA COSTA"</f>
        <v>PERLA COSTA</v>
      </c>
      <c r="U200" s="11" t="n">
        <v>25</v>
      </c>
      <c r="V200" s="5" t="str">
        <f aca="false">""</f>
        <v/>
      </c>
    </row>
    <row r="201" customFormat="false" ht="12.8" hidden="false" customHeight="false" outlineLevel="0" collapsed="false">
      <c r="A201" s="4" t="n">
        <v>206</v>
      </c>
      <c r="B201" s="5" t="str">
        <f aca="false">"PAPAIZ"</f>
        <v>PAPAIZ</v>
      </c>
      <c r="C201" s="6" t="n">
        <v>956275</v>
      </c>
      <c r="D201" s="7" t="n">
        <v>45771</v>
      </c>
      <c r="E201" s="7" t="n">
        <v>45749</v>
      </c>
      <c r="F201" s="7"/>
      <c r="G201" s="7"/>
      <c r="H201" s="7"/>
      <c r="I201" s="5" t="str">
        <f aca="false">""</f>
        <v/>
      </c>
      <c r="J201" s="5" t="str">
        <f aca="false">"SPDPPZ032201"</f>
        <v>SPDPPZ032201</v>
      </c>
      <c r="K201" s="5" t="str">
        <f aca="false">"COMACOL COM"</f>
        <v>COMACOL COM</v>
      </c>
      <c r="L201" s="5" t="str">
        <f aca="false">"MATERIAL DE CONSTRUCAO"</f>
        <v>MATERIAL DE CONSTRUCAO</v>
      </c>
      <c r="M201" s="5" t="str">
        <f aca="false">"SP"</f>
        <v>SP</v>
      </c>
      <c r="N201" s="9" t="n">
        <v>0</v>
      </c>
      <c r="O201" s="10" t="n">
        <v>659.7</v>
      </c>
      <c r="P201" s="10" t="n">
        <v>479.93</v>
      </c>
      <c r="Q201" s="10" t="n">
        <v>0</v>
      </c>
      <c r="R201" s="10" t="n">
        <v>4.92</v>
      </c>
      <c r="S201" s="5" t="str">
        <f aca="false">"Embarque"</f>
        <v>Embarque</v>
      </c>
      <c r="T201" s="5" t="str">
        <f aca="false">"HERCULES RIO"</f>
        <v>HERCULES RIO</v>
      </c>
      <c r="U201" s="11" t="n">
        <v>25</v>
      </c>
      <c r="V201" s="5" t="str">
        <f aca="false">""</f>
        <v/>
      </c>
    </row>
    <row r="202" customFormat="false" ht="12.8" hidden="false" customHeight="false" outlineLevel="0" collapsed="false">
      <c r="A202" s="4" t="n">
        <v>206</v>
      </c>
      <c r="B202" s="5" t="str">
        <f aca="false">"PAPAIZ"</f>
        <v>PAPAIZ</v>
      </c>
      <c r="C202" s="6" t="n">
        <v>952568</v>
      </c>
      <c r="D202" s="7" t="n">
        <v>45772</v>
      </c>
      <c r="E202" s="7" t="n">
        <v>45736</v>
      </c>
      <c r="F202" s="7"/>
      <c r="G202" s="7"/>
      <c r="H202" s="7"/>
      <c r="I202" s="5" t="str">
        <f aca="false">""</f>
        <v/>
      </c>
      <c r="J202" s="5" t="str">
        <f aca="false">"SPDPPZ030927"</f>
        <v>SPDPPZ030927</v>
      </c>
      <c r="K202" s="5" t="str">
        <f aca="false">"FERRAGENS 60"</f>
        <v>FERRAGENS 60</v>
      </c>
      <c r="L202" s="5" t="str">
        <f aca="false">"FERRAGISTA"</f>
        <v>FERRAGISTA</v>
      </c>
      <c r="M202" s="5" t="str">
        <f aca="false">"MG"</f>
        <v>MG</v>
      </c>
      <c r="N202" s="9" t="n">
        <v>0</v>
      </c>
      <c r="O202" s="10" t="n">
        <v>196.17</v>
      </c>
      <c r="P202" s="10" t="n">
        <v>145.06</v>
      </c>
      <c r="Q202" s="10" t="n">
        <v>0</v>
      </c>
      <c r="R202" s="10" t="n">
        <v>0.83</v>
      </c>
      <c r="S202" s="5" t="str">
        <f aca="false">"Embarque"</f>
        <v>Embarque</v>
      </c>
      <c r="T202" s="5" t="str">
        <f aca="false">"FRADE"</f>
        <v>FRADE</v>
      </c>
      <c r="U202" s="11" t="n">
        <v>25</v>
      </c>
      <c r="V202" s="5" t="str">
        <f aca="false">""</f>
        <v/>
      </c>
    </row>
    <row r="203" customFormat="false" ht="12.8" hidden="false" customHeight="false" outlineLevel="0" collapsed="false">
      <c r="A203" s="4" t="n">
        <v>206</v>
      </c>
      <c r="B203" s="5" t="str">
        <f aca="false">"PAPAIZ"</f>
        <v>PAPAIZ</v>
      </c>
      <c r="C203" s="6" t="n">
        <v>955609</v>
      </c>
      <c r="D203" s="7" t="n">
        <v>45772</v>
      </c>
      <c r="E203" s="7" t="n">
        <v>45746</v>
      </c>
      <c r="F203" s="7"/>
      <c r="G203" s="7"/>
      <c r="H203" s="7"/>
      <c r="I203" s="5" t="str">
        <f aca="false">""</f>
        <v/>
      </c>
      <c r="J203" s="5" t="str">
        <f aca="false">"206.834"</f>
        <v>206.834</v>
      </c>
      <c r="K203" s="5" t="str">
        <f aca="false">"NOVA CASA 63"</f>
        <v>NOVA CASA 63</v>
      </c>
      <c r="L203" s="5" t="str">
        <f aca="false">"ATACADISTA"</f>
        <v>ATACADISTA</v>
      </c>
      <c r="M203" s="5" t="str">
        <f aca="false">"DF"</f>
        <v>DF</v>
      </c>
      <c r="N203" s="9" t="n">
        <v>4212.6</v>
      </c>
      <c r="O203" s="10" t="n">
        <v>5286</v>
      </c>
      <c r="P203" s="10" t="n">
        <v>4427.03</v>
      </c>
      <c r="Q203" s="10" t="n">
        <v>0</v>
      </c>
      <c r="R203" s="10" t="n">
        <v>49.2</v>
      </c>
      <c r="S203" s="5" t="str">
        <f aca="false">"Embarque"</f>
        <v>Embarque</v>
      </c>
      <c r="T203" s="5" t="str">
        <f aca="false">"JG SILVA"</f>
        <v>JG SILVA</v>
      </c>
      <c r="U203" s="11" t="n">
        <v>25</v>
      </c>
      <c r="V203" s="5" t="str">
        <f aca="false">""</f>
        <v/>
      </c>
    </row>
    <row r="204" customFormat="false" ht="12.8" hidden="false" customHeight="false" outlineLevel="0" collapsed="false">
      <c r="A204" s="4" t="n">
        <v>206</v>
      </c>
      <c r="B204" s="5" t="str">
        <f aca="false">"PAPAIZ"</f>
        <v>PAPAIZ</v>
      </c>
      <c r="C204" s="6" t="n">
        <v>952699</v>
      </c>
      <c r="D204" s="7" t="n">
        <v>45772</v>
      </c>
      <c r="E204" s="7" t="n">
        <v>45737</v>
      </c>
      <c r="F204" s="7"/>
      <c r="G204" s="7"/>
      <c r="H204" s="7"/>
      <c r="I204" s="5" t="str">
        <f aca="false">""</f>
        <v/>
      </c>
      <c r="J204" s="5" t="str">
        <f aca="false">"SPDPPZ030969"</f>
        <v>SPDPPZ030969</v>
      </c>
      <c r="K204" s="5" t="str">
        <f aca="false">"COFEMA ATACA"</f>
        <v>COFEMA ATACA</v>
      </c>
      <c r="L204" s="5" t="str">
        <f aca="false">"ATACADISTA"</f>
        <v>ATACADISTA</v>
      </c>
      <c r="M204" s="5" t="str">
        <f aca="false">"SP"</f>
        <v>SP</v>
      </c>
      <c r="N204" s="9" t="n">
        <v>30369</v>
      </c>
      <c r="O204" s="10" t="n">
        <v>27352.3</v>
      </c>
      <c r="P204" s="10" t="n">
        <v>19898.8</v>
      </c>
      <c r="Q204" s="10" t="n">
        <v>0</v>
      </c>
      <c r="R204" s="10" t="n">
        <v>198.11</v>
      </c>
      <c r="S204" s="5" t="str">
        <f aca="false">"Embarque"</f>
        <v>Embarque</v>
      </c>
      <c r="T204" s="5" t="str">
        <f aca="false">"BRFOKUS"</f>
        <v>BRFOKUS</v>
      </c>
      <c r="U204" s="11" t="n">
        <v>25</v>
      </c>
      <c r="V204" s="5" t="str">
        <f aca="false">""</f>
        <v/>
      </c>
    </row>
    <row r="205" customFormat="false" ht="12.8" hidden="false" customHeight="false" outlineLevel="0" collapsed="false">
      <c r="A205" s="4" t="n">
        <v>206</v>
      </c>
      <c r="B205" s="5" t="str">
        <f aca="false">"PAPAIZ"</f>
        <v>PAPAIZ</v>
      </c>
      <c r="C205" s="6" t="n">
        <v>954952</v>
      </c>
      <c r="D205" s="7" t="n">
        <v>45772</v>
      </c>
      <c r="E205" s="7" t="n">
        <v>45744</v>
      </c>
      <c r="F205" s="7"/>
      <c r="G205" s="7"/>
      <c r="H205" s="7"/>
      <c r="I205" s="5" t="str">
        <f aca="false">""</f>
        <v/>
      </c>
      <c r="J205" s="5" t="str">
        <f aca="false">"SPDPPZ031596"</f>
        <v>SPDPPZ031596</v>
      </c>
      <c r="K205" s="5" t="str">
        <f aca="false">"MAFIA"</f>
        <v>MAFIA</v>
      </c>
      <c r="L205" s="5" t="str">
        <f aca="false">"FERRAGISTA"</f>
        <v>FERRAGISTA</v>
      </c>
      <c r="M205" s="5" t="str">
        <f aca="false">"MS"</f>
        <v>MS</v>
      </c>
      <c r="N205" s="9" t="n">
        <v>442.7</v>
      </c>
      <c r="O205" s="10" t="n">
        <v>387.8</v>
      </c>
      <c r="P205" s="10" t="n">
        <v>324.78</v>
      </c>
      <c r="Q205" s="10" t="n">
        <v>0</v>
      </c>
      <c r="R205" s="10" t="n">
        <v>3.28</v>
      </c>
      <c r="S205" s="5" t="str">
        <f aca="false">"Embarque"</f>
        <v>Embarque</v>
      </c>
      <c r="T205" s="5" t="str">
        <f aca="false">"FG REPRES"</f>
        <v>FG REPRES</v>
      </c>
      <c r="U205" s="11" t="n">
        <v>25</v>
      </c>
      <c r="V205" s="5" t="str">
        <f aca="false">""</f>
        <v/>
      </c>
    </row>
    <row r="206" customFormat="false" ht="12.8" hidden="false" customHeight="false" outlineLevel="0" collapsed="false">
      <c r="A206" s="4" t="n">
        <v>206</v>
      </c>
      <c r="B206" s="5" t="str">
        <f aca="false">"PAPAIZ"</f>
        <v>PAPAIZ</v>
      </c>
      <c r="C206" s="6" t="n">
        <v>956580</v>
      </c>
      <c r="D206" s="7" t="n">
        <v>45772</v>
      </c>
      <c r="E206" s="7" t="n">
        <v>45750</v>
      </c>
      <c r="F206" s="7"/>
      <c r="G206" s="7"/>
      <c r="H206" s="7"/>
      <c r="I206" s="5" t="str">
        <f aca="false">""</f>
        <v/>
      </c>
      <c r="J206" s="5" t="str">
        <f aca="false">"SPDPPZ032262"</f>
        <v>SPDPPZ032262</v>
      </c>
      <c r="K206" s="5" t="str">
        <f aca="false">"CHAVEIRO  GE"</f>
        <v>CHAVEIRO  GE</v>
      </c>
      <c r="L206" s="5" t="str">
        <f aca="false">"NOVOS CANAIS"</f>
        <v>NOVOS CANAIS</v>
      </c>
      <c r="M206" s="5" t="str">
        <f aca="false">"SP"</f>
        <v>SP</v>
      </c>
      <c r="N206" s="9" t="n">
        <v>201.8</v>
      </c>
      <c r="O206" s="10" t="n">
        <v>459.4</v>
      </c>
      <c r="P206" s="10" t="n">
        <v>334.21</v>
      </c>
      <c r="Q206" s="10" t="n">
        <v>0</v>
      </c>
      <c r="R206" s="10" t="n">
        <v>2.4</v>
      </c>
      <c r="S206" s="5" t="str">
        <f aca="false">"Embarque"</f>
        <v>Embarque</v>
      </c>
      <c r="T206" s="5" t="str">
        <f aca="false">"BRFOKUS"</f>
        <v>BRFOKUS</v>
      </c>
      <c r="U206" s="11" t="n">
        <v>25</v>
      </c>
      <c r="V206" s="5" t="str">
        <f aca="false">""</f>
        <v/>
      </c>
    </row>
    <row r="207" customFormat="false" ht="12.8" hidden="false" customHeight="false" outlineLevel="0" collapsed="false">
      <c r="A207" s="4" t="n">
        <v>206</v>
      </c>
      <c r="B207" s="5" t="str">
        <f aca="false">"PAPAIZ"</f>
        <v>PAPAIZ</v>
      </c>
      <c r="C207" s="6" t="n">
        <v>956527</v>
      </c>
      <c r="D207" s="7" t="n">
        <v>45772</v>
      </c>
      <c r="E207" s="7" t="n">
        <v>45750</v>
      </c>
      <c r="F207" s="7"/>
      <c r="G207" s="7"/>
      <c r="H207" s="7"/>
      <c r="I207" s="5" t="str">
        <f aca="false">""</f>
        <v/>
      </c>
      <c r="J207" s="8" t="n">
        <v>179102</v>
      </c>
      <c r="K207" s="5" t="str">
        <f aca="false">"ATLAS 2"</f>
        <v>ATLAS 2</v>
      </c>
      <c r="L207" s="5" t="str">
        <f aca="false">"NOVOS CANAIS"</f>
        <v>NOVOS CANAIS</v>
      </c>
      <c r="M207" s="5" t="str">
        <f aca="false">"BA"</f>
        <v>BA</v>
      </c>
      <c r="N207" s="9" t="n">
        <v>0</v>
      </c>
      <c r="O207" s="10" t="n">
        <v>2179.5</v>
      </c>
      <c r="P207" s="10" t="n">
        <v>1825.33</v>
      </c>
      <c r="Q207" s="10" t="n">
        <v>0</v>
      </c>
      <c r="R207" s="10" t="n">
        <v>15.93</v>
      </c>
      <c r="S207" s="5" t="str">
        <f aca="false">"Embarque"</f>
        <v>Embarque</v>
      </c>
      <c r="T207" s="5" t="str">
        <f aca="false">"Borges"</f>
        <v>Borges</v>
      </c>
      <c r="U207" s="11" t="n">
        <v>25</v>
      </c>
      <c r="V207" s="5" t="str">
        <f aca="false">""</f>
        <v/>
      </c>
    </row>
    <row r="208" customFormat="false" ht="12.8" hidden="false" customHeight="false" outlineLevel="0" collapsed="false">
      <c r="A208" s="4" t="n">
        <v>206</v>
      </c>
      <c r="B208" s="5" t="str">
        <f aca="false">"PAPAIZ"</f>
        <v>PAPAIZ</v>
      </c>
      <c r="C208" s="6" t="n">
        <v>956528</v>
      </c>
      <c r="D208" s="7" t="n">
        <v>45772</v>
      </c>
      <c r="E208" s="7" t="n">
        <v>45750</v>
      </c>
      <c r="F208" s="7"/>
      <c r="G208" s="7"/>
      <c r="H208" s="7"/>
      <c r="I208" s="5" t="str">
        <f aca="false">""</f>
        <v/>
      </c>
      <c r="J208" s="5" t="str">
        <f aca="false">"SPDPPZ030455"</f>
        <v>SPDPPZ030455</v>
      </c>
      <c r="K208" s="5" t="str">
        <f aca="false">"BOM PASTOR"</f>
        <v>BOM PASTOR</v>
      </c>
      <c r="L208" s="5" t="str">
        <f aca="false">"MATERIAL DE CONSTRUCAO"</f>
        <v>MATERIAL DE CONSTRUCAO</v>
      </c>
      <c r="M208" s="5" t="str">
        <f aca="false">"RJ"</f>
        <v>RJ</v>
      </c>
      <c r="N208" s="9" t="n">
        <v>0</v>
      </c>
      <c r="O208" s="10" t="n">
        <v>265.32</v>
      </c>
      <c r="P208" s="10" t="n">
        <v>165.53</v>
      </c>
      <c r="Q208" s="10" t="n">
        <v>0</v>
      </c>
      <c r="R208" s="10" t="n">
        <v>1.3</v>
      </c>
      <c r="S208" s="5" t="str">
        <f aca="false">"Embarque"</f>
        <v>Embarque</v>
      </c>
      <c r="T208" s="5" t="str">
        <f aca="false">"CMU REP"</f>
        <v>CMU REP</v>
      </c>
      <c r="U208" s="11" t="n">
        <v>25</v>
      </c>
      <c r="V208" s="5" t="str">
        <f aca="false">""</f>
        <v/>
      </c>
    </row>
    <row r="209" customFormat="false" ht="12.8" hidden="false" customHeight="false" outlineLevel="0" collapsed="false">
      <c r="A209" s="4" t="n">
        <v>206</v>
      </c>
      <c r="B209" s="5" t="str">
        <f aca="false">"PAPAIZ"</f>
        <v>PAPAIZ</v>
      </c>
      <c r="C209" s="6" t="n">
        <v>952961</v>
      </c>
      <c r="D209" s="7" t="n">
        <v>45772</v>
      </c>
      <c r="E209" s="7" t="n">
        <v>45737</v>
      </c>
      <c r="F209" s="7"/>
      <c r="G209" s="7"/>
      <c r="H209" s="7"/>
      <c r="I209" s="5" t="str">
        <f aca="false">""</f>
        <v/>
      </c>
      <c r="J209" s="5" t="str">
        <f aca="false">"SPDPPZ030930"</f>
        <v>SPDPPZ030930</v>
      </c>
      <c r="K209" s="5" t="str">
        <f aca="false">"RC FERRAGE"</f>
        <v>RC FERRAGE</v>
      </c>
      <c r="L209" s="5" t="str">
        <f aca="false">"MATERIAL DE CONSTRUCAO"</f>
        <v>MATERIAL DE CONSTRUCAO</v>
      </c>
      <c r="M209" s="5" t="str">
        <f aca="false">"MG"</f>
        <v>MG</v>
      </c>
      <c r="N209" s="9" t="n">
        <v>460</v>
      </c>
      <c r="O209" s="10" t="n">
        <v>588.52</v>
      </c>
      <c r="P209" s="10" t="n">
        <v>435.17</v>
      </c>
      <c r="Q209" s="10" t="n">
        <v>0</v>
      </c>
      <c r="R209" s="10" t="n">
        <v>2.5</v>
      </c>
      <c r="S209" s="5" t="str">
        <f aca="false">"Embarque"</f>
        <v>Embarque</v>
      </c>
      <c r="T209" s="5" t="str">
        <f aca="false">"FRADE"</f>
        <v>FRADE</v>
      </c>
      <c r="U209" s="11" t="n">
        <v>25</v>
      </c>
      <c r="V209" s="5" t="str">
        <f aca="false">""</f>
        <v/>
      </c>
    </row>
    <row r="210" customFormat="false" ht="12.8" hidden="false" customHeight="false" outlineLevel="0" collapsed="false">
      <c r="A210" s="4" t="n">
        <v>206</v>
      </c>
      <c r="B210" s="5" t="str">
        <f aca="false">"PAPAIZ"</f>
        <v>PAPAIZ</v>
      </c>
      <c r="C210" s="6" t="n">
        <v>954826</v>
      </c>
      <c r="D210" s="7" t="n">
        <v>45772</v>
      </c>
      <c r="E210" s="7" t="n">
        <v>45743</v>
      </c>
      <c r="F210" s="7"/>
      <c r="G210" s="7"/>
      <c r="H210" s="7"/>
      <c r="I210" s="5" t="str">
        <f aca="false">""</f>
        <v/>
      </c>
      <c r="J210" s="5" t="str">
        <f aca="false">"SPDPPZ028350"</f>
        <v>SPDPPZ028350</v>
      </c>
      <c r="K210" s="5" t="str">
        <f aca="false">"S O S SERVIC"</f>
        <v>S O S SERVIC</v>
      </c>
      <c r="L210" s="5" t="str">
        <f aca="false">"FERRAGISTA"</f>
        <v>FERRAGISTA</v>
      </c>
      <c r="M210" s="5" t="str">
        <f aca="false">"RS"</f>
        <v>RS</v>
      </c>
      <c r="N210" s="9" t="n">
        <v>0</v>
      </c>
      <c r="O210" s="10" t="n">
        <v>472.62</v>
      </c>
      <c r="P210" s="10" t="n">
        <v>302.23</v>
      </c>
      <c r="Q210" s="10" t="n">
        <v>0</v>
      </c>
      <c r="R210" s="10" t="n">
        <v>1.58</v>
      </c>
      <c r="S210" s="5" t="str">
        <f aca="false">"Embarque"</f>
        <v>Embarque</v>
      </c>
      <c r="T210" s="5" t="str">
        <f aca="false">"BARSE REPRES"</f>
        <v>BARSE REPRES</v>
      </c>
      <c r="U210" s="11" t="n">
        <v>25</v>
      </c>
      <c r="V210" s="5" t="str">
        <f aca="false">""</f>
        <v/>
      </c>
    </row>
    <row r="211" customFormat="false" ht="12.8" hidden="false" customHeight="false" outlineLevel="0" collapsed="false">
      <c r="A211" s="4" t="n">
        <v>206</v>
      </c>
      <c r="B211" s="5" t="str">
        <f aca="false">"PAPAIZ"</f>
        <v>PAPAIZ</v>
      </c>
      <c r="C211" s="6" t="n">
        <v>956638</v>
      </c>
      <c r="D211" s="7" t="n">
        <v>45772</v>
      </c>
      <c r="E211" s="7" t="n">
        <v>45750</v>
      </c>
      <c r="F211" s="7"/>
      <c r="G211" s="7"/>
      <c r="H211" s="7"/>
      <c r="I211" s="5" t="str">
        <f aca="false">""</f>
        <v/>
      </c>
      <c r="J211" s="5" t="str">
        <f aca="false">"SPDPPZ032283"</f>
        <v>SPDPPZ032283</v>
      </c>
      <c r="K211" s="5" t="str">
        <f aca="false">"REAL K.R"</f>
        <v>REAL K.R</v>
      </c>
      <c r="L211" s="5" t="str">
        <f aca="false">"ATACADISTA"</f>
        <v>ATACADISTA</v>
      </c>
      <c r="M211" s="5" t="str">
        <f aca="false">"GO"</f>
        <v>GO</v>
      </c>
      <c r="N211" s="9" t="n">
        <v>1746.05</v>
      </c>
      <c r="O211" s="10" t="n">
        <v>1650.9</v>
      </c>
      <c r="P211" s="10" t="n">
        <v>1382.63</v>
      </c>
      <c r="Q211" s="10" t="n">
        <v>0</v>
      </c>
      <c r="R211" s="10" t="n">
        <v>14.28</v>
      </c>
      <c r="S211" s="5" t="str">
        <f aca="false">"Embarque"</f>
        <v>Embarque</v>
      </c>
      <c r="T211" s="5" t="str">
        <f aca="false">"JOYCECOVACEV"</f>
        <v>JOYCECOVACEV</v>
      </c>
      <c r="U211" s="11" t="n">
        <v>25</v>
      </c>
      <c r="V211" s="5" t="str">
        <f aca="false">""</f>
        <v/>
      </c>
    </row>
    <row r="212" customFormat="false" ht="12.8" hidden="false" customHeight="false" outlineLevel="0" collapsed="false">
      <c r="A212" s="4" t="n">
        <v>206</v>
      </c>
      <c r="B212" s="5" t="str">
        <f aca="false">"PAPAIZ"</f>
        <v>PAPAIZ</v>
      </c>
      <c r="C212" s="6" t="n">
        <v>952940</v>
      </c>
      <c r="D212" s="7" t="n">
        <v>45772</v>
      </c>
      <c r="E212" s="7" t="n">
        <v>45737</v>
      </c>
      <c r="F212" s="7"/>
      <c r="G212" s="7"/>
      <c r="H212" s="7"/>
      <c r="I212" s="5" t="str">
        <f aca="false">""</f>
        <v/>
      </c>
      <c r="J212" s="5" t="str">
        <f aca="false">"SPDPPZ030969"</f>
        <v>SPDPPZ030969</v>
      </c>
      <c r="K212" s="5" t="str">
        <f aca="false">"COFEMA ATACA"</f>
        <v>COFEMA ATACA</v>
      </c>
      <c r="L212" s="5" t="str">
        <f aca="false">"ATACADISTA"</f>
        <v>ATACADISTA</v>
      </c>
      <c r="M212" s="5" t="str">
        <f aca="false">"SP"</f>
        <v>SP</v>
      </c>
      <c r="N212" s="9" t="n">
        <v>30369</v>
      </c>
      <c r="O212" s="10" t="n">
        <v>4899</v>
      </c>
      <c r="P212" s="10" t="n">
        <v>3564.02</v>
      </c>
      <c r="Q212" s="10" t="n">
        <v>0</v>
      </c>
      <c r="R212" s="10" t="n">
        <v>40.11</v>
      </c>
      <c r="S212" s="5" t="str">
        <f aca="false">"Embarque"</f>
        <v>Embarque</v>
      </c>
      <c r="T212" s="5" t="str">
        <f aca="false">"BRFOKUS"</f>
        <v>BRFOKUS</v>
      </c>
      <c r="U212" s="11" t="n">
        <v>25</v>
      </c>
      <c r="V212" s="5" t="str">
        <f aca="false">""</f>
        <v/>
      </c>
    </row>
    <row r="213" customFormat="false" ht="12.8" hidden="false" customHeight="false" outlineLevel="0" collapsed="false">
      <c r="A213" s="4" t="n">
        <v>206</v>
      </c>
      <c r="B213" s="5" t="str">
        <f aca="false">"PAPAIZ"</f>
        <v>PAPAIZ</v>
      </c>
      <c r="C213" s="6" t="n">
        <v>956634</v>
      </c>
      <c r="D213" s="7" t="n">
        <v>45772</v>
      </c>
      <c r="E213" s="7" t="n">
        <v>45750</v>
      </c>
      <c r="F213" s="7"/>
      <c r="G213" s="7"/>
      <c r="H213" s="7"/>
      <c r="I213" s="5" t="str">
        <f aca="false">""</f>
        <v/>
      </c>
      <c r="J213" s="5" t="str">
        <f aca="false">"SPDPPZ032286"</f>
        <v>SPDPPZ032286</v>
      </c>
      <c r="K213" s="5" t="str">
        <f aca="false">"NEY CONSTRUC"</f>
        <v>NEY CONSTRUC</v>
      </c>
      <c r="L213" s="5" t="str">
        <f aca="false">"MATERIAL DE CONSTRUCAO"</f>
        <v>MATERIAL DE CONSTRUCAO</v>
      </c>
      <c r="M213" s="5" t="str">
        <f aca="false">"PE"</f>
        <v>PE</v>
      </c>
      <c r="N213" s="9" t="n">
        <v>710.8</v>
      </c>
      <c r="O213" s="10" t="n">
        <v>2007.5</v>
      </c>
      <c r="P213" s="10" t="n">
        <v>1681.28</v>
      </c>
      <c r="Q213" s="10" t="n">
        <v>0</v>
      </c>
      <c r="R213" s="10" t="n">
        <v>15.45</v>
      </c>
      <c r="S213" s="5" t="str">
        <f aca="false">"Embarque"</f>
        <v>Embarque</v>
      </c>
      <c r="T213" s="5" t="str">
        <f aca="false">"JULYANE REP"</f>
        <v>JULYANE REP</v>
      </c>
      <c r="U213" s="11" t="n">
        <v>25</v>
      </c>
      <c r="V213" s="5" t="str">
        <f aca="false">""</f>
        <v/>
      </c>
    </row>
    <row r="214" customFormat="false" ht="12.8" hidden="false" customHeight="false" outlineLevel="0" collapsed="false">
      <c r="A214" s="4" t="n">
        <v>206</v>
      </c>
      <c r="B214" s="5" t="str">
        <f aca="false">"PAPAIZ"</f>
        <v>PAPAIZ</v>
      </c>
      <c r="C214" s="6" t="n">
        <v>956431</v>
      </c>
      <c r="D214" s="7" t="n">
        <v>45773</v>
      </c>
      <c r="E214" s="7" t="n">
        <v>45750</v>
      </c>
      <c r="F214" s="7"/>
      <c r="G214" s="7"/>
      <c r="H214" s="7"/>
      <c r="I214" s="5" t="str">
        <f aca="false">""</f>
        <v/>
      </c>
      <c r="J214" s="5" t="str">
        <f aca="false">"SPDPPZ032279"</f>
        <v>SPDPPZ032279</v>
      </c>
      <c r="K214" s="5" t="str">
        <f aca="false">"SAS BRASIL"</f>
        <v>SAS BRASIL</v>
      </c>
      <c r="L214" s="5" t="str">
        <f aca="false">"NOVOS CANAIS"</f>
        <v>NOVOS CANAIS</v>
      </c>
      <c r="M214" s="5" t="str">
        <f aca="false">"SP"</f>
        <v>SP</v>
      </c>
      <c r="N214" s="9" t="n">
        <v>0</v>
      </c>
      <c r="O214" s="10" t="n">
        <v>1012</v>
      </c>
      <c r="P214" s="10" t="n">
        <v>736.23</v>
      </c>
      <c r="Q214" s="10" t="n">
        <v>0</v>
      </c>
      <c r="R214" s="10" t="n">
        <v>1.13</v>
      </c>
      <c r="S214" s="5" t="str">
        <f aca="false">"Embarque"</f>
        <v>Embarque</v>
      </c>
      <c r="T214" s="5" t="str">
        <f aca="false">"PERLA COSTA"</f>
        <v>PERLA COSTA</v>
      </c>
      <c r="U214" s="11" t="n">
        <v>25</v>
      </c>
      <c r="V214" s="5" t="str">
        <f aca="false">""</f>
        <v/>
      </c>
    </row>
    <row r="215" customFormat="false" ht="12.8" hidden="false" customHeight="false" outlineLevel="0" collapsed="false">
      <c r="A215" s="4" t="n">
        <v>206</v>
      </c>
      <c r="B215" s="5" t="str">
        <f aca="false">"PAPAIZ"</f>
        <v>PAPAIZ</v>
      </c>
      <c r="C215" s="6" t="n">
        <v>956696</v>
      </c>
      <c r="D215" s="7" t="n">
        <v>45773</v>
      </c>
      <c r="E215" s="7" t="n">
        <v>45751</v>
      </c>
      <c r="F215" s="7"/>
      <c r="G215" s="7"/>
      <c r="H215" s="7"/>
      <c r="I215" s="5" t="str">
        <f aca="false">""</f>
        <v/>
      </c>
      <c r="J215" s="5" t="str">
        <f aca="false">"SPDPPZ032390"</f>
        <v>SPDPPZ032390</v>
      </c>
      <c r="K215" s="5" t="str">
        <f aca="false">"CASA NOVA CA"</f>
        <v>CASA NOVA CA</v>
      </c>
      <c r="L215" s="5" t="str">
        <f aca="false">"FERRAGISTA"</f>
        <v>FERRAGISTA</v>
      </c>
      <c r="M215" s="5" t="str">
        <f aca="false">"SP"</f>
        <v>SP</v>
      </c>
      <c r="N215" s="9" t="n">
        <v>0</v>
      </c>
      <c r="O215" s="10" t="n">
        <v>899.1</v>
      </c>
      <c r="P215" s="10" t="n">
        <v>654.1</v>
      </c>
      <c r="Q215" s="10" t="n">
        <v>0</v>
      </c>
      <c r="R215" s="10" t="n">
        <v>5.93</v>
      </c>
      <c r="S215" s="5" t="str">
        <f aca="false">"Embarque"</f>
        <v>Embarque</v>
      </c>
      <c r="T215" s="5" t="str">
        <f aca="false">"R GURGEL REP"</f>
        <v>R GURGEL REP</v>
      </c>
      <c r="U215" s="11" t="n">
        <v>25</v>
      </c>
      <c r="V215" s="5" t="str">
        <f aca="false">""</f>
        <v/>
      </c>
    </row>
    <row r="216" customFormat="false" ht="12.8" hidden="false" customHeight="false" outlineLevel="0" collapsed="false">
      <c r="A216" s="4" t="n">
        <v>206</v>
      </c>
      <c r="B216" s="5" t="str">
        <f aca="false">"PAPAIZ"</f>
        <v>PAPAIZ</v>
      </c>
      <c r="C216" s="6" t="n">
        <v>956597</v>
      </c>
      <c r="D216" s="7" t="n">
        <v>45773</v>
      </c>
      <c r="E216" s="7" t="n">
        <v>45750</v>
      </c>
      <c r="F216" s="7"/>
      <c r="G216" s="7"/>
      <c r="H216" s="7"/>
      <c r="I216" s="5" t="str">
        <f aca="false">""</f>
        <v/>
      </c>
      <c r="J216" s="8" t="n">
        <v>101465</v>
      </c>
      <c r="K216" s="5" t="str">
        <f aca="false">"FERIMPORT."</f>
        <v>FERIMPORT.</v>
      </c>
      <c r="L216" s="5" t="str">
        <f aca="false">"ATACADISTA"</f>
        <v>ATACADISTA</v>
      </c>
      <c r="M216" s="5" t="str">
        <f aca="false">"BA"</f>
        <v>BA</v>
      </c>
      <c r="N216" s="9" t="n">
        <v>529.2</v>
      </c>
      <c r="O216" s="10" t="n">
        <v>3339</v>
      </c>
      <c r="P216" s="10" t="n">
        <v>2796.41</v>
      </c>
      <c r="Q216" s="10" t="n">
        <v>0</v>
      </c>
      <c r="R216" s="10" t="n">
        <v>24.43</v>
      </c>
      <c r="S216" s="5" t="str">
        <f aca="false">"Embarque"</f>
        <v>Embarque</v>
      </c>
      <c r="T216" s="5" t="str">
        <f aca="false">"Borges"</f>
        <v>Borges</v>
      </c>
      <c r="U216" s="11" t="n">
        <v>25</v>
      </c>
      <c r="V216" s="5" t="str">
        <f aca="false">""</f>
        <v/>
      </c>
    </row>
    <row r="217" customFormat="false" ht="12.8" hidden="false" customHeight="false" outlineLevel="0" collapsed="false">
      <c r="A217" s="4" t="n">
        <v>206</v>
      </c>
      <c r="B217" s="5" t="str">
        <f aca="false">"PAPAIZ"</f>
        <v>PAPAIZ</v>
      </c>
      <c r="C217" s="6" t="n">
        <v>956604</v>
      </c>
      <c r="D217" s="7" t="n">
        <v>45773</v>
      </c>
      <c r="E217" s="7" t="n">
        <v>45750</v>
      </c>
      <c r="F217" s="7"/>
      <c r="G217" s="7"/>
      <c r="H217" s="7"/>
      <c r="I217" s="5" t="str">
        <f aca="false">""</f>
        <v/>
      </c>
      <c r="J217" s="5" t="str">
        <f aca="false">"SPDPPZ032359"</f>
        <v>SPDPPZ032359</v>
      </c>
      <c r="K217" s="5" t="str">
        <f aca="false">"FRANKINI 1"</f>
        <v>FRANKINI 1</v>
      </c>
      <c r="L217" s="5" t="str">
        <f aca="false">"MATERIAL DE CONSTRUCAO"</f>
        <v>MATERIAL DE CONSTRUCAO</v>
      </c>
      <c r="M217" s="5" t="str">
        <f aca="false">"ES"</f>
        <v>ES</v>
      </c>
      <c r="N217" s="9" t="n">
        <v>355.4</v>
      </c>
      <c r="O217" s="10" t="n">
        <v>889</v>
      </c>
      <c r="P217" s="10" t="n">
        <v>744.54</v>
      </c>
      <c r="Q217" s="10" t="n">
        <v>0</v>
      </c>
      <c r="R217" s="10" t="n">
        <v>6.49</v>
      </c>
      <c r="S217" s="5" t="str">
        <f aca="false">"Embarque"</f>
        <v>Embarque</v>
      </c>
      <c r="T217" s="5" t="str">
        <f aca="false">"MAGALHAES RE"</f>
        <v>MAGALHAES RE</v>
      </c>
      <c r="U217" s="11" t="n">
        <v>25</v>
      </c>
      <c r="V217" s="5" t="str">
        <f aca="false">""</f>
        <v/>
      </c>
    </row>
    <row r="218" customFormat="false" ht="12.8" hidden="false" customHeight="false" outlineLevel="0" collapsed="false">
      <c r="A218" s="4" t="n">
        <v>206</v>
      </c>
      <c r="B218" s="5" t="str">
        <f aca="false">"PAPAIZ"</f>
        <v>PAPAIZ</v>
      </c>
      <c r="C218" s="6" t="n">
        <v>956712</v>
      </c>
      <c r="D218" s="7" t="n">
        <v>45773</v>
      </c>
      <c r="E218" s="7" t="n">
        <v>45751</v>
      </c>
      <c r="F218" s="7"/>
      <c r="G218" s="7"/>
      <c r="H218" s="7"/>
      <c r="I218" s="5" t="str">
        <f aca="false">""</f>
        <v/>
      </c>
      <c r="J218" s="5" t="str">
        <f aca="false">"SPDPPZ032408"</f>
        <v>SPDPPZ032408</v>
      </c>
      <c r="K218" s="5" t="str">
        <f aca="false">"ABMTINTAS"</f>
        <v>ABMTINTAS</v>
      </c>
      <c r="L218" s="5" t="str">
        <f aca="false">"MATERIAL DE CONSTRUCAO"</f>
        <v>MATERIAL DE CONSTRUCAO</v>
      </c>
      <c r="M218" s="5" t="str">
        <f aca="false">"SP"</f>
        <v>SP</v>
      </c>
      <c r="N218" s="9" t="n">
        <v>424.8</v>
      </c>
      <c r="O218" s="10" t="n">
        <v>1303.06</v>
      </c>
      <c r="P218" s="10" t="n">
        <v>883.67</v>
      </c>
      <c r="Q218" s="10" t="n">
        <v>0</v>
      </c>
      <c r="R218" s="10" t="n">
        <v>11.92</v>
      </c>
      <c r="S218" s="5" t="str">
        <f aca="false">"Embarque"</f>
        <v>Embarque</v>
      </c>
      <c r="T218" s="5" t="str">
        <f aca="false">"CATIE"</f>
        <v>CATIE</v>
      </c>
      <c r="U218" s="11" t="n">
        <v>25</v>
      </c>
      <c r="V218" s="5" t="str">
        <f aca="false">""</f>
        <v/>
      </c>
    </row>
    <row r="219" customFormat="false" ht="12.8" hidden="false" customHeight="false" outlineLevel="0" collapsed="false">
      <c r="A219" s="4" t="n">
        <v>206</v>
      </c>
      <c r="B219" s="5" t="str">
        <f aca="false">"PAPAIZ"</f>
        <v>PAPAIZ</v>
      </c>
      <c r="C219" s="6" t="n">
        <v>956415</v>
      </c>
      <c r="D219" s="7" t="n">
        <v>45773</v>
      </c>
      <c r="E219" s="7" t="n">
        <v>45750</v>
      </c>
      <c r="F219" s="7"/>
      <c r="G219" s="7"/>
      <c r="H219" s="7"/>
      <c r="I219" s="5" t="str">
        <f aca="false">""</f>
        <v/>
      </c>
      <c r="J219" s="5" t="str">
        <f aca="false">"SPDPPZ032278"</f>
        <v>SPDPPZ032278</v>
      </c>
      <c r="K219" s="5" t="str">
        <f aca="false">"JUCA CHAVES"</f>
        <v>JUCA CHAVES</v>
      </c>
      <c r="L219" s="5" t="str">
        <f aca="false">"MATERIAL DE CONSTRUCAO"</f>
        <v>MATERIAL DE CONSTRUCAO</v>
      </c>
      <c r="M219" s="5" t="str">
        <f aca="false">"SP"</f>
        <v>SP</v>
      </c>
      <c r="N219" s="9" t="n">
        <v>0</v>
      </c>
      <c r="O219" s="10" t="n">
        <v>1657.75</v>
      </c>
      <c r="P219" s="10" t="n">
        <v>1086.14</v>
      </c>
      <c r="Q219" s="10" t="n">
        <v>0</v>
      </c>
      <c r="R219" s="10" t="n">
        <v>5.49</v>
      </c>
      <c r="S219" s="5" t="str">
        <f aca="false">"Embarque"</f>
        <v>Embarque</v>
      </c>
      <c r="T219" s="5" t="str">
        <f aca="false">"JOYCECOVACEV"</f>
        <v>JOYCECOVACEV</v>
      </c>
      <c r="U219" s="11" t="n">
        <v>25</v>
      </c>
      <c r="V219" s="5" t="str">
        <f aca="false">""</f>
        <v/>
      </c>
    </row>
    <row r="220" customFormat="false" ht="12.8" hidden="false" customHeight="false" outlineLevel="0" collapsed="false">
      <c r="A220" s="4" t="n">
        <v>206</v>
      </c>
      <c r="B220" s="5" t="str">
        <f aca="false">"PAPAIZ"</f>
        <v>PAPAIZ</v>
      </c>
      <c r="C220" s="6" t="n">
        <v>956428</v>
      </c>
      <c r="D220" s="7" t="n">
        <v>45773</v>
      </c>
      <c r="E220" s="7" t="n">
        <v>45750</v>
      </c>
      <c r="F220" s="7"/>
      <c r="G220" s="7"/>
      <c r="H220" s="7"/>
      <c r="I220" s="5" t="str">
        <f aca="false">""</f>
        <v/>
      </c>
      <c r="J220" s="5" t="str">
        <f aca="false">"SPDPPZ031079"</f>
        <v>SPDPPZ031079</v>
      </c>
      <c r="K220" s="5" t="str">
        <f aca="false">"S DE MORAES"</f>
        <v>S DE MORAES</v>
      </c>
      <c r="L220" s="5" t="str">
        <f aca="false">"MATERIAL DE CONSTRUCAO"</f>
        <v>MATERIAL DE CONSTRUCAO</v>
      </c>
      <c r="M220" s="5" t="str">
        <f aca="false">"PA"</f>
        <v>PA</v>
      </c>
      <c r="N220" s="9" t="n">
        <v>0</v>
      </c>
      <c r="O220" s="10" t="n">
        <v>775.8</v>
      </c>
      <c r="P220" s="10" t="n">
        <v>649.73</v>
      </c>
      <c r="Q220" s="10" t="n">
        <v>0</v>
      </c>
      <c r="R220" s="10" t="n">
        <v>6.56</v>
      </c>
      <c r="S220" s="5" t="str">
        <f aca="false">"Embarque"</f>
        <v>Embarque</v>
      </c>
      <c r="T220" s="5" t="str">
        <f aca="false">"POMBO REPRES"</f>
        <v>POMBO REPRES</v>
      </c>
      <c r="U220" s="11" t="n">
        <v>25</v>
      </c>
      <c r="V220" s="5" t="str">
        <f aca="false">""</f>
        <v/>
      </c>
    </row>
    <row r="221" customFormat="false" ht="12.8" hidden="false" customHeight="false" outlineLevel="0" collapsed="false">
      <c r="A221" s="4" t="n">
        <v>206</v>
      </c>
      <c r="B221" s="5" t="str">
        <f aca="false">"PAPAIZ"</f>
        <v>PAPAIZ</v>
      </c>
      <c r="C221" s="6" t="n">
        <v>956743</v>
      </c>
      <c r="D221" s="7" t="n">
        <v>45773</v>
      </c>
      <c r="E221" s="7" t="n">
        <v>45751</v>
      </c>
      <c r="F221" s="7"/>
      <c r="G221" s="7"/>
      <c r="H221" s="7"/>
      <c r="I221" s="5" t="str">
        <f aca="false">""</f>
        <v/>
      </c>
      <c r="J221" s="8" t="n">
        <v>85397</v>
      </c>
      <c r="K221" s="5" t="str">
        <f aca="false">"Upside"</f>
        <v>Upside</v>
      </c>
      <c r="L221" s="5" t="str">
        <f aca="false">"ATACADISTA"</f>
        <v>ATACADISTA</v>
      </c>
      <c r="M221" s="5" t="str">
        <f aca="false">"MG"</f>
        <v>MG</v>
      </c>
      <c r="N221" s="9" t="n">
        <v>18621</v>
      </c>
      <c r="O221" s="10" t="n">
        <v>37704.4</v>
      </c>
      <c r="P221" s="10" t="n">
        <v>29692.22</v>
      </c>
      <c r="Q221" s="10" t="n">
        <v>0</v>
      </c>
      <c r="R221" s="10" t="n">
        <v>297.99</v>
      </c>
      <c r="S221" s="5" t="str">
        <f aca="false">"Embarque"</f>
        <v>Embarque</v>
      </c>
      <c r="T221" s="5" t="str">
        <f aca="false">"LUIZ LIMA"</f>
        <v>LUIZ LIMA</v>
      </c>
      <c r="U221" s="11" t="n">
        <v>25</v>
      </c>
      <c r="V221" s="5" t="str">
        <f aca="false">""</f>
        <v/>
      </c>
    </row>
    <row r="222" customFormat="false" ht="12.8" hidden="false" customHeight="false" outlineLevel="0" collapsed="false">
      <c r="A222" s="4" t="n">
        <v>206</v>
      </c>
      <c r="B222" s="5" t="str">
        <f aca="false">"PAPAIZ"</f>
        <v>PAPAIZ</v>
      </c>
      <c r="C222" s="6" t="n">
        <v>956716</v>
      </c>
      <c r="D222" s="7" t="n">
        <v>45773</v>
      </c>
      <c r="E222" s="7" t="n">
        <v>45751</v>
      </c>
      <c r="F222" s="7"/>
      <c r="G222" s="7"/>
      <c r="H222" s="7"/>
      <c r="I222" s="5" t="str">
        <f aca="false">""</f>
        <v/>
      </c>
      <c r="J222" s="5" t="str">
        <f aca="false">"SPDPPZ032396"</f>
        <v>SPDPPZ032396</v>
      </c>
      <c r="K222" s="5" t="str">
        <f aca="false">"CARLA S"</f>
        <v>CARLA S</v>
      </c>
      <c r="L222" s="5" t="str">
        <f aca="false">"MATERIAL DE CONSTRUCAO"</f>
        <v>MATERIAL DE CONSTRUCAO</v>
      </c>
      <c r="M222" s="5" t="str">
        <f aca="false">"PA"</f>
        <v>PA</v>
      </c>
      <c r="N222" s="9" t="n">
        <v>1421.6</v>
      </c>
      <c r="O222" s="10" t="n">
        <v>2723.4</v>
      </c>
      <c r="P222" s="10" t="n">
        <v>2280.85</v>
      </c>
      <c r="Q222" s="10" t="n">
        <v>0</v>
      </c>
      <c r="R222" s="10" t="n">
        <v>22.05</v>
      </c>
      <c r="S222" s="5" t="str">
        <f aca="false">"Embarque"</f>
        <v>Embarque</v>
      </c>
      <c r="T222" s="5" t="str">
        <f aca="false">"MARQUES SOU"</f>
        <v>MARQUES SOU</v>
      </c>
      <c r="U222" s="11" t="n">
        <v>25</v>
      </c>
      <c r="V222" s="5" t="str">
        <f aca="false">""</f>
        <v/>
      </c>
    </row>
    <row r="223" customFormat="false" ht="12.8" hidden="false" customHeight="false" outlineLevel="0" collapsed="false">
      <c r="A223" s="4" t="n">
        <v>206</v>
      </c>
      <c r="B223" s="5" t="str">
        <f aca="false">"PAPAIZ"</f>
        <v>PAPAIZ</v>
      </c>
      <c r="C223" s="6" t="n">
        <v>956624</v>
      </c>
      <c r="D223" s="7" t="n">
        <v>45773</v>
      </c>
      <c r="E223" s="7" t="n">
        <v>45750</v>
      </c>
      <c r="F223" s="7"/>
      <c r="G223" s="7"/>
      <c r="H223" s="7"/>
      <c r="I223" s="5" t="str">
        <f aca="false">""</f>
        <v/>
      </c>
      <c r="J223" s="5" t="str">
        <f aca="false">"SPDPPZ032338"</f>
        <v>SPDPPZ032338</v>
      </c>
      <c r="K223" s="5" t="str">
        <f aca="false">"MELHOR BLO"</f>
        <v>MELHOR BLO</v>
      </c>
      <c r="L223" s="5" t="str">
        <f aca="false">"MATERIAL DE CONSTRUCAO"</f>
        <v>MATERIAL DE CONSTRUCAO</v>
      </c>
      <c r="M223" s="5" t="str">
        <f aca="false">"BA"</f>
        <v>BA</v>
      </c>
      <c r="N223" s="9" t="n">
        <v>516.9</v>
      </c>
      <c r="O223" s="10" t="n">
        <v>1493.5</v>
      </c>
      <c r="P223" s="10" t="n">
        <v>1250.81</v>
      </c>
      <c r="Q223" s="10" t="n">
        <v>0</v>
      </c>
      <c r="R223" s="10" t="n">
        <v>12.32</v>
      </c>
      <c r="S223" s="5" t="str">
        <f aca="false">"Embarque"</f>
        <v>Embarque</v>
      </c>
      <c r="T223" s="5" t="str">
        <f aca="false">"PEIXOTO REP"</f>
        <v>PEIXOTO REP</v>
      </c>
      <c r="U223" s="11" t="n">
        <v>25</v>
      </c>
      <c r="V223" s="5" t="str">
        <f aca="false">""</f>
        <v/>
      </c>
    </row>
    <row r="224" customFormat="false" ht="12.8" hidden="false" customHeight="false" outlineLevel="0" collapsed="false">
      <c r="A224" s="4" t="n">
        <v>206</v>
      </c>
      <c r="B224" s="5" t="str">
        <f aca="false">"PAPAIZ"</f>
        <v>PAPAIZ</v>
      </c>
      <c r="C224" s="6" t="n">
        <v>956644</v>
      </c>
      <c r="D224" s="7" t="n">
        <v>45773</v>
      </c>
      <c r="E224" s="7" t="n">
        <v>45750</v>
      </c>
      <c r="F224" s="7"/>
      <c r="G224" s="7"/>
      <c r="H224" s="7"/>
      <c r="I224" s="5" t="str">
        <f aca="false">""</f>
        <v/>
      </c>
      <c r="J224" s="5" t="str">
        <f aca="false">"SPDPPZ032307"</f>
        <v>SPDPPZ032307</v>
      </c>
      <c r="K224" s="5" t="str">
        <f aca="false">"VINICIO TON"</f>
        <v>VINICIO TON</v>
      </c>
      <c r="L224" s="5" t="str">
        <f aca="false">"FERRAGISTA"</f>
        <v>FERRAGISTA</v>
      </c>
      <c r="M224" s="5" t="str">
        <f aca="false">"SC"</f>
        <v>SC</v>
      </c>
      <c r="N224" s="9" t="n">
        <v>375.7</v>
      </c>
      <c r="O224" s="10" t="n">
        <v>1766.25</v>
      </c>
      <c r="P224" s="10" t="n">
        <v>1390.92</v>
      </c>
      <c r="Q224" s="10" t="n">
        <v>0</v>
      </c>
      <c r="R224" s="10" t="n">
        <v>12.89</v>
      </c>
      <c r="S224" s="5" t="str">
        <f aca="false">"Embarque"</f>
        <v>Embarque</v>
      </c>
      <c r="T224" s="5" t="str">
        <f aca="false">"ROSA REPRESE"</f>
        <v>ROSA REPRESE</v>
      </c>
      <c r="U224" s="11" t="n">
        <v>25</v>
      </c>
      <c r="V224" s="5" t="str">
        <f aca="false">""</f>
        <v/>
      </c>
    </row>
    <row r="225" customFormat="false" ht="12.8" hidden="false" customHeight="false" outlineLevel="0" collapsed="false">
      <c r="A225" s="4" t="n">
        <v>206</v>
      </c>
      <c r="B225" s="5" t="str">
        <f aca="false">"PAPAIZ"</f>
        <v>PAPAIZ</v>
      </c>
      <c r="C225" s="6" t="n">
        <v>956391</v>
      </c>
      <c r="D225" s="7" t="n">
        <v>45773</v>
      </c>
      <c r="E225" s="7" t="n">
        <v>45750</v>
      </c>
      <c r="F225" s="7"/>
      <c r="G225" s="7"/>
      <c r="H225" s="7"/>
      <c r="I225" s="5" t="str">
        <f aca="false">""</f>
        <v/>
      </c>
      <c r="J225" s="5" t="str">
        <f aca="false">"SPDPPZ032300"</f>
        <v>SPDPPZ032300</v>
      </c>
      <c r="K225" s="5" t="str">
        <f aca="false">"47.634.265"</f>
        <v>47.634.265</v>
      </c>
      <c r="L225" s="5" t="str">
        <f aca="false">"VAREJO VIP"</f>
        <v>VAREJO VIP</v>
      </c>
      <c r="M225" s="5" t="str">
        <f aca="false">"SP"</f>
        <v>SP</v>
      </c>
      <c r="N225" s="9" t="n">
        <v>0</v>
      </c>
      <c r="O225" s="10" t="n">
        <v>6678</v>
      </c>
      <c r="P225" s="10" t="n">
        <v>4858.25</v>
      </c>
      <c r="Q225" s="10" t="n">
        <v>0</v>
      </c>
      <c r="R225" s="10" t="n">
        <v>70</v>
      </c>
      <c r="S225" s="5" t="str">
        <f aca="false">"Embarque"</f>
        <v>Embarque</v>
      </c>
      <c r="T225" s="5" t="str">
        <f aca="false">"RADV REPRES"</f>
        <v>RADV REPRES</v>
      </c>
      <c r="U225" s="11" t="n">
        <v>25</v>
      </c>
      <c r="V225" s="5" t="str">
        <f aca="false">""</f>
        <v/>
      </c>
    </row>
    <row r="226" customFormat="false" ht="12.8" hidden="false" customHeight="false" outlineLevel="0" collapsed="false">
      <c r="A226" s="4" t="n">
        <v>206</v>
      </c>
      <c r="B226" s="5" t="str">
        <f aca="false">"PAPAIZ"</f>
        <v>PAPAIZ</v>
      </c>
      <c r="C226" s="6" t="n">
        <v>956742</v>
      </c>
      <c r="D226" s="7" t="n">
        <v>45775</v>
      </c>
      <c r="E226" s="7" t="n">
        <v>45751</v>
      </c>
      <c r="F226" s="7"/>
      <c r="G226" s="7"/>
      <c r="H226" s="7"/>
      <c r="I226" s="5" t="str">
        <f aca="false">""</f>
        <v/>
      </c>
      <c r="J226" s="5" t="str">
        <f aca="false">"SPDPPZ032397"</f>
        <v>SPDPPZ032397</v>
      </c>
      <c r="K226" s="5" t="str">
        <f aca="false">"SMARTMAGENTA"</f>
        <v>SMARTMAGENTA</v>
      </c>
      <c r="L226" s="5" t="str">
        <f aca="false">"VAREJO VIP"</f>
        <v>VAREJO VIP</v>
      </c>
      <c r="M226" s="5" t="str">
        <f aca="false">"SC"</f>
        <v>SC</v>
      </c>
      <c r="N226" s="9" t="n">
        <v>7320</v>
      </c>
      <c r="O226" s="10" t="n">
        <v>161849.5</v>
      </c>
      <c r="P226" s="10" t="n">
        <v>126519.75</v>
      </c>
      <c r="Q226" s="10" t="n">
        <v>0</v>
      </c>
      <c r="R226" s="10" t="n">
        <v>1067.1</v>
      </c>
      <c r="S226" s="5" t="str">
        <f aca="false">"Embarque"</f>
        <v>Embarque</v>
      </c>
      <c r="T226" s="5" t="str">
        <f aca="false">"C RUIVO"</f>
        <v>C RUIVO</v>
      </c>
      <c r="U226" s="11" t="n">
        <v>25</v>
      </c>
      <c r="V226" s="5" t="str">
        <f aca="false">""</f>
        <v/>
      </c>
    </row>
    <row r="227" customFormat="false" ht="12.8" hidden="false" customHeight="false" outlineLevel="0" collapsed="false">
      <c r="A227" s="4" t="n">
        <v>206</v>
      </c>
      <c r="B227" s="5" t="str">
        <f aca="false">"PAPAIZ"</f>
        <v>PAPAIZ</v>
      </c>
      <c r="C227" s="6" t="n">
        <v>956556</v>
      </c>
      <c r="D227" s="7" t="n">
        <v>45775</v>
      </c>
      <c r="E227" s="7" t="n">
        <v>45750</v>
      </c>
      <c r="F227" s="7"/>
      <c r="G227" s="7"/>
      <c r="H227" s="7"/>
      <c r="I227" s="5" t="str">
        <f aca="false">""</f>
        <v/>
      </c>
      <c r="J227" s="5" t="str">
        <f aca="false">"SPDPPZ032349"</f>
        <v>SPDPPZ032349</v>
      </c>
      <c r="K227" s="5" t="str">
        <f aca="false">"TRABULSI"</f>
        <v>TRABULSI</v>
      </c>
      <c r="L227" s="5" t="str">
        <f aca="false">"MATERIAL DE CONSTRUCAO"</f>
        <v>MATERIAL DE CONSTRUCAO</v>
      </c>
      <c r="M227" s="5" t="str">
        <f aca="false">"SP"</f>
        <v>SP</v>
      </c>
      <c r="N227" s="9" t="n">
        <v>0</v>
      </c>
      <c r="O227" s="10" t="n">
        <v>1015.44</v>
      </c>
      <c r="P227" s="10" t="n">
        <v>693.64</v>
      </c>
      <c r="Q227" s="10" t="n">
        <v>0</v>
      </c>
      <c r="R227" s="10" t="n">
        <v>14.04</v>
      </c>
      <c r="S227" s="5" t="str">
        <f aca="false">"Embarque"</f>
        <v>Embarque</v>
      </c>
      <c r="T227" s="5" t="str">
        <f aca="false">"C RUIVO"</f>
        <v>C RUIVO</v>
      </c>
      <c r="U227" s="11" t="n">
        <v>25</v>
      </c>
      <c r="V227" s="5" t="str">
        <f aca="false">""</f>
        <v/>
      </c>
    </row>
    <row r="228" customFormat="false" ht="12.8" hidden="false" customHeight="false" outlineLevel="0" collapsed="false">
      <c r="A228" s="4" t="n">
        <v>206</v>
      </c>
      <c r="B228" s="5" t="str">
        <f aca="false">"PAPAIZ"</f>
        <v>PAPAIZ</v>
      </c>
      <c r="C228" s="6" t="n">
        <v>956599</v>
      </c>
      <c r="D228" s="7" t="n">
        <v>45775</v>
      </c>
      <c r="E228" s="7" t="n">
        <v>45750</v>
      </c>
      <c r="F228" s="7"/>
      <c r="G228" s="7"/>
      <c r="H228" s="7"/>
      <c r="I228" s="5" t="str">
        <f aca="false">""</f>
        <v/>
      </c>
      <c r="J228" s="15" t="n">
        <v>1556863</v>
      </c>
      <c r="K228" s="5" t="str">
        <f aca="false">"FERREIRA C"</f>
        <v>FERREIRA C</v>
      </c>
      <c r="L228" s="5" t="str">
        <f aca="false">"HOME CENTER"</f>
        <v>HOME CENTER</v>
      </c>
      <c r="M228" s="5" t="str">
        <f aca="false">"SE"</f>
        <v>SE</v>
      </c>
      <c r="N228" s="9" t="n">
        <v>810.45</v>
      </c>
      <c r="O228" s="10" t="n">
        <v>651.36</v>
      </c>
      <c r="P228" s="10" t="n">
        <v>545.51</v>
      </c>
      <c r="Q228" s="10" t="n">
        <v>0</v>
      </c>
      <c r="R228" s="10" t="n">
        <v>4.14</v>
      </c>
      <c r="S228" s="5" t="str">
        <f aca="false">"Embarque"</f>
        <v>Embarque</v>
      </c>
      <c r="T228" s="5" t="str">
        <f aca="false">"CLAUDIANA PA"</f>
        <v>CLAUDIANA PA</v>
      </c>
      <c r="U228" s="11" t="n">
        <v>25</v>
      </c>
      <c r="V228" s="5" t="str">
        <f aca="false">""</f>
        <v/>
      </c>
    </row>
    <row r="229" customFormat="false" ht="12.8" hidden="false" customHeight="false" outlineLevel="0" collapsed="false">
      <c r="A229" s="4" t="n">
        <v>206</v>
      </c>
      <c r="B229" s="5" t="str">
        <f aca="false">"PAPAIZ"</f>
        <v>PAPAIZ</v>
      </c>
      <c r="C229" s="6" t="n">
        <v>952748</v>
      </c>
      <c r="D229" s="7" t="n">
        <v>45775</v>
      </c>
      <c r="E229" s="7" t="n">
        <v>45737</v>
      </c>
      <c r="F229" s="7"/>
      <c r="G229" s="7"/>
      <c r="H229" s="7"/>
      <c r="I229" s="5" t="str">
        <f aca="false">""</f>
        <v/>
      </c>
      <c r="J229" s="8" t="n">
        <v>196353</v>
      </c>
      <c r="K229" s="5" t="str">
        <f aca="false">"NORTEL 12"</f>
        <v>NORTEL 12</v>
      </c>
      <c r="L229" s="5" t="str">
        <f aca="false">"FERRAGISTA"</f>
        <v>FERRAGISTA</v>
      </c>
      <c r="M229" s="5" t="str">
        <f aca="false">"GO"</f>
        <v>GO</v>
      </c>
      <c r="N229" s="9" t="n">
        <v>0</v>
      </c>
      <c r="O229" s="10" t="n">
        <v>561.9</v>
      </c>
      <c r="P229" s="10" t="n">
        <v>470.59</v>
      </c>
      <c r="Q229" s="10" t="n">
        <v>0</v>
      </c>
      <c r="R229" s="10" t="n">
        <v>2.7</v>
      </c>
      <c r="S229" s="5" t="str">
        <f aca="false">"Embarque"</f>
        <v>Embarque</v>
      </c>
      <c r="T229" s="5" t="str">
        <f aca="false">"Luiz Carlos"</f>
        <v>Luiz Carlos</v>
      </c>
      <c r="U229" s="11" t="n">
        <v>25</v>
      </c>
      <c r="V229" s="5" t="str">
        <f aca="false">""</f>
        <v/>
      </c>
    </row>
    <row r="230" customFormat="false" ht="12.8" hidden="false" customHeight="false" outlineLevel="0" collapsed="false">
      <c r="A230" s="4" t="n">
        <v>206</v>
      </c>
      <c r="B230" s="5" t="str">
        <f aca="false">"PAPAIZ"</f>
        <v>PAPAIZ</v>
      </c>
      <c r="C230" s="6" t="n">
        <v>956540</v>
      </c>
      <c r="D230" s="7" t="n">
        <v>45775</v>
      </c>
      <c r="E230" s="7" t="n">
        <v>45750</v>
      </c>
      <c r="F230" s="7"/>
      <c r="G230" s="7"/>
      <c r="H230" s="7"/>
      <c r="I230" s="5" t="str">
        <f aca="false">""</f>
        <v/>
      </c>
      <c r="J230" s="5" t="str">
        <f aca="false">"SPDPPZ032162"</f>
        <v>SPDPPZ032162</v>
      </c>
      <c r="K230" s="5" t="str">
        <f aca="false">"FAMA  MAT."</f>
        <v>FAMA  MAT.</v>
      </c>
      <c r="L230" s="5" t="str">
        <f aca="false">"MATERIAL DE CONSTRUCAO"</f>
        <v>MATERIAL DE CONSTRUCAO</v>
      </c>
      <c r="M230" s="5" t="str">
        <f aca="false">"ES"</f>
        <v>ES</v>
      </c>
      <c r="N230" s="9" t="n">
        <v>0</v>
      </c>
      <c r="O230" s="10" t="n">
        <v>583.9</v>
      </c>
      <c r="P230" s="10" t="n">
        <v>489.02</v>
      </c>
      <c r="Q230" s="10" t="n">
        <v>0</v>
      </c>
      <c r="R230" s="10" t="n">
        <v>4.36</v>
      </c>
      <c r="S230" s="5" t="str">
        <f aca="false">"Embarque"</f>
        <v>Embarque</v>
      </c>
      <c r="T230" s="5" t="str">
        <f aca="false">"MAGALHAES RE"</f>
        <v>MAGALHAES RE</v>
      </c>
      <c r="U230" s="11" t="n">
        <v>25</v>
      </c>
      <c r="V230" s="5" t="str">
        <f aca="false">""</f>
        <v/>
      </c>
    </row>
    <row r="231" customFormat="false" ht="12.8" hidden="false" customHeight="false" outlineLevel="0" collapsed="false">
      <c r="A231" s="4" t="n">
        <v>206</v>
      </c>
      <c r="B231" s="5" t="str">
        <f aca="false">"PAPAIZ"</f>
        <v>PAPAIZ</v>
      </c>
      <c r="C231" s="6" t="n">
        <v>954918</v>
      </c>
      <c r="D231" s="7" t="n">
        <v>45775</v>
      </c>
      <c r="E231" s="7" t="n">
        <v>45744</v>
      </c>
      <c r="F231" s="7"/>
      <c r="G231" s="7"/>
      <c r="H231" s="7"/>
      <c r="I231" s="5" t="str">
        <f aca="false">""</f>
        <v/>
      </c>
      <c r="J231" s="5" t="str">
        <f aca="false">"SPDPPZ031295"</f>
        <v>SPDPPZ031295</v>
      </c>
      <c r="K231" s="5" t="str">
        <f aca="false">"BOM NEGOCIO"</f>
        <v>BOM NEGOCIO</v>
      </c>
      <c r="L231" s="5" t="str">
        <f aca="false">"MATERIAL DE CONSTRUCAO"</f>
        <v>MATERIAL DE CONSTRUCAO</v>
      </c>
      <c r="M231" s="5" t="str">
        <f aca="false">"MG"</f>
        <v>MG</v>
      </c>
      <c r="N231" s="9" t="n">
        <v>516.6</v>
      </c>
      <c r="O231" s="10" t="n">
        <v>1034</v>
      </c>
      <c r="P231" s="10" t="n">
        <v>814.28</v>
      </c>
      <c r="Q231" s="10" t="n">
        <v>0</v>
      </c>
      <c r="R231" s="10" t="n">
        <v>8.2</v>
      </c>
      <c r="S231" s="5" t="str">
        <f aca="false">"Embarque"</f>
        <v>Embarque</v>
      </c>
      <c r="T231" s="5" t="str">
        <f aca="false">"JOYCECOVACEV"</f>
        <v>JOYCECOVACEV</v>
      </c>
      <c r="U231" s="11" t="n">
        <v>25</v>
      </c>
      <c r="V231" s="5" t="str">
        <f aca="false">""</f>
        <v/>
      </c>
    </row>
    <row r="232" customFormat="false" ht="12.8" hidden="false" customHeight="false" outlineLevel="0" collapsed="false">
      <c r="A232" s="4" t="n">
        <v>206</v>
      </c>
      <c r="B232" s="5" t="str">
        <f aca="false">"PAPAIZ"</f>
        <v>PAPAIZ</v>
      </c>
      <c r="C232" s="6" t="n">
        <v>955561</v>
      </c>
      <c r="D232" s="7" t="n">
        <v>45775</v>
      </c>
      <c r="E232" s="7" t="n">
        <v>45745</v>
      </c>
      <c r="F232" s="7"/>
      <c r="G232" s="7"/>
      <c r="H232" s="7"/>
      <c r="I232" s="5" t="str">
        <f aca="false">""</f>
        <v/>
      </c>
      <c r="J232" s="15" t="n">
        <v>1556863</v>
      </c>
      <c r="K232" s="5" t="str">
        <f aca="false">"FERREIRA C"</f>
        <v>FERREIRA C</v>
      </c>
      <c r="L232" s="5" t="str">
        <f aca="false">"HOME CENTER"</f>
        <v>HOME CENTER</v>
      </c>
      <c r="M232" s="5" t="str">
        <f aca="false">"SE"</f>
        <v>SE</v>
      </c>
      <c r="N232" s="9" t="n">
        <v>810.45</v>
      </c>
      <c r="O232" s="10" t="n">
        <v>529.2</v>
      </c>
      <c r="P232" s="10" t="n">
        <v>443.21</v>
      </c>
      <c r="Q232" s="10" t="n">
        <v>0</v>
      </c>
      <c r="R232" s="10" t="n">
        <v>4.92</v>
      </c>
      <c r="S232" s="5" t="str">
        <f aca="false">"Embarque"</f>
        <v>Embarque</v>
      </c>
      <c r="T232" s="5" t="str">
        <f aca="false">"CLAUDIANA PA"</f>
        <v>CLAUDIANA PA</v>
      </c>
      <c r="U232" s="11" t="n">
        <v>25</v>
      </c>
      <c r="V232" s="5" t="str">
        <f aca="false">""</f>
        <v/>
      </c>
    </row>
    <row r="233" customFormat="false" ht="12.8" hidden="false" customHeight="false" outlineLevel="0" collapsed="false">
      <c r="A233" s="4" t="n">
        <v>206</v>
      </c>
      <c r="B233" s="5" t="str">
        <f aca="false">"PAPAIZ"</f>
        <v>PAPAIZ</v>
      </c>
      <c r="C233" s="6" t="n">
        <v>956607</v>
      </c>
      <c r="D233" s="7" t="n">
        <v>45775</v>
      </c>
      <c r="E233" s="7" t="n">
        <v>45750</v>
      </c>
      <c r="F233" s="7"/>
      <c r="G233" s="7"/>
      <c r="H233" s="7"/>
      <c r="I233" s="5" t="str">
        <f aca="false">""</f>
        <v/>
      </c>
      <c r="J233" s="17" t="n">
        <v>44</v>
      </c>
      <c r="K233" s="5" t="str">
        <f aca="false">"INOVE LEOPOL"</f>
        <v>INOVE LEOPOL</v>
      </c>
      <c r="L233" s="5" t="str">
        <f aca="false">"MATERIAL DE CONSTRUCAO"</f>
        <v>MATERIAL DE CONSTRUCAO</v>
      </c>
      <c r="M233" s="5" t="str">
        <f aca="false">"SP"</f>
        <v>SP</v>
      </c>
      <c r="N233" s="9" t="n">
        <v>440.4</v>
      </c>
      <c r="O233" s="10" t="n">
        <v>1205.72</v>
      </c>
      <c r="P233" s="10" t="n">
        <v>847.1</v>
      </c>
      <c r="Q233" s="10" t="n">
        <v>0</v>
      </c>
      <c r="R233" s="10" t="n">
        <v>13.61</v>
      </c>
      <c r="S233" s="5" t="str">
        <f aca="false">"Embarque"</f>
        <v>Embarque</v>
      </c>
      <c r="T233" s="5" t="str">
        <f aca="false">"BRFOKUS"</f>
        <v>BRFOKUS</v>
      </c>
      <c r="U233" s="11" t="n">
        <v>25</v>
      </c>
      <c r="V233" s="5" t="str">
        <f aca="false">""</f>
        <v/>
      </c>
    </row>
    <row r="234" customFormat="false" ht="12.8" hidden="false" customHeight="false" outlineLevel="0" collapsed="false">
      <c r="A234" s="4" t="n">
        <v>206</v>
      </c>
      <c r="B234" s="5" t="str">
        <f aca="false">"PAPAIZ"</f>
        <v>PAPAIZ</v>
      </c>
      <c r="C234" s="6" t="n">
        <v>954254</v>
      </c>
      <c r="D234" s="7" t="n">
        <v>45775</v>
      </c>
      <c r="E234" s="7" t="n">
        <v>45742</v>
      </c>
      <c r="F234" s="7"/>
      <c r="G234" s="7"/>
      <c r="H234" s="7"/>
      <c r="I234" s="5" t="str">
        <f aca="false">""</f>
        <v/>
      </c>
      <c r="J234" s="5" t="str">
        <f aca="false">"SPDPPZ031186"</f>
        <v>SPDPPZ031186</v>
      </c>
      <c r="K234" s="5" t="str">
        <f aca="false">"LAMAN"</f>
        <v>LAMAN</v>
      </c>
      <c r="L234" s="5" t="str">
        <f aca="false">"ATACADISTA"</f>
        <v>ATACADISTA</v>
      </c>
      <c r="M234" s="5" t="str">
        <f aca="false">"PA"</f>
        <v>PA</v>
      </c>
      <c r="N234" s="9" t="n">
        <v>4076.51</v>
      </c>
      <c r="O234" s="10" t="n">
        <v>479.4</v>
      </c>
      <c r="P234" s="10" t="n">
        <v>401.5</v>
      </c>
      <c r="Q234" s="10" t="n">
        <v>0</v>
      </c>
      <c r="R234" s="10" t="n">
        <v>3</v>
      </c>
      <c r="S234" s="5" t="str">
        <f aca="false">"Embarque"</f>
        <v>Embarque</v>
      </c>
      <c r="T234" s="5" t="str">
        <f aca="false">"MARQUES SOU"</f>
        <v>MARQUES SOU</v>
      </c>
      <c r="U234" s="11" t="n">
        <v>25</v>
      </c>
      <c r="V234" s="5" t="str">
        <f aca="false">""</f>
        <v/>
      </c>
    </row>
    <row r="235" customFormat="false" ht="12.8" hidden="false" customHeight="false" outlineLevel="0" collapsed="false">
      <c r="A235" s="4" t="n">
        <v>206</v>
      </c>
      <c r="B235" s="5" t="str">
        <f aca="false">"PAPAIZ"</f>
        <v>PAPAIZ</v>
      </c>
      <c r="C235" s="6" t="n">
        <v>956544</v>
      </c>
      <c r="D235" s="7" t="n">
        <v>45775</v>
      </c>
      <c r="E235" s="7" t="n">
        <v>45750</v>
      </c>
      <c r="F235" s="7"/>
      <c r="G235" s="7"/>
      <c r="H235" s="7"/>
      <c r="I235" s="5" t="str">
        <f aca="false">""</f>
        <v/>
      </c>
      <c r="J235" s="5" t="str">
        <f aca="false">"SPDPPZ032357"</f>
        <v>SPDPPZ032357</v>
      </c>
      <c r="K235" s="5" t="str">
        <f aca="false">"HAMAM GLOBAL"</f>
        <v>HAMAM GLOBAL</v>
      </c>
      <c r="L235" s="5" t="str">
        <f aca="false">"CONSTRUTORA"</f>
        <v>CONSTRUTORA</v>
      </c>
      <c r="M235" s="5" t="str">
        <f aca="false">"SP"</f>
        <v>SP</v>
      </c>
      <c r="N235" s="9" t="n">
        <v>0</v>
      </c>
      <c r="O235" s="10" t="n">
        <v>4140.72</v>
      </c>
      <c r="P235" s="10" t="n">
        <v>2828.52</v>
      </c>
      <c r="Q235" s="10" t="n">
        <v>0</v>
      </c>
      <c r="R235" s="10" t="n">
        <v>63.2</v>
      </c>
      <c r="S235" s="5" t="str">
        <f aca="false">"Embarque"</f>
        <v>Embarque</v>
      </c>
      <c r="T235" s="5" t="str">
        <f aca="false">"VIVIANE ALVE"</f>
        <v>VIVIANE ALVE</v>
      </c>
      <c r="U235" s="11" t="n">
        <v>25</v>
      </c>
      <c r="V235" s="5" t="str">
        <f aca="false">""</f>
        <v/>
      </c>
    </row>
    <row r="236" customFormat="false" ht="12.8" hidden="false" customHeight="false" outlineLevel="0" collapsed="false">
      <c r="A236" s="4" t="n">
        <v>206</v>
      </c>
      <c r="B236" s="5" t="str">
        <f aca="false">"PAPAIZ"</f>
        <v>PAPAIZ</v>
      </c>
      <c r="C236" s="6" t="n">
        <v>955566</v>
      </c>
      <c r="D236" s="7" t="n">
        <v>45775</v>
      </c>
      <c r="E236" s="7" t="n">
        <v>45745</v>
      </c>
      <c r="F236" s="7"/>
      <c r="G236" s="7"/>
      <c r="H236" s="7"/>
      <c r="I236" s="5" t="str">
        <f aca="false">""</f>
        <v/>
      </c>
      <c r="J236" s="5" t="str">
        <f aca="false">"SPDPPZ031186"</f>
        <v>SPDPPZ031186</v>
      </c>
      <c r="K236" s="5" t="str">
        <f aca="false">"LAMAN"</f>
        <v>LAMAN</v>
      </c>
      <c r="L236" s="5" t="str">
        <f aca="false">"ATACADISTA"</f>
        <v>ATACADISTA</v>
      </c>
      <c r="M236" s="5" t="str">
        <f aca="false">"PA"</f>
        <v>PA</v>
      </c>
      <c r="N236" s="9" t="n">
        <v>4076.51</v>
      </c>
      <c r="O236" s="10" t="n">
        <v>1762</v>
      </c>
      <c r="P236" s="10" t="n">
        <v>1475.68</v>
      </c>
      <c r="Q236" s="10" t="n">
        <v>0</v>
      </c>
      <c r="R236" s="10" t="n">
        <v>16.4</v>
      </c>
      <c r="S236" s="5" t="str">
        <f aca="false">"Embarque"</f>
        <v>Embarque</v>
      </c>
      <c r="T236" s="5" t="str">
        <f aca="false">"MARQUES SOU"</f>
        <v>MARQUES SOU</v>
      </c>
      <c r="U236" s="11" t="n">
        <v>25</v>
      </c>
      <c r="V236" s="5" t="str">
        <f aca="false">""</f>
        <v/>
      </c>
    </row>
    <row r="237" customFormat="false" ht="12.8" hidden="false" customHeight="false" outlineLevel="0" collapsed="false">
      <c r="A237" s="4" t="n">
        <v>206</v>
      </c>
      <c r="B237" s="5" t="str">
        <f aca="false">"PAPAIZ"</f>
        <v>PAPAIZ</v>
      </c>
      <c r="C237" s="6" t="n">
        <v>956568</v>
      </c>
      <c r="D237" s="7" t="n">
        <v>45775</v>
      </c>
      <c r="E237" s="7" t="n">
        <v>45750</v>
      </c>
      <c r="F237" s="7"/>
      <c r="G237" s="7"/>
      <c r="H237" s="7"/>
      <c r="I237" s="5" t="str">
        <f aca="false">""</f>
        <v/>
      </c>
      <c r="J237" s="5" t="str">
        <f aca="false">"SPDPPZ032282"</f>
        <v>SPDPPZ032282</v>
      </c>
      <c r="K237" s="5" t="str">
        <f aca="false">"AUTO CENTER"</f>
        <v>AUTO CENTER</v>
      </c>
      <c r="L237" s="5" t="str">
        <f aca="false">"NOVOS CANAIS"</f>
        <v>NOVOS CANAIS</v>
      </c>
      <c r="M237" s="5" t="str">
        <f aca="false">"PA"</f>
        <v>PA</v>
      </c>
      <c r="N237" s="9" t="n">
        <v>1958.48</v>
      </c>
      <c r="O237" s="10" t="n">
        <v>2687.7</v>
      </c>
      <c r="P237" s="10" t="n">
        <v>2250.95</v>
      </c>
      <c r="Q237" s="10" t="n">
        <v>0</v>
      </c>
      <c r="R237" s="10" t="n">
        <v>24.92</v>
      </c>
      <c r="S237" s="5" t="str">
        <f aca="false">"Embarque"</f>
        <v>Embarque</v>
      </c>
      <c r="T237" s="5" t="str">
        <f aca="false">"POMBO REPRES"</f>
        <v>POMBO REPRES</v>
      </c>
      <c r="U237" s="11" t="n">
        <v>25</v>
      </c>
      <c r="V237" s="5" t="str">
        <f aca="false">""</f>
        <v/>
      </c>
    </row>
    <row r="238" customFormat="false" ht="12.8" hidden="false" customHeight="false" outlineLevel="0" collapsed="false">
      <c r="A238" s="4" t="n">
        <v>206</v>
      </c>
      <c r="B238" s="5" t="str">
        <f aca="false">"PAPAIZ"</f>
        <v>PAPAIZ</v>
      </c>
      <c r="C238" s="6" t="n">
        <v>956663</v>
      </c>
      <c r="D238" s="7" t="n">
        <v>45776</v>
      </c>
      <c r="E238" s="7" t="n">
        <v>45750</v>
      </c>
      <c r="F238" s="7"/>
      <c r="G238" s="7"/>
      <c r="H238" s="7"/>
      <c r="I238" s="5" t="str">
        <f aca="false">""</f>
        <v/>
      </c>
      <c r="J238" s="5" t="str">
        <f aca="false">"PROGRAMADO P"</f>
        <v>PROGRAMADO P</v>
      </c>
      <c r="K238" s="5" t="str">
        <f aca="false">"WM1"</f>
        <v>WM1</v>
      </c>
      <c r="L238" s="5" t="str">
        <f aca="false">"ATACADISTA"</f>
        <v>ATACADISTA</v>
      </c>
      <c r="M238" s="5" t="str">
        <f aca="false">"GO"</f>
        <v>GO</v>
      </c>
      <c r="N238" s="9" t="n">
        <v>574.65</v>
      </c>
      <c r="O238" s="10" t="n">
        <v>180.09</v>
      </c>
      <c r="P238" s="10" t="n">
        <v>141.62</v>
      </c>
      <c r="Q238" s="10" t="n">
        <v>0</v>
      </c>
      <c r="R238" s="10" t="n">
        <v>0.63</v>
      </c>
      <c r="S238" s="5" t="str">
        <f aca="false">"Embarque"</f>
        <v>Embarque</v>
      </c>
      <c r="T238" s="5" t="str">
        <f aca="false">"FABIANO REIS"</f>
        <v>FABIANO REIS</v>
      </c>
      <c r="U238" s="11" t="n">
        <v>25</v>
      </c>
      <c r="V238" s="5" t="str">
        <f aca="false">""</f>
        <v/>
      </c>
    </row>
    <row r="239" customFormat="false" ht="12.8" hidden="false" customHeight="false" outlineLevel="0" collapsed="false">
      <c r="A239" s="4" t="n">
        <v>206</v>
      </c>
      <c r="B239" s="5" t="str">
        <f aca="false">"PAPAIZ"</f>
        <v>PAPAIZ</v>
      </c>
      <c r="C239" s="6" t="n">
        <v>956727</v>
      </c>
      <c r="D239" s="7" t="n">
        <v>45776</v>
      </c>
      <c r="E239" s="7" t="n">
        <v>45751</v>
      </c>
      <c r="F239" s="7"/>
      <c r="G239" s="7"/>
      <c r="H239" s="7"/>
      <c r="I239" s="5" t="str">
        <f aca="false">""</f>
        <v/>
      </c>
      <c r="J239" s="15" t="n">
        <v>1556863</v>
      </c>
      <c r="K239" s="5" t="str">
        <f aca="false">"F COSTA 3"</f>
        <v>F COSTA 3</v>
      </c>
      <c r="L239" s="5" t="str">
        <f aca="false">"HOME CENTER"</f>
        <v>HOME CENTER</v>
      </c>
      <c r="M239" s="5" t="str">
        <f aca="false">"PE"</f>
        <v>PE</v>
      </c>
      <c r="N239" s="9" t="n">
        <v>264.6</v>
      </c>
      <c r="O239" s="10" t="n">
        <v>419.2</v>
      </c>
      <c r="P239" s="10" t="n">
        <v>351.08</v>
      </c>
      <c r="Q239" s="10" t="n">
        <v>0</v>
      </c>
      <c r="R239" s="10" t="n">
        <v>4.72</v>
      </c>
      <c r="S239" s="5" t="str">
        <f aca="false">"Embarque"</f>
        <v>Embarque</v>
      </c>
      <c r="T239" s="5" t="str">
        <f aca="false">"CLAUDIANA PA"</f>
        <v>CLAUDIANA PA</v>
      </c>
      <c r="U239" s="11" t="n">
        <v>25</v>
      </c>
      <c r="V239" s="5" t="str">
        <f aca="false">""</f>
        <v/>
      </c>
    </row>
    <row r="240" customFormat="false" ht="12.8" hidden="false" customHeight="false" outlineLevel="0" collapsed="false">
      <c r="A240" s="4" t="n">
        <v>206</v>
      </c>
      <c r="B240" s="5" t="str">
        <f aca="false">"PAPAIZ"</f>
        <v>PAPAIZ</v>
      </c>
      <c r="C240" s="6" t="n">
        <v>955209</v>
      </c>
      <c r="D240" s="7" t="n">
        <v>45776</v>
      </c>
      <c r="E240" s="7" t="n">
        <v>45744</v>
      </c>
      <c r="F240" s="7"/>
      <c r="G240" s="7"/>
      <c r="H240" s="7"/>
      <c r="I240" s="5" t="str">
        <f aca="false">""</f>
        <v/>
      </c>
      <c r="J240" s="5" t="str">
        <f aca="false">"SPDPPZ030843"</f>
        <v>SPDPPZ030843</v>
      </c>
      <c r="K240" s="5" t="str">
        <f aca="false">"FIT"</f>
        <v>FIT</v>
      </c>
      <c r="L240" s="5" t="str">
        <f aca="false">"ATACADISTA"</f>
        <v>ATACADISTA</v>
      </c>
      <c r="M240" s="5" t="str">
        <f aca="false">"MG"</f>
        <v>MG</v>
      </c>
      <c r="N240" s="9" t="n">
        <v>0</v>
      </c>
      <c r="O240" s="10" t="n">
        <v>5197.5</v>
      </c>
      <c r="P240" s="10" t="n">
        <v>4093.03</v>
      </c>
      <c r="Q240" s="10" t="n">
        <v>0</v>
      </c>
      <c r="R240" s="10" t="n">
        <v>32.54</v>
      </c>
      <c r="S240" s="5" t="str">
        <f aca="false">"Embarque"</f>
        <v>Embarque</v>
      </c>
      <c r="T240" s="5" t="str">
        <f aca="false">"VIVIANE ALVE"</f>
        <v>VIVIANE ALVE</v>
      </c>
      <c r="U240" s="11" t="n">
        <v>25</v>
      </c>
      <c r="V240" s="5" t="str">
        <f aca="false">""</f>
        <v/>
      </c>
    </row>
    <row r="241" customFormat="false" ht="12.8" hidden="false" customHeight="false" outlineLevel="0" collapsed="false">
      <c r="A241" s="4" t="n">
        <v>206</v>
      </c>
      <c r="B241" s="5" t="str">
        <f aca="false">"PAPAIZ"</f>
        <v>PAPAIZ</v>
      </c>
      <c r="C241" s="6" t="n">
        <v>955555</v>
      </c>
      <c r="D241" s="7" t="n">
        <v>45776</v>
      </c>
      <c r="E241" s="7" t="n">
        <v>45745</v>
      </c>
      <c r="F241" s="7"/>
      <c r="G241" s="7"/>
      <c r="H241" s="7"/>
      <c r="I241" s="5" t="str">
        <f aca="false">""</f>
        <v/>
      </c>
      <c r="J241" s="5" t="str">
        <f aca="false">"SPDPPZ031241"</f>
        <v>SPDPPZ031241</v>
      </c>
      <c r="K241" s="5" t="str">
        <f aca="false">"CASA DO CO61"</f>
        <v>CASA DO CO61</v>
      </c>
      <c r="L241" s="5" t="str">
        <f aca="false">"MATERIAL DE CONSTRUCAO"</f>
        <v>MATERIAL DE CONSTRUCAO</v>
      </c>
      <c r="M241" s="5" t="str">
        <f aca="false">"RJ"</f>
        <v>RJ</v>
      </c>
      <c r="N241" s="9" t="n">
        <v>2781.2</v>
      </c>
      <c r="O241" s="10" t="n">
        <v>615</v>
      </c>
      <c r="P241" s="10" t="n">
        <v>484.31</v>
      </c>
      <c r="Q241" s="10" t="n">
        <v>0</v>
      </c>
      <c r="R241" s="10" t="n">
        <v>4.92</v>
      </c>
      <c r="S241" s="5" t="str">
        <f aca="false">"Embarque"</f>
        <v>Embarque</v>
      </c>
      <c r="T241" s="5" t="str">
        <f aca="false">"MOUNTAIN"</f>
        <v>MOUNTAIN</v>
      </c>
      <c r="U241" s="11" t="n">
        <v>25</v>
      </c>
      <c r="V241" s="5" t="str">
        <f aca="false">""</f>
        <v/>
      </c>
    </row>
    <row r="242" customFormat="false" ht="12.8" hidden="false" customHeight="false" outlineLevel="0" collapsed="false">
      <c r="A242" s="4" t="n">
        <v>206</v>
      </c>
      <c r="B242" s="5" t="str">
        <f aca="false">"PAPAIZ"</f>
        <v>PAPAIZ</v>
      </c>
      <c r="C242" s="6" t="n">
        <v>955569</v>
      </c>
      <c r="D242" s="7" t="n">
        <v>45776</v>
      </c>
      <c r="E242" s="7" t="n">
        <v>45745</v>
      </c>
      <c r="F242" s="7"/>
      <c r="G242" s="7"/>
      <c r="H242" s="7"/>
      <c r="I242" s="5" t="str">
        <f aca="false">""</f>
        <v/>
      </c>
      <c r="J242" s="5" t="str">
        <f aca="false">"SPDPPZ031246"</f>
        <v>SPDPPZ031246</v>
      </c>
      <c r="K242" s="5" t="str">
        <f aca="false">"MASSONI FERR"</f>
        <v>MASSONI FERR</v>
      </c>
      <c r="L242" s="5" t="str">
        <f aca="false">"FERRAGISTA"</f>
        <v>FERRAGISTA</v>
      </c>
      <c r="M242" s="5" t="str">
        <f aca="false">"SP"</f>
        <v>SP</v>
      </c>
      <c r="N242" s="9" t="n">
        <v>1489.8</v>
      </c>
      <c r="O242" s="10" t="n">
        <v>659.7</v>
      </c>
      <c r="P242" s="10" t="n">
        <v>479.93</v>
      </c>
      <c r="Q242" s="10" t="n">
        <v>0</v>
      </c>
      <c r="R242" s="10" t="n">
        <v>4.92</v>
      </c>
      <c r="S242" s="5" t="str">
        <f aca="false">"Embarque"</f>
        <v>Embarque</v>
      </c>
      <c r="T242" s="5" t="str">
        <f aca="false">"PRIME CF"</f>
        <v>PRIME CF</v>
      </c>
      <c r="U242" s="11" t="n">
        <v>25</v>
      </c>
      <c r="V242" s="5" t="str">
        <f aca="false">""</f>
        <v/>
      </c>
    </row>
    <row r="243" customFormat="false" ht="12.8" hidden="false" customHeight="false" outlineLevel="0" collapsed="false">
      <c r="A243" s="4" t="n">
        <v>206</v>
      </c>
      <c r="B243" s="5" t="str">
        <f aca="false">"PAPAIZ"</f>
        <v>PAPAIZ</v>
      </c>
      <c r="C243" s="6" t="n">
        <v>956573</v>
      </c>
      <c r="D243" s="7" t="n">
        <v>45776</v>
      </c>
      <c r="E243" s="7" t="n">
        <v>45750</v>
      </c>
      <c r="F243" s="7"/>
      <c r="G243" s="7"/>
      <c r="H243" s="7"/>
      <c r="I243" s="5" t="str">
        <f aca="false">""</f>
        <v/>
      </c>
      <c r="J243" s="5" t="str">
        <f aca="false">"SPDPPZ032319"</f>
        <v>SPDPPZ032319</v>
      </c>
      <c r="K243" s="5" t="str">
        <f aca="false">"CACULE-MATER"</f>
        <v>CACULE-MATER</v>
      </c>
      <c r="L243" s="5" t="str">
        <f aca="false">"MATERIAL DE CONSTRUCAO"</f>
        <v>MATERIAL DE CONSTRUCAO</v>
      </c>
      <c r="M243" s="5" t="str">
        <f aca="false">"SP"</f>
        <v>SP</v>
      </c>
      <c r="N243" s="9" t="n">
        <v>576.8</v>
      </c>
      <c r="O243" s="10" t="n">
        <v>2632.85</v>
      </c>
      <c r="P243" s="10" t="n">
        <v>1915.4</v>
      </c>
      <c r="Q243" s="10" t="n">
        <v>0</v>
      </c>
      <c r="R243" s="10" t="n">
        <v>15.5</v>
      </c>
      <c r="S243" s="5" t="str">
        <f aca="false">"Embarque"</f>
        <v>Embarque</v>
      </c>
      <c r="T243" s="5" t="str">
        <f aca="false">"C RUIVO"</f>
        <v>C RUIVO</v>
      </c>
      <c r="U243" s="11" t="n">
        <v>25</v>
      </c>
      <c r="V243" s="5" t="str">
        <f aca="false">""</f>
        <v/>
      </c>
    </row>
    <row r="244" customFormat="false" ht="12.8" hidden="false" customHeight="false" outlineLevel="0" collapsed="false">
      <c r="A244" s="4" t="n">
        <v>206</v>
      </c>
      <c r="B244" s="5" t="str">
        <f aca="false">"PAPAIZ"</f>
        <v>PAPAIZ</v>
      </c>
      <c r="C244" s="6" t="n">
        <v>956730</v>
      </c>
      <c r="D244" s="7" t="n">
        <v>45776</v>
      </c>
      <c r="E244" s="7" t="n">
        <v>45751</v>
      </c>
      <c r="F244" s="7"/>
      <c r="G244" s="7"/>
      <c r="H244" s="7"/>
      <c r="I244" s="5" t="str">
        <f aca="false">""</f>
        <v/>
      </c>
      <c r="J244" s="5" t="str">
        <f aca="false">"SPDPPZ032360"</f>
        <v>SPDPPZ032360</v>
      </c>
      <c r="K244" s="5" t="str">
        <f aca="false">"LIDERANCA 2"</f>
        <v>LIDERANCA 2</v>
      </c>
      <c r="L244" s="5" t="str">
        <f aca="false">"NOVOS CANAIS"</f>
        <v>NOVOS CANAIS</v>
      </c>
      <c r="M244" s="5" t="str">
        <f aca="false">"SP"</f>
        <v>SP</v>
      </c>
      <c r="N244" s="9" t="n">
        <v>856.35</v>
      </c>
      <c r="O244" s="10" t="n">
        <v>1504.56</v>
      </c>
      <c r="P244" s="10" t="n">
        <v>1094.57</v>
      </c>
      <c r="Q244" s="10" t="n">
        <v>0</v>
      </c>
      <c r="R244" s="10" t="n">
        <v>11.4</v>
      </c>
      <c r="S244" s="5" t="str">
        <f aca="false">"Embarque"</f>
        <v>Embarque</v>
      </c>
      <c r="T244" s="5" t="str">
        <f aca="false">"VARGAS REP"</f>
        <v>VARGAS REP</v>
      </c>
      <c r="U244" s="11" t="n">
        <v>25</v>
      </c>
      <c r="V244" s="5" t="str">
        <f aca="false">""</f>
        <v/>
      </c>
    </row>
    <row r="245" customFormat="false" ht="12.8" hidden="false" customHeight="false" outlineLevel="0" collapsed="false">
      <c r="A245" s="4" t="n">
        <v>206</v>
      </c>
      <c r="B245" s="5" t="str">
        <f aca="false">"PAPAIZ"</f>
        <v>PAPAIZ</v>
      </c>
      <c r="C245" s="6" t="n">
        <v>955984</v>
      </c>
      <c r="D245" s="7" t="n">
        <v>45777</v>
      </c>
      <c r="E245" s="7" t="n">
        <v>45748</v>
      </c>
      <c r="F245" s="7"/>
      <c r="G245" s="7"/>
      <c r="H245" s="7"/>
      <c r="I245" s="5" t="str">
        <f aca="false">""</f>
        <v/>
      </c>
      <c r="J245" s="5" t="str">
        <f aca="false">"SPDPPZ032151"</f>
        <v>SPDPPZ032151</v>
      </c>
      <c r="K245" s="5" t="str">
        <f aca="false">"55.958.659"</f>
        <v>55.958.659</v>
      </c>
      <c r="L245" s="5" t="str">
        <f aca="false">"NOVOS CANAIS"</f>
        <v>NOVOS CANAIS</v>
      </c>
      <c r="M245" s="5" t="str">
        <f aca="false">"PA"</f>
        <v>PA</v>
      </c>
      <c r="N245" s="9" t="n">
        <v>0</v>
      </c>
      <c r="O245" s="10" t="n">
        <v>1740.26</v>
      </c>
      <c r="P245" s="10" t="n">
        <v>1457.47</v>
      </c>
      <c r="Q245" s="10" t="n">
        <v>0</v>
      </c>
      <c r="R245" s="10" t="n">
        <v>13.04</v>
      </c>
      <c r="S245" s="5" t="str">
        <f aca="false">"Embarque"</f>
        <v>Embarque</v>
      </c>
      <c r="T245" s="5" t="str">
        <f aca="false">"Mirus"</f>
        <v>Mirus</v>
      </c>
      <c r="U245" s="11" t="n">
        <v>25</v>
      </c>
      <c r="V245" s="5" t="str">
        <f aca="false">""</f>
        <v/>
      </c>
    </row>
    <row r="246" customFormat="false" ht="12.8" hidden="false" customHeight="false" outlineLevel="0" collapsed="false">
      <c r="A246" s="4" t="n">
        <v>206</v>
      </c>
      <c r="B246" s="5" t="str">
        <f aca="false">"PAPAIZ"</f>
        <v>PAPAIZ</v>
      </c>
      <c r="C246" s="6" t="n">
        <v>956646</v>
      </c>
      <c r="D246" s="7" t="n">
        <v>45778</v>
      </c>
      <c r="E246" s="7" t="n">
        <v>45750</v>
      </c>
      <c r="F246" s="7"/>
      <c r="G246" s="7"/>
      <c r="H246" s="7"/>
      <c r="I246" s="5" t="str">
        <f aca="false">""</f>
        <v/>
      </c>
      <c r="J246" s="5" t="str">
        <f aca="false">"SPDPPZ032284"</f>
        <v>SPDPPZ032284</v>
      </c>
      <c r="K246" s="5" t="str">
        <f aca="false">"ZELARFERRAGE"</f>
        <v>ZELARFERRAGE</v>
      </c>
      <c r="L246" s="5" t="str">
        <f aca="false">"FERRAGISTA"</f>
        <v>FERRAGISTA</v>
      </c>
      <c r="M246" s="5" t="str">
        <f aca="false">"SP"</f>
        <v>SP</v>
      </c>
      <c r="N246" s="9" t="n">
        <v>346.6</v>
      </c>
      <c r="O246" s="10" t="n">
        <v>1500.75</v>
      </c>
      <c r="P246" s="10" t="n">
        <v>1091.8</v>
      </c>
      <c r="Q246" s="10" t="n">
        <v>0</v>
      </c>
      <c r="R246" s="10" t="n">
        <v>8.8</v>
      </c>
      <c r="S246" s="5" t="str">
        <f aca="false">"Embarque"</f>
        <v>Embarque</v>
      </c>
      <c r="T246" s="5" t="str">
        <f aca="false">"VASCONCELOS"</f>
        <v>VASCONCELOS</v>
      </c>
      <c r="U246" s="11" t="n">
        <v>25</v>
      </c>
      <c r="V246" s="5" t="str">
        <f aca="false">""</f>
        <v/>
      </c>
    </row>
    <row r="247" customFormat="false" ht="12.8" hidden="false" customHeight="false" outlineLevel="0" collapsed="false">
      <c r="A247" s="4" t="n">
        <v>206</v>
      </c>
      <c r="B247" s="5" t="str">
        <f aca="false">"PAPAIZ"</f>
        <v>PAPAIZ</v>
      </c>
      <c r="C247" s="6" t="n">
        <v>955611</v>
      </c>
      <c r="D247" s="7" t="n">
        <v>45778</v>
      </c>
      <c r="E247" s="7" t="n">
        <v>45746</v>
      </c>
      <c r="F247" s="7"/>
      <c r="G247" s="7"/>
      <c r="H247" s="7"/>
      <c r="I247" s="5" t="str">
        <f aca="false">""</f>
        <v/>
      </c>
      <c r="J247" s="13" t="n">
        <v>1830</v>
      </c>
      <c r="K247" s="5" t="str">
        <f aca="false">"UNIDADE DR."</f>
        <v>UNIDADE DR.</v>
      </c>
      <c r="L247" s="5" t="str">
        <f aca="false">"ATACADISTA"</f>
        <v>ATACADISTA</v>
      </c>
      <c r="M247" s="5" t="str">
        <f aca="false">"MG"</f>
        <v>MG</v>
      </c>
      <c r="N247" s="9" t="n">
        <v>4307.94</v>
      </c>
      <c r="O247" s="10" t="n">
        <v>931.5</v>
      </c>
      <c r="P247" s="10" t="n">
        <v>733.56</v>
      </c>
      <c r="Q247" s="10" t="n">
        <v>0</v>
      </c>
      <c r="R247" s="10" t="n">
        <v>8.2</v>
      </c>
      <c r="S247" s="5" t="str">
        <f aca="false">"Embarque"</f>
        <v>Embarque</v>
      </c>
      <c r="T247" s="5" t="str">
        <f aca="false">"N&amp;L REPRESEN"</f>
        <v>N&amp;L REPRESEN</v>
      </c>
      <c r="U247" s="11" t="n">
        <v>25</v>
      </c>
      <c r="V247" s="5" t="str">
        <f aca="false">""</f>
        <v/>
      </c>
    </row>
    <row r="248" customFormat="false" ht="12.8" hidden="false" customHeight="false" outlineLevel="0" collapsed="false">
      <c r="A248" s="4" t="n">
        <v>206</v>
      </c>
      <c r="B248" s="5" t="str">
        <f aca="false">"PAPAIZ"</f>
        <v>PAPAIZ</v>
      </c>
      <c r="C248" s="6" t="n">
        <v>955604</v>
      </c>
      <c r="D248" s="7" t="n">
        <v>45779</v>
      </c>
      <c r="E248" s="7" t="n">
        <v>45746</v>
      </c>
      <c r="F248" s="7"/>
      <c r="G248" s="7"/>
      <c r="H248" s="7"/>
      <c r="I248" s="5" t="str">
        <f aca="false">""</f>
        <v/>
      </c>
      <c r="J248" s="4" t="n">
        <v>408</v>
      </c>
      <c r="K248" s="5" t="str">
        <f aca="false">"FERMACON"</f>
        <v>FERMACON</v>
      </c>
      <c r="L248" s="5" t="str">
        <f aca="false">"MATERIAL DE CONSTRUCAO"</f>
        <v>MATERIAL DE CONSTRUCAO</v>
      </c>
      <c r="M248" s="5" t="str">
        <f aca="false">"BA"</f>
        <v>BA</v>
      </c>
      <c r="N248" s="9" t="n">
        <v>765.2</v>
      </c>
      <c r="O248" s="10" t="n">
        <v>352.18</v>
      </c>
      <c r="P248" s="10" t="n">
        <v>294.95</v>
      </c>
      <c r="Q248" s="10" t="n">
        <v>0</v>
      </c>
      <c r="R248" s="10" t="n">
        <v>2.54</v>
      </c>
      <c r="S248" s="5" t="str">
        <f aca="false">"Embarque"</f>
        <v>Embarque</v>
      </c>
      <c r="T248" s="5" t="str">
        <f aca="false">"Neves &amp; Andr"</f>
        <v>Neves &amp; Andr</v>
      </c>
      <c r="U248" s="11" t="n">
        <v>25</v>
      </c>
      <c r="V248" s="5" t="str">
        <f aca="false">""</f>
        <v/>
      </c>
    </row>
    <row r="249" customFormat="false" ht="12.8" hidden="false" customHeight="false" outlineLevel="0" collapsed="false">
      <c r="A249" s="4" t="n">
        <v>206</v>
      </c>
      <c r="B249" s="5" t="str">
        <f aca="false">"PAPAIZ"</f>
        <v>PAPAIZ</v>
      </c>
      <c r="C249" s="6" t="n">
        <v>955608</v>
      </c>
      <c r="D249" s="7" t="n">
        <v>45779</v>
      </c>
      <c r="E249" s="7" t="n">
        <v>45746</v>
      </c>
      <c r="F249" s="7"/>
      <c r="G249" s="7"/>
      <c r="H249" s="7"/>
      <c r="I249" s="5" t="str">
        <f aca="false">""</f>
        <v/>
      </c>
      <c r="J249" s="8" t="n">
        <v>197254</v>
      </c>
      <c r="K249" s="5" t="str">
        <f aca="false">"NORTEL 11"</f>
        <v>NORTEL 11</v>
      </c>
      <c r="L249" s="5" t="str">
        <f aca="false">"MATERIAL DE CONSTRUCAO"</f>
        <v>MATERIAL DE CONSTRUCAO</v>
      </c>
      <c r="M249" s="5" t="str">
        <f aca="false">"ES"</f>
        <v>ES</v>
      </c>
      <c r="N249" s="9" t="n">
        <v>169.6</v>
      </c>
      <c r="O249" s="10" t="n">
        <v>1099.9</v>
      </c>
      <c r="P249" s="10" t="n">
        <v>921.17</v>
      </c>
      <c r="Q249" s="10" t="n">
        <v>0</v>
      </c>
      <c r="R249" s="10" t="n">
        <v>6</v>
      </c>
      <c r="S249" s="5" t="str">
        <f aca="false">"Embarque"</f>
        <v>Embarque</v>
      </c>
      <c r="T249" s="5" t="str">
        <f aca="false">"Luiz Carlos"</f>
        <v>Luiz Carlos</v>
      </c>
      <c r="U249" s="11" t="n">
        <v>25</v>
      </c>
      <c r="V249" s="5" t="str">
        <f aca="false">""</f>
        <v/>
      </c>
    </row>
    <row r="250" customFormat="false" ht="12.8" hidden="false" customHeight="false" outlineLevel="0" collapsed="false">
      <c r="A250" s="4" t="n">
        <v>206</v>
      </c>
      <c r="B250" s="5" t="str">
        <f aca="false">"PAPAIZ"</f>
        <v>PAPAIZ</v>
      </c>
      <c r="C250" s="6" t="n">
        <v>956642</v>
      </c>
      <c r="D250" s="7" t="n">
        <v>45779</v>
      </c>
      <c r="E250" s="7" t="n">
        <v>45750</v>
      </c>
      <c r="F250" s="7"/>
      <c r="G250" s="7"/>
      <c r="H250" s="7"/>
      <c r="I250" s="5" t="str">
        <f aca="false">""</f>
        <v/>
      </c>
      <c r="J250" s="5" t="str">
        <f aca="false">"SPDPPZ032351"</f>
        <v>SPDPPZ032351</v>
      </c>
      <c r="K250" s="5" t="str">
        <f aca="false">"TRABULSI"</f>
        <v>TRABULSI</v>
      </c>
      <c r="L250" s="5" t="str">
        <f aca="false">"MATERIAL DE CONSTRUCAO"</f>
        <v>MATERIAL DE CONSTRUCAO</v>
      </c>
      <c r="M250" s="5" t="str">
        <f aca="false">"SP"</f>
        <v>SP</v>
      </c>
      <c r="N250" s="9" t="n">
        <v>109.95</v>
      </c>
      <c r="O250" s="10" t="n">
        <v>1023.9</v>
      </c>
      <c r="P250" s="10" t="n">
        <v>744.89</v>
      </c>
      <c r="Q250" s="10" t="n">
        <v>0</v>
      </c>
      <c r="R250" s="10" t="n">
        <v>4.2</v>
      </c>
      <c r="S250" s="5" t="str">
        <f aca="false">"Embarque"</f>
        <v>Embarque</v>
      </c>
      <c r="T250" s="5" t="str">
        <f aca="false">"C RUIVO"</f>
        <v>C RUIVO</v>
      </c>
      <c r="U250" s="11" t="n">
        <v>25</v>
      </c>
      <c r="V250" s="5" t="str">
        <f aca="false">""</f>
        <v/>
      </c>
    </row>
    <row r="251" customFormat="false" ht="12.8" hidden="false" customHeight="false" outlineLevel="0" collapsed="false">
      <c r="A251" s="4" t="n">
        <v>206</v>
      </c>
      <c r="B251" s="5" t="str">
        <f aca="false">"PAPAIZ"</f>
        <v>PAPAIZ</v>
      </c>
      <c r="C251" s="6" t="n">
        <v>955541</v>
      </c>
      <c r="D251" s="7" t="n">
        <v>45779</v>
      </c>
      <c r="E251" s="7" t="n">
        <v>45745</v>
      </c>
      <c r="F251" s="7"/>
      <c r="G251" s="7"/>
      <c r="H251" s="7"/>
      <c r="I251" s="5" t="str">
        <f aca="false">""</f>
        <v/>
      </c>
      <c r="J251" s="5" t="str">
        <f aca="false">"SPDPPZ031538"</f>
        <v>SPDPPZ031538</v>
      </c>
      <c r="K251" s="5" t="str">
        <f aca="false">"CAMELO"</f>
        <v>CAMELO</v>
      </c>
      <c r="L251" s="5" t="str">
        <f aca="false">"MATERIAL DE CONSTRUCAO"</f>
        <v>MATERIAL DE CONSTRUCAO</v>
      </c>
      <c r="M251" s="5" t="str">
        <f aca="false">"RJ"</f>
        <v>RJ</v>
      </c>
      <c r="N251" s="9" t="n">
        <v>0</v>
      </c>
      <c r="O251" s="10" t="n">
        <v>410</v>
      </c>
      <c r="P251" s="10" t="n">
        <v>322.88</v>
      </c>
      <c r="Q251" s="10" t="n">
        <v>0</v>
      </c>
      <c r="R251" s="10" t="n">
        <v>3.28</v>
      </c>
      <c r="S251" s="5" t="str">
        <f aca="false">"Embarque"</f>
        <v>Embarque</v>
      </c>
      <c r="T251" s="5" t="str">
        <f aca="false">"CMU REP"</f>
        <v>CMU REP</v>
      </c>
      <c r="U251" s="11" t="n">
        <v>25</v>
      </c>
      <c r="V251" s="5" t="str">
        <f aca="false">""</f>
        <v/>
      </c>
    </row>
    <row r="252" customFormat="false" ht="12.8" hidden="false" customHeight="false" outlineLevel="0" collapsed="false">
      <c r="A252" s="4" t="n">
        <v>206</v>
      </c>
      <c r="B252" s="5" t="str">
        <f aca="false">"PAPAIZ"</f>
        <v>PAPAIZ</v>
      </c>
      <c r="C252" s="6" t="n">
        <v>954988</v>
      </c>
      <c r="D252" s="7" t="n">
        <v>45780</v>
      </c>
      <c r="E252" s="7" t="n">
        <v>45744</v>
      </c>
      <c r="F252" s="7"/>
      <c r="G252" s="7"/>
      <c r="H252" s="7"/>
      <c r="I252" s="5" t="str">
        <f aca="false">""</f>
        <v/>
      </c>
      <c r="J252" s="5" t="str">
        <f aca="false">"SPDPPZ031761"</f>
        <v>SPDPPZ031761</v>
      </c>
      <c r="K252" s="5" t="str">
        <f aca="false">"PISOFORTE"</f>
        <v>PISOFORTE</v>
      </c>
      <c r="L252" s="5" t="str">
        <f aca="false">"MATERIAL DE CONSTRUCAO"</f>
        <v>MATERIAL DE CONSTRUCAO</v>
      </c>
      <c r="M252" s="5" t="str">
        <f aca="false">"PI"</f>
        <v>PI</v>
      </c>
      <c r="N252" s="9" t="n">
        <v>0</v>
      </c>
      <c r="O252" s="10" t="n">
        <v>193.9</v>
      </c>
      <c r="P252" s="10" t="n">
        <v>162.39</v>
      </c>
      <c r="Q252" s="10" t="n">
        <v>0</v>
      </c>
      <c r="R252" s="10" t="n">
        <v>1.64</v>
      </c>
      <c r="S252" s="5" t="str">
        <f aca="false">"Embarque"</f>
        <v>Embarque</v>
      </c>
      <c r="T252" s="5" t="str">
        <f aca="false">"Elpidio"</f>
        <v>Elpidio</v>
      </c>
      <c r="U252" s="11" t="n">
        <v>25</v>
      </c>
      <c r="V252" s="5" t="str">
        <f aca="false">""</f>
        <v/>
      </c>
    </row>
    <row r="253" customFormat="false" ht="12.8" hidden="false" customHeight="false" outlineLevel="0" collapsed="false">
      <c r="A253" s="4" t="n">
        <v>206</v>
      </c>
      <c r="B253" s="5" t="str">
        <f aca="false">"PAPAIZ"</f>
        <v>PAPAIZ</v>
      </c>
      <c r="C253" s="6" t="n">
        <v>956533</v>
      </c>
      <c r="D253" s="7" t="n">
        <v>45780</v>
      </c>
      <c r="E253" s="7" t="n">
        <v>45750</v>
      </c>
      <c r="F253" s="7"/>
      <c r="G253" s="7"/>
      <c r="H253" s="7"/>
      <c r="I253" s="5" t="str">
        <f aca="false">""</f>
        <v/>
      </c>
      <c r="J253" s="5" t="str">
        <f aca="false">"SPDPPZ031622"</f>
        <v>SPDPPZ031622</v>
      </c>
      <c r="K253" s="5" t="str">
        <f aca="false">"COMACOL COM"</f>
        <v>COMACOL COM</v>
      </c>
      <c r="L253" s="5" t="str">
        <f aca="false">"MATERIAL DE CONSTRUCAO"</f>
        <v>MATERIAL DE CONSTRUCAO</v>
      </c>
      <c r="M253" s="5" t="str">
        <f aca="false">"SP"</f>
        <v>SP</v>
      </c>
      <c r="N253" s="9" t="n">
        <v>0</v>
      </c>
      <c r="O253" s="10" t="n">
        <v>1140.83</v>
      </c>
      <c r="P253" s="10" t="n">
        <v>779.3</v>
      </c>
      <c r="Q253" s="10" t="n">
        <v>0</v>
      </c>
      <c r="R253" s="10" t="n">
        <v>2.72</v>
      </c>
      <c r="S253" s="5" t="str">
        <f aca="false">"Embarque"</f>
        <v>Embarque</v>
      </c>
      <c r="T253" s="5" t="str">
        <f aca="false">"HERCULES RIO"</f>
        <v>HERCULES RIO</v>
      </c>
      <c r="U253" s="11" t="n">
        <v>25</v>
      </c>
      <c r="V253" s="5" t="str">
        <f aca="false">""</f>
        <v/>
      </c>
    </row>
    <row r="254" customFormat="false" ht="12.8" hidden="false" customHeight="false" outlineLevel="0" collapsed="false">
      <c r="A254" s="4" t="n">
        <v>206</v>
      </c>
      <c r="B254" s="5" t="str">
        <f aca="false">"PAPAIZ"</f>
        <v>PAPAIZ</v>
      </c>
      <c r="C254" s="6" t="n">
        <v>956309</v>
      </c>
      <c r="D254" s="7" t="n">
        <v>45783</v>
      </c>
      <c r="E254" s="7" t="n">
        <v>45749</v>
      </c>
      <c r="F254" s="7"/>
      <c r="G254" s="7"/>
      <c r="H254" s="7"/>
      <c r="I254" s="5" t="str">
        <f aca="false">""</f>
        <v/>
      </c>
      <c r="J254" s="5" t="str">
        <f aca="false">"SPDPPZ030479"</f>
        <v>SPDPPZ030479</v>
      </c>
      <c r="K254" s="5" t="str">
        <f aca="false">"HZ SERVICO"</f>
        <v>HZ SERVICO</v>
      </c>
      <c r="L254" s="5" t="str">
        <f aca="false">"CONSTRUTORA"</f>
        <v>CONSTRUTORA</v>
      </c>
      <c r="M254" s="5" t="str">
        <f aca="false">"RJ"</f>
        <v>RJ</v>
      </c>
      <c r="N254" s="9" t="n">
        <v>0</v>
      </c>
      <c r="O254" s="10" t="n">
        <v>1234.68</v>
      </c>
      <c r="P254" s="10" t="n">
        <v>898.23</v>
      </c>
      <c r="Q254" s="10" t="n">
        <v>0</v>
      </c>
      <c r="R254" s="10" t="n">
        <v>10.43</v>
      </c>
      <c r="S254" s="5" t="str">
        <f aca="false">"Embarque"</f>
        <v>Embarque</v>
      </c>
      <c r="T254" s="5" t="str">
        <f aca="false">"Pacelo"</f>
        <v>Pacelo</v>
      </c>
      <c r="U254" s="11" t="n">
        <v>25</v>
      </c>
      <c r="V254" s="5" t="str">
        <f aca="false">""</f>
        <v/>
      </c>
    </row>
    <row r="255" customFormat="false" ht="12.8" hidden="false" customHeight="false" outlineLevel="0" collapsed="false">
      <c r="A255" s="4" t="n">
        <v>206</v>
      </c>
      <c r="B255" s="5" t="str">
        <f aca="false">"PAPAIZ"</f>
        <v>PAPAIZ</v>
      </c>
      <c r="C255" s="6" t="n">
        <v>952691</v>
      </c>
      <c r="D255" s="7" t="n">
        <v>45783</v>
      </c>
      <c r="E255" s="7" t="n">
        <v>45737</v>
      </c>
      <c r="F255" s="7"/>
      <c r="G255" s="7"/>
      <c r="H255" s="7"/>
      <c r="I255" s="5" t="str">
        <f aca="false">""</f>
        <v/>
      </c>
      <c r="J255" s="5" t="str">
        <f aca="false">"SPDPPZ031190"</f>
        <v>SPDPPZ031190</v>
      </c>
      <c r="K255" s="5" t="str">
        <f aca="false">"BRF REALIZAC"</f>
        <v>BRF REALIZAC</v>
      </c>
      <c r="L255" s="5" t="str">
        <f aca="false">"CONSTRUTORA"</f>
        <v>CONSTRUTORA</v>
      </c>
      <c r="M255" s="5" t="str">
        <f aca="false">"BA"</f>
        <v>BA</v>
      </c>
      <c r="N255" s="9" t="n">
        <v>0</v>
      </c>
      <c r="O255" s="10" t="n">
        <v>669.48</v>
      </c>
      <c r="P255" s="10" t="n">
        <v>487.05</v>
      </c>
      <c r="Q255" s="10" t="n">
        <v>0</v>
      </c>
      <c r="R255" s="10" t="n">
        <v>5.5</v>
      </c>
      <c r="S255" s="5" t="str">
        <f aca="false">"Embarque"</f>
        <v>Embarque</v>
      </c>
      <c r="T255" s="5" t="str">
        <f aca="false">"GRUPO PROTAZ"</f>
        <v>GRUPO PROTAZ</v>
      </c>
      <c r="U255" s="11" t="n">
        <v>25</v>
      </c>
      <c r="V255" s="5" t="str">
        <f aca="false">""</f>
        <v/>
      </c>
    </row>
    <row r="256" customFormat="false" ht="12.8" hidden="false" customHeight="false" outlineLevel="0" collapsed="false">
      <c r="A256" s="4" t="n">
        <v>206</v>
      </c>
      <c r="B256" s="5" t="str">
        <f aca="false">"LA FONTE"</f>
        <v>LA FONTE</v>
      </c>
      <c r="C256" s="6" t="n">
        <v>955663</v>
      </c>
      <c r="D256" s="7" t="n">
        <v>45784</v>
      </c>
      <c r="E256" s="7" t="n">
        <v>45747</v>
      </c>
      <c r="F256" s="7"/>
      <c r="G256" s="7"/>
      <c r="H256" s="7"/>
      <c r="I256" s="5" t="str">
        <f aca="false">""</f>
        <v/>
      </c>
      <c r="J256" s="14" t="n">
        <v>4500349039</v>
      </c>
      <c r="K256" s="5" t="str">
        <f aca="false">"OBRAMAX RJ"</f>
        <v>OBRAMAX RJ</v>
      </c>
      <c r="L256" s="5" t="str">
        <f aca="false">"HOME CENTER"</f>
        <v>HOME CENTER</v>
      </c>
      <c r="M256" s="5" t="str">
        <f aca="false">"RJ"</f>
        <v>RJ</v>
      </c>
      <c r="N256" s="9" t="n">
        <v>0</v>
      </c>
      <c r="O256" s="10" t="n">
        <v>2066.47</v>
      </c>
      <c r="P256" s="10" t="n">
        <v>1289.26</v>
      </c>
      <c r="Q256" s="10" t="n">
        <v>0</v>
      </c>
      <c r="R256" s="10" t="n">
        <v>12.08</v>
      </c>
      <c r="S256" s="5" t="str">
        <f aca="false">"Embarque"</f>
        <v>Embarque</v>
      </c>
      <c r="T256" s="5" t="str">
        <f aca="false">"ALEXANDRE P"</f>
        <v>ALEXANDRE P</v>
      </c>
      <c r="U256" s="11" t="n">
        <v>6</v>
      </c>
      <c r="V256" s="5" t="str">
        <f aca="false">""</f>
        <v/>
      </c>
    </row>
    <row r="257" customFormat="false" ht="12.8" hidden="false" customHeight="false" outlineLevel="0" collapsed="false">
      <c r="A257" s="4" t="n">
        <v>206</v>
      </c>
      <c r="B257" s="5" t="str">
        <f aca="false">"PAPAIZ"</f>
        <v>PAPAIZ</v>
      </c>
      <c r="C257" s="6" t="n">
        <v>956589</v>
      </c>
      <c r="D257" s="7" t="n">
        <v>45784</v>
      </c>
      <c r="E257" s="7" t="n">
        <v>45750</v>
      </c>
      <c r="F257" s="7"/>
      <c r="G257" s="7"/>
      <c r="H257" s="7"/>
      <c r="I257" s="5" t="str">
        <f aca="false">""</f>
        <v/>
      </c>
      <c r="J257" s="13" t="n">
        <v>3245</v>
      </c>
      <c r="K257" s="5" t="str">
        <f aca="false">"DISTAK"</f>
        <v>DISTAK</v>
      </c>
      <c r="L257" s="5" t="str">
        <f aca="false">"MATERIAL DE CONSTRUCAO"</f>
        <v>MATERIAL DE CONSTRUCAO</v>
      </c>
      <c r="M257" s="5" t="str">
        <f aca="false">"BA"</f>
        <v>BA</v>
      </c>
      <c r="N257" s="9" t="n">
        <v>899.6</v>
      </c>
      <c r="O257" s="10" t="n">
        <v>1556.4</v>
      </c>
      <c r="P257" s="10" t="n">
        <v>1303.49</v>
      </c>
      <c r="Q257" s="10" t="n">
        <v>0</v>
      </c>
      <c r="R257" s="10" t="n">
        <v>11.71</v>
      </c>
      <c r="S257" s="5" t="str">
        <f aca="false">"Embarque"</f>
        <v>Embarque</v>
      </c>
      <c r="T257" s="5" t="str">
        <f aca="false">"Borges"</f>
        <v>Borges</v>
      </c>
      <c r="U257" s="11" t="n">
        <v>25</v>
      </c>
      <c r="V257" s="5" t="str">
        <f aca="false">""</f>
        <v/>
      </c>
    </row>
    <row r="258" customFormat="false" ht="12.8" hidden="false" customHeight="false" outlineLevel="0" collapsed="false">
      <c r="A258" s="4" t="n">
        <v>206</v>
      </c>
      <c r="B258" s="5" t="str">
        <f aca="false">"PAPAIZ"</f>
        <v>PAPAIZ</v>
      </c>
      <c r="C258" s="6" t="n">
        <v>956617</v>
      </c>
      <c r="D258" s="7" t="n">
        <v>45785</v>
      </c>
      <c r="E258" s="7" t="n">
        <v>45750</v>
      </c>
      <c r="F258" s="7"/>
      <c r="G258" s="7"/>
      <c r="H258" s="7"/>
      <c r="I258" s="5" t="str">
        <f aca="false">""</f>
        <v/>
      </c>
      <c r="J258" s="5" t="str">
        <f aca="false">"SPDPPZ032100"</f>
        <v>SPDPPZ032100</v>
      </c>
      <c r="K258" s="5" t="str">
        <f aca="false">"LUCENA"</f>
        <v>LUCENA</v>
      </c>
      <c r="L258" s="5" t="str">
        <f aca="false">"MATERIAL DE CONSTRUCAO"</f>
        <v>MATERIAL DE CONSTRUCAO</v>
      </c>
      <c r="M258" s="5" t="str">
        <f aca="false">"RN"</f>
        <v>RN</v>
      </c>
      <c r="N258" s="9" t="n">
        <v>2871.75</v>
      </c>
      <c r="O258" s="10" t="n">
        <v>1793.75</v>
      </c>
      <c r="P258" s="10" t="n">
        <v>1502.27</v>
      </c>
      <c r="Q258" s="10" t="n">
        <v>0</v>
      </c>
      <c r="R258" s="10" t="n">
        <v>21.38</v>
      </c>
      <c r="S258" s="5" t="str">
        <f aca="false">"Embarque"</f>
        <v>Embarque</v>
      </c>
      <c r="T258" s="5" t="str">
        <f aca="false">"B3"</f>
        <v>B3</v>
      </c>
      <c r="U258" s="11" t="n">
        <v>25</v>
      </c>
      <c r="V258" s="5" t="str">
        <f aca="false">""</f>
        <v/>
      </c>
    </row>
    <row r="259" customFormat="false" ht="12.8" hidden="false" customHeight="false" outlineLevel="0" collapsed="false">
      <c r="A259" s="4" t="n">
        <v>206</v>
      </c>
      <c r="B259" s="5" t="str">
        <f aca="false">"PAPAIZ"</f>
        <v>PAPAIZ</v>
      </c>
      <c r="C259" s="6" t="n">
        <v>956323</v>
      </c>
      <c r="D259" s="7" t="n">
        <v>45785</v>
      </c>
      <c r="E259" s="7" t="n">
        <v>45749</v>
      </c>
      <c r="F259" s="7"/>
      <c r="G259" s="7"/>
      <c r="H259" s="7"/>
      <c r="I259" s="5" t="str">
        <f aca="false">""</f>
        <v/>
      </c>
      <c r="J259" s="8" t="n">
        <v>251602</v>
      </c>
      <c r="K259" s="5" t="str">
        <f aca="false">"SARGENTO"</f>
        <v>SARGENTO</v>
      </c>
      <c r="L259" s="5" t="str">
        <f aca="false">"ATACADISTA"</f>
        <v>ATACADISTA</v>
      </c>
      <c r="M259" s="5" t="str">
        <f aca="false">"RJ"</f>
        <v>RJ</v>
      </c>
      <c r="N259" s="9" t="n">
        <v>8379</v>
      </c>
      <c r="O259" s="10" t="n">
        <v>486.2</v>
      </c>
      <c r="P259" s="10" t="n">
        <v>382.88</v>
      </c>
      <c r="Q259" s="10" t="n">
        <v>0</v>
      </c>
      <c r="R259" s="10" t="n">
        <v>6.73</v>
      </c>
      <c r="S259" s="5" t="str">
        <f aca="false">"Embarque"</f>
        <v>Embarque</v>
      </c>
      <c r="T259" s="5" t="str">
        <f aca="false">"F2RIO REPRE"</f>
        <v>F2RIO REPRE</v>
      </c>
      <c r="U259" s="11" t="n">
        <v>25</v>
      </c>
      <c r="V259" s="5" t="str">
        <f aca="false">""</f>
        <v/>
      </c>
    </row>
    <row r="260" customFormat="false" ht="12.8" hidden="false" customHeight="false" outlineLevel="0" collapsed="false">
      <c r="A260" s="4" t="n">
        <v>206</v>
      </c>
      <c r="B260" s="5" t="str">
        <f aca="false">"PAPAIZ"</f>
        <v>PAPAIZ</v>
      </c>
      <c r="C260" s="6" t="n">
        <v>953987</v>
      </c>
      <c r="D260" s="7" t="n">
        <v>45785</v>
      </c>
      <c r="E260" s="7" t="n">
        <v>45742</v>
      </c>
      <c r="F260" s="7"/>
      <c r="G260" s="7"/>
      <c r="H260" s="7"/>
      <c r="I260" s="5" t="str">
        <f aca="false">""</f>
        <v/>
      </c>
      <c r="J260" s="5" t="str">
        <f aca="false">"SPDPPZ029532"</f>
        <v>SPDPPZ029532</v>
      </c>
      <c r="K260" s="5" t="str">
        <f aca="false">"LUFAT"</f>
        <v>LUFAT</v>
      </c>
      <c r="L260" s="5" t="str">
        <f aca="false">"VAREJO VIP"</f>
        <v>VAREJO VIP</v>
      </c>
      <c r="M260" s="5" t="str">
        <f aca="false">"RS"</f>
        <v>RS</v>
      </c>
      <c r="N260" s="9" t="n">
        <v>12593.33</v>
      </c>
      <c r="O260" s="10" t="n">
        <v>2150.37</v>
      </c>
      <c r="P260" s="10" t="n">
        <v>1375.13</v>
      </c>
      <c r="Q260" s="10" t="n">
        <v>0</v>
      </c>
      <c r="R260" s="10" t="n">
        <v>4.48</v>
      </c>
      <c r="S260" s="5" t="str">
        <f aca="false">"Embarque"</f>
        <v>Embarque</v>
      </c>
      <c r="T260" s="5" t="str">
        <f aca="false">"THAIS TORALE"</f>
        <v>THAIS TORALE</v>
      </c>
      <c r="U260" s="11" t="n">
        <v>25</v>
      </c>
      <c r="V260" s="5" t="str">
        <f aca="false">""</f>
        <v/>
      </c>
    </row>
    <row r="261" customFormat="false" ht="12.8" hidden="false" customHeight="false" outlineLevel="0" collapsed="false">
      <c r="A261" s="4" t="n">
        <v>206</v>
      </c>
      <c r="B261" s="5" t="str">
        <f aca="false">"PAPAIZ"</f>
        <v>PAPAIZ</v>
      </c>
      <c r="C261" s="6" t="n">
        <v>956291</v>
      </c>
      <c r="D261" s="7" t="n">
        <v>45786</v>
      </c>
      <c r="E261" s="7" t="n">
        <v>45749</v>
      </c>
      <c r="F261" s="7"/>
      <c r="G261" s="7"/>
      <c r="H261" s="7"/>
      <c r="I261" s="5" t="str">
        <f aca="false">""</f>
        <v/>
      </c>
      <c r="J261" s="5" t="str">
        <f aca="false">"SPDPPZ032167"</f>
        <v>SPDPPZ032167</v>
      </c>
      <c r="K261" s="5" t="str">
        <f aca="false">"VAL MATERIAL"</f>
        <v>VAL MATERIAL</v>
      </c>
      <c r="L261" s="5" t="str">
        <f aca="false">"MATERIAL DE CONSTRUCAO"</f>
        <v>MATERIAL DE CONSTRUCAO</v>
      </c>
      <c r="M261" s="5" t="str">
        <f aca="false">"SP"</f>
        <v>SP</v>
      </c>
      <c r="N261" s="9" t="n">
        <v>0</v>
      </c>
      <c r="O261" s="10" t="n">
        <v>439.8</v>
      </c>
      <c r="P261" s="10" t="n">
        <v>319.95</v>
      </c>
      <c r="Q261" s="10" t="n">
        <v>0</v>
      </c>
      <c r="R261" s="10" t="n">
        <v>3.28</v>
      </c>
      <c r="S261" s="5" t="str">
        <f aca="false">"Embarque"</f>
        <v>Embarque</v>
      </c>
      <c r="T261" s="5" t="str">
        <f aca="false">"C RUIVO"</f>
        <v>C RUIVO</v>
      </c>
      <c r="U261" s="11" t="n">
        <v>25</v>
      </c>
      <c r="V261" s="5" t="str">
        <f aca="false">""</f>
        <v/>
      </c>
    </row>
    <row r="262" customFormat="false" ht="12.8" hidden="false" customHeight="false" outlineLevel="0" collapsed="false">
      <c r="A262" s="4" t="n">
        <v>206</v>
      </c>
      <c r="B262" s="5" t="str">
        <f aca="false">"PAPAIZ"</f>
        <v>PAPAIZ</v>
      </c>
      <c r="C262" s="6" t="n">
        <v>956741</v>
      </c>
      <c r="D262" s="7" t="n">
        <v>45786</v>
      </c>
      <c r="E262" s="7" t="n">
        <v>45751</v>
      </c>
      <c r="F262" s="7"/>
      <c r="G262" s="7"/>
      <c r="H262" s="7"/>
      <c r="I262" s="5" t="str">
        <f aca="false">""</f>
        <v/>
      </c>
      <c r="J262" s="13" t="n">
        <v>8558</v>
      </c>
      <c r="K262" s="5" t="str">
        <f aca="false">"PUXE"</f>
        <v>PUXE</v>
      </c>
      <c r="L262" s="5" t="str">
        <f aca="false">"FERRAGISTA"</f>
        <v>FERRAGISTA</v>
      </c>
      <c r="M262" s="5" t="str">
        <f aca="false">"MG"</f>
        <v>MG</v>
      </c>
      <c r="N262" s="9" t="n">
        <v>654</v>
      </c>
      <c r="O262" s="10" t="n">
        <v>317.84</v>
      </c>
      <c r="P262" s="10" t="n">
        <v>227.19</v>
      </c>
      <c r="Q262" s="10" t="n">
        <v>0</v>
      </c>
      <c r="R262" s="10" t="n">
        <v>1.49</v>
      </c>
      <c r="S262" s="5" t="str">
        <f aca="false">"Embarque"</f>
        <v>Embarque</v>
      </c>
      <c r="T262" s="5" t="str">
        <f aca="false">"PERLA COSTA"</f>
        <v>PERLA COSTA</v>
      </c>
      <c r="U262" s="11" t="n">
        <v>25</v>
      </c>
      <c r="V262" s="5" t="str">
        <f aca="false">""</f>
        <v/>
      </c>
    </row>
    <row r="263" customFormat="false" ht="12.8" hidden="false" customHeight="false" outlineLevel="0" collapsed="false">
      <c r="A263" s="4" t="n">
        <v>206</v>
      </c>
      <c r="B263" s="5" t="str">
        <f aca="false">"PAPAIZ"</f>
        <v>PAPAIZ</v>
      </c>
      <c r="C263" s="6" t="n">
        <v>956522</v>
      </c>
      <c r="D263" s="7" t="n">
        <v>45786</v>
      </c>
      <c r="E263" s="7" t="n">
        <v>45750</v>
      </c>
      <c r="F263" s="7"/>
      <c r="G263" s="7"/>
      <c r="H263" s="7"/>
      <c r="I263" s="5" t="str">
        <f aca="false">""</f>
        <v/>
      </c>
      <c r="J263" s="5" t="str">
        <f aca="false">"SPDPPZ032154"</f>
        <v>SPDPPZ032154</v>
      </c>
      <c r="K263" s="5" t="str">
        <f aca="false">"1203 - E C M"</f>
        <v>1203 - E C M</v>
      </c>
      <c r="L263" s="5" t="str">
        <f aca="false">"MATERIAL DE CONSTRUCAO"</f>
        <v>MATERIAL DE CONSTRUCAO</v>
      </c>
      <c r="M263" s="5" t="str">
        <f aca="false">"SP"</f>
        <v>SP</v>
      </c>
      <c r="N263" s="9" t="n">
        <v>0</v>
      </c>
      <c r="O263" s="10" t="n">
        <v>2392.7</v>
      </c>
      <c r="P263" s="10" t="n">
        <v>1509.71</v>
      </c>
      <c r="Q263" s="10" t="n">
        <v>0</v>
      </c>
      <c r="R263" s="10" t="n">
        <v>17.02</v>
      </c>
      <c r="S263" s="5" t="str">
        <f aca="false">"Embarque"</f>
        <v>Embarque</v>
      </c>
      <c r="T263" s="5" t="str">
        <f aca="false">"VIVIANE ALVE"</f>
        <v>VIVIANE ALVE</v>
      </c>
      <c r="U263" s="11" t="n">
        <v>25</v>
      </c>
      <c r="V263" s="5" t="str">
        <f aca="false">""</f>
        <v/>
      </c>
    </row>
    <row r="264" customFormat="false" ht="12.8" hidden="false" customHeight="false" outlineLevel="0" collapsed="false">
      <c r="A264" s="4" t="n">
        <v>206</v>
      </c>
      <c r="B264" s="5" t="str">
        <f aca="false">"PAPAIZ"</f>
        <v>PAPAIZ</v>
      </c>
      <c r="C264" s="6" t="n">
        <v>956729</v>
      </c>
      <c r="D264" s="7" t="n">
        <v>45786</v>
      </c>
      <c r="E264" s="7" t="n">
        <v>45751</v>
      </c>
      <c r="F264" s="7"/>
      <c r="G264" s="7"/>
      <c r="H264" s="7"/>
      <c r="I264" s="5" t="str">
        <f aca="false">""</f>
        <v/>
      </c>
      <c r="J264" s="14" t="n">
        <v>4500310049</v>
      </c>
      <c r="K264" s="5" t="str">
        <f aca="false">"GRAVIA IND"</f>
        <v>GRAVIA IND</v>
      </c>
      <c r="L264" s="5" t="str">
        <f aca="false">"OEM"</f>
        <v>OEM</v>
      </c>
      <c r="M264" s="5" t="str">
        <f aca="false">"DF"</f>
        <v>DF</v>
      </c>
      <c r="N264" s="9" t="n">
        <v>872.8</v>
      </c>
      <c r="O264" s="10" t="n">
        <v>785.55</v>
      </c>
      <c r="P264" s="10" t="n">
        <v>657.9</v>
      </c>
      <c r="Q264" s="10" t="n">
        <v>0</v>
      </c>
      <c r="R264" s="10" t="n">
        <v>4.95</v>
      </c>
      <c r="S264" s="5" t="str">
        <f aca="false">"Embarque"</f>
        <v>Embarque</v>
      </c>
      <c r="T264" s="5" t="str">
        <f aca="false">"KGS NEW"</f>
        <v>KGS NEW</v>
      </c>
      <c r="U264" s="11" t="n">
        <v>25</v>
      </c>
      <c r="V264" s="5" t="str">
        <f aca="false">""</f>
        <v/>
      </c>
    </row>
    <row r="265" customFormat="false" ht="12.8" hidden="false" customHeight="false" outlineLevel="0" collapsed="false">
      <c r="A265" s="4" t="n">
        <v>206</v>
      </c>
      <c r="B265" s="5" t="str">
        <f aca="false">"PAPAIZ"</f>
        <v>PAPAIZ</v>
      </c>
      <c r="C265" s="6" t="n">
        <v>955701</v>
      </c>
      <c r="D265" s="7" t="n">
        <v>45786</v>
      </c>
      <c r="E265" s="7" t="n">
        <v>45747</v>
      </c>
      <c r="F265" s="7"/>
      <c r="G265" s="7"/>
      <c r="H265" s="7"/>
      <c r="I265" s="5" t="str">
        <f aca="false">""</f>
        <v/>
      </c>
      <c r="J265" s="5" t="str">
        <f aca="false">"SPDPPZ032068"</f>
        <v>SPDPPZ032068</v>
      </c>
      <c r="K265" s="5" t="str">
        <f aca="false">"REI DAS FECH"</f>
        <v>REI DAS FECH</v>
      </c>
      <c r="L265" s="5" t="str">
        <f aca="false">"FERRAGISTA"</f>
        <v>FERRAGISTA</v>
      </c>
      <c r="M265" s="5" t="str">
        <f aca="false">"SP"</f>
        <v>SP</v>
      </c>
      <c r="N265" s="9" t="n">
        <v>0</v>
      </c>
      <c r="O265" s="10" t="n">
        <v>1782.25</v>
      </c>
      <c r="P265" s="10" t="n">
        <v>1124.53</v>
      </c>
      <c r="Q265" s="10" t="n">
        <v>0</v>
      </c>
      <c r="R265" s="10" t="n">
        <v>5.87</v>
      </c>
      <c r="S265" s="5" t="str">
        <f aca="false">"Embarque"</f>
        <v>Embarque</v>
      </c>
      <c r="T265" s="5" t="str">
        <f aca="false">"Luiz Carlos"</f>
        <v>Luiz Carlos</v>
      </c>
      <c r="U265" s="11" t="n">
        <v>25</v>
      </c>
      <c r="V265" s="5" t="str">
        <f aca="false">""</f>
        <v/>
      </c>
    </row>
    <row r="266" customFormat="false" ht="12.8" hidden="false" customHeight="false" outlineLevel="0" collapsed="false">
      <c r="A266" s="4" t="n">
        <v>206</v>
      </c>
      <c r="B266" s="5" t="str">
        <f aca="false">"PAPAIZ"</f>
        <v>PAPAIZ</v>
      </c>
      <c r="C266" s="6" t="n">
        <v>956611</v>
      </c>
      <c r="D266" s="7" t="n">
        <v>45786</v>
      </c>
      <c r="E266" s="7" t="n">
        <v>45750</v>
      </c>
      <c r="F266" s="7"/>
      <c r="G266" s="7"/>
      <c r="H266" s="7"/>
      <c r="I266" s="5" t="str">
        <f aca="false">""</f>
        <v/>
      </c>
      <c r="J266" s="5" t="str">
        <f aca="false">"SPDPPZ032111"</f>
        <v>SPDPPZ032111</v>
      </c>
      <c r="K266" s="5" t="str">
        <f aca="false">"JOSE 31"</f>
        <v>JOSE 31</v>
      </c>
      <c r="L266" s="5" t="str">
        <f aca="false">"MATERIAL DE CONSTRUCAO"</f>
        <v>MATERIAL DE CONSTRUCAO</v>
      </c>
      <c r="M266" s="5" t="str">
        <f aca="false">"RN"</f>
        <v>RN</v>
      </c>
      <c r="N266" s="9" t="n">
        <v>4187.9</v>
      </c>
      <c r="O266" s="10" t="n">
        <v>1076.25</v>
      </c>
      <c r="P266" s="10" t="n">
        <v>901.36</v>
      </c>
      <c r="Q266" s="10" t="n">
        <v>0</v>
      </c>
      <c r="R266" s="10" t="n">
        <v>12.83</v>
      </c>
      <c r="S266" s="5" t="str">
        <f aca="false">"Embarque"</f>
        <v>Embarque</v>
      </c>
      <c r="T266" s="5" t="str">
        <f aca="false">"B3"</f>
        <v>B3</v>
      </c>
      <c r="U266" s="11" t="n">
        <v>25</v>
      </c>
      <c r="V266" s="5" t="str">
        <f aca="false">""</f>
        <v/>
      </c>
    </row>
    <row r="267" customFormat="false" ht="12.8" hidden="false" customHeight="false" outlineLevel="0" collapsed="false">
      <c r="A267" s="4" t="n">
        <v>206</v>
      </c>
      <c r="B267" s="5" t="str">
        <f aca="false">"PAPAIZ"</f>
        <v>PAPAIZ</v>
      </c>
      <c r="C267" s="6" t="n">
        <v>956558</v>
      </c>
      <c r="D267" s="7" t="n">
        <v>45786</v>
      </c>
      <c r="E267" s="7" t="n">
        <v>45750</v>
      </c>
      <c r="F267" s="7"/>
      <c r="G267" s="7"/>
      <c r="H267" s="7"/>
      <c r="I267" s="5" t="str">
        <f aca="false">""</f>
        <v/>
      </c>
      <c r="J267" s="5" t="str">
        <f aca="false">"SPDPPZ032167"</f>
        <v>SPDPPZ032167</v>
      </c>
      <c r="K267" s="5" t="str">
        <f aca="false">"VAL MATERIAL"</f>
        <v>VAL MATERIAL</v>
      </c>
      <c r="L267" s="5" t="str">
        <f aca="false">"MATERIAL DE CONSTRUCAO"</f>
        <v>MATERIAL DE CONSTRUCAO</v>
      </c>
      <c r="M267" s="5" t="str">
        <f aca="false">"SP"</f>
        <v>SP</v>
      </c>
      <c r="N267" s="9" t="n">
        <v>0</v>
      </c>
      <c r="O267" s="10" t="n">
        <v>237.84</v>
      </c>
      <c r="P267" s="10" t="n">
        <v>173.03</v>
      </c>
      <c r="Q267" s="10" t="n">
        <v>0</v>
      </c>
      <c r="R267" s="10" t="n">
        <v>1.01</v>
      </c>
      <c r="S267" s="5" t="str">
        <f aca="false">"Embarque"</f>
        <v>Embarque</v>
      </c>
      <c r="T267" s="5" t="str">
        <f aca="false">"C RUIVO"</f>
        <v>C RUIVO</v>
      </c>
      <c r="U267" s="11" t="n">
        <v>25</v>
      </c>
      <c r="V267" s="5" t="str">
        <f aca="false">""</f>
        <v/>
      </c>
    </row>
    <row r="268" customFormat="false" ht="12.8" hidden="false" customHeight="false" outlineLevel="0" collapsed="false">
      <c r="A268" s="4" t="n">
        <v>206</v>
      </c>
      <c r="B268" s="5" t="str">
        <f aca="false">"PAPAIZ"</f>
        <v>PAPAIZ</v>
      </c>
      <c r="C268" s="6" t="n">
        <v>956529</v>
      </c>
      <c r="D268" s="7" t="n">
        <v>45786</v>
      </c>
      <c r="E268" s="7" t="n">
        <v>45750</v>
      </c>
      <c r="F268" s="7"/>
      <c r="G268" s="7"/>
      <c r="H268" s="7"/>
      <c r="I268" s="5" t="str">
        <f aca="false">""</f>
        <v/>
      </c>
      <c r="J268" s="5" t="str">
        <f aca="false">"SPDPPZ032182"</f>
        <v>SPDPPZ032182</v>
      </c>
      <c r="K268" s="5" t="str">
        <f aca="false">"BRASIL CASAS"</f>
        <v>BRASIL CASAS</v>
      </c>
      <c r="L268" s="5" t="str">
        <f aca="false">"OEM"</f>
        <v>OEM</v>
      </c>
      <c r="M268" s="5" t="str">
        <f aca="false">"SP"</f>
        <v>SP</v>
      </c>
      <c r="N268" s="9" t="n">
        <v>0</v>
      </c>
      <c r="O268" s="10" t="n">
        <v>6304.5</v>
      </c>
      <c r="P268" s="10" t="n">
        <v>4586.52</v>
      </c>
      <c r="Q268" s="10" t="n">
        <v>0</v>
      </c>
      <c r="R268" s="10" t="n">
        <v>74.11</v>
      </c>
      <c r="S268" s="5" t="str">
        <f aca="false">"Embarque"</f>
        <v>Embarque</v>
      </c>
      <c r="T268" s="5" t="str">
        <f aca="false">"PRIME CF"</f>
        <v>PRIME CF</v>
      </c>
      <c r="U268" s="11" t="n">
        <v>25</v>
      </c>
      <c r="V268" s="5" t="str">
        <f aca="false">""</f>
        <v/>
      </c>
    </row>
    <row r="269" customFormat="false" ht="12.8" hidden="false" customHeight="false" outlineLevel="0" collapsed="false">
      <c r="A269" s="4" t="n">
        <v>206</v>
      </c>
      <c r="B269" s="5" t="str">
        <f aca="false">"PAPAIZ"</f>
        <v>PAPAIZ</v>
      </c>
      <c r="C269" s="6" t="n">
        <v>956572</v>
      </c>
      <c r="D269" s="7" t="n">
        <v>45787</v>
      </c>
      <c r="E269" s="7" t="n">
        <v>45750</v>
      </c>
      <c r="F269" s="7"/>
      <c r="G269" s="7"/>
      <c r="H269" s="7"/>
      <c r="I269" s="5" t="str">
        <f aca="false">""</f>
        <v/>
      </c>
      <c r="J269" s="13" t="n">
        <v>2740</v>
      </c>
      <c r="K269" s="5" t="str">
        <f aca="false">"BRAIDO"</f>
        <v>BRAIDO</v>
      </c>
      <c r="L269" s="5" t="str">
        <f aca="false">"CONSTRUTORA"</f>
        <v>CONSTRUTORA</v>
      </c>
      <c r="M269" s="5" t="str">
        <f aca="false">"SP"</f>
        <v>SP</v>
      </c>
      <c r="N269" s="9" t="n">
        <v>1345.9</v>
      </c>
      <c r="O269" s="10" t="n">
        <v>1734.02</v>
      </c>
      <c r="P269" s="10" t="n">
        <v>1261.5</v>
      </c>
      <c r="Q269" s="10" t="n">
        <v>0</v>
      </c>
      <c r="R269" s="10" t="n">
        <v>12</v>
      </c>
      <c r="S269" s="5" t="str">
        <f aca="false">"Embarque"</f>
        <v>Embarque</v>
      </c>
      <c r="T269" s="5" t="str">
        <f aca="false">"PAULO KOSILE"</f>
        <v>PAULO KOSILE</v>
      </c>
      <c r="U269" s="11" t="n">
        <v>25</v>
      </c>
      <c r="V269" s="5" t="str">
        <f aca="false">""</f>
        <v/>
      </c>
    </row>
    <row r="270" customFormat="false" ht="12.8" hidden="false" customHeight="false" outlineLevel="0" collapsed="false">
      <c r="A270" s="4" t="n">
        <v>206</v>
      </c>
      <c r="B270" s="5" t="str">
        <f aca="false">"PAPAIZ"</f>
        <v>PAPAIZ</v>
      </c>
      <c r="C270" s="6" t="n">
        <v>956830</v>
      </c>
      <c r="D270" s="7" t="n">
        <v>45787</v>
      </c>
      <c r="E270" s="7" t="n">
        <v>45751</v>
      </c>
      <c r="F270" s="7"/>
      <c r="G270" s="7"/>
      <c r="H270" s="7"/>
      <c r="I270" s="5" t="str">
        <f aca="false">""</f>
        <v/>
      </c>
      <c r="J270" s="5" t="str">
        <f aca="false">"7XRYJHLD"</f>
        <v>7XRYJHLD</v>
      </c>
      <c r="K270" s="5" t="str">
        <f aca="false">"AMAZON SERVI"</f>
        <v>AMAZON SERVI</v>
      </c>
      <c r="L270" s="5" t="str">
        <f aca="false">"WEBSHOP"</f>
        <v>WEBSHOP</v>
      </c>
      <c r="M270" s="5" t="str">
        <f aca="false">"SP"</f>
        <v>SP</v>
      </c>
      <c r="N270" s="9" t="n">
        <v>504.12</v>
      </c>
      <c r="O270" s="10" t="n">
        <v>28481.67</v>
      </c>
      <c r="P270" s="10" t="n">
        <v>20654.11</v>
      </c>
      <c r="Q270" s="10" t="n">
        <v>0</v>
      </c>
      <c r="R270" s="10" t="n">
        <v>103.51</v>
      </c>
      <c r="S270" s="5" t="str">
        <f aca="false">"Embarque"</f>
        <v>Embarque</v>
      </c>
      <c r="T270" s="5" t="str">
        <f aca="false">"LARISSA NELO"</f>
        <v>LARISSA NELO</v>
      </c>
      <c r="U270" s="11" t="n">
        <v>25</v>
      </c>
      <c r="V270" s="5" t="str">
        <f aca="false">""</f>
        <v/>
      </c>
    </row>
    <row r="271" customFormat="false" ht="12.8" hidden="false" customHeight="false" outlineLevel="0" collapsed="false">
      <c r="A271" s="4" t="n">
        <v>206</v>
      </c>
      <c r="B271" s="5" t="str">
        <f aca="false">"PAPAIZ"</f>
        <v>PAPAIZ</v>
      </c>
      <c r="C271" s="6" t="n">
        <v>956645</v>
      </c>
      <c r="D271" s="7" t="n">
        <v>45787</v>
      </c>
      <c r="E271" s="7" t="n">
        <v>45750</v>
      </c>
      <c r="F271" s="7"/>
      <c r="G271" s="7"/>
      <c r="H271" s="7"/>
      <c r="I271" s="5" t="str">
        <f aca="false">""</f>
        <v/>
      </c>
      <c r="J271" s="5" t="str">
        <f aca="false">"SPDPPZ032263"</f>
        <v>SPDPPZ032263</v>
      </c>
      <c r="K271" s="5" t="str">
        <f aca="false">"WANDERSONMAR"</f>
        <v>WANDERSONMAR</v>
      </c>
      <c r="L271" s="5" t="str">
        <f aca="false">"FERRAGISTA"</f>
        <v>FERRAGISTA</v>
      </c>
      <c r="M271" s="5" t="str">
        <f aca="false">"MG"</f>
        <v>MG</v>
      </c>
      <c r="N271" s="9" t="n">
        <v>942.64</v>
      </c>
      <c r="O271" s="10" t="n">
        <v>2315.24</v>
      </c>
      <c r="P271" s="10" t="n">
        <v>1616.27</v>
      </c>
      <c r="Q271" s="10" t="n">
        <v>0</v>
      </c>
      <c r="R271" s="10" t="n">
        <v>17.26</v>
      </c>
      <c r="S271" s="5" t="str">
        <f aca="false">"Embarque"</f>
        <v>Embarque</v>
      </c>
      <c r="T271" s="5" t="str">
        <f aca="false">"PVS REPRESE"</f>
        <v>PVS REPRESE</v>
      </c>
      <c r="U271" s="11" t="n">
        <v>25</v>
      </c>
      <c r="V271" s="5" t="str">
        <f aca="false">""</f>
        <v/>
      </c>
    </row>
    <row r="272" customFormat="false" ht="12.8" hidden="false" customHeight="false" outlineLevel="0" collapsed="false">
      <c r="A272" s="4" t="n">
        <v>206</v>
      </c>
      <c r="B272" s="5" t="str">
        <f aca="false">"PAPAIZ"</f>
        <v>PAPAIZ</v>
      </c>
      <c r="C272" s="6" t="n">
        <v>956579</v>
      </c>
      <c r="D272" s="7" t="n">
        <v>45787</v>
      </c>
      <c r="E272" s="7" t="n">
        <v>45750</v>
      </c>
      <c r="F272" s="7"/>
      <c r="G272" s="7"/>
      <c r="H272" s="7"/>
      <c r="I272" s="5" t="str">
        <f aca="false">""</f>
        <v/>
      </c>
      <c r="J272" s="15" t="n">
        <v>1019384</v>
      </c>
      <c r="K272" s="5" t="str">
        <f aca="false">"CATARINENS63"</f>
        <v>CATARINENS63</v>
      </c>
      <c r="L272" s="5" t="str">
        <f aca="false">"MATERIAL DE CONSTRUCAO"</f>
        <v>MATERIAL DE CONSTRUCAO</v>
      </c>
      <c r="M272" s="5" t="str">
        <f aca="false">"SP"</f>
        <v>SP</v>
      </c>
      <c r="N272" s="9" t="n">
        <v>393.6</v>
      </c>
      <c r="O272" s="10" t="n">
        <v>842.2</v>
      </c>
      <c r="P272" s="10" t="n">
        <v>575.31</v>
      </c>
      <c r="Q272" s="10" t="n">
        <v>0</v>
      </c>
      <c r="R272" s="10" t="n">
        <v>3.33</v>
      </c>
      <c r="S272" s="5" t="str">
        <f aca="false">"Embarque"</f>
        <v>Embarque</v>
      </c>
      <c r="T272" s="5" t="str">
        <f aca="false">"PRIME CF"</f>
        <v>PRIME CF</v>
      </c>
      <c r="U272" s="11" t="n">
        <v>25</v>
      </c>
      <c r="V272" s="5" t="str">
        <f aca="false">""</f>
        <v/>
      </c>
    </row>
    <row r="273" customFormat="false" ht="12.8" hidden="false" customHeight="false" outlineLevel="0" collapsed="false">
      <c r="A273" s="4" t="n">
        <v>206</v>
      </c>
      <c r="B273" s="5" t="str">
        <f aca="false">"PAPAIZ"</f>
        <v>PAPAIZ</v>
      </c>
      <c r="C273" s="6" t="n">
        <v>956606</v>
      </c>
      <c r="D273" s="7" t="n">
        <v>45787</v>
      </c>
      <c r="E273" s="7" t="n">
        <v>45750</v>
      </c>
      <c r="F273" s="7"/>
      <c r="G273" s="7"/>
      <c r="H273" s="7"/>
      <c r="I273" s="5" t="str">
        <f aca="false">""</f>
        <v/>
      </c>
      <c r="J273" s="5" t="str">
        <f aca="false">"SPDPPZ032285"</f>
        <v>SPDPPZ032285</v>
      </c>
      <c r="K273" s="5" t="str">
        <f aca="false">"HIDREL PARAF"</f>
        <v>HIDREL PARAF</v>
      </c>
      <c r="L273" s="5" t="str">
        <f aca="false">"FERRAGISTA"</f>
        <v>FERRAGISTA</v>
      </c>
      <c r="M273" s="5" t="str">
        <f aca="false">"SP"</f>
        <v>SP</v>
      </c>
      <c r="N273" s="9" t="n">
        <v>1070.4</v>
      </c>
      <c r="O273" s="10" t="n">
        <v>977.3</v>
      </c>
      <c r="P273" s="10" t="n">
        <v>710.99</v>
      </c>
      <c r="Q273" s="10" t="n">
        <v>0</v>
      </c>
      <c r="R273" s="10" t="n">
        <v>7.17</v>
      </c>
      <c r="S273" s="5" t="str">
        <f aca="false">"Embarque"</f>
        <v>Embarque</v>
      </c>
      <c r="T273" s="5" t="str">
        <f aca="false">"NBPIRES"</f>
        <v>NBPIRES</v>
      </c>
      <c r="U273" s="11" t="n">
        <v>25</v>
      </c>
      <c r="V273" s="5" t="str">
        <f aca="false">""</f>
        <v/>
      </c>
    </row>
    <row r="274" customFormat="false" ht="12.8" hidden="false" customHeight="false" outlineLevel="0" collapsed="false">
      <c r="A274" s="4" t="n">
        <v>206</v>
      </c>
      <c r="B274" s="5" t="str">
        <f aca="false">"PAPAIZ"</f>
        <v>PAPAIZ</v>
      </c>
      <c r="C274" s="6" t="n">
        <v>956714</v>
      </c>
      <c r="D274" s="7" t="n">
        <v>45787</v>
      </c>
      <c r="E274" s="7" t="n">
        <v>45751</v>
      </c>
      <c r="F274" s="7"/>
      <c r="G274" s="7"/>
      <c r="H274" s="7"/>
      <c r="I274" s="5" t="str">
        <f aca="false">""</f>
        <v/>
      </c>
      <c r="J274" s="13" t="n">
        <v>2740</v>
      </c>
      <c r="K274" s="5" t="str">
        <f aca="false">"BRAIDO"</f>
        <v>BRAIDO</v>
      </c>
      <c r="L274" s="5" t="str">
        <f aca="false">"CONSTRUTORA"</f>
        <v>CONSTRUTORA</v>
      </c>
      <c r="M274" s="5" t="str">
        <f aca="false">"SP"</f>
        <v>SP</v>
      </c>
      <c r="N274" s="9" t="n">
        <v>1345.9</v>
      </c>
      <c r="O274" s="10" t="n">
        <v>653.92</v>
      </c>
      <c r="P274" s="10" t="n">
        <v>475.73</v>
      </c>
      <c r="Q274" s="10" t="n">
        <v>0</v>
      </c>
      <c r="R274" s="10" t="n">
        <v>4.57</v>
      </c>
      <c r="S274" s="5" t="str">
        <f aca="false">"Embarque"</f>
        <v>Embarque</v>
      </c>
      <c r="T274" s="5" t="str">
        <f aca="false">"PAULO KOSILE"</f>
        <v>PAULO KOSILE</v>
      </c>
      <c r="U274" s="11" t="n">
        <v>25</v>
      </c>
      <c r="V274" s="5" t="str">
        <f aca="false">""</f>
        <v/>
      </c>
    </row>
    <row r="275" customFormat="false" ht="12.8" hidden="false" customHeight="false" outlineLevel="0" collapsed="false">
      <c r="A275" s="4" t="n">
        <v>206</v>
      </c>
      <c r="B275" s="5" t="str">
        <f aca="false">"PAPAIZ"</f>
        <v>PAPAIZ</v>
      </c>
      <c r="C275" s="6" t="n">
        <v>956695</v>
      </c>
      <c r="D275" s="7" t="n">
        <v>45787</v>
      </c>
      <c r="E275" s="7" t="n">
        <v>45751</v>
      </c>
      <c r="F275" s="7"/>
      <c r="G275" s="7"/>
      <c r="H275" s="7"/>
      <c r="I275" s="5" t="str">
        <f aca="false">""</f>
        <v/>
      </c>
      <c r="J275" s="5" t="str">
        <f aca="false">"SPDPPZ032257"</f>
        <v>SPDPPZ032257</v>
      </c>
      <c r="K275" s="5" t="str">
        <f aca="false">"CASA FONSECA"</f>
        <v>CASA FONSECA</v>
      </c>
      <c r="L275" s="5" t="str">
        <f aca="false">"FERRAGISTA"</f>
        <v>FERRAGISTA</v>
      </c>
      <c r="M275" s="5" t="str">
        <f aca="false">"SP"</f>
        <v>SP</v>
      </c>
      <c r="N275" s="9" t="n">
        <v>0</v>
      </c>
      <c r="O275" s="10" t="n">
        <v>249.23</v>
      </c>
      <c r="P275" s="10" t="n">
        <v>157.26</v>
      </c>
      <c r="Q275" s="10" t="n">
        <v>0</v>
      </c>
      <c r="R275" s="10" t="n">
        <v>1.32</v>
      </c>
      <c r="S275" s="5" t="str">
        <f aca="false">"Embarque"</f>
        <v>Embarque</v>
      </c>
      <c r="T275" s="5" t="str">
        <f aca="false">"BRFOKUS"</f>
        <v>BRFOKUS</v>
      </c>
      <c r="U275" s="11" t="n">
        <v>25</v>
      </c>
      <c r="V275" s="5" t="str">
        <f aca="false">""</f>
        <v/>
      </c>
    </row>
    <row r="276" customFormat="false" ht="12.8" hidden="false" customHeight="false" outlineLevel="0" collapsed="false">
      <c r="A276" s="4" t="n">
        <v>206</v>
      </c>
      <c r="B276" s="5" t="str">
        <f aca="false">"PAPAIZ"</f>
        <v>PAPAIZ</v>
      </c>
      <c r="C276" s="6" t="n">
        <v>956404</v>
      </c>
      <c r="D276" s="7" t="n">
        <v>45787</v>
      </c>
      <c r="E276" s="7" t="n">
        <v>45750</v>
      </c>
      <c r="F276" s="7"/>
      <c r="G276" s="7"/>
      <c r="H276" s="7"/>
      <c r="I276" s="5" t="str">
        <f aca="false">""</f>
        <v/>
      </c>
      <c r="J276" s="5" t="str">
        <f aca="false">"SPDPPZ031803"</f>
        <v>SPDPPZ031803</v>
      </c>
      <c r="K276" s="5" t="str">
        <f aca="false">"FIBERFER - I"</f>
        <v>FIBERFER - I</v>
      </c>
      <c r="L276" s="5" t="str">
        <f aca="false">"OEM"</f>
        <v>OEM</v>
      </c>
      <c r="M276" s="5" t="str">
        <f aca="false">"PR"</f>
        <v>PR</v>
      </c>
      <c r="N276" s="9" t="n">
        <v>0</v>
      </c>
      <c r="O276" s="10" t="n">
        <v>968.72</v>
      </c>
      <c r="P276" s="10" t="n">
        <v>716.31</v>
      </c>
      <c r="Q276" s="10" t="n">
        <v>0</v>
      </c>
      <c r="R276" s="10" t="n">
        <v>3.94</v>
      </c>
      <c r="S276" s="5" t="str">
        <f aca="false">"Embarque"</f>
        <v>Embarque</v>
      </c>
      <c r="T276" s="5" t="str">
        <f aca="false">"JOYCECOVACEV"</f>
        <v>JOYCECOVACEV</v>
      </c>
      <c r="U276" s="11" t="n">
        <v>25</v>
      </c>
      <c r="V276" s="5" t="str">
        <f aca="false">""</f>
        <v/>
      </c>
    </row>
    <row r="277" customFormat="false" ht="12.8" hidden="false" customHeight="false" outlineLevel="0" collapsed="false">
      <c r="A277" s="4" t="n">
        <v>206</v>
      </c>
      <c r="B277" s="5" t="str">
        <f aca="false">"PAPAIZ"</f>
        <v>PAPAIZ</v>
      </c>
      <c r="C277" s="6" t="n">
        <v>956598</v>
      </c>
      <c r="D277" s="7" t="n">
        <v>45789</v>
      </c>
      <c r="E277" s="7" t="n">
        <v>45750</v>
      </c>
      <c r="F277" s="7"/>
      <c r="G277" s="7"/>
      <c r="H277" s="7"/>
      <c r="I277" s="5" t="str">
        <f aca="false">""</f>
        <v/>
      </c>
      <c r="J277" s="8" t="n">
        <v>101464</v>
      </c>
      <c r="K277" s="5" t="str">
        <f aca="false">"FERMAN."</f>
        <v>FERMAN.</v>
      </c>
      <c r="L277" s="5" t="str">
        <f aca="false">"ATACADISTA"</f>
        <v>ATACADISTA</v>
      </c>
      <c r="M277" s="5" t="str">
        <f aca="false">"BA"</f>
        <v>BA</v>
      </c>
      <c r="N277" s="9" t="n">
        <v>1263.2</v>
      </c>
      <c r="O277" s="10" t="n">
        <v>4165.3</v>
      </c>
      <c r="P277" s="10" t="n">
        <v>3488.44</v>
      </c>
      <c r="Q277" s="10" t="n">
        <v>0</v>
      </c>
      <c r="R277" s="10" t="n">
        <v>32.87</v>
      </c>
      <c r="S277" s="5" t="str">
        <f aca="false">"Embarque"</f>
        <v>Embarque</v>
      </c>
      <c r="T277" s="5" t="str">
        <f aca="false">"Borges"</f>
        <v>Borges</v>
      </c>
      <c r="U277" s="11" t="n">
        <v>25</v>
      </c>
      <c r="V277" s="5" t="str">
        <f aca="false">""</f>
        <v/>
      </c>
    </row>
    <row r="278" customFormat="false" ht="12.8" hidden="false" customHeight="false" outlineLevel="0" collapsed="false">
      <c r="A278" s="4" t="n">
        <v>206</v>
      </c>
      <c r="B278" s="5" t="str">
        <f aca="false">"PAPAIZ"</f>
        <v>PAPAIZ</v>
      </c>
      <c r="C278" s="6" t="n">
        <v>956636</v>
      </c>
      <c r="D278" s="7" t="n">
        <v>45789</v>
      </c>
      <c r="E278" s="7" t="n">
        <v>45750</v>
      </c>
      <c r="F278" s="7"/>
      <c r="G278" s="7"/>
      <c r="H278" s="7"/>
      <c r="I278" s="5" t="str">
        <f aca="false">""</f>
        <v/>
      </c>
      <c r="J278" s="5" t="str">
        <f aca="false">"PEX1325"</f>
        <v>PEX1325</v>
      </c>
      <c r="K278" s="5" t="str">
        <f aca="false">"OROFINO"</f>
        <v>OROFINO</v>
      </c>
      <c r="L278" s="5" t="str">
        <f aca="false">"EXPORTACAO"</f>
        <v>EXPORTACAO</v>
      </c>
      <c r="M278" s="5" t="str">
        <f aca="false">"EX"</f>
        <v>EX</v>
      </c>
      <c r="N278" s="9" t="n">
        <v>4370.95</v>
      </c>
      <c r="O278" s="10" t="n">
        <v>6773.06</v>
      </c>
      <c r="P278" s="10" t="n">
        <v>6773.06</v>
      </c>
      <c r="Q278" s="10" t="n">
        <v>0</v>
      </c>
      <c r="R278" s="10" t="n">
        <v>320.13</v>
      </c>
      <c r="S278" s="5" t="str">
        <f aca="false">"Embarque"</f>
        <v>Embarque</v>
      </c>
      <c r="T278" s="5" t="str">
        <f aca="false">"Export III"</f>
        <v>Export III</v>
      </c>
      <c r="U278" s="11" t="n">
        <v>25</v>
      </c>
      <c r="V278" s="5" t="str">
        <f aca="false">""</f>
        <v/>
      </c>
    </row>
    <row r="279" customFormat="false" ht="12.8" hidden="false" customHeight="false" outlineLevel="0" collapsed="false">
      <c r="A279" s="4" t="n">
        <v>206</v>
      </c>
      <c r="B279" s="5" t="str">
        <f aca="false">"PAPAIZ"</f>
        <v>PAPAIZ</v>
      </c>
      <c r="C279" s="6" t="n">
        <v>956723</v>
      </c>
      <c r="D279" s="7" t="n">
        <v>45789</v>
      </c>
      <c r="E279" s="7" t="n">
        <v>45751</v>
      </c>
      <c r="F279" s="7"/>
      <c r="G279" s="7"/>
      <c r="H279" s="7"/>
      <c r="I279" s="5" t="str">
        <f aca="false">""</f>
        <v/>
      </c>
      <c r="J279" s="5" t="str">
        <f aca="false">"SPDPPZ032377"</f>
        <v>SPDPPZ032377</v>
      </c>
      <c r="K279" s="5" t="str">
        <f aca="false">"ELETROLAGO"</f>
        <v>ELETROLAGO</v>
      </c>
      <c r="L279" s="5" t="str">
        <f aca="false">"FERRAGISTA"</f>
        <v>FERRAGISTA</v>
      </c>
      <c r="M279" s="5" t="str">
        <f aca="false">"SP"</f>
        <v>SP</v>
      </c>
      <c r="N279" s="9" t="n">
        <v>365.05</v>
      </c>
      <c r="O279" s="10" t="n">
        <v>503.65</v>
      </c>
      <c r="P279" s="10" t="n">
        <v>366.41</v>
      </c>
      <c r="Q279" s="10" t="n">
        <v>0</v>
      </c>
      <c r="R279" s="10" t="n">
        <v>3.79</v>
      </c>
      <c r="S279" s="5" t="str">
        <f aca="false">"Embarque"</f>
        <v>Embarque</v>
      </c>
      <c r="T279" s="5" t="str">
        <f aca="false">"RODRIGO ALE"</f>
        <v>RODRIGO ALE</v>
      </c>
      <c r="U279" s="11" t="n">
        <v>25</v>
      </c>
      <c r="V279" s="5" t="str">
        <f aca="false">""</f>
        <v/>
      </c>
    </row>
    <row r="280" customFormat="false" ht="12.8" hidden="false" customHeight="false" outlineLevel="0" collapsed="false">
      <c r="A280" s="4" t="n">
        <v>206</v>
      </c>
      <c r="B280" s="5" t="str">
        <f aca="false">"LA FONTE"</f>
        <v>LA FONTE</v>
      </c>
      <c r="C280" s="6" t="n">
        <v>955666</v>
      </c>
      <c r="D280" s="7" t="n">
        <v>45789</v>
      </c>
      <c r="E280" s="7" t="n">
        <v>45747</v>
      </c>
      <c r="F280" s="7"/>
      <c r="G280" s="7"/>
      <c r="H280" s="7"/>
      <c r="I280" s="5" t="str">
        <f aca="false">""</f>
        <v/>
      </c>
      <c r="J280" s="5" t="str">
        <f aca="false">"872-2"</f>
        <v>872-2</v>
      </c>
      <c r="K280" s="5" t="str">
        <f aca="false">"TRES M EMPR"</f>
        <v>TRES M EMPR</v>
      </c>
      <c r="L280" s="5" t="str">
        <f aca="false">"CONSTRUTORA"</f>
        <v>CONSTRUTORA</v>
      </c>
      <c r="M280" s="5" t="str">
        <f aca="false">"SP"</f>
        <v>SP</v>
      </c>
      <c r="N280" s="9" t="n">
        <v>0</v>
      </c>
      <c r="O280" s="10" t="n">
        <v>1933.15</v>
      </c>
      <c r="P280" s="10" t="n">
        <v>1406.37</v>
      </c>
      <c r="Q280" s="10" t="n">
        <v>0</v>
      </c>
      <c r="R280" s="10" t="n">
        <v>20.89</v>
      </c>
      <c r="S280" s="5" t="str">
        <f aca="false">"Embarque"</f>
        <v>Embarque</v>
      </c>
      <c r="T280" s="5" t="str">
        <f aca="false">"DAUD"</f>
        <v>DAUD</v>
      </c>
      <c r="U280" s="11" t="n">
        <v>25</v>
      </c>
      <c r="V280" s="5" t="str">
        <f aca="false">""</f>
        <v/>
      </c>
    </row>
    <row r="281" customFormat="false" ht="12.8" hidden="false" customHeight="false" outlineLevel="0" collapsed="false">
      <c r="A281" s="4" t="n">
        <v>206</v>
      </c>
      <c r="B281" s="5" t="str">
        <f aca="false">"PAPAIZ"</f>
        <v>PAPAIZ</v>
      </c>
      <c r="C281" s="6" t="n">
        <v>956732</v>
      </c>
      <c r="D281" s="7" t="n">
        <v>45789</v>
      </c>
      <c r="E281" s="7" t="n">
        <v>45751</v>
      </c>
      <c r="F281" s="7"/>
      <c r="G281" s="7"/>
      <c r="H281" s="7"/>
      <c r="I281" s="5" t="str">
        <f aca="false">""</f>
        <v/>
      </c>
      <c r="J281" s="5" t="str">
        <f aca="false">"SPDPPZ032374"</f>
        <v>SPDPPZ032374</v>
      </c>
      <c r="K281" s="5" t="str">
        <f aca="false">"MASSARIOL"</f>
        <v>MASSARIOL</v>
      </c>
      <c r="L281" s="5" t="str">
        <f aca="false">"MATERIAL DE CONSTRUCAO"</f>
        <v>MATERIAL DE CONSTRUCAO</v>
      </c>
      <c r="M281" s="5" t="str">
        <f aca="false">"MG"</f>
        <v>MG</v>
      </c>
      <c r="N281" s="9" t="n">
        <v>1609.8</v>
      </c>
      <c r="O281" s="10" t="n">
        <v>1934.4</v>
      </c>
      <c r="P281" s="10" t="n">
        <v>1523.34</v>
      </c>
      <c r="Q281" s="10" t="n">
        <v>0</v>
      </c>
      <c r="R281" s="10" t="n">
        <v>12.48</v>
      </c>
      <c r="S281" s="5" t="str">
        <f aca="false">"Embarque"</f>
        <v>Embarque</v>
      </c>
      <c r="T281" s="5" t="str">
        <f aca="false">"JOYCECOVACEV"</f>
        <v>JOYCECOVACEV</v>
      </c>
      <c r="U281" s="11" t="n">
        <v>25</v>
      </c>
      <c r="V281" s="5" t="str">
        <f aca="false">""</f>
        <v/>
      </c>
    </row>
    <row r="282" customFormat="false" ht="12.8" hidden="false" customHeight="false" outlineLevel="0" collapsed="false">
      <c r="A282" s="4" t="n">
        <v>206</v>
      </c>
      <c r="B282" s="5" t="str">
        <f aca="false">"PAPAIZ"</f>
        <v>PAPAIZ</v>
      </c>
      <c r="C282" s="6" t="n">
        <v>956613</v>
      </c>
      <c r="D282" s="7" t="n">
        <v>45789</v>
      </c>
      <c r="E282" s="7" t="n">
        <v>45750</v>
      </c>
      <c r="F282" s="7"/>
      <c r="G282" s="7"/>
      <c r="H282" s="7"/>
      <c r="I282" s="5" t="str">
        <f aca="false">""</f>
        <v/>
      </c>
      <c r="J282" s="5" t="str">
        <f aca="false">"PEX1525"</f>
        <v>PEX1525</v>
      </c>
      <c r="K282" s="5" t="str">
        <f aca="false">"LA MUNDIAL"</f>
        <v>LA MUNDIAL</v>
      </c>
      <c r="L282" s="5" t="str">
        <f aca="false">"EXPORTACAO"</f>
        <v>EXPORTACAO</v>
      </c>
      <c r="M282" s="5" t="str">
        <f aca="false">"EX"</f>
        <v>EX</v>
      </c>
      <c r="N282" s="9" t="n">
        <v>8991.2</v>
      </c>
      <c r="O282" s="10" t="n">
        <v>34565.05</v>
      </c>
      <c r="P282" s="10" t="n">
        <v>34565.05</v>
      </c>
      <c r="Q282" s="10" t="n">
        <v>0</v>
      </c>
      <c r="R282" s="10" t="n">
        <v>1659.01</v>
      </c>
      <c r="S282" s="5" t="str">
        <f aca="false">"Embarque"</f>
        <v>Embarque</v>
      </c>
      <c r="T282" s="5" t="str">
        <f aca="false">"Remuca"</f>
        <v>Remuca</v>
      </c>
      <c r="U282" s="11" t="n">
        <v>25</v>
      </c>
      <c r="V282" s="5" t="str">
        <f aca="false">""</f>
        <v/>
      </c>
    </row>
    <row r="283" customFormat="false" ht="12.8" hidden="false" customHeight="false" outlineLevel="0" collapsed="false">
      <c r="A283" s="4" t="n">
        <v>206</v>
      </c>
      <c r="B283" s="5" t="str">
        <f aca="false">"PAPAIZ"</f>
        <v>PAPAIZ</v>
      </c>
      <c r="C283" s="6" t="n">
        <v>956539</v>
      </c>
      <c r="D283" s="7" t="n">
        <v>45789</v>
      </c>
      <c r="E283" s="7" t="n">
        <v>45750</v>
      </c>
      <c r="F283" s="7"/>
      <c r="G283" s="7"/>
      <c r="H283" s="7"/>
      <c r="I283" s="5" t="str">
        <f aca="false">""</f>
        <v/>
      </c>
      <c r="J283" s="13" t="n">
        <v>5778</v>
      </c>
      <c r="K283" s="5" t="str">
        <f aca="false">"FACILIT"</f>
        <v>FACILIT</v>
      </c>
      <c r="L283" s="5" t="str">
        <f aca="false">"ATACADISTA"</f>
        <v>ATACADISTA</v>
      </c>
      <c r="M283" s="5" t="str">
        <f aca="false">"SP"</f>
        <v>SP</v>
      </c>
      <c r="N283" s="9" t="n">
        <v>0</v>
      </c>
      <c r="O283" s="10" t="n">
        <v>996.75</v>
      </c>
      <c r="P283" s="10" t="n">
        <v>725.14</v>
      </c>
      <c r="Q283" s="10" t="n">
        <v>0</v>
      </c>
      <c r="R283" s="10" t="n">
        <v>5.42</v>
      </c>
      <c r="S283" s="5" t="str">
        <f aca="false">"Embarque"</f>
        <v>Embarque</v>
      </c>
      <c r="T283" s="5" t="str">
        <f aca="false">"PERLA COSTA"</f>
        <v>PERLA COSTA</v>
      </c>
      <c r="U283" s="11" t="n">
        <v>25</v>
      </c>
      <c r="V283" s="5" t="str">
        <f aca="false">""</f>
        <v/>
      </c>
    </row>
    <row r="284" customFormat="false" ht="12.8" hidden="false" customHeight="false" outlineLevel="0" collapsed="false">
      <c r="A284" s="4" t="n">
        <v>206</v>
      </c>
      <c r="B284" s="5" t="str">
        <f aca="false">"PAPAIZ"</f>
        <v>PAPAIZ</v>
      </c>
      <c r="C284" s="6" t="n">
        <v>956720</v>
      </c>
      <c r="D284" s="7" t="n">
        <v>45789</v>
      </c>
      <c r="E284" s="7" t="n">
        <v>45751</v>
      </c>
      <c r="F284" s="7"/>
      <c r="G284" s="7"/>
      <c r="H284" s="7"/>
      <c r="I284" s="5" t="str">
        <f aca="false">""</f>
        <v/>
      </c>
      <c r="J284" s="5" t="str">
        <f aca="false">"SPDPPZ032376"</f>
        <v>SPDPPZ032376</v>
      </c>
      <c r="K284" s="5" t="str">
        <f aca="false">"CASADINHO"</f>
        <v>CASADINHO</v>
      </c>
      <c r="L284" s="5" t="str">
        <f aca="false">"ATACADISTA"</f>
        <v>ATACADISTA</v>
      </c>
      <c r="M284" s="5" t="str">
        <f aca="false">"RJ"</f>
        <v>RJ</v>
      </c>
      <c r="N284" s="9" t="n">
        <v>6828</v>
      </c>
      <c r="O284" s="10" t="n">
        <v>19429.9</v>
      </c>
      <c r="P284" s="10" t="n">
        <v>15301.05</v>
      </c>
      <c r="Q284" s="10" t="n">
        <v>0</v>
      </c>
      <c r="R284" s="10" t="n">
        <v>156.91</v>
      </c>
      <c r="S284" s="5" t="str">
        <f aca="false">"Embarque"</f>
        <v>Embarque</v>
      </c>
      <c r="T284" s="5" t="str">
        <f aca="false">"F2RIO REPRE"</f>
        <v>F2RIO REPRE</v>
      </c>
      <c r="U284" s="11" t="n">
        <v>25</v>
      </c>
      <c r="V284" s="5" t="str">
        <f aca="false">""</f>
        <v/>
      </c>
    </row>
    <row r="285" customFormat="false" ht="12.8" hidden="false" customHeight="false" outlineLevel="0" collapsed="false">
      <c r="A285" s="4" t="n">
        <v>206</v>
      </c>
      <c r="B285" s="5" t="str">
        <f aca="false">"PAPAIZ"</f>
        <v>PAPAIZ</v>
      </c>
      <c r="C285" s="6" t="n">
        <v>956728</v>
      </c>
      <c r="D285" s="7" t="n">
        <v>45790</v>
      </c>
      <c r="E285" s="7" t="n">
        <v>45751</v>
      </c>
      <c r="F285" s="7"/>
      <c r="G285" s="7"/>
      <c r="H285" s="7"/>
      <c r="I285" s="5" t="str">
        <f aca="false">""</f>
        <v/>
      </c>
      <c r="J285" s="15" t="n">
        <v>1556863</v>
      </c>
      <c r="K285" s="5" t="str">
        <f aca="false">"FERREIRA CO"</f>
        <v>FERREIRA CO</v>
      </c>
      <c r="L285" s="5" t="str">
        <f aca="false">"HOME CENTER"</f>
        <v>HOME CENTER</v>
      </c>
      <c r="M285" s="5" t="str">
        <f aca="false">"BA"</f>
        <v>BA</v>
      </c>
      <c r="N285" s="9" t="n">
        <v>3074.02</v>
      </c>
      <c r="O285" s="10" t="n">
        <v>7714.96</v>
      </c>
      <c r="P285" s="10" t="n">
        <v>6461.28</v>
      </c>
      <c r="Q285" s="10" t="n">
        <v>0</v>
      </c>
      <c r="R285" s="10" t="n">
        <v>71.12</v>
      </c>
      <c r="S285" s="5" t="str">
        <f aca="false">"Embarque"</f>
        <v>Embarque</v>
      </c>
      <c r="T285" s="5" t="str">
        <f aca="false">"CLAUDIANA PA"</f>
        <v>CLAUDIANA PA</v>
      </c>
      <c r="U285" s="11" t="n">
        <v>25</v>
      </c>
      <c r="V285" s="5" t="str">
        <f aca="false">""</f>
        <v/>
      </c>
    </row>
    <row r="286" customFormat="false" ht="12.8" hidden="false" customHeight="false" outlineLevel="0" collapsed="false">
      <c r="A286" s="4" t="n">
        <v>206</v>
      </c>
      <c r="B286" s="5" t="str">
        <f aca="false">"LA FONTE"</f>
        <v>LA FONTE</v>
      </c>
      <c r="C286" s="6" t="n">
        <v>955517</v>
      </c>
      <c r="D286" s="7" t="n">
        <v>45791</v>
      </c>
      <c r="E286" s="7" t="n">
        <v>45745</v>
      </c>
      <c r="F286" s="7"/>
      <c r="G286" s="7"/>
      <c r="H286" s="7"/>
      <c r="I286" s="5" t="str">
        <f aca="false">""</f>
        <v/>
      </c>
      <c r="J286" s="12" t="n">
        <v>31091</v>
      </c>
      <c r="K286" s="5" t="str">
        <f aca="false">"METALFERCO1"</f>
        <v>METALFERCO1</v>
      </c>
      <c r="L286" s="5" t="str">
        <f aca="false">"FERRAGISTA"</f>
        <v>FERRAGISTA</v>
      </c>
      <c r="M286" s="5" t="str">
        <f aca="false">"SP"</f>
        <v>SP</v>
      </c>
      <c r="N286" s="9" t="n">
        <v>3727.57</v>
      </c>
      <c r="O286" s="10" t="n">
        <v>3734.17</v>
      </c>
      <c r="P286" s="10" t="n">
        <v>2550.8</v>
      </c>
      <c r="Q286" s="10" t="n">
        <v>0</v>
      </c>
      <c r="R286" s="10" t="n">
        <v>5.37</v>
      </c>
      <c r="S286" s="5" t="str">
        <f aca="false">"Embarque"</f>
        <v>Embarque</v>
      </c>
      <c r="T286" s="5" t="str">
        <f aca="false">"METALF PIN"</f>
        <v>METALF PIN</v>
      </c>
      <c r="U286" s="11" t="n">
        <v>25</v>
      </c>
      <c r="V286" s="5" t="str">
        <f aca="false">""</f>
        <v/>
      </c>
    </row>
    <row r="287" customFormat="false" ht="12.8" hidden="false" customHeight="false" outlineLevel="0" collapsed="false">
      <c r="A287" s="4" t="n">
        <v>206</v>
      </c>
      <c r="B287" s="5" t="str">
        <f aca="false">"PAPAIZ"</f>
        <v>PAPAIZ</v>
      </c>
      <c r="C287" s="6" t="n">
        <v>956044</v>
      </c>
      <c r="D287" s="7" t="n">
        <v>45791</v>
      </c>
      <c r="E287" s="7" t="n">
        <v>45748</v>
      </c>
      <c r="F287" s="7"/>
      <c r="G287" s="7"/>
      <c r="H287" s="7"/>
      <c r="I287" s="5" t="str">
        <f aca="false">""</f>
        <v/>
      </c>
      <c r="J287" s="5" t="str">
        <f aca="false">"7GZUQ48J"</f>
        <v>7GZUQ48J</v>
      </c>
      <c r="K287" s="5" t="str">
        <f aca="false">"AMAZON SERVI"</f>
        <v>AMAZON SERVI</v>
      </c>
      <c r="L287" s="5" t="str">
        <f aca="false">"WEBSHOP"</f>
        <v>WEBSHOP</v>
      </c>
      <c r="M287" s="5" t="str">
        <f aca="false">"SP"</f>
        <v>SP</v>
      </c>
      <c r="N287" s="9" t="n">
        <v>8821.02</v>
      </c>
      <c r="O287" s="10" t="n">
        <v>86249.47</v>
      </c>
      <c r="P287" s="10" t="n">
        <v>62492.65</v>
      </c>
      <c r="Q287" s="10" t="n">
        <v>0</v>
      </c>
      <c r="R287" s="10" t="n">
        <v>333.43</v>
      </c>
      <c r="S287" s="5" t="str">
        <f aca="false">"Embarque"</f>
        <v>Embarque</v>
      </c>
      <c r="T287" s="5" t="str">
        <f aca="false">"LARISSA NELO"</f>
        <v>LARISSA NELO</v>
      </c>
      <c r="U287" s="11" t="n">
        <v>25</v>
      </c>
      <c r="V287" s="5" t="str">
        <f aca="false">""</f>
        <v/>
      </c>
    </row>
    <row r="288" customFormat="false" ht="12.8" hidden="false" customHeight="false" outlineLevel="0" collapsed="false">
      <c r="A288" s="4" t="n">
        <v>206</v>
      </c>
      <c r="B288" s="5" t="str">
        <f aca="false">"LA FONTE"</f>
        <v>LA FONTE</v>
      </c>
      <c r="C288" s="6" t="n">
        <v>955652</v>
      </c>
      <c r="D288" s="7" t="n">
        <v>45791</v>
      </c>
      <c r="E288" s="7" t="n">
        <v>45747</v>
      </c>
      <c r="F288" s="7"/>
      <c r="G288" s="7"/>
      <c r="H288" s="7"/>
      <c r="I288" s="5" t="str">
        <f aca="false">""</f>
        <v/>
      </c>
      <c r="J288" s="5" t="str">
        <f aca="false">"252/25"</f>
        <v>252/25</v>
      </c>
      <c r="K288" s="5" t="str">
        <f aca="false">"ARKFLEX DIVI"</f>
        <v>ARKFLEX DIVI</v>
      </c>
      <c r="L288" s="5" t="str">
        <f aca="false">"OEM"</f>
        <v>OEM</v>
      </c>
      <c r="M288" s="5" t="str">
        <f aca="false">"SP"</f>
        <v>SP</v>
      </c>
      <c r="N288" s="9" t="n">
        <v>0</v>
      </c>
      <c r="O288" s="10" t="n">
        <v>1737.72</v>
      </c>
      <c r="P288" s="10" t="n">
        <v>1264.19</v>
      </c>
      <c r="Q288" s="10" t="n">
        <v>0</v>
      </c>
      <c r="R288" s="10" t="n">
        <v>17.4</v>
      </c>
      <c r="S288" s="5" t="str">
        <f aca="false">"Embarque"</f>
        <v>Embarque</v>
      </c>
      <c r="T288" s="5" t="str">
        <f aca="false">"PRIME CF"</f>
        <v>PRIME CF</v>
      </c>
      <c r="U288" s="11" t="n">
        <v>25</v>
      </c>
      <c r="V288" s="5" t="str">
        <f aca="false">""</f>
        <v/>
      </c>
    </row>
    <row r="289" customFormat="false" ht="12.8" hidden="false" customHeight="false" outlineLevel="0" collapsed="false">
      <c r="A289" s="4" t="n">
        <v>206</v>
      </c>
      <c r="B289" s="5" t="str">
        <f aca="false">"LA FONTE"</f>
        <v>LA FONTE</v>
      </c>
      <c r="C289" s="6" t="n">
        <v>956709</v>
      </c>
      <c r="D289" s="7" t="n">
        <v>45791</v>
      </c>
      <c r="E289" s="7" t="n">
        <v>45751</v>
      </c>
      <c r="F289" s="7"/>
      <c r="G289" s="7"/>
      <c r="H289" s="7"/>
      <c r="I289" s="5" t="str">
        <f aca="false">""</f>
        <v/>
      </c>
      <c r="J289" s="5" t="str">
        <f aca="false">"SPDLFT005771"</f>
        <v>SPDLFT005771</v>
      </c>
      <c r="K289" s="5" t="str">
        <f aca="false">"SCOPUS"</f>
        <v>SCOPUS</v>
      </c>
      <c r="L289" s="5" t="str">
        <f aca="false">"CONSTRUTORA"</f>
        <v>CONSTRUTORA</v>
      </c>
      <c r="M289" s="5" t="str">
        <f aca="false">"SP"</f>
        <v>SP</v>
      </c>
      <c r="N289" s="9" t="n">
        <v>0</v>
      </c>
      <c r="O289" s="10" t="n">
        <v>39864.76</v>
      </c>
      <c r="P289" s="10" t="n">
        <v>29001.61</v>
      </c>
      <c r="Q289" s="10" t="n">
        <v>0</v>
      </c>
      <c r="R289" s="10" t="n">
        <v>844.87</v>
      </c>
      <c r="S289" s="5" t="str">
        <f aca="false">"Embarque"</f>
        <v>Embarque</v>
      </c>
      <c r="T289" s="5" t="str">
        <f aca="false">"MAURICIO MEI"</f>
        <v>MAURICIO MEI</v>
      </c>
      <c r="U289" s="11" t="n">
        <v>25</v>
      </c>
      <c r="V289" s="5" t="str">
        <f aca="false">""</f>
        <v/>
      </c>
    </row>
    <row r="290" customFormat="false" ht="12.8" hidden="false" customHeight="false" outlineLevel="0" collapsed="false">
      <c r="A290" s="4" t="n">
        <v>206</v>
      </c>
      <c r="B290" s="5" t="str">
        <f aca="false">"PAPAIZ"</f>
        <v>PAPAIZ</v>
      </c>
      <c r="C290" s="6" t="n">
        <v>956564</v>
      </c>
      <c r="D290" s="7" t="n">
        <v>45791</v>
      </c>
      <c r="E290" s="7" t="n">
        <v>45750</v>
      </c>
      <c r="F290" s="7"/>
      <c r="G290" s="7"/>
      <c r="H290" s="7"/>
      <c r="I290" s="5" t="str">
        <f aca="false">""</f>
        <v/>
      </c>
      <c r="J290" s="5" t="str">
        <f aca="false">"7GZUQ48J"</f>
        <v>7GZUQ48J</v>
      </c>
      <c r="K290" s="5" t="str">
        <f aca="false">"AMAZON SERVI"</f>
        <v>AMAZON SERVI</v>
      </c>
      <c r="L290" s="5" t="str">
        <f aca="false">"WEBSHOP"</f>
        <v>WEBSHOP</v>
      </c>
      <c r="M290" s="5" t="str">
        <f aca="false">"SP"</f>
        <v>SP</v>
      </c>
      <c r="N290" s="9" t="n">
        <v>8821.02</v>
      </c>
      <c r="O290" s="10" t="n">
        <v>658.21</v>
      </c>
      <c r="P290" s="10" t="n">
        <v>478.85</v>
      </c>
      <c r="Q290" s="10" t="n">
        <v>0</v>
      </c>
      <c r="R290" s="10" t="n">
        <v>1.65</v>
      </c>
      <c r="S290" s="5" t="str">
        <f aca="false">"Embarque"</f>
        <v>Embarque</v>
      </c>
      <c r="T290" s="5" t="str">
        <f aca="false">"LARISSA NELO"</f>
        <v>LARISSA NELO</v>
      </c>
      <c r="U290" s="11" t="n">
        <v>25</v>
      </c>
      <c r="V290" s="5" t="str">
        <f aca="false">""</f>
        <v/>
      </c>
    </row>
    <row r="291" customFormat="false" ht="12.8" hidden="false" customHeight="false" outlineLevel="0" collapsed="false">
      <c r="A291" s="4" t="n">
        <v>206</v>
      </c>
      <c r="B291" s="5" t="str">
        <f aca="false">"LA FONTE"</f>
        <v>LA FONTE</v>
      </c>
      <c r="C291" s="6" t="n">
        <v>956608</v>
      </c>
      <c r="D291" s="7" t="n">
        <v>45793</v>
      </c>
      <c r="E291" s="7" t="n">
        <v>45750</v>
      </c>
      <c r="F291" s="7"/>
      <c r="G291" s="7"/>
      <c r="H291" s="7"/>
      <c r="I291" s="5" t="str">
        <f aca="false">""</f>
        <v/>
      </c>
      <c r="J291" s="13" t="n">
        <v>5662</v>
      </c>
      <c r="K291" s="5" t="str">
        <f aca="false">"IPE FOLHAS"</f>
        <v>IPE FOLHAS</v>
      </c>
      <c r="L291" s="5" t="str">
        <f aca="false">"FERRAGISTA"</f>
        <v>FERRAGISTA</v>
      </c>
      <c r="M291" s="5" t="str">
        <f aca="false">"SP"</f>
        <v>SP</v>
      </c>
      <c r="N291" s="9" t="n">
        <v>9344.15</v>
      </c>
      <c r="O291" s="10" t="n">
        <v>1774.23</v>
      </c>
      <c r="P291" s="10" t="n">
        <v>1013.47</v>
      </c>
      <c r="Q291" s="10" t="n">
        <v>0</v>
      </c>
      <c r="R291" s="10" t="n">
        <v>23.88</v>
      </c>
      <c r="S291" s="5" t="str">
        <f aca="false">"Embarque"</f>
        <v>Embarque</v>
      </c>
      <c r="T291" s="5" t="str">
        <f aca="false">"YARA"</f>
        <v>YARA</v>
      </c>
      <c r="U291" s="11" t="n">
        <v>25</v>
      </c>
      <c r="V291" s="5" t="str">
        <f aca="false">""</f>
        <v/>
      </c>
    </row>
    <row r="292" customFormat="false" ht="12.8" hidden="false" customHeight="false" outlineLevel="0" collapsed="false">
      <c r="A292" s="4" t="n">
        <v>206</v>
      </c>
      <c r="B292" s="5" t="str">
        <f aca="false">"LA FONTE"</f>
        <v>LA FONTE</v>
      </c>
      <c r="C292" s="6" t="n">
        <v>955779</v>
      </c>
      <c r="D292" s="7" t="n">
        <v>45793</v>
      </c>
      <c r="E292" s="7" t="n">
        <v>45748</v>
      </c>
      <c r="F292" s="7"/>
      <c r="G292" s="7"/>
      <c r="H292" s="7"/>
      <c r="I292" s="5" t="str">
        <f aca="false">""</f>
        <v/>
      </c>
      <c r="J292" s="4" t="n">
        <v>148</v>
      </c>
      <c r="K292" s="5" t="str">
        <f aca="false">"LUFAT"</f>
        <v>LUFAT</v>
      </c>
      <c r="L292" s="5" t="str">
        <f aca="false">"FERRAGISTA"</f>
        <v>FERRAGISTA</v>
      </c>
      <c r="M292" s="5" t="str">
        <f aca="false">"RS"</f>
        <v>RS</v>
      </c>
      <c r="N292" s="9" t="n">
        <v>326.43</v>
      </c>
      <c r="O292" s="10" t="n">
        <v>4170.33</v>
      </c>
      <c r="P292" s="10" t="n">
        <v>2666.87</v>
      </c>
      <c r="Q292" s="10" t="n">
        <v>0</v>
      </c>
      <c r="R292" s="10" t="n">
        <v>23.17</v>
      </c>
      <c r="S292" s="5" t="str">
        <f aca="false">"Embarque"</f>
        <v>Embarque</v>
      </c>
      <c r="T292" s="5" t="str">
        <f aca="false">"JACKSON MACH"</f>
        <v>JACKSON MACH</v>
      </c>
      <c r="U292" s="11" t="n">
        <v>25</v>
      </c>
      <c r="V292" s="5" t="str">
        <f aca="false">""</f>
        <v/>
      </c>
    </row>
    <row r="293" customFormat="false" ht="12.8" hidden="false" customHeight="false" outlineLevel="0" collapsed="false">
      <c r="A293" s="4" t="n">
        <v>206</v>
      </c>
      <c r="B293" s="5" t="str">
        <f aca="false">"PAPAIZ"</f>
        <v>PAPAIZ</v>
      </c>
      <c r="C293" s="6" t="n">
        <v>954831</v>
      </c>
      <c r="D293" s="7" t="n">
        <v>45796</v>
      </c>
      <c r="E293" s="7" t="n">
        <v>45743</v>
      </c>
      <c r="F293" s="7"/>
      <c r="G293" s="7"/>
      <c r="H293" s="7"/>
      <c r="I293" s="5" t="str">
        <f aca="false">""</f>
        <v/>
      </c>
      <c r="J293" s="5" t="str">
        <f aca="false">"135649/648"</f>
        <v>135649/648</v>
      </c>
      <c r="K293" s="5" t="str">
        <f aca="false">"UDINESE"</f>
        <v>UDINESE</v>
      </c>
      <c r="L293" s="5" t="str">
        <f aca="false">"INTERCOMPANY/BRZ"</f>
        <v>INTERCOMPANY/BRZ</v>
      </c>
      <c r="M293" s="5" t="str">
        <f aca="false">"SP"</f>
        <v>SP</v>
      </c>
      <c r="N293" s="9" t="n">
        <v>0</v>
      </c>
      <c r="O293" s="10" t="n">
        <v>2530.75</v>
      </c>
      <c r="P293" s="10" t="n">
        <v>1841.12</v>
      </c>
      <c r="Q293" s="10" t="n">
        <v>0</v>
      </c>
      <c r="R293" s="10" t="n">
        <v>13.1</v>
      </c>
      <c r="S293" s="5" t="str">
        <f aca="false">"Embarque"</f>
        <v>Embarque</v>
      </c>
      <c r="T293" s="5" t="str">
        <f aca="false">"UDINESE"</f>
        <v>UDINESE</v>
      </c>
      <c r="U293" s="11" t="n">
        <v>25</v>
      </c>
      <c r="V293" s="5" t="str">
        <f aca="false">""</f>
        <v/>
      </c>
    </row>
    <row r="294" customFormat="false" ht="12.8" hidden="false" customHeight="false" outlineLevel="0" collapsed="false">
      <c r="A294" s="4" t="n">
        <v>206</v>
      </c>
      <c r="B294" s="5" t="str">
        <f aca="false">"LA FONTE"</f>
        <v>LA FONTE</v>
      </c>
      <c r="C294" s="6" t="n">
        <v>956425</v>
      </c>
      <c r="D294" s="7" t="n">
        <v>45796</v>
      </c>
      <c r="E294" s="7" t="n">
        <v>45750</v>
      </c>
      <c r="F294" s="7"/>
      <c r="G294" s="7"/>
      <c r="H294" s="7"/>
      <c r="I294" s="5" t="str">
        <f aca="false">""</f>
        <v/>
      </c>
      <c r="J294" s="5" t="str">
        <f aca="false">"SPDLFT005868"</f>
        <v>SPDLFT005868</v>
      </c>
      <c r="K294" s="5" t="str">
        <f aca="false">"PORTO FERRAG"</f>
        <v>PORTO FERRAG</v>
      </c>
      <c r="L294" s="5" t="str">
        <f aca="false">"MATERIAL DE CONSTRUCAO"</f>
        <v>MATERIAL DE CONSTRUCAO</v>
      </c>
      <c r="M294" s="5" t="str">
        <f aca="false">"SP"</f>
        <v>SP</v>
      </c>
      <c r="N294" s="9" t="n">
        <v>0</v>
      </c>
      <c r="O294" s="10" t="n">
        <v>747.78</v>
      </c>
      <c r="P294" s="10" t="n">
        <v>471.82</v>
      </c>
      <c r="Q294" s="10" t="n">
        <v>0</v>
      </c>
      <c r="R294" s="10" t="n">
        <v>4.1</v>
      </c>
      <c r="S294" s="5" t="str">
        <f aca="false">"Embarque"</f>
        <v>Embarque</v>
      </c>
      <c r="T294" s="5" t="str">
        <f aca="false">"BEST COMPANY"</f>
        <v>BEST COMPANY</v>
      </c>
      <c r="U294" s="11" t="n">
        <v>25</v>
      </c>
      <c r="V294" s="5" t="str">
        <f aca="false">""</f>
        <v/>
      </c>
    </row>
    <row r="295" customFormat="false" ht="12.8" hidden="false" customHeight="false" outlineLevel="0" collapsed="false">
      <c r="A295" s="4" t="n">
        <v>206</v>
      </c>
      <c r="B295" s="5" t="str">
        <f aca="false">"LA FONTE"</f>
        <v>LA FONTE</v>
      </c>
      <c r="C295" s="6" t="n">
        <v>956319</v>
      </c>
      <c r="D295" s="7" t="n">
        <v>45796</v>
      </c>
      <c r="E295" s="7" t="n">
        <v>45749</v>
      </c>
      <c r="F295" s="7"/>
      <c r="G295" s="7"/>
      <c r="H295" s="7"/>
      <c r="I295" s="5" t="str">
        <f aca="false">""</f>
        <v/>
      </c>
      <c r="J295" s="12" t="n">
        <v>31095</v>
      </c>
      <c r="K295" s="5" t="str">
        <f aca="false">"METALFERCO1"</f>
        <v>METALFERCO1</v>
      </c>
      <c r="L295" s="5" t="str">
        <f aca="false">"FERRAGISTA"</f>
        <v>FERRAGISTA</v>
      </c>
      <c r="M295" s="5" t="str">
        <f aca="false">"SP"</f>
        <v>SP</v>
      </c>
      <c r="N295" s="9" t="n">
        <v>74850.6</v>
      </c>
      <c r="O295" s="10" t="n">
        <v>1682.45</v>
      </c>
      <c r="P295" s="10" t="n">
        <v>1061.57</v>
      </c>
      <c r="Q295" s="10" t="n">
        <v>0</v>
      </c>
      <c r="R295" s="10" t="n">
        <v>11.6</v>
      </c>
      <c r="S295" s="5" t="str">
        <f aca="false">"Embarque"</f>
        <v>Embarque</v>
      </c>
      <c r="T295" s="5" t="str">
        <f aca="false">"METALF PIN"</f>
        <v>METALF PIN</v>
      </c>
      <c r="U295" s="11" t="n">
        <v>25</v>
      </c>
      <c r="V295" s="5" t="str">
        <f aca="false">""</f>
        <v/>
      </c>
    </row>
    <row r="296" customFormat="false" ht="12.8" hidden="false" customHeight="false" outlineLevel="0" collapsed="false">
      <c r="A296" s="4" t="n">
        <v>206</v>
      </c>
      <c r="B296" s="5" t="str">
        <f aca="false">"LA FONTE"</f>
        <v>LA FONTE</v>
      </c>
      <c r="C296" s="6" t="n">
        <v>956421</v>
      </c>
      <c r="D296" s="7" t="n">
        <v>45796</v>
      </c>
      <c r="E296" s="7" t="n">
        <v>45750</v>
      </c>
      <c r="F296" s="7"/>
      <c r="G296" s="7"/>
      <c r="H296" s="7"/>
      <c r="I296" s="5" t="str">
        <f aca="false">""</f>
        <v/>
      </c>
      <c r="J296" s="12" t="n">
        <v>31117</v>
      </c>
      <c r="K296" s="5" t="str">
        <f aca="false">"METALFERCO1"</f>
        <v>METALFERCO1</v>
      </c>
      <c r="L296" s="5" t="str">
        <f aca="false">"FERRAGISTA"</f>
        <v>FERRAGISTA</v>
      </c>
      <c r="M296" s="5" t="str">
        <f aca="false">"SP"</f>
        <v>SP</v>
      </c>
      <c r="N296" s="9" t="n">
        <v>0</v>
      </c>
      <c r="O296" s="10" t="n">
        <v>3545</v>
      </c>
      <c r="P296" s="10" t="n">
        <v>2236.76</v>
      </c>
      <c r="Q296" s="10" t="n">
        <v>0</v>
      </c>
      <c r="R296" s="10" t="n">
        <v>28.93</v>
      </c>
      <c r="S296" s="5" t="str">
        <f aca="false">"Embarque"</f>
        <v>Embarque</v>
      </c>
      <c r="T296" s="5" t="str">
        <f aca="false">"METALF PIN"</f>
        <v>METALF PIN</v>
      </c>
      <c r="U296" s="11" t="n">
        <v>25</v>
      </c>
      <c r="V296" s="5" t="str">
        <f aca="false">""</f>
        <v/>
      </c>
    </row>
    <row r="297" customFormat="false" ht="12.8" hidden="false" customHeight="false" outlineLevel="0" collapsed="false">
      <c r="A297" s="4" t="n">
        <v>206</v>
      </c>
      <c r="B297" s="5" t="str">
        <f aca="false">"LA FONTE"</f>
        <v>LA FONTE</v>
      </c>
      <c r="C297" s="6" t="n">
        <v>956731</v>
      </c>
      <c r="D297" s="7" t="n">
        <v>45797</v>
      </c>
      <c r="E297" s="7" t="n">
        <v>45751</v>
      </c>
      <c r="F297" s="7"/>
      <c r="G297" s="7"/>
      <c r="H297" s="7"/>
      <c r="I297" s="5" t="str">
        <f aca="false">""</f>
        <v/>
      </c>
      <c r="J297" s="5" t="str">
        <f aca="false">"SPDLFT005885"</f>
        <v>SPDLFT005885</v>
      </c>
      <c r="K297" s="5" t="str">
        <f aca="false">"MADEART"</f>
        <v>MADEART</v>
      </c>
      <c r="L297" s="5" t="str">
        <f aca="false">"OEM"</f>
        <v>OEM</v>
      </c>
      <c r="M297" s="5" t="str">
        <f aca="false">"SP"</f>
        <v>SP</v>
      </c>
      <c r="N297" s="9" t="n">
        <v>76.15</v>
      </c>
      <c r="O297" s="10" t="n">
        <v>1003.2</v>
      </c>
      <c r="P297" s="10" t="n">
        <v>729.83</v>
      </c>
      <c r="Q297" s="10" t="n">
        <v>0</v>
      </c>
      <c r="R297" s="10" t="n">
        <v>0.96</v>
      </c>
      <c r="S297" s="5" t="str">
        <f aca="false">"Embarque"</f>
        <v>Embarque</v>
      </c>
      <c r="T297" s="5" t="str">
        <f aca="false">"LEMAT REPRES"</f>
        <v>LEMAT REPRES</v>
      </c>
      <c r="U297" s="11" t="n">
        <v>25</v>
      </c>
      <c r="V297" s="5" t="str">
        <f aca="false">""</f>
        <v/>
      </c>
    </row>
    <row r="298" customFormat="false" ht="12.8" hidden="false" customHeight="false" outlineLevel="0" collapsed="false">
      <c r="A298" s="4" t="n">
        <v>206</v>
      </c>
      <c r="B298" s="5" t="str">
        <f aca="false">"PAPAIZ"</f>
        <v>PAPAIZ</v>
      </c>
      <c r="C298" s="6" t="n">
        <v>956439</v>
      </c>
      <c r="D298" s="7" t="n">
        <v>45798</v>
      </c>
      <c r="E298" s="7" t="n">
        <v>45750</v>
      </c>
      <c r="F298" s="7"/>
      <c r="G298" s="7"/>
      <c r="H298" s="7"/>
      <c r="I298" s="5" t="str">
        <f aca="false">""</f>
        <v/>
      </c>
      <c r="J298" s="5" t="str">
        <f aca="false">"TR130325"</f>
        <v>TR130325</v>
      </c>
      <c r="K298" s="5" t="str">
        <f aca="false">"AAB RCD GA16"</f>
        <v>AAB RCD GA16</v>
      </c>
      <c r="L298" s="5" t="str">
        <f aca="false">"INTERCOMPANY/BRZ"</f>
        <v>INTERCOMPANY/BRZ</v>
      </c>
      <c r="M298" s="5" t="str">
        <f aca="false">"SC"</f>
        <v>SC</v>
      </c>
      <c r="N298" s="9" t="n">
        <v>245.44</v>
      </c>
      <c r="O298" s="10" t="n">
        <v>190.16</v>
      </c>
      <c r="P298" s="10" t="n">
        <v>167.34</v>
      </c>
      <c r="Q298" s="10" t="n">
        <v>0</v>
      </c>
      <c r="R298" s="10" t="n">
        <v>0.7</v>
      </c>
      <c r="S298" s="5" t="str">
        <f aca="false">"Embarque"</f>
        <v>Embarque</v>
      </c>
      <c r="T298" s="5" t="str">
        <f aca="false">"INTEGRAÇÃO"</f>
        <v>INTEGRAÇÃO</v>
      </c>
      <c r="U298" s="11" t="n">
        <v>7</v>
      </c>
      <c r="V298" s="5" t="str">
        <f aca="false">""</f>
        <v/>
      </c>
    </row>
    <row r="299" customFormat="false" ht="12.8" hidden="false" customHeight="false" outlineLevel="0" collapsed="false">
      <c r="A299" s="4" t="n">
        <v>206</v>
      </c>
      <c r="B299" s="5" t="str">
        <f aca="false">"LA FONTE"</f>
        <v>LA FONTE</v>
      </c>
      <c r="C299" s="6" t="n">
        <v>956419</v>
      </c>
      <c r="D299" s="7" t="n">
        <v>45798</v>
      </c>
      <c r="E299" s="7" t="n">
        <v>45750</v>
      </c>
      <c r="F299" s="7"/>
      <c r="G299" s="7"/>
      <c r="H299" s="7"/>
      <c r="I299" s="5" t="str">
        <f aca="false">""</f>
        <v/>
      </c>
      <c r="J299" s="4" t="n">
        <v>8</v>
      </c>
      <c r="K299" s="5" t="str">
        <f aca="false">"LUFAT"</f>
        <v>LUFAT</v>
      </c>
      <c r="L299" s="5" t="str">
        <f aca="false">"FERRAGISTA"</f>
        <v>FERRAGISTA</v>
      </c>
      <c r="M299" s="5" t="str">
        <f aca="false">"RS"</f>
        <v>RS</v>
      </c>
      <c r="N299" s="9" t="n">
        <v>0</v>
      </c>
      <c r="O299" s="10" t="n">
        <v>9462.18</v>
      </c>
      <c r="P299" s="10" t="n">
        <v>6050.93</v>
      </c>
      <c r="Q299" s="10" t="n">
        <v>0</v>
      </c>
      <c r="R299" s="10" t="n">
        <v>45.89</v>
      </c>
      <c r="S299" s="5" t="str">
        <f aca="false">"Embarque"</f>
        <v>Embarque</v>
      </c>
      <c r="T299" s="5" t="str">
        <f aca="false">"JACKSON MACH"</f>
        <v>JACKSON MACH</v>
      </c>
      <c r="U299" s="11" t="n">
        <v>25</v>
      </c>
      <c r="V299" s="5" t="str">
        <f aca="false">""</f>
        <v/>
      </c>
    </row>
    <row r="300" customFormat="false" ht="12.8" hidden="false" customHeight="false" outlineLevel="0" collapsed="false">
      <c r="A300" s="4" t="n">
        <v>206</v>
      </c>
      <c r="B300" s="5" t="str">
        <f aca="false">"PAPAIZ"</f>
        <v>PAPAIZ</v>
      </c>
      <c r="C300" s="6" t="n">
        <v>955248</v>
      </c>
      <c r="D300" s="7" t="n">
        <v>45798</v>
      </c>
      <c r="E300" s="7" t="n">
        <v>45744</v>
      </c>
      <c r="F300" s="7"/>
      <c r="G300" s="7"/>
      <c r="H300" s="7"/>
      <c r="I300" s="5" t="str">
        <f aca="false">""</f>
        <v/>
      </c>
      <c r="J300" s="5" t="str">
        <f aca="false">"SPDPPZ030533"</f>
        <v>SPDPPZ030533</v>
      </c>
      <c r="K300" s="5" t="str">
        <f aca="false">"LUFAT"</f>
        <v>LUFAT</v>
      </c>
      <c r="L300" s="5" t="str">
        <f aca="false">"VAREJO VIP"</f>
        <v>VAREJO VIP</v>
      </c>
      <c r="M300" s="5" t="str">
        <f aca="false">"RS"</f>
        <v>RS</v>
      </c>
      <c r="N300" s="9" t="n">
        <v>3779.15</v>
      </c>
      <c r="O300" s="10" t="n">
        <v>2601.33</v>
      </c>
      <c r="P300" s="10" t="n">
        <v>1663.52</v>
      </c>
      <c r="Q300" s="10" t="n">
        <v>0</v>
      </c>
      <c r="R300" s="10" t="n">
        <v>17.65</v>
      </c>
      <c r="S300" s="5" t="str">
        <f aca="false">"Embarque"</f>
        <v>Embarque</v>
      </c>
      <c r="T300" s="5" t="str">
        <f aca="false">"THAIS TORALE"</f>
        <v>THAIS TORALE</v>
      </c>
      <c r="U300" s="11" t="n">
        <v>25</v>
      </c>
      <c r="V300" s="5" t="str">
        <f aca="false">""</f>
        <v/>
      </c>
    </row>
    <row r="301" customFormat="false" ht="12.8" hidden="false" customHeight="false" outlineLevel="0" collapsed="false">
      <c r="A301" s="4" t="n">
        <v>206</v>
      </c>
      <c r="B301" s="5" t="str">
        <f aca="false">"PAPAIZ"</f>
        <v>PAPAIZ</v>
      </c>
      <c r="C301" s="6" t="n">
        <v>956620</v>
      </c>
      <c r="D301" s="7" t="n">
        <v>45798</v>
      </c>
      <c r="E301" s="7" t="n">
        <v>45750</v>
      </c>
      <c r="F301" s="7"/>
      <c r="G301" s="7"/>
      <c r="H301" s="7"/>
      <c r="I301" s="5" t="str">
        <f aca="false">""</f>
        <v/>
      </c>
      <c r="J301" s="5" t="str">
        <f aca="false">"SPDPPZ030533"</f>
        <v>SPDPPZ030533</v>
      </c>
      <c r="K301" s="5" t="str">
        <f aca="false">"LUFAT"</f>
        <v>LUFAT</v>
      </c>
      <c r="L301" s="5" t="str">
        <f aca="false">"VAREJO VIP"</f>
        <v>VAREJO VIP</v>
      </c>
      <c r="M301" s="5" t="str">
        <f aca="false">"RS"</f>
        <v>RS</v>
      </c>
      <c r="N301" s="9" t="n">
        <v>3779.15</v>
      </c>
      <c r="O301" s="10" t="n">
        <v>2194.5</v>
      </c>
      <c r="P301" s="10" t="n">
        <v>1322.13</v>
      </c>
      <c r="Q301" s="10" t="n">
        <v>0</v>
      </c>
      <c r="R301" s="10" t="n">
        <v>3.58</v>
      </c>
      <c r="S301" s="5" t="str">
        <f aca="false">"Embarque"</f>
        <v>Embarque</v>
      </c>
      <c r="T301" s="5" t="str">
        <f aca="false">"THAIS TORALE"</f>
        <v>THAIS TORALE</v>
      </c>
      <c r="U301" s="11" t="n">
        <v>25</v>
      </c>
      <c r="V301" s="5" t="str">
        <f aca="false">""</f>
        <v/>
      </c>
    </row>
    <row r="302" customFormat="false" ht="12.8" hidden="false" customHeight="false" outlineLevel="0" collapsed="false">
      <c r="A302" s="4" t="n">
        <v>206</v>
      </c>
      <c r="B302" s="5" t="str">
        <f aca="false">"LA FONTE"</f>
        <v>LA FONTE</v>
      </c>
      <c r="C302" s="6" t="n">
        <v>956640</v>
      </c>
      <c r="D302" s="7" t="n">
        <v>45801</v>
      </c>
      <c r="E302" s="7" t="n">
        <v>45750</v>
      </c>
      <c r="F302" s="7"/>
      <c r="G302" s="7"/>
      <c r="H302" s="7"/>
      <c r="I302" s="5" t="str">
        <f aca="false">""</f>
        <v/>
      </c>
      <c r="J302" s="5" t="str">
        <f aca="false">"SPDLFT005764"</f>
        <v>SPDLFT005764</v>
      </c>
      <c r="K302" s="5" t="str">
        <f aca="false">"REI"</f>
        <v>REI</v>
      </c>
      <c r="L302" s="5" t="str">
        <f aca="false">"FERRAGISTA"</f>
        <v>FERRAGISTA</v>
      </c>
      <c r="M302" s="5" t="str">
        <f aca="false">"PR"</f>
        <v>PR</v>
      </c>
      <c r="N302" s="9" t="n">
        <v>8084.65</v>
      </c>
      <c r="O302" s="10" t="n">
        <v>1321.6</v>
      </c>
      <c r="P302" s="10" t="n">
        <v>855.32</v>
      </c>
      <c r="Q302" s="10" t="n">
        <v>0</v>
      </c>
      <c r="R302" s="10" t="n">
        <v>9.86</v>
      </c>
      <c r="S302" s="5" t="str">
        <f aca="false">"Embarque"</f>
        <v>Embarque</v>
      </c>
      <c r="T302" s="5" t="str">
        <f aca="false">"KRS REP"</f>
        <v>KRS REP</v>
      </c>
      <c r="U302" s="11" t="n">
        <v>25</v>
      </c>
      <c r="V302" s="5" t="str">
        <f aca="false">""</f>
        <v/>
      </c>
    </row>
    <row r="303" customFormat="false" ht="12.8" hidden="false" customHeight="false" outlineLevel="0" collapsed="false">
      <c r="A303" s="4" t="n">
        <v>206</v>
      </c>
      <c r="B303" s="5" t="str">
        <f aca="false">"PAPAIZ"</f>
        <v>PAPAIZ</v>
      </c>
      <c r="C303" s="6" t="n">
        <v>956739</v>
      </c>
      <c r="D303" s="7" t="n">
        <v>45803</v>
      </c>
      <c r="E303" s="7" t="n">
        <v>45751</v>
      </c>
      <c r="F303" s="7"/>
      <c r="G303" s="7"/>
      <c r="H303" s="7"/>
      <c r="I303" s="5" t="str">
        <f aca="false">""</f>
        <v/>
      </c>
      <c r="J303" s="5" t="str">
        <f aca="false">"SPDPPZ031998"</f>
        <v>SPDPPZ031998</v>
      </c>
      <c r="K303" s="5" t="str">
        <f aca="false">"P E GERARR"</f>
        <v>P E GERARR</v>
      </c>
      <c r="L303" s="5" t="str">
        <f aca="false">"FERRAGISTA"</f>
        <v>FERRAGISTA</v>
      </c>
      <c r="M303" s="5" t="str">
        <f aca="false">"RS"</f>
        <v>RS</v>
      </c>
      <c r="N303" s="9" t="n">
        <v>1285</v>
      </c>
      <c r="O303" s="10" t="n">
        <v>1239.95</v>
      </c>
      <c r="P303" s="10" t="n">
        <v>792.93</v>
      </c>
      <c r="Q303" s="10" t="n">
        <v>0</v>
      </c>
      <c r="R303" s="10" t="n">
        <v>6.6</v>
      </c>
      <c r="S303" s="5" t="str">
        <f aca="false">"Embarque"</f>
        <v>Embarque</v>
      </c>
      <c r="T303" s="5" t="str">
        <f aca="false">"EVERALDO GOL"</f>
        <v>EVERALDO GOL</v>
      </c>
      <c r="U303" s="11" t="n">
        <v>25</v>
      </c>
      <c r="V303" s="5" t="str">
        <f aca="false">""</f>
        <v/>
      </c>
    </row>
    <row r="304" customFormat="false" ht="12.8" hidden="false" customHeight="false" outlineLevel="0" collapsed="false">
      <c r="A304" s="4" t="n">
        <v>206</v>
      </c>
      <c r="B304" s="5" t="str">
        <f aca="false">"PAPAIZ"</f>
        <v>PAPAIZ</v>
      </c>
      <c r="C304" s="6" t="n">
        <v>955049</v>
      </c>
      <c r="D304" s="7" t="n">
        <v>45804</v>
      </c>
      <c r="E304" s="7" t="n">
        <v>45744</v>
      </c>
      <c r="F304" s="7"/>
      <c r="G304" s="7"/>
      <c r="H304" s="7"/>
      <c r="I304" s="5" t="str">
        <f aca="false">""</f>
        <v/>
      </c>
      <c r="J304" s="5" t="str">
        <f aca="false">"TR180325"</f>
        <v>TR180325</v>
      </c>
      <c r="K304" s="5" t="str">
        <f aca="false">"AAB RCD GA16"</f>
        <v>AAB RCD GA16</v>
      </c>
      <c r="L304" s="5" t="str">
        <f aca="false">"INTERCOMPANY/BRZ"</f>
        <v>INTERCOMPANY/BRZ</v>
      </c>
      <c r="M304" s="5" t="str">
        <f aca="false">"SC"</f>
        <v>SC</v>
      </c>
      <c r="N304" s="9" t="n">
        <v>4228.94</v>
      </c>
      <c r="O304" s="10" t="n">
        <v>6467.22</v>
      </c>
      <c r="P304" s="10" t="n">
        <v>5480.34</v>
      </c>
      <c r="Q304" s="10" t="n">
        <v>0</v>
      </c>
      <c r="R304" s="10" t="n">
        <v>144.39</v>
      </c>
      <c r="S304" s="5" t="str">
        <f aca="false">"Embarque"</f>
        <v>Embarque</v>
      </c>
      <c r="T304" s="5" t="str">
        <f aca="false">"INTEGRAÇÃO"</f>
        <v>INTEGRAÇÃO</v>
      </c>
      <c r="U304" s="11" t="n">
        <v>7</v>
      </c>
      <c r="V304" s="5" t="str">
        <f aca="false">""</f>
        <v/>
      </c>
    </row>
    <row r="305" customFormat="false" ht="12.8" hidden="false" customHeight="false" outlineLevel="0" collapsed="false">
      <c r="A305" s="4" t="n">
        <v>206</v>
      </c>
      <c r="B305" s="5" t="str">
        <f aca="false">"PAPAIZ"</f>
        <v>PAPAIZ</v>
      </c>
      <c r="C305" s="6" t="n">
        <v>956590</v>
      </c>
      <c r="D305" s="7" t="n">
        <v>45805</v>
      </c>
      <c r="E305" s="7" t="n">
        <v>45750</v>
      </c>
      <c r="F305" s="7"/>
      <c r="G305" s="7"/>
      <c r="H305" s="7"/>
      <c r="I305" s="5" t="str">
        <f aca="false">""</f>
        <v/>
      </c>
      <c r="J305" s="5" t="str">
        <f aca="false">"SPDPPZ032082"</f>
        <v>SPDPPZ032082</v>
      </c>
      <c r="K305" s="5" t="str">
        <f aca="false">"EMPORIO 2"</f>
        <v>EMPORIO 2</v>
      </c>
      <c r="L305" s="5" t="str">
        <f aca="false">"FERRAGISTA"</f>
        <v>FERRAGISTA</v>
      </c>
      <c r="M305" s="5" t="str">
        <f aca="false">"SP"</f>
        <v>SP</v>
      </c>
      <c r="N305" s="9" t="n">
        <v>2741</v>
      </c>
      <c r="O305" s="10" t="n">
        <v>598.17</v>
      </c>
      <c r="P305" s="10" t="n">
        <v>377.43</v>
      </c>
      <c r="Q305" s="10" t="n">
        <v>0</v>
      </c>
      <c r="R305" s="10" t="n">
        <v>4.26</v>
      </c>
      <c r="S305" s="5" t="str">
        <f aca="false">"Embarque"</f>
        <v>Embarque</v>
      </c>
      <c r="T305" s="5" t="str">
        <f aca="false">"Luiz Carlos"</f>
        <v>Luiz Carlos</v>
      </c>
      <c r="U305" s="11" t="n">
        <v>25</v>
      </c>
      <c r="V305" s="5" t="str">
        <f aca="false">""</f>
        <v/>
      </c>
    </row>
    <row r="306" customFormat="false" ht="12.8" hidden="false" customHeight="false" outlineLevel="0" collapsed="false">
      <c r="A306" s="4" t="n">
        <v>206</v>
      </c>
      <c r="B306" s="5" t="str">
        <f aca="false">"PAPAIZ"</f>
        <v>PAPAIZ</v>
      </c>
      <c r="C306" s="6" t="n">
        <v>956614</v>
      </c>
      <c r="D306" s="7" t="n">
        <v>45805</v>
      </c>
      <c r="E306" s="7" t="n">
        <v>45750</v>
      </c>
      <c r="F306" s="7"/>
      <c r="G306" s="7"/>
      <c r="H306" s="7"/>
      <c r="I306" s="5" t="str">
        <f aca="false">""</f>
        <v/>
      </c>
      <c r="J306" s="13" t="n">
        <v>2667</v>
      </c>
      <c r="K306" s="5" t="str">
        <f aca="false">"LAPER"</f>
        <v>LAPER</v>
      </c>
      <c r="L306" s="5" t="str">
        <f aca="false">"FERRAGISTA"</f>
        <v>FERRAGISTA</v>
      </c>
      <c r="M306" s="5" t="str">
        <f aca="false">"SP"</f>
        <v>SP</v>
      </c>
      <c r="N306" s="9" t="n">
        <v>1024.75</v>
      </c>
      <c r="O306" s="10" t="n">
        <v>838.68</v>
      </c>
      <c r="P306" s="10" t="n">
        <v>529.17</v>
      </c>
      <c r="Q306" s="10" t="n">
        <v>0</v>
      </c>
      <c r="R306" s="10" t="n">
        <v>3.11</v>
      </c>
      <c r="S306" s="5" t="str">
        <f aca="false">"Embarque"</f>
        <v>Embarque</v>
      </c>
      <c r="T306" s="5" t="str">
        <f aca="false">"HERCULES RIO"</f>
        <v>HERCULES RIO</v>
      </c>
      <c r="U306" s="11" t="n">
        <v>25</v>
      </c>
      <c r="V306" s="5" t="str">
        <f aca="false">""</f>
        <v/>
      </c>
    </row>
    <row r="307" customFormat="false" ht="12.8" hidden="false" customHeight="false" outlineLevel="0" collapsed="false">
      <c r="A307" s="4" t="n">
        <v>206</v>
      </c>
      <c r="B307" s="5" t="str">
        <f aca="false">"PAPAIZ"</f>
        <v>PAPAIZ</v>
      </c>
      <c r="C307" s="6" t="n">
        <v>956612</v>
      </c>
      <c r="D307" s="7" t="n">
        <v>45805</v>
      </c>
      <c r="E307" s="7" t="n">
        <v>45750</v>
      </c>
      <c r="F307" s="7"/>
      <c r="G307" s="7"/>
      <c r="H307" s="7"/>
      <c r="I307" s="5" t="str">
        <f aca="false">""</f>
        <v/>
      </c>
      <c r="J307" s="5" t="str">
        <f aca="false">"SPDPPZ031014"</f>
        <v>SPDPPZ031014</v>
      </c>
      <c r="K307" s="5" t="str">
        <f aca="false">"KIBOM"</f>
        <v>KIBOM</v>
      </c>
      <c r="L307" s="5" t="str">
        <f aca="false">"FERRAGISTA"</f>
        <v>FERRAGISTA</v>
      </c>
      <c r="M307" s="5" t="str">
        <f aca="false">"MG"</f>
        <v>MG</v>
      </c>
      <c r="N307" s="9" t="n">
        <v>2473.11</v>
      </c>
      <c r="O307" s="10" t="n">
        <v>1476.56</v>
      </c>
      <c r="P307" s="10" t="n">
        <v>1111.07</v>
      </c>
      <c r="Q307" s="10" t="n">
        <v>0</v>
      </c>
      <c r="R307" s="10" t="n">
        <v>10.15</v>
      </c>
      <c r="S307" s="5" t="str">
        <f aca="false">"Embarque"</f>
        <v>Embarque</v>
      </c>
      <c r="T307" s="5" t="str">
        <f aca="false">"PVS REPRESE"</f>
        <v>PVS REPRESE</v>
      </c>
      <c r="U307" s="11" t="n">
        <v>25</v>
      </c>
      <c r="V307" s="5" t="str">
        <f aca="false">""</f>
        <v/>
      </c>
    </row>
    <row r="308" customFormat="false" ht="12.8" hidden="false" customHeight="false" outlineLevel="0" collapsed="false">
      <c r="A308" s="4" t="n">
        <v>206</v>
      </c>
      <c r="B308" s="5" t="str">
        <f aca="false">"PAPAIZ"</f>
        <v>PAPAIZ</v>
      </c>
      <c r="C308" s="6" t="n">
        <v>956569</v>
      </c>
      <c r="D308" s="7" t="n">
        <v>45807</v>
      </c>
      <c r="E308" s="7" t="n">
        <v>45750</v>
      </c>
      <c r="F308" s="7"/>
      <c r="G308" s="7"/>
      <c r="H308" s="7"/>
      <c r="I308" s="5" t="str">
        <f aca="false">""</f>
        <v/>
      </c>
      <c r="J308" s="5" t="str">
        <f aca="false">"986B"</f>
        <v>986B</v>
      </c>
      <c r="K308" s="5" t="str">
        <f aca="false">"AVKEY IMPORT"</f>
        <v>AVKEY IMPORT</v>
      </c>
      <c r="L308" s="5" t="str">
        <f aca="false">"ATACADISTA"</f>
        <v>ATACADISTA</v>
      </c>
      <c r="M308" s="5" t="str">
        <f aca="false">"SP"</f>
        <v>SP</v>
      </c>
      <c r="N308" s="9" t="n">
        <v>14291.05</v>
      </c>
      <c r="O308" s="10" t="n">
        <v>3946.41</v>
      </c>
      <c r="P308" s="10" t="n">
        <v>2695.79</v>
      </c>
      <c r="Q308" s="10" t="n">
        <v>0</v>
      </c>
      <c r="R308" s="10" t="n">
        <v>29.47</v>
      </c>
      <c r="S308" s="5" t="str">
        <f aca="false">"Embarque"</f>
        <v>Embarque</v>
      </c>
      <c r="T308" s="5" t="str">
        <f aca="false">"PRIME CF"</f>
        <v>PRIME CF</v>
      </c>
      <c r="U308" s="11" t="n">
        <v>25</v>
      </c>
      <c r="V308" s="5" t="str">
        <f aca="false">""</f>
        <v/>
      </c>
    </row>
    <row r="309" customFormat="false" ht="12.8" hidden="false" customHeight="false" outlineLevel="0" collapsed="false">
      <c r="A309" s="4" t="n">
        <v>206</v>
      </c>
      <c r="B309" s="5" t="str">
        <f aca="false">"PAPAIZ"</f>
        <v>PAPAIZ</v>
      </c>
      <c r="C309" s="6" t="n">
        <v>956713</v>
      </c>
      <c r="D309" s="7" t="n">
        <v>45807</v>
      </c>
      <c r="E309" s="7" t="n">
        <v>45751</v>
      </c>
      <c r="F309" s="7"/>
      <c r="G309" s="7"/>
      <c r="H309" s="7"/>
      <c r="I309" s="5" t="str">
        <f aca="false">""</f>
        <v/>
      </c>
      <c r="J309" s="5" t="str">
        <f aca="false">"986B"</f>
        <v>986B</v>
      </c>
      <c r="K309" s="5" t="str">
        <f aca="false">"AVKEY IMPORT"</f>
        <v>AVKEY IMPORT</v>
      </c>
      <c r="L309" s="5" t="str">
        <f aca="false">"ATACADISTA"</f>
        <v>ATACADISTA</v>
      </c>
      <c r="M309" s="5" t="str">
        <f aca="false">"SP"</f>
        <v>SP</v>
      </c>
      <c r="N309" s="9" t="n">
        <v>14291.05</v>
      </c>
      <c r="O309" s="10" t="n">
        <v>2264.27</v>
      </c>
      <c r="P309" s="10" t="n">
        <v>1428.66</v>
      </c>
      <c r="Q309" s="10" t="n">
        <v>0</v>
      </c>
      <c r="R309" s="10" t="n">
        <v>13.2</v>
      </c>
      <c r="S309" s="5" t="str">
        <f aca="false">"Embarque"</f>
        <v>Embarque</v>
      </c>
      <c r="T309" s="5" t="str">
        <f aca="false">"PRIME CF"</f>
        <v>PRIME CF</v>
      </c>
      <c r="U309" s="11" t="n">
        <v>25</v>
      </c>
      <c r="V309" s="5" t="str">
        <f aca="false">""</f>
        <v/>
      </c>
    </row>
    <row r="310" customFormat="false" ht="12.8" hidden="false" customHeight="false" outlineLevel="0" collapsed="false">
      <c r="A310" s="4" t="n">
        <v>206</v>
      </c>
      <c r="B310" s="5" t="str">
        <f aca="false">"PAPAIZ"</f>
        <v>PAPAIZ</v>
      </c>
      <c r="C310" s="6" t="n">
        <v>954840</v>
      </c>
      <c r="D310" s="7" t="n">
        <v>45811</v>
      </c>
      <c r="E310" s="7" t="n">
        <v>45743</v>
      </c>
      <c r="F310" s="7"/>
      <c r="G310" s="7"/>
      <c r="H310" s="7"/>
      <c r="I310" s="5" t="str">
        <f aca="false">""</f>
        <v/>
      </c>
      <c r="J310" s="5" t="str">
        <f aca="false">"SPDPPZ031523"</f>
        <v>SPDPPZ031523</v>
      </c>
      <c r="K310" s="5" t="str">
        <f aca="false">"AROUCA"</f>
        <v>AROUCA</v>
      </c>
      <c r="L310" s="5" t="str">
        <f aca="false">"FERRAGISTA"</f>
        <v>FERRAGISTA</v>
      </c>
      <c r="M310" s="5" t="str">
        <f aca="false">"SP"</f>
        <v>SP</v>
      </c>
      <c r="N310" s="9" t="n">
        <v>7944.05</v>
      </c>
      <c r="O310" s="10" t="n">
        <v>631.65</v>
      </c>
      <c r="P310" s="10" t="n">
        <v>431.48</v>
      </c>
      <c r="Q310" s="10" t="n">
        <v>0</v>
      </c>
      <c r="R310" s="10" t="n">
        <v>2.5</v>
      </c>
      <c r="S310" s="5" t="str">
        <f aca="false">"Embarque"</f>
        <v>Embarque</v>
      </c>
      <c r="T310" s="5" t="str">
        <f aca="false">"PRIME CF"</f>
        <v>PRIME CF</v>
      </c>
      <c r="U310" s="11" t="n">
        <v>25</v>
      </c>
      <c r="V310" s="5" t="str">
        <f aca="false">""</f>
        <v/>
      </c>
    </row>
    <row r="311" customFormat="false" ht="12.8" hidden="false" customHeight="false" outlineLevel="0" collapsed="false">
      <c r="A311" s="4" t="n">
        <v>206</v>
      </c>
      <c r="B311" s="5" t="str">
        <f aca="false">"PAPAIZ"</f>
        <v>PAPAIZ</v>
      </c>
      <c r="C311" s="6" t="n">
        <v>956108</v>
      </c>
      <c r="D311" s="7" t="n">
        <v>45814</v>
      </c>
      <c r="E311" s="7" t="n">
        <v>45749</v>
      </c>
      <c r="F311" s="7"/>
      <c r="G311" s="7"/>
      <c r="H311" s="7"/>
      <c r="I311" s="5" t="str">
        <f aca="false">""</f>
        <v/>
      </c>
      <c r="J311" s="5" t="str">
        <f aca="false">"SPDPPZ032036"</f>
        <v>SPDPPZ032036</v>
      </c>
      <c r="K311" s="5" t="str">
        <f aca="false">"DEFEL DEOL"</f>
        <v>DEFEL DEOL</v>
      </c>
      <c r="L311" s="5" t="str">
        <f aca="false">"FERRAGISTA"</f>
        <v>FERRAGISTA</v>
      </c>
      <c r="M311" s="5" t="str">
        <f aca="false">"CE"</f>
        <v>CE</v>
      </c>
      <c r="N311" s="9" t="n">
        <v>12056.9</v>
      </c>
      <c r="O311" s="10" t="n">
        <v>556.89</v>
      </c>
      <c r="P311" s="10" t="n">
        <v>437.93</v>
      </c>
      <c r="Q311" s="10" t="n">
        <v>0</v>
      </c>
      <c r="R311" s="10" t="n">
        <v>2.5</v>
      </c>
      <c r="S311" s="5" t="str">
        <f aca="false">"Embarque"</f>
        <v>Embarque</v>
      </c>
      <c r="T311" s="5" t="str">
        <f aca="false">"D ARAUJO"</f>
        <v>D ARAUJO</v>
      </c>
      <c r="U311" s="11" t="n">
        <v>25</v>
      </c>
      <c r="V311" s="5" t="str">
        <f aca="false">""</f>
        <v/>
      </c>
    </row>
    <row r="312" customFormat="false" ht="12.8" hidden="false" customHeight="false" outlineLevel="0" collapsed="false">
      <c r="A312" s="4" t="n">
        <v>206</v>
      </c>
      <c r="B312" s="5" t="str">
        <f aca="false">"PAPAIZ"</f>
        <v>PAPAIZ</v>
      </c>
      <c r="C312" s="6" t="n">
        <v>956722</v>
      </c>
      <c r="D312" s="7" t="n">
        <v>45814</v>
      </c>
      <c r="E312" s="7" t="n">
        <v>45751</v>
      </c>
      <c r="F312" s="7"/>
      <c r="G312" s="7"/>
      <c r="H312" s="7"/>
      <c r="I312" s="5" t="str">
        <f aca="false">""</f>
        <v/>
      </c>
      <c r="J312" s="5" t="str">
        <f aca="false">"SPDPPZ032036"</f>
        <v>SPDPPZ032036</v>
      </c>
      <c r="K312" s="5" t="str">
        <f aca="false">"DEFEL DEOL"</f>
        <v>DEFEL DEOL</v>
      </c>
      <c r="L312" s="5" t="str">
        <f aca="false">"FERRAGISTA"</f>
        <v>FERRAGISTA</v>
      </c>
      <c r="M312" s="5" t="str">
        <f aca="false">"CE"</f>
        <v>CE</v>
      </c>
      <c r="N312" s="9" t="n">
        <v>12056.9</v>
      </c>
      <c r="O312" s="10" t="n">
        <v>1073.2</v>
      </c>
      <c r="P312" s="10" t="n">
        <v>898.81</v>
      </c>
      <c r="Q312" s="10" t="n">
        <v>0</v>
      </c>
      <c r="R312" s="10" t="n">
        <v>3.5</v>
      </c>
      <c r="S312" s="5" t="str">
        <f aca="false">"Embarque"</f>
        <v>Embarque</v>
      </c>
      <c r="T312" s="5" t="str">
        <f aca="false">"D ARAUJO"</f>
        <v>D ARAUJO</v>
      </c>
      <c r="U312" s="11" t="n">
        <v>25</v>
      </c>
      <c r="V312" s="5" t="str">
        <f aca="false">""</f>
        <v/>
      </c>
    </row>
    <row r="313" customFormat="false" ht="12.8" hidden="false" customHeight="false" outlineLevel="0" collapsed="false">
      <c r="A313" s="4" t="n">
        <v>206</v>
      </c>
      <c r="B313" s="5" t="str">
        <f aca="false">"PAPAIZ"</f>
        <v>PAPAIZ</v>
      </c>
      <c r="C313" s="6" t="n">
        <v>956567</v>
      </c>
      <c r="D313" s="7" t="n">
        <v>45820</v>
      </c>
      <c r="E313" s="7" t="n">
        <v>45750</v>
      </c>
      <c r="F313" s="7"/>
      <c r="G313" s="7"/>
      <c r="H313" s="7"/>
      <c r="I313" s="5" t="str">
        <f aca="false">""</f>
        <v/>
      </c>
      <c r="J313" s="5" t="str">
        <f aca="false">"SPDPPZ032320"</f>
        <v>SPDPPZ032320</v>
      </c>
      <c r="K313" s="5" t="str">
        <f aca="false">"Atacado LE"</f>
        <v>Atacado LE</v>
      </c>
      <c r="L313" s="5" t="str">
        <f aca="false">"FERRAGISTA"</f>
        <v>FERRAGISTA</v>
      </c>
      <c r="M313" s="5" t="str">
        <f aca="false">"DF"</f>
        <v>DF</v>
      </c>
      <c r="N313" s="9" t="n">
        <v>17145.5</v>
      </c>
      <c r="O313" s="10" t="n">
        <v>4922.4</v>
      </c>
      <c r="P313" s="10" t="n">
        <v>4122.51</v>
      </c>
      <c r="Q313" s="10" t="n">
        <v>0</v>
      </c>
      <c r="R313" s="10" t="n">
        <v>54.95</v>
      </c>
      <c r="S313" s="5" t="str">
        <f aca="false">"Embarque"</f>
        <v>Embarque</v>
      </c>
      <c r="T313" s="5" t="str">
        <f aca="false">"KGS NEW"</f>
        <v>KGS NEW</v>
      </c>
      <c r="U313" s="11" t="n">
        <v>25</v>
      </c>
      <c r="V313" s="5" t="str">
        <f aca="false">""</f>
        <v/>
      </c>
    </row>
    <row r="314" customFormat="false" ht="12.8" hidden="false" customHeight="false" outlineLevel="0" collapsed="false">
      <c r="A314" s="4" t="n">
        <v>206</v>
      </c>
      <c r="B314" s="5" t="str">
        <f aca="false">"LA FONTE"</f>
        <v>LA FONTE</v>
      </c>
      <c r="C314" s="6" t="n">
        <v>955659</v>
      </c>
      <c r="D314" s="7" t="n">
        <v>45849</v>
      </c>
      <c r="E314" s="7" t="n">
        <v>45747</v>
      </c>
      <c r="F314" s="7"/>
      <c r="G314" s="7"/>
      <c r="H314" s="7"/>
      <c r="I314" s="5" t="str">
        <f aca="false">""</f>
        <v/>
      </c>
      <c r="J314" s="5" t="str">
        <f aca="false">"SPDLFT005474"</f>
        <v>SPDLFT005474</v>
      </c>
      <c r="K314" s="5" t="str">
        <f aca="false">"EXCELSIOR"</f>
        <v>EXCELSIOR</v>
      </c>
      <c r="L314" s="5" t="str">
        <f aca="false">"FERRAGISTA"</f>
        <v>FERRAGISTA</v>
      </c>
      <c r="M314" s="5" t="str">
        <f aca="false">"MG"</f>
        <v>MG</v>
      </c>
      <c r="N314" s="9" t="n">
        <v>0</v>
      </c>
      <c r="O314" s="10" t="n">
        <v>1200.74</v>
      </c>
      <c r="P314" s="10" t="n">
        <v>808.35</v>
      </c>
      <c r="Q314" s="10" t="n">
        <v>0</v>
      </c>
      <c r="R314" s="10" t="n">
        <v>5.18</v>
      </c>
      <c r="S314" s="5" t="str">
        <f aca="false">"Embarque"</f>
        <v>Embarque</v>
      </c>
      <c r="T314" s="5" t="str">
        <f aca="false">"FRADE"</f>
        <v>FRADE</v>
      </c>
      <c r="U314" s="11" t="n">
        <v>25</v>
      </c>
      <c r="V314" s="5" t="str">
        <f aca="false">""</f>
        <v/>
      </c>
    </row>
    <row r="315" customFormat="false" ht="12.8" hidden="false" customHeight="false" outlineLevel="0" collapsed="false">
      <c r="A315" s="4" t="n">
        <v>206</v>
      </c>
      <c r="B315" s="5" t="str">
        <f aca="false">"LA FONTE"</f>
        <v>LA FONTE</v>
      </c>
      <c r="C315" s="6" t="n">
        <v>955687</v>
      </c>
      <c r="D315" s="7" t="n">
        <v>45852</v>
      </c>
      <c r="E315" s="7" t="n">
        <v>45747</v>
      </c>
      <c r="F315" s="7"/>
      <c r="G315" s="7"/>
      <c r="H315" s="7"/>
      <c r="I315" s="5" t="str">
        <f aca="false">""</f>
        <v/>
      </c>
      <c r="J315" s="5" t="str">
        <f aca="false">"SPDLFT005521"</f>
        <v>SPDLFT005521</v>
      </c>
      <c r="K315" s="5" t="str">
        <f aca="false">"METALFERCO4"</f>
        <v>METALFERCO4</v>
      </c>
      <c r="L315" s="5" t="str">
        <f aca="false">"FERRAGISTA"</f>
        <v>FERRAGISTA</v>
      </c>
      <c r="M315" s="5" t="str">
        <f aca="false">"SP"</f>
        <v>SP</v>
      </c>
      <c r="N315" s="9" t="n">
        <v>11731.47</v>
      </c>
      <c r="O315" s="10" t="n">
        <v>457.12</v>
      </c>
      <c r="P315" s="10" t="n">
        <v>288.42</v>
      </c>
      <c r="Q315" s="10" t="n">
        <v>0</v>
      </c>
      <c r="R315" s="10" t="n">
        <v>1.44</v>
      </c>
      <c r="S315" s="5" t="str">
        <f aca="false">"Embarque"</f>
        <v>Embarque</v>
      </c>
      <c r="T315" s="5" t="str">
        <f aca="false">"METALF PIN"</f>
        <v>METALF PIN</v>
      </c>
      <c r="U315" s="11" t="n">
        <v>25</v>
      </c>
      <c r="V315" s="5" t="str">
        <f aca="false">""</f>
        <v/>
      </c>
    </row>
    <row r="316" customFormat="false" ht="12.8" hidden="false" customHeight="false" outlineLevel="0" collapsed="false">
      <c r="A316" s="4" t="n">
        <v>206</v>
      </c>
      <c r="B316" s="5" t="str">
        <f aca="false">"LA FONTE"</f>
        <v>LA FONTE</v>
      </c>
      <c r="C316" s="6" t="n">
        <v>955507</v>
      </c>
      <c r="D316" s="7" t="n">
        <v>45852</v>
      </c>
      <c r="E316" s="7" t="n">
        <v>45745</v>
      </c>
      <c r="F316" s="7"/>
      <c r="G316" s="7"/>
      <c r="H316" s="7"/>
      <c r="I316" s="5" t="str">
        <f aca="false">""</f>
        <v/>
      </c>
      <c r="J316" s="13" t="n">
        <v>5652</v>
      </c>
      <c r="K316" s="5" t="str">
        <f aca="false">"IPE FOLHAS"</f>
        <v>IPE FOLHAS</v>
      </c>
      <c r="L316" s="5" t="str">
        <f aca="false">"FERRAGISTA"</f>
        <v>FERRAGISTA</v>
      </c>
      <c r="M316" s="5" t="str">
        <f aca="false">"SP"</f>
        <v>SP</v>
      </c>
      <c r="N316" s="9" t="n">
        <v>9366.33</v>
      </c>
      <c r="O316" s="10" t="n">
        <v>427.32</v>
      </c>
      <c r="P316" s="10" t="n">
        <v>244.09</v>
      </c>
      <c r="Q316" s="10" t="n">
        <v>0</v>
      </c>
      <c r="R316" s="10" t="n">
        <v>59.4</v>
      </c>
      <c r="S316" s="5" t="str">
        <f aca="false">"Embarque"</f>
        <v>Embarque</v>
      </c>
      <c r="T316" s="5" t="str">
        <f aca="false">"YARA"</f>
        <v>YARA</v>
      </c>
      <c r="U316" s="11" t="n">
        <v>25</v>
      </c>
      <c r="V316" s="5" t="str">
        <f aca="false">""</f>
        <v/>
      </c>
    </row>
    <row r="317" customFormat="false" ht="12.8" hidden="false" customHeight="false" outlineLevel="0" collapsed="false">
      <c r="A317" s="4" t="n">
        <v>206</v>
      </c>
      <c r="B317" s="5" t="str">
        <f aca="false">"LA FONTE"</f>
        <v>LA FONTE</v>
      </c>
      <c r="C317" s="6" t="n">
        <v>956711</v>
      </c>
      <c r="D317" s="7" t="n">
        <v>45859</v>
      </c>
      <c r="E317" s="7" t="n">
        <v>45751</v>
      </c>
      <c r="F317" s="7"/>
      <c r="G317" s="7"/>
      <c r="H317" s="7"/>
      <c r="I317" s="5" t="str">
        <f aca="false">""</f>
        <v/>
      </c>
      <c r="J317" s="12" t="n">
        <v>16930</v>
      </c>
      <c r="K317" s="5" t="str">
        <f aca="false">"ABATEX"</f>
        <v>ABATEX</v>
      </c>
      <c r="L317" s="5" t="str">
        <f aca="false">"OEM"</f>
        <v>OEM</v>
      </c>
      <c r="M317" s="5" t="str">
        <f aca="false">"SP"</f>
        <v>SP</v>
      </c>
      <c r="N317" s="9" t="n">
        <v>32715.34</v>
      </c>
      <c r="O317" s="10" t="n">
        <v>612.3</v>
      </c>
      <c r="P317" s="10" t="n">
        <v>445.45</v>
      </c>
      <c r="Q317" s="10" t="n">
        <v>0</v>
      </c>
      <c r="R317" s="10" t="n">
        <v>2.67</v>
      </c>
      <c r="S317" s="5" t="str">
        <f aca="false">"Embarque"</f>
        <v>Embarque</v>
      </c>
      <c r="T317" s="5" t="str">
        <f aca="false">"REINALDO M"</f>
        <v>REINALDO M</v>
      </c>
      <c r="U317" s="11" t="n">
        <v>25</v>
      </c>
      <c r="V317" s="5" t="str">
        <f aca="false">""</f>
        <v/>
      </c>
    </row>
    <row r="318" customFormat="false" ht="12.8" hidden="false" customHeight="false" outlineLevel="0" collapsed="false">
      <c r="A318" s="4" t="n">
        <v>206</v>
      </c>
      <c r="B318" s="5" t="str">
        <f aca="false">"LA FONTE"</f>
        <v>LA FONTE</v>
      </c>
      <c r="C318" s="6" t="n">
        <v>956724</v>
      </c>
      <c r="D318" s="7" t="n">
        <v>45861</v>
      </c>
      <c r="E318" s="7" t="n">
        <v>45751</v>
      </c>
      <c r="F318" s="7"/>
      <c r="G318" s="7"/>
      <c r="H318" s="7"/>
      <c r="I318" s="5" t="str">
        <f aca="false">""</f>
        <v/>
      </c>
      <c r="J318" s="8" t="n">
        <v>17978</v>
      </c>
      <c r="K318" s="5" t="str">
        <f aca="false">"EPM"</f>
        <v>EPM</v>
      </c>
      <c r="L318" s="5" t="str">
        <f aca="false">"FERRAGISTA"</f>
        <v>FERRAGISTA</v>
      </c>
      <c r="M318" s="5" t="str">
        <f aca="false">"SP"</f>
        <v>SP</v>
      </c>
      <c r="N318" s="9" t="n">
        <v>3542</v>
      </c>
      <c r="O318" s="10" t="n">
        <v>1835.58</v>
      </c>
      <c r="P318" s="10" t="n">
        <v>1158.18</v>
      </c>
      <c r="Q318" s="10" t="n">
        <v>0</v>
      </c>
      <c r="R318" s="10" t="n">
        <v>5.3</v>
      </c>
      <c r="S318" s="5" t="str">
        <f aca="false">"Embarque"</f>
        <v>Embarque</v>
      </c>
      <c r="T318" s="5" t="str">
        <f aca="false">"Luiz Carlos"</f>
        <v>Luiz Carlos</v>
      </c>
      <c r="U318" s="11" t="n">
        <v>25</v>
      </c>
      <c r="V318" s="5" t="str">
        <f aca="false">""</f>
        <v/>
      </c>
    </row>
    <row r="319" customFormat="false" ht="12.8" hidden="false" customHeight="false" outlineLevel="0" collapsed="false">
      <c r="A319" s="4" t="n">
        <v>206</v>
      </c>
      <c r="B319" s="5" t="str">
        <f aca="false">"LA FONTE"</f>
        <v>LA FONTE</v>
      </c>
      <c r="C319" s="6" t="n">
        <v>956735</v>
      </c>
      <c r="D319" s="7" t="n">
        <v>45863</v>
      </c>
      <c r="E319" s="7" t="n">
        <v>45751</v>
      </c>
      <c r="F319" s="7"/>
      <c r="G319" s="7"/>
      <c r="H319" s="7"/>
      <c r="I319" s="5" t="str">
        <f aca="false">""</f>
        <v/>
      </c>
      <c r="J319" s="12" t="n">
        <v>31093</v>
      </c>
      <c r="K319" s="5" t="str">
        <f aca="false">"METALFERCO4"</f>
        <v>METALFERCO4</v>
      </c>
      <c r="L319" s="5" t="str">
        <f aca="false">"FERRAGISTA"</f>
        <v>FERRAGISTA</v>
      </c>
      <c r="M319" s="5" t="str">
        <f aca="false">"SP"</f>
        <v>SP</v>
      </c>
      <c r="N319" s="9" t="n">
        <v>26806.48</v>
      </c>
      <c r="O319" s="10" t="n">
        <v>2145.1</v>
      </c>
      <c r="P319" s="10" t="n">
        <v>1353.48</v>
      </c>
      <c r="Q319" s="10" t="n">
        <v>0</v>
      </c>
      <c r="R319" s="10" t="n">
        <v>13.52</v>
      </c>
      <c r="S319" s="5" t="str">
        <f aca="false">"Embarque"</f>
        <v>Embarque</v>
      </c>
      <c r="T319" s="5" t="str">
        <f aca="false">"METALF PIN"</f>
        <v>METALF PIN</v>
      </c>
      <c r="U319" s="11" t="n">
        <v>25</v>
      </c>
      <c r="V319" s="5" t="str">
        <f aca="false">""</f>
        <v/>
      </c>
    </row>
    <row r="320" customFormat="false" ht="12.8" hidden="false" customHeight="false" outlineLevel="0" collapsed="false">
      <c r="A320" s="4" t="n">
        <v>206</v>
      </c>
      <c r="B320" s="5" t="str">
        <f aca="false">"LA FONTE"</f>
        <v>LA FONTE</v>
      </c>
      <c r="C320" s="6" t="n">
        <v>956734</v>
      </c>
      <c r="D320" s="7" t="n">
        <v>45863</v>
      </c>
      <c r="E320" s="7" t="n">
        <v>45751</v>
      </c>
      <c r="F320" s="7"/>
      <c r="G320" s="7"/>
      <c r="H320" s="7"/>
      <c r="I320" s="5" t="str">
        <f aca="false">""</f>
        <v/>
      </c>
      <c r="J320" s="12" t="n">
        <v>31094</v>
      </c>
      <c r="K320" s="5" t="str">
        <f aca="false">"METALFERCO1"</f>
        <v>METALFERCO1</v>
      </c>
      <c r="L320" s="5" t="str">
        <f aca="false">"FERRAGISTA"</f>
        <v>FERRAGISTA</v>
      </c>
      <c r="M320" s="5" t="str">
        <f aca="false">"SP"</f>
        <v>SP</v>
      </c>
      <c r="N320" s="9" t="n">
        <v>49267.07</v>
      </c>
      <c r="O320" s="10" t="n">
        <v>2529.22</v>
      </c>
      <c r="P320" s="10" t="n">
        <v>1595.84</v>
      </c>
      <c r="Q320" s="10" t="n">
        <v>0</v>
      </c>
      <c r="R320" s="10" t="n">
        <v>15.23</v>
      </c>
      <c r="S320" s="5" t="str">
        <f aca="false">"Embarque"</f>
        <v>Embarque</v>
      </c>
      <c r="T320" s="5" t="str">
        <f aca="false">"METALF PIN"</f>
        <v>METALF PIN</v>
      </c>
      <c r="U320" s="11" t="n">
        <v>25</v>
      </c>
      <c r="V320" s="5" t="str">
        <f aca="false">""</f>
        <v/>
      </c>
    </row>
    <row r="321" customFormat="false" ht="12.8" hidden="false" customHeight="false" outlineLevel="0" collapsed="false">
      <c r="A321" s="4" t="n">
        <v>206</v>
      </c>
      <c r="B321" s="5" t="str">
        <f aca="false">"LA FONTE"</f>
        <v>LA FONTE</v>
      </c>
      <c r="C321" s="6" t="n">
        <v>956389</v>
      </c>
      <c r="D321" s="7" t="n">
        <v>45866</v>
      </c>
      <c r="E321" s="7" t="n">
        <v>45749</v>
      </c>
      <c r="F321" s="7"/>
      <c r="G321" s="7"/>
      <c r="H321" s="7"/>
      <c r="I321" s="5" t="str">
        <f aca="false">""</f>
        <v/>
      </c>
      <c r="J321" s="5" t="str">
        <f aca="false">"SAC35033LF"</f>
        <v>SAC35033LF</v>
      </c>
      <c r="K321" s="5" t="str">
        <f aca="false">"METALFERCO4"</f>
        <v>METALFERCO4</v>
      </c>
      <c r="L321" s="5" t="str">
        <f aca="false">"FERRAGISTA"</f>
        <v>FERRAGISTA</v>
      </c>
      <c r="M321" s="5" t="str">
        <f aca="false">"SP"</f>
        <v>SP</v>
      </c>
      <c r="N321" s="9" t="n">
        <v>0</v>
      </c>
      <c r="O321" s="10" t="n">
        <v>891.81</v>
      </c>
      <c r="P321" s="10" t="n">
        <v>731.28</v>
      </c>
      <c r="Q321" s="10" t="n">
        <v>0</v>
      </c>
      <c r="R321" s="10" t="n">
        <v>2.74</v>
      </c>
      <c r="S321" s="5" t="str">
        <f aca="false">"Embarque"</f>
        <v>Embarque</v>
      </c>
      <c r="T321" s="5" t="str">
        <f aca="false">"METALF PIN"</f>
        <v>METALF PIN</v>
      </c>
      <c r="U321" s="11" t="n">
        <v>25</v>
      </c>
      <c r="V321" s="5" t="str">
        <f aca="false">""</f>
        <v/>
      </c>
    </row>
    <row r="322" customFormat="false" ht="12.8" hidden="false" customHeight="false" outlineLevel="0" collapsed="false">
      <c r="A322" s="4" t="n">
        <v>206</v>
      </c>
      <c r="B322" s="5" t="str">
        <f aca="false">"LA FONTE"</f>
        <v>LA FONTE</v>
      </c>
      <c r="C322" s="6" t="n">
        <v>956733</v>
      </c>
      <c r="D322" s="7" t="n">
        <v>45867</v>
      </c>
      <c r="E322" s="7" t="n">
        <v>45751</v>
      </c>
      <c r="F322" s="7"/>
      <c r="G322" s="7"/>
      <c r="H322" s="7"/>
      <c r="I322" s="5" t="str">
        <f aca="false">""</f>
        <v/>
      </c>
      <c r="J322" s="5" t="str">
        <f aca="false">"SPDLFT005884"</f>
        <v>SPDLFT005884</v>
      </c>
      <c r="K322" s="5" t="str">
        <f aca="false">"METAL DECOR"</f>
        <v>METAL DECOR</v>
      </c>
      <c r="L322" s="5" t="str">
        <f aca="false">"FERRAGISTA"</f>
        <v>FERRAGISTA</v>
      </c>
      <c r="M322" s="5" t="str">
        <f aca="false">"BA"</f>
        <v>BA</v>
      </c>
      <c r="N322" s="9" t="n">
        <v>1047.81</v>
      </c>
      <c r="O322" s="10" t="n">
        <v>691.47</v>
      </c>
      <c r="P322" s="10" t="n">
        <v>444.88</v>
      </c>
      <c r="Q322" s="10" t="n">
        <v>0</v>
      </c>
      <c r="R322" s="10" t="n">
        <v>2.1</v>
      </c>
      <c r="S322" s="5" t="str">
        <f aca="false">"Embarque"</f>
        <v>Embarque</v>
      </c>
      <c r="T322" s="5" t="str">
        <f aca="false">"YARA"</f>
        <v>YARA</v>
      </c>
      <c r="U322" s="11" t="n">
        <v>25</v>
      </c>
      <c r="V322" s="5" t="str">
        <f aca="false">""</f>
        <v/>
      </c>
    </row>
    <row r="323" customFormat="false" ht="12.8" hidden="false" customHeight="false" outlineLevel="0" collapsed="false">
      <c r="A323" s="4" t="n">
        <v>206</v>
      </c>
      <c r="B323" s="5" t="str">
        <f aca="false">"LA FONTE"</f>
        <v>LA FONTE</v>
      </c>
      <c r="C323" s="6" t="n">
        <v>956725</v>
      </c>
      <c r="D323" s="7" t="n">
        <v>45867</v>
      </c>
      <c r="E323" s="7" t="n">
        <v>45751</v>
      </c>
      <c r="F323" s="7"/>
      <c r="G323" s="7"/>
      <c r="H323" s="7"/>
      <c r="I323" s="5" t="str">
        <f aca="false">""</f>
        <v/>
      </c>
      <c r="J323" s="5" t="str">
        <f aca="false">"SPDLFT005888"</f>
        <v>SPDLFT005888</v>
      </c>
      <c r="K323" s="5" t="str">
        <f aca="false">"ESTILO 1"</f>
        <v>ESTILO 1</v>
      </c>
      <c r="L323" s="5" t="str">
        <f aca="false">"MATERIAL DE CONSTRUCAO"</f>
        <v>MATERIAL DE CONSTRUCAO</v>
      </c>
      <c r="M323" s="5" t="str">
        <f aca="false">"PR"</f>
        <v>PR</v>
      </c>
      <c r="N323" s="9" t="n">
        <v>2513.55</v>
      </c>
      <c r="O323" s="10" t="n">
        <v>428.15</v>
      </c>
      <c r="P323" s="10" t="n">
        <v>277.09</v>
      </c>
      <c r="Q323" s="10" t="n">
        <v>0</v>
      </c>
      <c r="R323" s="10" t="n">
        <v>2.42</v>
      </c>
      <c r="S323" s="5" t="str">
        <f aca="false">"Embarque"</f>
        <v>Embarque</v>
      </c>
      <c r="T323" s="5" t="str">
        <f aca="false">"YARA"</f>
        <v>YARA</v>
      </c>
      <c r="U323" s="11" t="n">
        <v>25</v>
      </c>
      <c r="V323" s="5" t="str">
        <f aca="false">""</f>
        <v/>
      </c>
    </row>
    <row r="324" customFormat="false" ht="12.8" hidden="false" customHeight="false" outlineLevel="0" collapsed="false">
      <c r="A324" s="4" t="n">
        <v>206</v>
      </c>
      <c r="B324" s="5" t="str">
        <f aca="false">"METALIKA"</f>
        <v>METALIKA</v>
      </c>
      <c r="C324" s="6" t="n">
        <v>956483</v>
      </c>
      <c r="D324" s="7" t="n">
        <v>45679</v>
      </c>
      <c r="E324" s="7" t="n">
        <v>45750</v>
      </c>
      <c r="F324" s="7" t="n">
        <v>45750</v>
      </c>
      <c r="G324" s="7"/>
      <c r="H324" s="7"/>
      <c r="I324" s="5" t="str">
        <f aca="false">""</f>
        <v/>
      </c>
      <c r="J324" s="5" t="str">
        <f aca="false">"SPDMET000383"</f>
        <v>SPDMET000383</v>
      </c>
      <c r="K324" s="5" t="str">
        <f aca="false">"MILFARMA"</f>
        <v>MILFARMA</v>
      </c>
      <c r="L324" s="5" t="str">
        <f aca="false">"CONSTRUTORA"</f>
        <v>CONSTRUTORA</v>
      </c>
      <c r="M324" s="5" t="str">
        <f aca="false">"SP"</f>
        <v>SP</v>
      </c>
      <c r="N324" s="9" t="n">
        <v>0</v>
      </c>
      <c r="O324" s="10" t="n">
        <v>2762.49</v>
      </c>
      <c r="P324" s="10" t="n">
        <v>2009.71</v>
      </c>
      <c r="Q324" s="10" t="n">
        <v>0</v>
      </c>
      <c r="R324" s="10" t="n">
        <v>52.13</v>
      </c>
      <c r="S324" s="5" t="str">
        <f aca="false">"Emb Impres"</f>
        <v>Emb Impres</v>
      </c>
      <c r="T324" s="5" t="str">
        <f aca="false">"CARLA REGINA"</f>
        <v>CARLA REGINA</v>
      </c>
      <c r="U324" s="11" t="n">
        <v>25</v>
      </c>
      <c r="V324" s="5" t="str">
        <f aca="false">""</f>
        <v/>
      </c>
    </row>
    <row r="325" customFormat="false" ht="12.8" hidden="false" customHeight="false" outlineLevel="0" collapsed="false">
      <c r="A325" s="4" t="n">
        <v>206</v>
      </c>
      <c r="B325" s="5" t="str">
        <f aca="false">"METALIKA"</f>
        <v>METALIKA</v>
      </c>
      <c r="C325" s="6" t="n">
        <v>954696</v>
      </c>
      <c r="D325" s="7" t="n">
        <v>45726</v>
      </c>
      <c r="E325" s="7" t="n">
        <v>45743</v>
      </c>
      <c r="F325" s="7" t="n">
        <v>45743</v>
      </c>
      <c r="G325" s="7"/>
      <c r="H325" s="7"/>
      <c r="I325" s="5" t="str">
        <f aca="false">""</f>
        <v/>
      </c>
      <c r="J325" s="14" t="n">
        <v>4508828949</v>
      </c>
      <c r="K325" s="5" t="str">
        <f aca="false">"MRV PORTO MO"</f>
        <v>MRV PORTO MO</v>
      </c>
      <c r="L325" s="5" t="str">
        <f aca="false">"CONSTRUTORA"</f>
        <v>CONSTRUTORA</v>
      </c>
      <c r="M325" s="5" t="str">
        <f aca="false">"RS"</f>
        <v>RS</v>
      </c>
      <c r="N325" s="9" t="n">
        <v>0</v>
      </c>
      <c r="O325" s="10" t="n">
        <v>15236.1</v>
      </c>
      <c r="P325" s="10" t="n">
        <v>11084.26</v>
      </c>
      <c r="Q325" s="10" t="n">
        <v>0</v>
      </c>
      <c r="R325" s="10" t="n">
        <v>840.14</v>
      </c>
      <c r="S325" s="5" t="str">
        <f aca="false">"Emb Impres"</f>
        <v>Emb Impres</v>
      </c>
      <c r="T325" s="5" t="str">
        <f aca="false">"CARLA REGINA"</f>
        <v>CARLA REGINA</v>
      </c>
      <c r="U325" s="11" t="n">
        <v>25</v>
      </c>
      <c r="V325" s="5" t="str">
        <f aca="false">""</f>
        <v/>
      </c>
    </row>
    <row r="326" customFormat="false" ht="12.8" hidden="false" customHeight="false" outlineLevel="0" collapsed="false">
      <c r="A326" s="4" t="n">
        <v>206</v>
      </c>
      <c r="B326" s="5" t="str">
        <f aca="false">"METALIKA"</f>
        <v>METALIKA</v>
      </c>
      <c r="C326" s="6" t="n">
        <v>956847</v>
      </c>
      <c r="D326" s="7" t="n">
        <v>45741</v>
      </c>
      <c r="E326" s="7" t="n">
        <v>45751</v>
      </c>
      <c r="F326" s="7" t="n">
        <v>45751</v>
      </c>
      <c r="G326" s="7"/>
      <c r="H326" s="7"/>
      <c r="I326" s="5" t="str">
        <f aca="false">""</f>
        <v/>
      </c>
      <c r="J326" s="5" t="str">
        <f aca="false">"PEDIDO DE CO"</f>
        <v>PEDIDO DE CO</v>
      </c>
      <c r="K326" s="5" t="str">
        <f aca="false">"NU PAGAMENTO"</f>
        <v>NU PAGAMENTO</v>
      </c>
      <c r="L326" s="5" t="str">
        <f aca="false">"OEM"</f>
        <v>OEM</v>
      </c>
      <c r="M326" s="5" t="str">
        <f aca="false">"SP"</f>
        <v>SP</v>
      </c>
      <c r="N326" s="9" t="n">
        <v>0</v>
      </c>
      <c r="O326" s="10" t="n">
        <v>8867.25</v>
      </c>
      <c r="P326" s="10" t="n">
        <v>6450.92</v>
      </c>
      <c r="Q326" s="10" t="n">
        <v>0</v>
      </c>
      <c r="R326" s="10" t="n">
        <v>17.54</v>
      </c>
      <c r="S326" s="5" t="str">
        <f aca="false">"Emb Impres"</f>
        <v>Emb Impres</v>
      </c>
      <c r="T326" s="5" t="str">
        <f aca="false">"FLAVIA GODOI"</f>
        <v>FLAVIA GODOI</v>
      </c>
      <c r="U326" s="11" t="n">
        <v>25</v>
      </c>
      <c r="V326" s="5" t="str">
        <f aca="false">""</f>
        <v/>
      </c>
    </row>
    <row r="327" customFormat="false" ht="12.8" hidden="false" customHeight="false" outlineLevel="0" collapsed="false">
      <c r="A327" s="4" t="n">
        <v>206</v>
      </c>
      <c r="B327" s="5" t="str">
        <f aca="false">"METALIKA"</f>
        <v>METALIKA</v>
      </c>
      <c r="C327" s="6" t="n">
        <v>956373</v>
      </c>
      <c r="D327" s="7" t="n">
        <v>45742</v>
      </c>
      <c r="E327" s="7" t="n">
        <v>45749</v>
      </c>
      <c r="F327" s="7" t="n">
        <v>45749</v>
      </c>
      <c r="G327" s="7"/>
      <c r="H327" s="7"/>
      <c r="I327" s="5" t="str">
        <f aca="false">""</f>
        <v/>
      </c>
      <c r="J327" s="5" t="str">
        <f aca="false">"SPDMET001434"</f>
        <v>SPDMET001434</v>
      </c>
      <c r="K327" s="5" t="str">
        <f aca="false">"NORMMA"</f>
        <v>NORMMA</v>
      </c>
      <c r="L327" s="5" t="str">
        <f aca="false">"OEM"</f>
        <v>OEM</v>
      </c>
      <c r="M327" s="5" t="str">
        <f aca="false">"SP"</f>
        <v>SP</v>
      </c>
      <c r="N327" s="9" t="n">
        <v>0</v>
      </c>
      <c r="O327" s="10" t="n">
        <v>749.8</v>
      </c>
      <c r="P327" s="10" t="n">
        <v>545.48</v>
      </c>
      <c r="Q327" s="10" t="n">
        <v>0</v>
      </c>
      <c r="R327" s="10" t="n">
        <v>7</v>
      </c>
      <c r="S327" s="5" t="str">
        <f aca="false">"Emb Impres"</f>
        <v>Emb Impres</v>
      </c>
      <c r="T327" s="5" t="str">
        <f aca="false">"CARLA REGINA"</f>
        <v>CARLA REGINA</v>
      </c>
      <c r="U327" s="11" t="n">
        <v>25</v>
      </c>
      <c r="V327" s="5" t="str">
        <f aca="false">""</f>
        <v/>
      </c>
    </row>
    <row r="328" customFormat="false" ht="12.8" hidden="false" customHeight="false" outlineLevel="0" collapsed="false">
      <c r="A328" s="4" t="n">
        <v>206</v>
      </c>
      <c r="B328" s="5" t="str">
        <f aca="false">"LA FONTE"</f>
        <v>LA FONTE</v>
      </c>
      <c r="C328" s="6" t="n">
        <v>955637</v>
      </c>
      <c r="D328" s="7" t="n">
        <v>45657</v>
      </c>
      <c r="E328" s="7" t="n">
        <v>45747</v>
      </c>
      <c r="F328" s="7"/>
      <c r="G328" s="7" t="n">
        <v>45748</v>
      </c>
      <c r="H328" s="7"/>
      <c r="I328" s="5" t="str">
        <f aca="false">""</f>
        <v/>
      </c>
      <c r="J328" s="5" t="str">
        <f aca="false">"LPED914313"</f>
        <v>LPED914313</v>
      </c>
      <c r="K328" s="5" t="str">
        <f aca="false">"FLORESTA PIN"</f>
        <v>FLORESTA PIN</v>
      </c>
      <c r="L328" s="5" t="str">
        <f aca="false">"MATERIAL DE CONSTRUCAO"</f>
        <v>MATERIAL DE CONSTRUCAO</v>
      </c>
      <c r="M328" s="5" t="str">
        <f aca="false">"SP"</f>
        <v>SP</v>
      </c>
      <c r="N328" s="9" t="n">
        <v>314.72</v>
      </c>
      <c r="O328" s="10" t="n">
        <v>182.37</v>
      </c>
      <c r="P328" s="10" t="n">
        <v>149.54</v>
      </c>
      <c r="Q328" s="10" t="n">
        <v>2.5</v>
      </c>
      <c r="R328" s="10" t="n">
        <v>1.73</v>
      </c>
      <c r="S328" s="5" t="str">
        <f aca="false">"Checkout"</f>
        <v>Checkout</v>
      </c>
      <c r="T328" s="5" t="str">
        <f aca="false">"PRIME CF"</f>
        <v>PRIME CF</v>
      </c>
      <c r="U328" s="11" t="n">
        <v>24</v>
      </c>
      <c r="V328" s="5" t="str">
        <f aca="false">""</f>
        <v/>
      </c>
    </row>
    <row r="329" customFormat="false" ht="12.8" hidden="false" customHeight="false" outlineLevel="0" collapsed="false">
      <c r="A329" s="4" t="n">
        <v>206</v>
      </c>
      <c r="B329" s="5" t="str">
        <f aca="false">"LA FONTE"</f>
        <v>LA FONTE</v>
      </c>
      <c r="C329" s="6" t="n">
        <v>956122</v>
      </c>
      <c r="D329" s="7" t="n">
        <v>45790</v>
      </c>
      <c r="E329" s="7" t="n">
        <v>45749</v>
      </c>
      <c r="F329" s="7"/>
      <c r="G329" s="7" t="n">
        <v>45749</v>
      </c>
      <c r="H329" s="7"/>
      <c r="I329" s="5" t="str">
        <f aca="false">""</f>
        <v/>
      </c>
      <c r="J329" s="14" t="n">
        <v>4500351428</v>
      </c>
      <c r="K329" s="5" t="str">
        <f aca="false">"OBRAMAX CAR"</f>
        <v>OBRAMAX CAR</v>
      </c>
      <c r="L329" s="5" t="str">
        <f aca="false">"HOME CENTER"</f>
        <v>HOME CENTER</v>
      </c>
      <c r="M329" s="5" t="str">
        <f aca="false">"ES"</f>
        <v>ES</v>
      </c>
      <c r="N329" s="9" t="n">
        <v>5456.64</v>
      </c>
      <c r="O329" s="10" t="n">
        <v>6165.46</v>
      </c>
      <c r="P329" s="10" t="n">
        <v>5163.57</v>
      </c>
      <c r="Q329" s="10" t="n">
        <v>48.5</v>
      </c>
      <c r="R329" s="10" t="n">
        <v>46.13</v>
      </c>
      <c r="S329" s="5" t="str">
        <f aca="false">"Checkout"</f>
        <v>Checkout</v>
      </c>
      <c r="T329" s="5" t="str">
        <f aca="false">"J FIRMINO"</f>
        <v>J FIRMINO</v>
      </c>
      <c r="U329" s="11" t="n">
        <v>1</v>
      </c>
      <c r="V329" s="5" t="str">
        <f aca="false">""</f>
        <v/>
      </c>
    </row>
    <row r="330" customFormat="false" ht="12.8" hidden="false" customHeight="false" outlineLevel="0" collapsed="false">
      <c r="A330" s="4" t="n">
        <v>206</v>
      </c>
      <c r="B330" s="5" t="str">
        <f aca="false">"LA FONTE"</f>
        <v>LA FONTE</v>
      </c>
      <c r="C330" s="6" t="n">
        <v>956317</v>
      </c>
      <c r="D330" s="7" t="n">
        <v>45796</v>
      </c>
      <c r="E330" s="7" t="n">
        <v>45749</v>
      </c>
      <c r="F330" s="7"/>
      <c r="G330" s="7" t="n">
        <v>45750</v>
      </c>
      <c r="H330" s="7"/>
      <c r="I330" s="5" t="str">
        <f aca="false">""</f>
        <v/>
      </c>
      <c r="J330" s="5" t="str">
        <f aca="false">"SPDLFT005659"</f>
        <v>SPDLFT005659</v>
      </c>
      <c r="K330" s="5" t="str">
        <f aca="false">"MALAI ITACI"</f>
        <v>MALAI ITACI</v>
      </c>
      <c r="L330" s="5" t="str">
        <f aca="false">"CONSTRUTORA"</f>
        <v>CONSTRUTORA</v>
      </c>
      <c r="M330" s="5" t="str">
        <f aca="false">"BA"</f>
        <v>BA</v>
      </c>
      <c r="N330" s="9" t="n">
        <v>0</v>
      </c>
      <c r="O330" s="10" t="n">
        <v>5845.1</v>
      </c>
      <c r="P330" s="10" t="n">
        <v>4252.31</v>
      </c>
      <c r="Q330" s="10" t="n">
        <v>0</v>
      </c>
      <c r="R330" s="10" t="n">
        <v>62.41</v>
      </c>
      <c r="S330" s="5" t="str">
        <f aca="false">"Checkout"</f>
        <v>Checkout</v>
      </c>
      <c r="T330" s="5" t="str">
        <f aca="false">"GRUPO PROTAZ"</f>
        <v>GRUPO PROTAZ</v>
      </c>
      <c r="U330" s="11" t="n">
        <v>25</v>
      </c>
      <c r="V330" s="5" t="str">
        <f aca="false">""</f>
        <v/>
      </c>
    </row>
    <row r="331" customFormat="false" ht="12.8" hidden="false" customHeight="false" outlineLevel="0" collapsed="false">
      <c r="A331" s="4" t="n">
        <v>206</v>
      </c>
      <c r="B331" s="5" t="str">
        <f aca="false">"LA FONTE"</f>
        <v>LA FONTE</v>
      </c>
      <c r="C331" s="6" t="n">
        <v>956822</v>
      </c>
      <c r="D331" s="7" t="n">
        <v>45574</v>
      </c>
      <c r="E331" s="7" t="n">
        <v>45751</v>
      </c>
      <c r="F331" s="7"/>
      <c r="G331" s="7" t="n">
        <v>45751</v>
      </c>
      <c r="H331" s="7" t="n">
        <v>45751</v>
      </c>
      <c r="I331" s="15" t="n">
        <v>90090</v>
      </c>
      <c r="J331" s="5" t="str">
        <f aca="false">"LPED896441"</f>
        <v>LPED896441</v>
      </c>
      <c r="K331" s="5" t="str">
        <f aca="false">"CAIEIRA NOSS"</f>
        <v>CAIEIRA NOSS</v>
      </c>
      <c r="L331" s="5" t="str">
        <f aca="false">"NOVOS CANAIS"</f>
        <v>NOVOS CANAIS</v>
      </c>
      <c r="M331" s="5" t="str">
        <f aca="false">"MT"</f>
        <v>MT</v>
      </c>
      <c r="N331" s="9" t="n">
        <v>0</v>
      </c>
      <c r="O331" s="10" t="n">
        <v>1554.35</v>
      </c>
      <c r="P331" s="10" t="n">
        <v>1311.84</v>
      </c>
      <c r="Q331" s="10" t="n">
        <v>4.79</v>
      </c>
      <c r="R331" s="10" t="n">
        <v>4.79</v>
      </c>
      <c r="S331" s="5" t="str">
        <f aca="false">"Faturado"</f>
        <v>Faturado</v>
      </c>
      <c r="T331" s="5" t="str">
        <f aca="false">"KELBER"</f>
        <v>KELBER</v>
      </c>
      <c r="U331" s="11" t="n">
        <v>24</v>
      </c>
      <c r="V331" s="5" t="str">
        <f aca="false">""</f>
        <v/>
      </c>
    </row>
    <row r="332" customFormat="false" ht="12.8" hidden="false" customHeight="false" outlineLevel="0" collapsed="false">
      <c r="A332" s="4" t="n">
        <v>206</v>
      </c>
      <c r="B332" s="5" t="str">
        <f aca="false">"SILVANA CDSP"</f>
        <v>SILVANA CDSP</v>
      </c>
      <c r="C332" s="6" t="n">
        <v>953914</v>
      </c>
      <c r="D332" s="7" t="n">
        <v>45615</v>
      </c>
      <c r="E332" s="7" t="n">
        <v>45742</v>
      </c>
      <c r="F332" s="7"/>
      <c r="G332" s="7" t="n">
        <v>45744</v>
      </c>
      <c r="H332" s="7" t="n">
        <v>45751</v>
      </c>
      <c r="I332" s="15" t="n">
        <v>90159</v>
      </c>
      <c r="J332" s="12" t="n">
        <v>24446</v>
      </c>
      <c r="K332" s="5" t="str">
        <f aca="false">"COELHO DIST"</f>
        <v>COELHO DIST</v>
      </c>
      <c r="L332" s="5" t="str">
        <f aca="false">"ATACADISTA"</f>
        <v>ATACADISTA</v>
      </c>
      <c r="M332" s="5" t="str">
        <f aca="false">"RJ"</f>
        <v>RJ</v>
      </c>
      <c r="N332" s="9" t="n">
        <v>0</v>
      </c>
      <c r="O332" s="10" t="n">
        <v>1167.6</v>
      </c>
      <c r="P332" s="10" t="n">
        <v>1017.22</v>
      </c>
      <c r="Q332" s="10" t="n">
        <v>37.24</v>
      </c>
      <c r="R332" s="10" t="n">
        <v>37.24</v>
      </c>
      <c r="S332" s="5" t="str">
        <f aca="false">"Faturado"</f>
        <v>Faturado</v>
      </c>
      <c r="T332" s="5" t="str">
        <f aca="false">"F2RIO REPRE"</f>
        <v>F2RIO REPRE</v>
      </c>
      <c r="U332" s="11" t="n">
        <v>25</v>
      </c>
      <c r="V332" s="5" t="str">
        <f aca="false">""</f>
        <v/>
      </c>
    </row>
    <row r="333" customFormat="false" ht="12.8" hidden="false" customHeight="false" outlineLevel="0" collapsed="false">
      <c r="A333" s="4" t="n">
        <v>206</v>
      </c>
      <c r="B333" s="5" t="str">
        <f aca="false">"LA FONTE"</f>
        <v>LA FONTE</v>
      </c>
      <c r="C333" s="6" t="n">
        <v>956625</v>
      </c>
      <c r="D333" s="7" t="n">
        <v>45649</v>
      </c>
      <c r="E333" s="7" t="n">
        <v>45750</v>
      </c>
      <c r="F333" s="7"/>
      <c r="G333" s="7" t="n">
        <v>45751</v>
      </c>
      <c r="H333" s="7" t="n">
        <v>45751</v>
      </c>
      <c r="I333" s="15" t="n">
        <v>90182</v>
      </c>
      <c r="J333" s="12" t="n">
        <v>30434</v>
      </c>
      <c r="K333" s="5" t="str">
        <f aca="false">"METALFERCO1"</f>
        <v>METALFERCO1</v>
      </c>
      <c r="L333" s="5" t="str">
        <f aca="false">"FERRAGISTA"</f>
        <v>FERRAGISTA</v>
      </c>
      <c r="M333" s="5" t="str">
        <f aca="false">"SP"</f>
        <v>SP</v>
      </c>
      <c r="N333" s="9" t="n">
        <v>7483.32</v>
      </c>
      <c r="O333" s="10" t="n">
        <v>2258.21</v>
      </c>
      <c r="P333" s="10" t="n">
        <v>1457.45</v>
      </c>
      <c r="Q333" s="10" t="n">
        <v>7.9</v>
      </c>
      <c r="R333" s="10" t="n">
        <v>7.8</v>
      </c>
      <c r="S333" s="5" t="str">
        <f aca="false">"Faturado"</f>
        <v>Faturado</v>
      </c>
      <c r="T333" s="5" t="str">
        <f aca="false">"METALF PIN"</f>
        <v>METALF PIN</v>
      </c>
      <c r="U333" s="11" t="n">
        <v>25</v>
      </c>
      <c r="V333" s="5" t="str">
        <f aca="false">""</f>
        <v/>
      </c>
    </row>
    <row r="334" customFormat="false" ht="12.8" hidden="false" customHeight="false" outlineLevel="0" collapsed="false">
      <c r="A334" s="4" t="n">
        <v>206</v>
      </c>
      <c r="B334" s="5" t="str">
        <f aca="false">"LA FONTE"</f>
        <v>LA FONTE</v>
      </c>
      <c r="C334" s="6" t="n">
        <v>956823</v>
      </c>
      <c r="D334" s="7" t="n">
        <v>45653</v>
      </c>
      <c r="E334" s="7" t="n">
        <v>45751</v>
      </c>
      <c r="F334" s="7"/>
      <c r="G334" s="7" t="n">
        <v>45751</v>
      </c>
      <c r="H334" s="7" t="n">
        <v>45751</v>
      </c>
      <c r="I334" s="15" t="n">
        <v>90095</v>
      </c>
      <c r="J334" s="12" t="n">
        <v>30469</v>
      </c>
      <c r="K334" s="5" t="str">
        <f aca="false">"METALFERCO4"</f>
        <v>METALFERCO4</v>
      </c>
      <c r="L334" s="5" t="str">
        <f aca="false">"FERRAGISTA"</f>
        <v>FERRAGISTA</v>
      </c>
      <c r="M334" s="5" t="str">
        <f aca="false">"SP"</f>
        <v>SP</v>
      </c>
      <c r="N334" s="9" t="n">
        <v>0</v>
      </c>
      <c r="O334" s="10" t="n">
        <v>1057.6</v>
      </c>
      <c r="P334" s="10" t="n">
        <v>617.94</v>
      </c>
      <c r="Q334" s="10" t="n">
        <v>3.16</v>
      </c>
      <c r="R334" s="10" t="n">
        <v>3.16</v>
      </c>
      <c r="S334" s="5" t="str">
        <f aca="false">"Faturado"</f>
        <v>Faturado</v>
      </c>
      <c r="T334" s="5" t="str">
        <f aca="false">"METALF PIN"</f>
        <v>METALF PIN</v>
      </c>
      <c r="U334" s="11" t="n">
        <v>25</v>
      </c>
      <c r="V334" s="5" t="str">
        <f aca="false">""</f>
        <v/>
      </c>
    </row>
    <row r="335" customFormat="false" ht="12.8" hidden="false" customHeight="false" outlineLevel="0" collapsed="false">
      <c r="A335" s="4" t="n">
        <v>206</v>
      </c>
      <c r="B335" s="5" t="str">
        <f aca="false">"SILVANA CDSP"</f>
        <v>SILVANA CDSP</v>
      </c>
      <c r="C335" s="6" t="n">
        <v>956282</v>
      </c>
      <c r="D335" s="7" t="n">
        <v>45686</v>
      </c>
      <c r="E335" s="7" t="n">
        <v>45749</v>
      </c>
      <c r="F335" s="7"/>
      <c r="G335" s="7" t="n">
        <v>45751</v>
      </c>
      <c r="H335" s="7" t="n">
        <v>45751</v>
      </c>
      <c r="I335" s="15" t="n">
        <v>90162</v>
      </c>
      <c r="J335" s="5" t="str">
        <f aca="false">"SPDSIL017346"</f>
        <v>SPDSIL017346</v>
      </c>
      <c r="K335" s="5" t="str">
        <f aca="false">"INTEGRA URBA"</f>
        <v>INTEGRA URBA</v>
      </c>
      <c r="L335" s="5" t="str">
        <f aca="false">"CONSTRUTORA"</f>
        <v>CONSTRUTORA</v>
      </c>
      <c r="M335" s="5" t="str">
        <f aca="false">"SP"</f>
        <v>SP</v>
      </c>
      <c r="N335" s="9" t="n">
        <v>0</v>
      </c>
      <c r="O335" s="10" t="n">
        <v>580.14</v>
      </c>
      <c r="P335" s="10" t="n">
        <v>431.71</v>
      </c>
      <c r="Q335" s="10" t="n">
        <v>8.31</v>
      </c>
      <c r="R335" s="10" t="n">
        <v>8.31</v>
      </c>
      <c r="S335" s="5" t="str">
        <f aca="false">"Faturado"</f>
        <v>Faturado</v>
      </c>
      <c r="T335" s="5" t="str">
        <f aca="false">"RAF REPRES"</f>
        <v>RAF REPRES</v>
      </c>
      <c r="U335" s="11" t="n">
        <v>25</v>
      </c>
      <c r="V335" s="5" t="str">
        <f aca="false">""</f>
        <v/>
      </c>
    </row>
    <row r="336" customFormat="false" ht="12.8" hidden="false" customHeight="false" outlineLevel="0" collapsed="false">
      <c r="A336" s="4" t="n">
        <v>206</v>
      </c>
      <c r="B336" s="5" t="str">
        <f aca="false">"SILVANA CDSP"</f>
        <v>SILVANA CDSP</v>
      </c>
      <c r="C336" s="6" t="n">
        <v>956292</v>
      </c>
      <c r="D336" s="7" t="n">
        <v>45695</v>
      </c>
      <c r="E336" s="7" t="n">
        <v>45749</v>
      </c>
      <c r="F336" s="7"/>
      <c r="G336" s="7"/>
      <c r="H336" s="7" t="n">
        <v>45751</v>
      </c>
      <c r="I336" s="15" t="n">
        <v>90129</v>
      </c>
      <c r="J336" s="5" t="str">
        <f aca="false">"SPDSIL017973"</f>
        <v>SPDSIL017973</v>
      </c>
      <c r="K336" s="5" t="str">
        <f aca="false">"VITALBR INCL"</f>
        <v>VITALBR INCL</v>
      </c>
      <c r="L336" s="5" t="str">
        <f aca="false">"CONSTRUTORA"</f>
        <v>CONSTRUTORA</v>
      </c>
      <c r="M336" s="5" t="str">
        <f aca="false">"SP"</f>
        <v>SP</v>
      </c>
      <c r="N336" s="9" t="n">
        <v>0</v>
      </c>
      <c r="O336" s="10" t="n">
        <v>7145.55</v>
      </c>
      <c r="P336" s="10" t="n">
        <v>5317.36</v>
      </c>
      <c r="Q336" s="10" t="n">
        <v>186.84</v>
      </c>
      <c r="R336" s="10" t="n">
        <v>186.84</v>
      </c>
      <c r="S336" s="5" t="str">
        <f aca="false">"Faturado"</f>
        <v>Faturado</v>
      </c>
      <c r="T336" s="5" t="str">
        <f aca="false">"RENATA MENDO"</f>
        <v>RENATA MENDO</v>
      </c>
      <c r="U336" s="11" t="n">
        <v>25</v>
      </c>
      <c r="V336" s="5" t="str">
        <f aca="false">""</f>
        <v/>
      </c>
    </row>
    <row r="337" customFormat="false" ht="12.8" hidden="false" customHeight="false" outlineLevel="0" collapsed="false">
      <c r="A337" s="4" t="n">
        <v>206</v>
      </c>
      <c r="B337" s="5" t="str">
        <f aca="false">"SILVANA CDSP"</f>
        <v>SILVANA CDSP</v>
      </c>
      <c r="C337" s="6" t="n">
        <v>956278</v>
      </c>
      <c r="D337" s="7" t="n">
        <v>45705</v>
      </c>
      <c r="E337" s="7" t="n">
        <v>45749</v>
      </c>
      <c r="F337" s="7"/>
      <c r="G337" s="7"/>
      <c r="H337" s="7" t="n">
        <v>45751</v>
      </c>
      <c r="I337" s="15" t="n">
        <v>90158</v>
      </c>
      <c r="J337" s="5" t="str">
        <f aca="false">"SPDSIL018439"</f>
        <v>SPDSIL018439</v>
      </c>
      <c r="K337" s="5" t="str">
        <f aca="false">"D.V. HOUSE"</f>
        <v>D.V. HOUSE</v>
      </c>
      <c r="L337" s="5" t="str">
        <f aca="false">"OEM"</f>
        <v>OEM</v>
      </c>
      <c r="M337" s="5" t="str">
        <f aca="false">"DF"</f>
        <v>DF</v>
      </c>
      <c r="N337" s="9" t="n">
        <v>0</v>
      </c>
      <c r="O337" s="10" t="n">
        <v>3810.26</v>
      </c>
      <c r="P337" s="10" t="n">
        <v>3319.5</v>
      </c>
      <c r="Q337" s="10" t="n">
        <v>89.87</v>
      </c>
      <c r="R337" s="10" t="n">
        <v>89.87</v>
      </c>
      <c r="S337" s="5" t="str">
        <f aca="false">"Faturado"</f>
        <v>Faturado</v>
      </c>
      <c r="T337" s="5" t="str">
        <f aca="false">"KGS NEW"</f>
        <v>KGS NEW</v>
      </c>
      <c r="U337" s="11" t="n">
        <v>25</v>
      </c>
      <c r="V337" s="5" t="str">
        <f aca="false">""</f>
        <v/>
      </c>
    </row>
    <row r="338" customFormat="false" ht="12.8" hidden="false" customHeight="false" outlineLevel="0" collapsed="false">
      <c r="A338" s="4" t="n">
        <v>206</v>
      </c>
      <c r="B338" s="5" t="str">
        <f aca="false">"SILVANA CDSP"</f>
        <v>SILVANA CDSP</v>
      </c>
      <c r="C338" s="6" t="n">
        <v>956089</v>
      </c>
      <c r="D338" s="7" t="n">
        <v>45714</v>
      </c>
      <c r="E338" s="7" t="n">
        <v>45749</v>
      </c>
      <c r="F338" s="7"/>
      <c r="G338" s="7"/>
      <c r="H338" s="7" t="n">
        <v>45751</v>
      </c>
      <c r="I338" s="15" t="n">
        <v>90160</v>
      </c>
      <c r="J338" s="5" t="str">
        <f aca="false">"SPDSIL019011"</f>
        <v>SPDSIL019011</v>
      </c>
      <c r="K338" s="5" t="str">
        <f aca="false">"PREMIUM CONS"</f>
        <v>PREMIUM CONS</v>
      </c>
      <c r="L338" s="5" t="str">
        <f aca="false">"CONSTRUTORA"</f>
        <v>CONSTRUTORA</v>
      </c>
      <c r="M338" s="5" t="str">
        <f aca="false">"BA"</f>
        <v>BA</v>
      </c>
      <c r="N338" s="9" t="n">
        <v>290.96</v>
      </c>
      <c r="O338" s="10" t="n">
        <v>762.52</v>
      </c>
      <c r="P338" s="10" t="n">
        <v>598.09</v>
      </c>
      <c r="Q338" s="10" t="n">
        <v>8</v>
      </c>
      <c r="R338" s="10" t="n">
        <v>8</v>
      </c>
      <c r="S338" s="5" t="str">
        <f aca="false">"Faturado"</f>
        <v>Faturado</v>
      </c>
      <c r="T338" s="5" t="str">
        <f aca="false">"Green Land"</f>
        <v>Green Land</v>
      </c>
      <c r="U338" s="11" t="n">
        <v>25</v>
      </c>
      <c r="V338" s="5" t="str">
        <f aca="false">""</f>
        <v/>
      </c>
    </row>
    <row r="339" customFormat="false" ht="12.8" hidden="false" customHeight="false" outlineLevel="0" collapsed="false">
      <c r="A339" s="4" t="n">
        <v>206</v>
      </c>
      <c r="B339" s="5" t="str">
        <f aca="false">"LA FONTE"</f>
        <v>LA FONTE</v>
      </c>
      <c r="C339" s="6" t="n">
        <v>956821</v>
      </c>
      <c r="D339" s="7" t="n">
        <v>45724</v>
      </c>
      <c r="E339" s="7" t="n">
        <v>45751</v>
      </c>
      <c r="F339" s="7"/>
      <c r="G339" s="7" t="n">
        <v>45751</v>
      </c>
      <c r="H339" s="7" t="n">
        <v>45751</v>
      </c>
      <c r="I339" s="15" t="n">
        <v>90085</v>
      </c>
      <c r="J339" s="5" t="str">
        <f aca="false">"SPDLFT004163"</f>
        <v>SPDLFT004163</v>
      </c>
      <c r="K339" s="5" t="str">
        <f aca="false">"LE FERRAGENS"</f>
        <v>LE FERRAGENS</v>
      </c>
      <c r="L339" s="5" t="str">
        <f aca="false">"FERRAGISTA"</f>
        <v>FERRAGISTA</v>
      </c>
      <c r="M339" s="5" t="str">
        <f aca="false">"SP"</f>
        <v>SP</v>
      </c>
      <c r="N339" s="9" t="n">
        <v>0</v>
      </c>
      <c r="O339" s="10" t="n">
        <v>5723.56</v>
      </c>
      <c r="P339" s="10" t="n">
        <v>3344.21</v>
      </c>
      <c r="Q339" s="10" t="n">
        <v>23.38</v>
      </c>
      <c r="R339" s="10" t="n">
        <v>23.38</v>
      </c>
      <c r="S339" s="5" t="str">
        <f aca="false">"Faturado"</f>
        <v>Faturado</v>
      </c>
      <c r="T339" s="5" t="str">
        <f aca="false">"PRIME CF"</f>
        <v>PRIME CF</v>
      </c>
      <c r="U339" s="11" t="n">
        <v>25</v>
      </c>
      <c r="V339" s="5" t="str">
        <f aca="false">""</f>
        <v/>
      </c>
    </row>
    <row r="340" customFormat="false" ht="12.8" hidden="false" customHeight="false" outlineLevel="0" collapsed="false">
      <c r="A340" s="4" t="n">
        <v>206</v>
      </c>
      <c r="B340" s="5" t="str">
        <f aca="false">"SILVANA CDSP"</f>
        <v>SILVANA CDSP</v>
      </c>
      <c r="C340" s="6" t="n">
        <v>955607</v>
      </c>
      <c r="D340" s="7" t="n">
        <v>45728</v>
      </c>
      <c r="E340" s="7" t="n">
        <v>45746</v>
      </c>
      <c r="F340" s="7"/>
      <c r="G340" s="7"/>
      <c r="H340" s="7" t="n">
        <v>45751</v>
      </c>
      <c r="I340" s="15" t="n">
        <v>90099</v>
      </c>
      <c r="J340" s="5" t="str">
        <f aca="false">"SPDSIL020035"</f>
        <v>SPDSIL020035</v>
      </c>
      <c r="K340" s="5" t="str">
        <f aca="false">"MOBILIARTE"</f>
        <v>MOBILIARTE</v>
      </c>
      <c r="L340" s="5" t="str">
        <f aca="false">"MATERIAL DE CONSTRUCAO"</f>
        <v>MATERIAL DE CONSTRUCAO</v>
      </c>
      <c r="M340" s="5" t="str">
        <f aca="false">"MS"</f>
        <v>MS</v>
      </c>
      <c r="N340" s="9" t="n">
        <v>2985</v>
      </c>
      <c r="O340" s="10" t="n">
        <v>461.65</v>
      </c>
      <c r="P340" s="10" t="n">
        <v>389.54</v>
      </c>
      <c r="Q340" s="10" t="n">
        <v>6.08</v>
      </c>
      <c r="R340" s="10" t="n">
        <v>6.08</v>
      </c>
      <c r="S340" s="5" t="str">
        <f aca="false">"Faturado"</f>
        <v>Faturado</v>
      </c>
      <c r="T340" s="5" t="str">
        <f aca="false">"FG REPRES"</f>
        <v>FG REPRES</v>
      </c>
      <c r="U340" s="11" t="n">
        <v>25</v>
      </c>
      <c r="V340" s="5" t="str">
        <f aca="false">""</f>
        <v/>
      </c>
    </row>
    <row r="341" customFormat="false" ht="12.8" hidden="false" customHeight="false" outlineLevel="0" collapsed="false">
      <c r="A341" s="4" t="n">
        <v>206</v>
      </c>
      <c r="B341" s="5" t="str">
        <f aca="false">"VAULT"</f>
        <v>VAULT</v>
      </c>
      <c r="C341" s="6" t="n">
        <v>0</v>
      </c>
      <c r="D341" s="7" t="n">
        <v>45729</v>
      </c>
      <c r="E341" s="7"/>
      <c r="F341" s="7"/>
      <c r="G341" s="7"/>
      <c r="H341" s="7" t="n">
        <v>45751</v>
      </c>
      <c r="I341" s="15" t="n">
        <v>90211</v>
      </c>
      <c r="J341" s="8" t="n">
        <v>946982</v>
      </c>
      <c r="K341" s="5" t="str">
        <f aca="false">"G4S ENGENH03"</f>
        <v>G4S ENGENH03</v>
      </c>
      <c r="L341" s="5" t="str">
        <f aca="false">"INTEGRADOR VAR"</f>
        <v>INTEGRADOR VAR</v>
      </c>
      <c r="M341" s="5" t="str">
        <f aca="false">"SP"</f>
        <v>SP</v>
      </c>
      <c r="N341" s="9" t="n">
        <v>271.74</v>
      </c>
      <c r="O341" s="10" t="n">
        <v>1523.56</v>
      </c>
      <c r="P341" s="10" t="n">
        <v>1216.71</v>
      </c>
      <c r="Q341" s="10" t="n">
        <v>0.28</v>
      </c>
      <c r="R341" s="10" t="n">
        <v>0.28</v>
      </c>
      <c r="S341" s="5" t="str">
        <f aca="false">"Faturado"</f>
        <v>Faturado</v>
      </c>
      <c r="T341" s="5" t="str">
        <f aca="false">"CA SP"</f>
        <v>CA SP</v>
      </c>
      <c r="U341" s="11" t="n">
        <v>8</v>
      </c>
      <c r="V341" s="5" t="str">
        <f aca="false">""</f>
        <v/>
      </c>
    </row>
    <row r="342" customFormat="false" ht="12.8" hidden="false" customHeight="false" outlineLevel="0" collapsed="false">
      <c r="A342" s="4" t="n">
        <v>206</v>
      </c>
      <c r="B342" s="5" t="str">
        <f aca="false">"VAULT"</f>
        <v>VAULT</v>
      </c>
      <c r="C342" s="6" t="n">
        <v>0</v>
      </c>
      <c r="D342" s="7" t="n">
        <v>45729</v>
      </c>
      <c r="E342" s="7"/>
      <c r="F342" s="7"/>
      <c r="G342" s="7"/>
      <c r="H342" s="7" t="n">
        <v>45751</v>
      </c>
      <c r="I342" s="15" t="n">
        <v>1028</v>
      </c>
      <c r="J342" s="8" t="n">
        <v>946952</v>
      </c>
      <c r="K342" s="5" t="str">
        <f aca="false">"PROTECT SY01"</f>
        <v>PROTECT SY01</v>
      </c>
      <c r="L342" s="5" t="str">
        <f aca="false">"INSTALADOR"</f>
        <v>INSTALADOR</v>
      </c>
      <c r="M342" s="5" t="str">
        <f aca="false">"SP"</f>
        <v>SP</v>
      </c>
      <c r="N342" s="9" t="n">
        <v>220</v>
      </c>
      <c r="O342" s="10" t="n">
        <v>220</v>
      </c>
      <c r="P342" s="10" t="n">
        <v>199.65</v>
      </c>
      <c r="Q342" s="10" t="n">
        <v>0</v>
      </c>
      <c r="R342" s="10" t="n">
        <v>0</v>
      </c>
      <c r="S342" s="5" t="str">
        <f aca="false">"Faturado"</f>
        <v>Faturado</v>
      </c>
      <c r="T342" s="5" t="str">
        <f aca="false">"CA SP"</f>
        <v>CA SP</v>
      </c>
      <c r="U342" s="11" t="n">
        <v>8</v>
      </c>
      <c r="V342" s="5" t="str">
        <f aca="false">""</f>
        <v/>
      </c>
    </row>
    <row r="343" customFormat="false" ht="12.8" hidden="false" customHeight="false" outlineLevel="0" collapsed="false">
      <c r="A343" s="4" t="n">
        <v>206</v>
      </c>
      <c r="B343" s="5" t="str">
        <f aca="false">"PAPAIZ"</f>
        <v>PAPAIZ</v>
      </c>
      <c r="C343" s="6" t="n">
        <v>956588</v>
      </c>
      <c r="D343" s="7" t="n">
        <v>45734</v>
      </c>
      <c r="E343" s="7" t="n">
        <v>45750</v>
      </c>
      <c r="F343" s="7"/>
      <c r="G343" s="7"/>
      <c r="H343" s="7" t="n">
        <v>45751</v>
      </c>
      <c r="I343" s="15" t="n">
        <v>90221</v>
      </c>
      <c r="J343" s="5" t="str">
        <f aca="false">"TWEB00004181"</f>
        <v>TWEB00004181</v>
      </c>
      <c r="K343" s="5" t="str">
        <f aca="false">"DANIEL LILA"</f>
        <v>DANIEL LILA</v>
      </c>
      <c r="L343" s="5" t="str">
        <f aca="false">"WEBSHOP"</f>
        <v>WEBSHOP</v>
      </c>
      <c r="M343" s="5" t="str">
        <f aca="false">"SP"</f>
        <v>SP</v>
      </c>
      <c r="N343" s="9" t="n">
        <v>0</v>
      </c>
      <c r="O343" s="10" t="n">
        <v>2702.07</v>
      </c>
      <c r="P343" s="10" t="n">
        <v>2010.75</v>
      </c>
      <c r="Q343" s="10" t="n">
        <v>14.65</v>
      </c>
      <c r="R343" s="10" t="n">
        <v>14.5</v>
      </c>
      <c r="S343" s="5" t="str">
        <f aca="false">"Faturado"</f>
        <v>Faturado</v>
      </c>
      <c r="T343" s="5" t="str">
        <f aca="false">"DANIEL LIMA"</f>
        <v>DANIEL LIMA</v>
      </c>
      <c r="U343" s="11" t="n">
        <v>13</v>
      </c>
      <c r="V343" s="15" t="n">
        <v>3215713</v>
      </c>
    </row>
    <row r="344" customFormat="false" ht="12.8" hidden="false" customHeight="false" outlineLevel="0" collapsed="false">
      <c r="A344" s="4" t="n">
        <v>206</v>
      </c>
      <c r="B344" s="5" t="str">
        <f aca="false">"SILVANA CDSP"</f>
        <v>SILVANA CDSP</v>
      </c>
      <c r="C344" s="6" t="n">
        <v>956280</v>
      </c>
      <c r="D344" s="7" t="n">
        <v>45736</v>
      </c>
      <c r="E344" s="7" t="n">
        <v>45749</v>
      </c>
      <c r="F344" s="7"/>
      <c r="G344" s="7"/>
      <c r="H344" s="7" t="n">
        <v>45751</v>
      </c>
      <c r="I344" s="15" t="n">
        <v>90147</v>
      </c>
      <c r="J344" s="5" t="str">
        <f aca="false">"SPDSIL020767"</f>
        <v>SPDSIL020767</v>
      </c>
      <c r="K344" s="5" t="str">
        <f aca="false">"EXIMIUS INC"</f>
        <v>EXIMIUS INC</v>
      </c>
      <c r="L344" s="5" t="str">
        <f aca="false">"CONSTRUTORA"</f>
        <v>CONSTRUTORA</v>
      </c>
      <c r="M344" s="5" t="str">
        <f aca="false">"PE"</f>
        <v>PE</v>
      </c>
      <c r="N344" s="9" t="n">
        <v>0</v>
      </c>
      <c r="O344" s="10" t="n">
        <v>538.72</v>
      </c>
      <c r="P344" s="10" t="n">
        <v>380.45</v>
      </c>
      <c r="Q344" s="10" t="n">
        <v>9.46</v>
      </c>
      <c r="R344" s="10" t="n">
        <v>9.46</v>
      </c>
      <c r="S344" s="5" t="str">
        <f aca="false">"Faturado"</f>
        <v>Faturado</v>
      </c>
      <c r="T344" s="5" t="str">
        <f aca="false">"ARAGAO"</f>
        <v>ARAGAO</v>
      </c>
      <c r="U344" s="11" t="n">
        <v>25</v>
      </c>
      <c r="V344" s="5" t="str">
        <f aca="false">""</f>
        <v/>
      </c>
    </row>
    <row r="345" customFormat="false" ht="12.8" hidden="false" customHeight="false" outlineLevel="0" collapsed="false">
      <c r="A345" s="4" t="n">
        <v>206</v>
      </c>
      <c r="B345" s="5" t="str">
        <f aca="false">"SILVANA CDSP"</f>
        <v>SILVANA CDSP</v>
      </c>
      <c r="C345" s="6" t="n">
        <v>955603</v>
      </c>
      <c r="D345" s="7" t="n">
        <v>45737</v>
      </c>
      <c r="E345" s="7" t="n">
        <v>45746</v>
      </c>
      <c r="F345" s="7"/>
      <c r="G345" s="7"/>
      <c r="H345" s="7" t="n">
        <v>45751</v>
      </c>
      <c r="I345" s="15" t="n">
        <v>90100</v>
      </c>
      <c r="J345" s="5" t="str">
        <f aca="false">"SPDSIL020882"</f>
        <v>SPDSIL020882</v>
      </c>
      <c r="K345" s="5" t="str">
        <f aca="false">"COPAFER"</f>
        <v>COPAFER</v>
      </c>
      <c r="L345" s="5" t="str">
        <f aca="false">"FERRAGISTA"</f>
        <v>FERRAGISTA</v>
      </c>
      <c r="M345" s="5" t="str">
        <f aca="false">"SP"</f>
        <v>SP</v>
      </c>
      <c r="N345" s="9" t="n">
        <v>70.1</v>
      </c>
      <c r="O345" s="10" t="n">
        <v>319.68</v>
      </c>
      <c r="P345" s="10" t="n">
        <v>206.32</v>
      </c>
      <c r="Q345" s="10" t="n">
        <v>3.41</v>
      </c>
      <c r="R345" s="10" t="n">
        <v>3.41</v>
      </c>
      <c r="S345" s="5" t="str">
        <f aca="false">"Faturado"</f>
        <v>Faturado</v>
      </c>
      <c r="T345" s="5" t="str">
        <f aca="false">"EDUARDO LIMA"</f>
        <v>EDUARDO LIMA</v>
      </c>
      <c r="U345" s="11" t="n">
        <v>25</v>
      </c>
      <c r="V345" s="5" t="str">
        <f aca="false">""</f>
        <v/>
      </c>
    </row>
    <row r="346" customFormat="false" ht="12.8" hidden="false" customHeight="false" outlineLevel="0" collapsed="false">
      <c r="A346" s="4" t="n">
        <v>206</v>
      </c>
      <c r="B346" s="5" t="str">
        <f aca="false">"SILVANA CDSP"</f>
        <v>SILVANA CDSP</v>
      </c>
      <c r="C346" s="6" t="n">
        <v>956022</v>
      </c>
      <c r="D346" s="7" t="n">
        <v>45740</v>
      </c>
      <c r="E346" s="7" t="n">
        <v>45748</v>
      </c>
      <c r="F346" s="7"/>
      <c r="G346" s="7"/>
      <c r="H346" s="7" t="n">
        <v>45751</v>
      </c>
      <c r="I346" s="15" t="n">
        <v>90237</v>
      </c>
      <c r="J346" s="5" t="str">
        <f aca="false">"SPDSIL021062"</f>
        <v>SPDSIL021062</v>
      </c>
      <c r="K346" s="5" t="str">
        <f aca="false">"AQUARELA HO"</f>
        <v>AQUARELA HO</v>
      </c>
      <c r="L346" s="5" t="str">
        <f aca="false">"MATERIAL DE CONSTRUCAO"</f>
        <v>MATERIAL DE CONSTRUCAO</v>
      </c>
      <c r="M346" s="5" t="str">
        <f aca="false">"MT"</f>
        <v>MT</v>
      </c>
      <c r="N346" s="9" t="n">
        <v>1794.24</v>
      </c>
      <c r="O346" s="10" t="n">
        <v>833.68</v>
      </c>
      <c r="P346" s="10" t="n">
        <v>635.89</v>
      </c>
      <c r="Q346" s="10" t="n">
        <v>6.91</v>
      </c>
      <c r="R346" s="10" t="n">
        <v>6.91</v>
      </c>
      <c r="S346" s="5" t="str">
        <f aca="false">"Faturado"</f>
        <v>Faturado</v>
      </c>
      <c r="T346" s="5" t="str">
        <f aca="false">"PREMIER REP"</f>
        <v>PREMIER REP</v>
      </c>
      <c r="U346" s="11" t="n">
        <v>25</v>
      </c>
      <c r="V346" s="5" t="str">
        <f aca="false">""</f>
        <v/>
      </c>
    </row>
    <row r="347" customFormat="false" ht="12.8" hidden="false" customHeight="false" outlineLevel="0" collapsed="false">
      <c r="A347" s="4" t="n">
        <v>206</v>
      </c>
      <c r="B347" s="5" t="str">
        <f aca="false">"PAPAIZ"</f>
        <v>PAPAIZ</v>
      </c>
      <c r="C347" s="6" t="n">
        <v>955568</v>
      </c>
      <c r="D347" s="7" t="n">
        <v>45740</v>
      </c>
      <c r="E347" s="7" t="n">
        <v>45745</v>
      </c>
      <c r="F347" s="7"/>
      <c r="G347" s="7"/>
      <c r="H347" s="7" t="n">
        <v>45751</v>
      </c>
      <c r="I347" s="15" t="n">
        <v>90096</v>
      </c>
      <c r="J347" s="5" t="str">
        <f aca="false">"SPDPPZ028711"</f>
        <v>SPDPPZ028711</v>
      </c>
      <c r="K347" s="5" t="str">
        <f aca="false">"M&amp;C HERPLIN"</f>
        <v>M&amp;C HERPLIN</v>
      </c>
      <c r="L347" s="5" t="str">
        <f aca="false">"MATERIAL DE CONSTRUCAO"</f>
        <v>MATERIAL DE CONSTRUCAO</v>
      </c>
      <c r="M347" s="5" t="str">
        <f aca="false">"SP"</f>
        <v>SP</v>
      </c>
      <c r="N347" s="9" t="n">
        <v>255.9</v>
      </c>
      <c r="O347" s="10" t="n">
        <v>738.6</v>
      </c>
      <c r="P347" s="10" t="n">
        <v>549.63</v>
      </c>
      <c r="Q347" s="10" t="n">
        <v>4.96</v>
      </c>
      <c r="R347" s="10" t="n">
        <v>4.96</v>
      </c>
      <c r="S347" s="5" t="str">
        <f aca="false">"Faturado"</f>
        <v>Faturado</v>
      </c>
      <c r="T347" s="5" t="str">
        <f aca="false">"JOYCECOVACEV"</f>
        <v>JOYCECOVACEV</v>
      </c>
      <c r="U347" s="11" t="n">
        <v>25</v>
      </c>
      <c r="V347" s="5" t="str">
        <f aca="false">""</f>
        <v/>
      </c>
    </row>
    <row r="348" customFormat="false" ht="12.8" hidden="false" customHeight="false" outlineLevel="0" collapsed="false">
      <c r="A348" s="4" t="n">
        <v>206</v>
      </c>
      <c r="B348" s="5" t="str">
        <f aca="false">"PAPAIZ"</f>
        <v>PAPAIZ</v>
      </c>
      <c r="C348" s="6" t="n">
        <v>956801</v>
      </c>
      <c r="D348" s="7" t="n">
        <v>45740</v>
      </c>
      <c r="E348" s="7" t="n">
        <v>45751</v>
      </c>
      <c r="F348" s="7"/>
      <c r="G348" s="7" t="n">
        <v>45751</v>
      </c>
      <c r="H348" s="7" t="n">
        <v>45751</v>
      </c>
      <c r="I348" s="15" t="n">
        <v>90074</v>
      </c>
      <c r="J348" s="5" t="str">
        <f aca="false">"SPDPPZ027426"</f>
        <v>SPDPPZ027426</v>
      </c>
      <c r="K348" s="5" t="str">
        <f aca="false">"ALMIG ABRASI"</f>
        <v>ALMIG ABRASI</v>
      </c>
      <c r="L348" s="5" t="str">
        <f aca="false">"FERRAGISTA"</f>
        <v>FERRAGISTA</v>
      </c>
      <c r="M348" s="5" t="str">
        <f aca="false">"RJ"</f>
        <v>RJ</v>
      </c>
      <c r="N348" s="9" t="n">
        <v>0</v>
      </c>
      <c r="O348" s="10" t="n">
        <v>26607</v>
      </c>
      <c r="P348" s="10" t="n">
        <v>21248.35</v>
      </c>
      <c r="Q348" s="10" t="n">
        <v>118.35</v>
      </c>
      <c r="R348" s="10" t="n">
        <v>84.35</v>
      </c>
      <c r="S348" s="5" t="str">
        <f aca="false">"Faturado"</f>
        <v>Faturado</v>
      </c>
      <c r="T348" s="5" t="str">
        <f aca="false">"VIVIANE ALVE"</f>
        <v>VIVIANE ALVE</v>
      </c>
      <c r="U348" s="11" t="n">
        <v>25</v>
      </c>
      <c r="V348" s="5" t="str">
        <f aca="false">""</f>
        <v/>
      </c>
    </row>
    <row r="349" customFormat="false" ht="12.8" hidden="false" customHeight="false" outlineLevel="0" collapsed="false">
      <c r="A349" s="4" t="n">
        <v>206</v>
      </c>
      <c r="B349" s="5" t="str">
        <f aca="false">"PAPAIZ"</f>
        <v>PAPAIZ</v>
      </c>
      <c r="C349" s="6" t="n">
        <v>956578</v>
      </c>
      <c r="D349" s="7" t="n">
        <v>45741</v>
      </c>
      <c r="E349" s="7" t="n">
        <v>45750</v>
      </c>
      <c r="F349" s="7"/>
      <c r="G349" s="7"/>
      <c r="H349" s="7" t="n">
        <v>45751</v>
      </c>
      <c r="I349" s="15" t="n">
        <v>90209</v>
      </c>
      <c r="J349" s="5" t="str">
        <f aca="false">"SPDPPZ028932"</f>
        <v>SPDPPZ028932</v>
      </c>
      <c r="K349" s="5" t="str">
        <f aca="false">"CASTOR UTILI"</f>
        <v>CASTOR UTILI</v>
      </c>
      <c r="L349" s="5" t="str">
        <f aca="false">"MATERIAL DE CONSTRUCAO"</f>
        <v>MATERIAL DE CONSTRUCAO</v>
      </c>
      <c r="M349" s="5" t="str">
        <f aca="false">"ES"</f>
        <v>ES</v>
      </c>
      <c r="N349" s="9" t="n">
        <v>597.06</v>
      </c>
      <c r="O349" s="10" t="n">
        <v>716.52</v>
      </c>
      <c r="P349" s="10" t="n">
        <v>604.73</v>
      </c>
      <c r="Q349" s="10" t="n">
        <v>4.22</v>
      </c>
      <c r="R349" s="10" t="n">
        <v>4.14</v>
      </c>
      <c r="S349" s="5" t="str">
        <f aca="false">"Faturado"</f>
        <v>Faturado</v>
      </c>
      <c r="T349" s="5" t="str">
        <f aca="false">"PERLA COSTA"</f>
        <v>PERLA COSTA</v>
      </c>
      <c r="U349" s="11" t="n">
        <v>25</v>
      </c>
      <c r="V349" s="5" t="str">
        <f aca="false">""</f>
        <v/>
      </c>
    </row>
    <row r="350" customFormat="false" ht="12.8" hidden="false" customHeight="false" outlineLevel="0" collapsed="false">
      <c r="A350" s="4" t="n">
        <v>206</v>
      </c>
      <c r="B350" s="5" t="str">
        <f aca="false">"PAPAIZ"</f>
        <v>PAPAIZ</v>
      </c>
      <c r="C350" s="6" t="n">
        <v>956561</v>
      </c>
      <c r="D350" s="7" t="n">
        <v>45744</v>
      </c>
      <c r="E350" s="7" t="n">
        <v>45750</v>
      </c>
      <c r="F350" s="7"/>
      <c r="G350" s="7"/>
      <c r="H350" s="7" t="n">
        <v>45751</v>
      </c>
      <c r="I350" s="15" t="n">
        <v>90225</v>
      </c>
      <c r="J350" s="5" t="str">
        <f aca="false">"SPDPPZ028412"</f>
        <v>SPDPPZ028412</v>
      </c>
      <c r="K350" s="5" t="str">
        <f aca="false">"ADVANZ COMM"</f>
        <v>ADVANZ COMM</v>
      </c>
      <c r="L350" s="5" t="str">
        <f aca="false">"ATACADISTA"</f>
        <v>ATACADISTA</v>
      </c>
      <c r="M350" s="5" t="str">
        <f aca="false">"SP"</f>
        <v>SP</v>
      </c>
      <c r="N350" s="9" t="n">
        <v>0</v>
      </c>
      <c r="O350" s="10" t="n">
        <v>5848.68</v>
      </c>
      <c r="P350" s="10" t="n">
        <v>4352.3</v>
      </c>
      <c r="Q350" s="10" t="n">
        <v>35.73</v>
      </c>
      <c r="R350" s="10" t="n">
        <v>35.21</v>
      </c>
      <c r="S350" s="5" t="str">
        <f aca="false">"Faturado"</f>
        <v>Faturado</v>
      </c>
      <c r="T350" s="5" t="str">
        <f aca="false">"ERNANDES REP"</f>
        <v>ERNANDES REP</v>
      </c>
      <c r="U350" s="11" t="n">
        <v>25</v>
      </c>
      <c r="V350" s="5" t="str">
        <f aca="false">""</f>
        <v/>
      </c>
    </row>
    <row r="351" customFormat="false" ht="12.8" hidden="false" customHeight="false" outlineLevel="0" collapsed="false">
      <c r="A351" s="4" t="n">
        <v>206</v>
      </c>
      <c r="B351" s="5" t="str">
        <f aca="false">"SILVANA CDSP"</f>
        <v>SILVANA CDSP</v>
      </c>
      <c r="C351" s="6" t="n">
        <v>956036</v>
      </c>
      <c r="D351" s="7" t="n">
        <v>45747</v>
      </c>
      <c r="E351" s="7" t="n">
        <v>45748</v>
      </c>
      <c r="F351" s="7"/>
      <c r="G351" s="7" t="n">
        <v>45751</v>
      </c>
      <c r="H351" s="7" t="n">
        <v>45751</v>
      </c>
      <c r="I351" s="15" t="n">
        <v>90181</v>
      </c>
      <c r="J351" s="5" t="str">
        <f aca="false">"SPDSIL021722"</f>
        <v>SPDSIL021722</v>
      </c>
      <c r="K351" s="5" t="str">
        <f aca="false">"RIBERBAO"</f>
        <v>RIBERBAO</v>
      </c>
      <c r="L351" s="5" t="str">
        <f aca="false">"ATACADISTA"</f>
        <v>ATACADISTA</v>
      </c>
      <c r="M351" s="5" t="str">
        <f aca="false">"SP"</f>
        <v>SP</v>
      </c>
      <c r="N351" s="9" t="n">
        <v>362.56</v>
      </c>
      <c r="O351" s="10" t="n">
        <v>5231.26</v>
      </c>
      <c r="P351" s="10" t="n">
        <v>3163.82</v>
      </c>
      <c r="Q351" s="10" t="n">
        <v>118.36</v>
      </c>
      <c r="R351" s="10" t="n">
        <v>118.36</v>
      </c>
      <c r="S351" s="5" t="str">
        <f aca="false">"Faturado"</f>
        <v>Faturado</v>
      </c>
      <c r="T351" s="5" t="str">
        <f aca="false">"FALCAO"</f>
        <v>FALCAO</v>
      </c>
      <c r="U351" s="11" t="n">
        <v>25</v>
      </c>
      <c r="V351" s="5" t="str">
        <f aca="false">""</f>
        <v/>
      </c>
    </row>
    <row r="352" customFormat="false" ht="12.8" hidden="false" customHeight="false" outlineLevel="0" collapsed="false">
      <c r="A352" s="4" t="n">
        <v>206</v>
      </c>
      <c r="B352" s="5" t="str">
        <f aca="false">"SILVANA CDSP"</f>
        <v>SILVANA CDSP</v>
      </c>
      <c r="C352" s="6" t="n">
        <v>955697</v>
      </c>
      <c r="D352" s="7" t="n">
        <v>45747</v>
      </c>
      <c r="E352" s="7" t="n">
        <v>45747</v>
      </c>
      <c r="F352" s="7"/>
      <c r="G352" s="7" t="n">
        <v>45751</v>
      </c>
      <c r="H352" s="7" t="n">
        <v>45751</v>
      </c>
      <c r="I352" s="15" t="n">
        <v>90201</v>
      </c>
      <c r="J352" s="5" t="str">
        <f aca="false">"TWEB00004236"</f>
        <v>TWEB00004236</v>
      </c>
      <c r="K352" s="5" t="str">
        <f aca="false">"C. R. M. FAB"</f>
        <v>C. R. M. FAB</v>
      </c>
      <c r="L352" s="5" t="str">
        <f aca="false">"WEBSHOP"</f>
        <v>WEBSHOP</v>
      </c>
      <c r="M352" s="5" t="str">
        <f aca="false">"RJ"</f>
        <v>RJ</v>
      </c>
      <c r="N352" s="9" t="n">
        <v>0</v>
      </c>
      <c r="O352" s="10" t="n">
        <v>696.51</v>
      </c>
      <c r="P352" s="10" t="n">
        <v>522.28</v>
      </c>
      <c r="Q352" s="10" t="n">
        <v>7.5</v>
      </c>
      <c r="R352" s="10" t="n">
        <v>7.5</v>
      </c>
      <c r="S352" s="5" t="str">
        <f aca="false">"Faturado"</f>
        <v>Faturado</v>
      </c>
      <c r="T352" s="5" t="str">
        <f aca="false">"WEBSHOP REVL"</f>
        <v>WEBSHOP REVL</v>
      </c>
      <c r="U352" s="11" t="n">
        <v>13</v>
      </c>
      <c r="V352" s="15" t="n">
        <v>3217894</v>
      </c>
    </row>
    <row r="353" customFormat="false" ht="12.8" hidden="false" customHeight="false" outlineLevel="0" collapsed="false">
      <c r="A353" s="4" t="n">
        <v>206</v>
      </c>
      <c r="B353" s="5" t="str">
        <f aca="false">"SILVANA CDSP"</f>
        <v>SILVANA CDSP</v>
      </c>
      <c r="C353" s="6" t="n">
        <v>955754</v>
      </c>
      <c r="D353" s="7" t="n">
        <v>45747</v>
      </c>
      <c r="E353" s="7" t="n">
        <v>45748</v>
      </c>
      <c r="F353" s="7"/>
      <c r="G353" s="7"/>
      <c r="H353" s="7" t="n">
        <v>45751</v>
      </c>
      <c r="I353" s="15" t="n">
        <v>90141</v>
      </c>
      <c r="J353" s="5" t="str">
        <f aca="false">"SPDSIL021663"</f>
        <v>SPDSIL021663</v>
      </c>
      <c r="K353" s="5" t="str">
        <f aca="false">"CASEC"</f>
        <v>CASEC</v>
      </c>
      <c r="L353" s="5" t="str">
        <f aca="false">"MATERIAL DE CONSTRUCAO"</f>
        <v>MATERIAL DE CONSTRUCAO</v>
      </c>
      <c r="M353" s="5" t="str">
        <f aca="false">"SP"</f>
        <v>SP</v>
      </c>
      <c r="N353" s="9" t="n">
        <v>1438.42</v>
      </c>
      <c r="O353" s="10" t="n">
        <v>2114.3</v>
      </c>
      <c r="P353" s="10" t="n">
        <v>1257.59</v>
      </c>
      <c r="Q353" s="10" t="n">
        <v>21.69</v>
      </c>
      <c r="R353" s="10" t="n">
        <v>21.69</v>
      </c>
      <c r="S353" s="5" t="str">
        <f aca="false">"Faturado"</f>
        <v>Faturado</v>
      </c>
      <c r="T353" s="5" t="str">
        <f aca="false">"Luiz Carlos"</f>
        <v>Luiz Carlos</v>
      </c>
      <c r="U353" s="11" t="n">
        <v>25</v>
      </c>
      <c r="V353" s="5" t="str">
        <f aca="false">""</f>
        <v/>
      </c>
    </row>
    <row r="354" customFormat="false" ht="12.8" hidden="false" customHeight="false" outlineLevel="0" collapsed="false">
      <c r="A354" s="4" t="n">
        <v>206</v>
      </c>
      <c r="B354" s="5" t="str">
        <f aca="false">"SILVANA CDSP"</f>
        <v>SILVANA CDSP</v>
      </c>
      <c r="C354" s="6" t="n">
        <v>955787</v>
      </c>
      <c r="D354" s="7" t="n">
        <v>45747</v>
      </c>
      <c r="E354" s="7" t="n">
        <v>45748</v>
      </c>
      <c r="F354" s="7"/>
      <c r="G354" s="7"/>
      <c r="H354" s="7" t="n">
        <v>45751</v>
      </c>
      <c r="I354" s="15" t="n">
        <v>90202</v>
      </c>
      <c r="J354" s="5" t="str">
        <f aca="false">"SPDSIL021658"</f>
        <v>SPDSIL021658</v>
      </c>
      <c r="K354" s="5" t="str">
        <f aca="false">"MW"</f>
        <v>MW</v>
      </c>
      <c r="L354" s="5" t="str">
        <f aca="false">"MATERIAL DE CONSTRUCAO"</f>
        <v>MATERIAL DE CONSTRUCAO</v>
      </c>
      <c r="M354" s="5" t="str">
        <f aca="false">"SP"</f>
        <v>SP</v>
      </c>
      <c r="N354" s="9" t="n">
        <v>491.54</v>
      </c>
      <c r="O354" s="10" t="n">
        <v>1425.96</v>
      </c>
      <c r="P354" s="10" t="n">
        <v>875.34</v>
      </c>
      <c r="Q354" s="10" t="n">
        <v>14.81</v>
      </c>
      <c r="R354" s="10" t="n">
        <v>14.81</v>
      </c>
      <c r="S354" s="5" t="str">
        <f aca="false">"Faturado"</f>
        <v>Faturado</v>
      </c>
      <c r="T354" s="5" t="str">
        <f aca="false">"LORS REP"</f>
        <v>LORS REP</v>
      </c>
      <c r="U354" s="11" t="n">
        <v>25</v>
      </c>
      <c r="V354" s="5" t="str">
        <f aca="false">""</f>
        <v/>
      </c>
    </row>
    <row r="355" customFormat="false" ht="12.8" hidden="false" customHeight="false" outlineLevel="0" collapsed="false">
      <c r="A355" s="4" t="n">
        <v>206</v>
      </c>
      <c r="B355" s="5" t="str">
        <f aca="false">"SILVANA CDSP"</f>
        <v>SILVANA CDSP</v>
      </c>
      <c r="C355" s="6" t="n">
        <v>955753</v>
      </c>
      <c r="D355" s="7" t="n">
        <v>45747</v>
      </c>
      <c r="E355" s="7" t="n">
        <v>45748</v>
      </c>
      <c r="F355" s="7"/>
      <c r="G355" s="7"/>
      <c r="H355" s="7" t="n">
        <v>45751</v>
      </c>
      <c r="I355" s="15" t="n">
        <v>90103</v>
      </c>
      <c r="J355" s="5" t="str">
        <f aca="false">"SPDSIL021653"</f>
        <v>SPDSIL021653</v>
      </c>
      <c r="K355" s="5" t="str">
        <f aca="false">"CASA REIS -"</f>
        <v>CASA REIS -</v>
      </c>
      <c r="L355" s="5" t="str">
        <f aca="false">"MATERIAL DE CONSTRUCAO"</f>
        <v>MATERIAL DE CONSTRUCAO</v>
      </c>
      <c r="M355" s="5" t="str">
        <f aca="false">"SP"</f>
        <v>SP</v>
      </c>
      <c r="N355" s="9" t="n">
        <v>353.73</v>
      </c>
      <c r="O355" s="10" t="n">
        <v>475.53</v>
      </c>
      <c r="P355" s="10" t="n">
        <v>277.85</v>
      </c>
      <c r="Q355" s="10" t="n">
        <v>16.89</v>
      </c>
      <c r="R355" s="10" t="n">
        <v>16.89</v>
      </c>
      <c r="S355" s="5" t="str">
        <f aca="false">"Faturado"</f>
        <v>Faturado</v>
      </c>
      <c r="T355" s="5" t="str">
        <f aca="false">"REGIANE GOME"</f>
        <v>REGIANE GOME</v>
      </c>
      <c r="U355" s="11" t="n">
        <v>25</v>
      </c>
      <c r="V355" s="5" t="str">
        <f aca="false">""</f>
        <v/>
      </c>
    </row>
    <row r="356" customFormat="false" ht="12.8" hidden="false" customHeight="false" outlineLevel="0" collapsed="false">
      <c r="A356" s="4" t="n">
        <v>206</v>
      </c>
      <c r="B356" s="5" t="str">
        <f aca="false">"SILVANA CDSP"</f>
        <v>SILVANA CDSP</v>
      </c>
      <c r="C356" s="6" t="n">
        <v>955762</v>
      </c>
      <c r="D356" s="7" t="n">
        <v>45747</v>
      </c>
      <c r="E356" s="7" t="n">
        <v>45748</v>
      </c>
      <c r="F356" s="7"/>
      <c r="G356" s="7"/>
      <c r="H356" s="7" t="n">
        <v>45751</v>
      </c>
      <c r="I356" s="15" t="n">
        <v>90137</v>
      </c>
      <c r="J356" s="8" t="n">
        <v>197400</v>
      </c>
      <c r="K356" s="5" t="str">
        <f aca="false">"DELADO"</f>
        <v>DELADO</v>
      </c>
      <c r="L356" s="5" t="str">
        <f aca="false">"MATERIAL DE CONSTRUCAO"</f>
        <v>MATERIAL DE CONSTRUCAO</v>
      </c>
      <c r="M356" s="5" t="str">
        <f aca="false">"SP"</f>
        <v>SP</v>
      </c>
      <c r="N356" s="9" t="n">
        <v>43.88</v>
      </c>
      <c r="O356" s="10" t="n">
        <v>1679.13</v>
      </c>
      <c r="P356" s="10" t="n">
        <v>1023.33</v>
      </c>
      <c r="Q356" s="10" t="n">
        <v>41.96</v>
      </c>
      <c r="R356" s="10" t="n">
        <v>41.96</v>
      </c>
      <c r="S356" s="5" t="str">
        <f aca="false">"Faturado"</f>
        <v>Faturado</v>
      </c>
      <c r="T356" s="5" t="str">
        <f aca="false">"FALCAO"</f>
        <v>FALCAO</v>
      </c>
      <c r="U356" s="11" t="n">
        <v>25</v>
      </c>
      <c r="V356" s="5" t="str">
        <f aca="false">""</f>
        <v/>
      </c>
    </row>
    <row r="357" customFormat="false" ht="12.8" hidden="false" customHeight="false" outlineLevel="0" collapsed="false">
      <c r="A357" s="4" t="n">
        <v>206</v>
      </c>
      <c r="B357" s="5" t="str">
        <f aca="false">"SILVANA CDSP"</f>
        <v>SILVANA CDSP</v>
      </c>
      <c r="C357" s="6" t="n">
        <v>956033</v>
      </c>
      <c r="D357" s="7" t="n">
        <v>45747</v>
      </c>
      <c r="E357" s="7" t="n">
        <v>45748</v>
      </c>
      <c r="F357" s="7"/>
      <c r="G357" s="7"/>
      <c r="H357" s="7" t="n">
        <v>45751</v>
      </c>
      <c r="I357" s="15" t="n">
        <v>90215</v>
      </c>
      <c r="J357" s="5" t="str">
        <f aca="false">"SPDSIL021699"</f>
        <v>SPDSIL021699</v>
      </c>
      <c r="K357" s="5" t="str">
        <f aca="false">"MGS GPS MATE"</f>
        <v>MGS GPS MATE</v>
      </c>
      <c r="L357" s="5" t="str">
        <f aca="false">"MATERIAL DE CONSTRUCAO"</f>
        <v>MATERIAL DE CONSTRUCAO</v>
      </c>
      <c r="M357" s="5" t="str">
        <f aca="false">"MT"</f>
        <v>MT</v>
      </c>
      <c r="N357" s="9" t="n">
        <v>404.08</v>
      </c>
      <c r="O357" s="10" t="n">
        <v>3775.06</v>
      </c>
      <c r="P357" s="10" t="n">
        <v>2894.55</v>
      </c>
      <c r="Q357" s="10" t="n">
        <v>109.68</v>
      </c>
      <c r="R357" s="10" t="n">
        <v>109.68</v>
      </c>
      <c r="S357" s="5" t="str">
        <f aca="false">"Faturado"</f>
        <v>Faturado</v>
      </c>
      <c r="T357" s="5" t="str">
        <f aca="false">"PREMIER REP"</f>
        <v>PREMIER REP</v>
      </c>
      <c r="U357" s="11" t="n">
        <v>25</v>
      </c>
      <c r="V357" s="5" t="str">
        <f aca="false">""</f>
        <v/>
      </c>
    </row>
    <row r="358" customFormat="false" ht="12.8" hidden="false" customHeight="false" outlineLevel="0" collapsed="false">
      <c r="A358" s="4" t="n">
        <v>206</v>
      </c>
      <c r="B358" s="5" t="str">
        <f aca="false">"SILVANA CDSP"</f>
        <v>SILVANA CDSP</v>
      </c>
      <c r="C358" s="6" t="n">
        <v>955992</v>
      </c>
      <c r="D358" s="7" t="n">
        <v>45747</v>
      </c>
      <c r="E358" s="7" t="n">
        <v>45748</v>
      </c>
      <c r="F358" s="7"/>
      <c r="G358" s="7"/>
      <c r="H358" s="7" t="n">
        <v>45751</v>
      </c>
      <c r="I358" s="15" t="n">
        <v>90222</v>
      </c>
      <c r="J358" s="5" t="str">
        <f aca="false">"SPDSIL021720"</f>
        <v>SPDSIL021720</v>
      </c>
      <c r="K358" s="5" t="str">
        <f aca="false">"COMERCIAL UR"</f>
        <v>COMERCIAL UR</v>
      </c>
      <c r="L358" s="5" t="str">
        <f aca="false">"ATACADISTA"</f>
        <v>ATACADISTA</v>
      </c>
      <c r="M358" s="5" t="str">
        <f aca="false">"SP"</f>
        <v>SP</v>
      </c>
      <c r="N358" s="9" t="n">
        <v>69.4</v>
      </c>
      <c r="O358" s="10" t="n">
        <v>1094.47</v>
      </c>
      <c r="P358" s="10" t="n">
        <v>679.12</v>
      </c>
      <c r="Q358" s="10" t="n">
        <v>24.77</v>
      </c>
      <c r="R358" s="10" t="n">
        <v>24.77</v>
      </c>
      <c r="S358" s="5" t="str">
        <f aca="false">"Faturado"</f>
        <v>Faturado</v>
      </c>
      <c r="T358" s="5" t="str">
        <f aca="false">"FALCAO"</f>
        <v>FALCAO</v>
      </c>
      <c r="U358" s="11" t="n">
        <v>25</v>
      </c>
      <c r="V358" s="5" t="str">
        <f aca="false">""</f>
        <v/>
      </c>
    </row>
    <row r="359" customFormat="false" ht="12.8" hidden="false" customHeight="false" outlineLevel="0" collapsed="false">
      <c r="A359" s="4" t="n">
        <v>206</v>
      </c>
      <c r="B359" s="5" t="str">
        <f aca="false">"SILVANA CDSP"</f>
        <v>SILVANA CDSP</v>
      </c>
      <c r="C359" s="6" t="n">
        <v>956593</v>
      </c>
      <c r="D359" s="7" t="n">
        <v>45747</v>
      </c>
      <c r="E359" s="7" t="n">
        <v>45750</v>
      </c>
      <c r="F359" s="7"/>
      <c r="G359" s="7"/>
      <c r="H359" s="7" t="n">
        <v>45751</v>
      </c>
      <c r="I359" s="15" t="n">
        <v>90200</v>
      </c>
      <c r="J359" s="8" t="n">
        <v>126889</v>
      </c>
      <c r="K359" s="5" t="str">
        <f aca="false">"ESTOQUE II"</f>
        <v>ESTOQUE II</v>
      </c>
      <c r="L359" s="5" t="str">
        <f aca="false">"ATACADISTA"</f>
        <v>ATACADISTA</v>
      </c>
      <c r="M359" s="5" t="str">
        <f aca="false">"SP"</f>
        <v>SP</v>
      </c>
      <c r="N359" s="9" t="n">
        <v>538.75</v>
      </c>
      <c r="O359" s="10" t="n">
        <v>354.62</v>
      </c>
      <c r="P359" s="10" t="n">
        <v>228.87</v>
      </c>
      <c r="Q359" s="10" t="n">
        <v>6.12</v>
      </c>
      <c r="R359" s="10" t="n">
        <v>6.12</v>
      </c>
      <c r="S359" s="5" t="str">
        <f aca="false">"Faturado"</f>
        <v>Faturado</v>
      </c>
      <c r="T359" s="5" t="str">
        <f aca="false">"DAVID &amp; BARS"</f>
        <v>DAVID &amp; BARS</v>
      </c>
      <c r="U359" s="11" t="n">
        <v>25</v>
      </c>
      <c r="V359" s="5" t="str">
        <f aca="false">""</f>
        <v/>
      </c>
    </row>
    <row r="360" customFormat="false" ht="12.8" hidden="false" customHeight="false" outlineLevel="0" collapsed="false">
      <c r="A360" s="4" t="n">
        <v>206</v>
      </c>
      <c r="B360" s="5" t="str">
        <f aca="false">"SILVANA CDSP"</f>
        <v>SILVANA CDSP</v>
      </c>
      <c r="C360" s="6" t="n">
        <v>955994</v>
      </c>
      <c r="D360" s="7" t="n">
        <v>45747</v>
      </c>
      <c r="E360" s="7" t="n">
        <v>45748</v>
      </c>
      <c r="F360" s="7"/>
      <c r="G360" s="7"/>
      <c r="H360" s="7" t="n">
        <v>45751</v>
      </c>
      <c r="I360" s="15" t="n">
        <v>90170</v>
      </c>
      <c r="J360" s="5" t="str">
        <f aca="false">"SPDSIL021702"</f>
        <v>SPDSIL021702</v>
      </c>
      <c r="K360" s="5" t="str">
        <f aca="false">"D R MAT."</f>
        <v>D R MAT.</v>
      </c>
      <c r="L360" s="5" t="str">
        <f aca="false">"MATERIAL DE CONSTRUCAO"</f>
        <v>MATERIAL DE CONSTRUCAO</v>
      </c>
      <c r="M360" s="5" t="str">
        <f aca="false">"MT"</f>
        <v>MT</v>
      </c>
      <c r="N360" s="9" t="n">
        <v>0</v>
      </c>
      <c r="O360" s="10" t="n">
        <v>1565.56</v>
      </c>
      <c r="P360" s="10" t="n">
        <v>1224.13</v>
      </c>
      <c r="Q360" s="10" t="n">
        <v>51.01</v>
      </c>
      <c r="R360" s="10" t="n">
        <v>51.01</v>
      </c>
      <c r="S360" s="5" t="str">
        <f aca="false">"Faturado"</f>
        <v>Faturado</v>
      </c>
      <c r="T360" s="5" t="str">
        <f aca="false">"PREMIER REP"</f>
        <v>PREMIER REP</v>
      </c>
      <c r="U360" s="11" t="n">
        <v>25</v>
      </c>
      <c r="V360" s="5" t="str">
        <f aca="false">""</f>
        <v/>
      </c>
    </row>
    <row r="361" customFormat="false" ht="12.8" hidden="false" customHeight="false" outlineLevel="0" collapsed="false">
      <c r="A361" s="4" t="n">
        <v>206</v>
      </c>
      <c r="B361" s="5" t="str">
        <f aca="false">"VAULT"</f>
        <v>VAULT</v>
      </c>
      <c r="C361" s="6" t="n">
        <v>0</v>
      </c>
      <c r="D361" s="7" t="n">
        <v>45748</v>
      </c>
      <c r="E361" s="7"/>
      <c r="F361" s="7"/>
      <c r="G361" s="7"/>
      <c r="H361" s="7" t="n">
        <v>45751</v>
      </c>
      <c r="I361" s="15" t="n">
        <v>90208</v>
      </c>
      <c r="J361" s="8" t="n">
        <v>957645</v>
      </c>
      <c r="K361" s="5" t="str">
        <f aca="false">"G4S ENGENH03"</f>
        <v>G4S ENGENH03</v>
      </c>
      <c r="L361" s="5" t="str">
        <f aca="false">"INTEGRADOR VAR"</f>
        <v>INTEGRADOR VAR</v>
      </c>
      <c r="M361" s="5" t="str">
        <f aca="false">"SP"</f>
        <v>SP</v>
      </c>
      <c r="N361" s="9" t="n">
        <v>858.56</v>
      </c>
      <c r="O361" s="10" t="n">
        <v>5033.19</v>
      </c>
      <c r="P361" s="10" t="n">
        <v>3844.21</v>
      </c>
      <c r="Q361" s="10" t="n">
        <v>0.89</v>
      </c>
      <c r="R361" s="10" t="n">
        <v>0.89</v>
      </c>
      <c r="S361" s="5" t="str">
        <f aca="false">"Faturado"</f>
        <v>Faturado</v>
      </c>
      <c r="T361" s="5" t="str">
        <f aca="false">"CA SP"</f>
        <v>CA SP</v>
      </c>
      <c r="U361" s="11" t="n">
        <v>8</v>
      </c>
      <c r="V361" s="5" t="str">
        <f aca="false">""</f>
        <v/>
      </c>
    </row>
    <row r="362" customFormat="false" ht="12.8" hidden="false" customHeight="false" outlineLevel="0" collapsed="false">
      <c r="A362" s="4" t="n">
        <v>206</v>
      </c>
      <c r="B362" s="5" t="str">
        <f aca="false">"SILVANA CDSP"</f>
        <v>SILVANA CDSP</v>
      </c>
      <c r="C362" s="6" t="n">
        <v>955789</v>
      </c>
      <c r="D362" s="7" t="n">
        <v>45748</v>
      </c>
      <c r="E362" s="7" t="n">
        <v>45748</v>
      </c>
      <c r="F362" s="7"/>
      <c r="G362" s="7"/>
      <c r="H362" s="7" t="n">
        <v>45751</v>
      </c>
      <c r="I362" s="15" t="n">
        <v>90227</v>
      </c>
      <c r="J362" s="12" t="n">
        <v>10479</v>
      </c>
      <c r="K362" s="5" t="str">
        <f aca="false">"P   J 2"</f>
        <v>P   J 2</v>
      </c>
      <c r="L362" s="5" t="str">
        <f aca="false">"ATACADISTA"</f>
        <v>ATACADISTA</v>
      </c>
      <c r="M362" s="5" t="str">
        <f aca="false">"SP"</f>
        <v>SP</v>
      </c>
      <c r="N362" s="9" t="n">
        <v>1851.2</v>
      </c>
      <c r="O362" s="10" t="n">
        <v>421.36</v>
      </c>
      <c r="P362" s="10" t="n">
        <v>258.04</v>
      </c>
      <c r="Q362" s="10" t="n">
        <v>11.18</v>
      </c>
      <c r="R362" s="10" t="n">
        <v>11.18</v>
      </c>
      <c r="S362" s="5" t="str">
        <f aca="false">"Faturado"</f>
        <v>Faturado</v>
      </c>
      <c r="T362" s="5" t="str">
        <f aca="false">"HERCULES RIO"</f>
        <v>HERCULES RIO</v>
      </c>
      <c r="U362" s="11" t="n">
        <v>25</v>
      </c>
      <c r="V362" s="5" t="str">
        <f aca="false">""</f>
        <v/>
      </c>
    </row>
    <row r="363" customFormat="false" ht="12.8" hidden="false" customHeight="false" outlineLevel="0" collapsed="false">
      <c r="A363" s="4" t="n">
        <v>206</v>
      </c>
      <c r="B363" s="5" t="str">
        <f aca="false">"PAPAIZ"</f>
        <v>PAPAIZ</v>
      </c>
      <c r="C363" s="6" t="n">
        <v>956321</v>
      </c>
      <c r="D363" s="7" t="n">
        <v>45748</v>
      </c>
      <c r="E363" s="7" t="n">
        <v>45749</v>
      </c>
      <c r="F363" s="7"/>
      <c r="G363" s="7"/>
      <c r="H363" s="7" t="n">
        <v>45751</v>
      </c>
      <c r="I363" s="15" t="n">
        <v>90068</v>
      </c>
      <c r="J363" s="5" t="str">
        <f aca="false">"TWEB00004255"</f>
        <v>TWEB00004255</v>
      </c>
      <c r="K363" s="5" t="str">
        <f aca="false">"NILO CIMENTO"</f>
        <v>NILO CIMENTO</v>
      </c>
      <c r="L363" s="5" t="str">
        <f aca="false">"WEBSHOP"</f>
        <v>WEBSHOP</v>
      </c>
      <c r="M363" s="5" t="str">
        <f aca="false">"CE"</f>
        <v>CE</v>
      </c>
      <c r="N363" s="9" t="n">
        <v>8065</v>
      </c>
      <c r="O363" s="10" t="n">
        <v>1245</v>
      </c>
      <c r="P363" s="10" t="n">
        <v>1050.75</v>
      </c>
      <c r="Q363" s="10" t="n">
        <v>9.4</v>
      </c>
      <c r="R363" s="10" t="n">
        <v>9.4</v>
      </c>
      <c r="S363" s="5" t="str">
        <f aca="false">"Faturado"</f>
        <v>Faturado</v>
      </c>
      <c r="T363" s="5" t="str">
        <f aca="false">"GABRIEL WILL"</f>
        <v>GABRIEL WILL</v>
      </c>
      <c r="U363" s="11" t="n">
        <v>13</v>
      </c>
      <c r="V363" s="15" t="n">
        <v>3218401</v>
      </c>
    </row>
    <row r="364" customFormat="false" ht="12.8" hidden="false" customHeight="false" outlineLevel="0" collapsed="false">
      <c r="A364" s="4" t="n">
        <v>206</v>
      </c>
      <c r="B364" s="5" t="str">
        <f aca="false">"PAPAIZ"</f>
        <v>PAPAIZ</v>
      </c>
      <c r="C364" s="6" t="n">
        <v>0</v>
      </c>
      <c r="D364" s="7" t="n">
        <v>45748</v>
      </c>
      <c r="E364" s="7"/>
      <c r="F364" s="7"/>
      <c r="G364" s="7"/>
      <c r="H364" s="7" t="n">
        <v>45751</v>
      </c>
      <c r="I364" s="15" t="n">
        <v>18750</v>
      </c>
      <c r="J364" s="5" t="str">
        <f aca="false">"ANYFUL002772"</f>
        <v>ANYFUL002772</v>
      </c>
      <c r="K364" s="5" t="str">
        <f aca="false">"ROMULO MARIN"</f>
        <v>ROMULO MARIN</v>
      </c>
      <c r="L364" s="5" t="str">
        <f aca="false">"WEBSHOP"</f>
        <v>WEBSHOP</v>
      </c>
      <c r="M364" s="5" t="str">
        <f aca="false">"CE"</f>
        <v>CE</v>
      </c>
      <c r="N364" s="9" t="n">
        <v>78.03</v>
      </c>
      <c r="O364" s="10" t="n">
        <v>78.03</v>
      </c>
      <c r="P364" s="10" t="n">
        <v>66.8</v>
      </c>
      <c r="Q364" s="10" t="n">
        <v>0.67</v>
      </c>
      <c r="R364" s="10" t="n">
        <v>0.67</v>
      </c>
      <c r="S364" s="5" t="str">
        <f aca="false">"Faturado"</f>
        <v>Faturado</v>
      </c>
      <c r="T364" s="5" t="str">
        <f aca="false">"EBAZAR-SP04"</f>
        <v>EBAZAR-SP04</v>
      </c>
      <c r="U364" s="11" t="n">
        <v>13</v>
      </c>
      <c r="V364" s="5" t="str">
        <f aca="false">""</f>
        <v/>
      </c>
    </row>
    <row r="365" customFormat="false" ht="12.8" hidden="false" customHeight="false" outlineLevel="0" collapsed="false">
      <c r="A365" s="4" t="n">
        <v>206</v>
      </c>
      <c r="B365" s="5" t="str">
        <f aca="false">"VAULT"</f>
        <v>VAULT</v>
      </c>
      <c r="C365" s="6" t="n">
        <v>0</v>
      </c>
      <c r="D365" s="7" t="n">
        <v>45748</v>
      </c>
      <c r="E365" s="7"/>
      <c r="F365" s="7"/>
      <c r="G365" s="7"/>
      <c r="H365" s="7" t="n">
        <v>45751</v>
      </c>
      <c r="I365" s="15" t="n">
        <v>1029</v>
      </c>
      <c r="J365" s="8" t="n">
        <v>957638</v>
      </c>
      <c r="K365" s="5" t="str">
        <f aca="false">"G4S ES"</f>
        <v>G4S ES</v>
      </c>
      <c r="L365" s="5" t="str">
        <f aca="false">"INTEGRADOR VAR"</f>
        <v>INTEGRADOR VAR</v>
      </c>
      <c r="M365" s="5" t="str">
        <f aca="false">"ES"</f>
        <v>ES</v>
      </c>
      <c r="N365" s="9" t="n">
        <v>52</v>
      </c>
      <c r="O365" s="10" t="n">
        <v>291.54</v>
      </c>
      <c r="P365" s="10" t="n">
        <v>264.57</v>
      </c>
      <c r="Q365" s="10" t="n">
        <v>0</v>
      </c>
      <c r="R365" s="10" t="n">
        <v>0</v>
      </c>
      <c r="S365" s="5" t="str">
        <f aca="false">"Faturado"</f>
        <v>Faturado</v>
      </c>
      <c r="T365" s="5" t="str">
        <f aca="false">"CA INTER"</f>
        <v>CA INTER</v>
      </c>
      <c r="U365" s="11" t="n">
        <v>8</v>
      </c>
      <c r="V365" s="5" t="str">
        <f aca="false">""</f>
        <v/>
      </c>
    </row>
    <row r="366" customFormat="false" ht="12.8" hidden="false" customHeight="false" outlineLevel="0" collapsed="false">
      <c r="A366" s="4" t="n">
        <v>206</v>
      </c>
      <c r="B366" s="5" t="str">
        <f aca="false">"PAPAIZ"</f>
        <v>PAPAIZ</v>
      </c>
      <c r="C366" s="6" t="n">
        <v>956315</v>
      </c>
      <c r="D366" s="7" t="n">
        <v>45749</v>
      </c>
      <c r="E366" s="7" t="n">
        <v>45749</v>
      </c>
      <c r="F366" s="7"/>
      <c r="G366" s="7"/>
      <c r="H366" s="7" t="n">
        <v>45751</v>
      </c>
      <c r="I366" s="15" t="n">
        <v>90164</v>
      </c>
      <c r="J366" s="5" t="str">
        <f aca="false">"TWEB00004261"</f>
        <v>TWEB00004261</v>
      </c>
      <c r="K366" s="5" t="str">
        <f aca="false">"MAIOLINI CO"</f>
        <v>MAIOLINI CO</v>
      </c>
      <c r="L366" s="5" t="str">
        <f aca="false">"WEBSHOP"</f>
        <v>WEBSHOP</v>
      </c>
      <c r="M366" s="5" t="str">
        <f aca="false">"MG"</f>
        <v>MG</v>
      </c>
      <c r="N366" s="9" t="n">
        <v>270.45</v>
      </c>
      <c r="O366" s="10" t="n">
        <v>351.5</v>
      </c>
      <c r="P366" s="10" t="n">
        <v>298.97</v>
      </c>
      <c r="Q366" s="10" t="n">
        <v>1.63</v>
      </c>
      <c r="R366" s="10" t="n">
        <v>1.3</v>
      </c>
      <c r="S366" s="5" t="str">
        <f aca="false">"Faturado"</f>
        <v>Faturado</v>
      </c>
      <c r="T366" s="5" t="str">
        <f aca="false">"GABRIEL WILL"</f>
        <v>GABRIEL WILL</v>
      </c>
      <c r="U366" s="11" t="n">
        <v>13</v>
      </c>
      <c r="V366" s="15" t="n">
        <v>3218557</v>
      </c>
    </row>
    <row r="367" customFormat="false" ht="12.8" hidden="false" customHeight="false" outlineLevel="0" collapsed="false">
      <c r="A367" s="4" t="n">
        <v>206</v>
      </c>
      <c r="B367" s="5" t="str">
        <f aca="false">"SILVANA CDSP"</f>
        <v>SILVANA CDSP</v>
      </c>
      <c r="C367" s="6" t="n">
        <v>956312</v>
      </c>
      <c r="D367" s="7" t="n">
        <v>45749</v>
      </c>
      <c r="E367" s="7" t="n">
        <v>45749</v>
      </c>
      <c r="F367" s="7"/>
      <c r="G367" s="7"/>
      <c r="H367" s="7" t="n">
        <v>45751</v>
      </c>
      <c r="I367" s="15" t="n">
        <v>90134</v>
      </c>
      <c r="J367" s="5" t="str">
        <f aca="false">"SPDSIL021779"</f>
        <v>SPDSIL021779</v>
      </c>
      <c r="K367" s="5" t="str">
        <f aca="false">"KK TOKIO"</f>
        <v>KK TOKIO</v>
      </c>
      <c r="L367" s="5" t="str">
        <f aca="false">"MATERIAL DE CONSTRUCAO"</f>
        <v>MATERIAL DE CONSTRUCAO</v>
      </c>
      <c r="M367" s="5" t="str">
        <f aca="false">"SP"</f>
        <v>SP</v>
      </c>
      <c r="N367" s="9" t="n">
        <v>226.44</v>
      </c>
      <c r="O367" s="10" t="n">
        <v>696.97</v>
      </c>
      <c r="P367" s="10" t="n">
        <v>428.63</v>
      </c>
      <c r="Q367" s="10" t="n">
        <v>8.18</v>
      </c>
      <c r="R367" s="10" t="n">
        <v>8.18</v>
      </c>
      <c r="S367" s="5" t="str">
        <f aca="false">"Faturado"</f>
        <v>Faturado</v>
      </c>
      <c r="T367" s="5" t="str">
        <f aca="false">"M SILVA REPR"</f>
        <v>M SILVA REPR</v>
      </c>
      <c r="U367" s="11" t="n">
        <v>25</v>
      </c>
      <c r="V367" s="5" t="str">
        <f aca="false">""</f>
        <v/>
      </c>
    </row>
    <row r="368" customFormat="false" ht="12.8" hidden="false" customHeight="false" outlineLevel="0" collapsed="false">
      <c r="A368" s="4" t="n">
        <v>206</v>
      </c>
      <c r="B368" s="5" t="str">
        <f aca="false">"PAPAIZ"</f>
        <v>PAPAIZ</v>
      </c>
      <c r="C368" s="6" t="n">
        <v>956296</v>
      </c>
      <c r="D368" s="7" t="n">
        <v>45749</v>
      </c>
      <c r="E368" s="7" t="n">
        <v>45749</v>
      </c>
      <c r="F368" s="7"/>
      <c r="G368" s="7"/>
      <c r="H368" s="7" t="n">
        <v>45751</v>
      </c>
      <c r="I368" s="15" t="n">
        <v>90075</v>
      </c>
      <c r="J368" s="5" t="str">
        <f aca="false">"TWEB00004259"</f>
        <v>TWEB00004259</v>
      </c>
      <c r="K368" s="5" t="str">
        <f aca="false">"BOUTIQUE DA"</f>
        <v>BOUTIQUE DA</v>
      </c>
      <c r="L368" s="5" t="str">
        <f aca="false">"WEBSHOP"</f>
        <v>WEBSHOP</v>
      </c>
      <c r="M368" s="5" t="str">
        <f aca="false">"BA"</f>
        <v>BA</v>
      </c>
      <c r="N368" s="9" t="n">
        <v>822.1</v>
      </c>
      <c r="O368" s="10" t="n">
        <v>1349.2</v>
      </c>
      <c r="P368" s="10" t="n">
        <v>1138.69</v>
      </c>
      <c r="Q368" s="10" t="n">
        <v>9.84</v>
      </c>
      <c r="R368" s="10" t="n">
        <v>9.71</v>
      </c>
      <c r="S368" s="5" t="str">
        <f aca="false">"Faturado"</f>
        <v>Faturado</v>
      </c>
      <c r="T368" s="5" t="str">
        <f aca="false">"GABRIEL WILL"</f>
        <v>GABRIEL WILL</v>
      </c>
      <c r="U368" s="11" t="n">
        <v>13</v>
      </c>
      <c r="V368" s="15" t="n">
        <v>3218539</v>
      </c>
    </row>
    <row r="369" customFormat="false" ht="12.8" hidden="false" customHeight="false" outlineLevel="0" collapsed="false">
      <c r="A369" s="4" t="n">
        <v>206</v>
      </c>
      <c r="B369" s="5" t="str">
        <f aca="false">"PAPAIZ"</f>
        <v>PAPAIZ</v>
      </c>
      <c r="C369" s="6" t="n">
        <v>956390</v>
      </c>
      <c r="D369" s="7" t="n">
        <v>45749</v>
      </c>
      <c r="E369" s="7" t="n">
        <v>45750</v>
      </c>
      <c r="F369" s="7"/>
      <c r="G369" s="7"/>
      <c r="H369" s="7" t="n">
        <v>45751</v>
      </c>
      <c r="I369" s="15" t="n">
        <v>90132</v>
      </c>
      <c r="J369" s="5" t="str">
        <f aca="false">"TWEB00004266"</f>
        <v>TWEB00004266</v>
      </c>
      <c r="K369" s="5" t="str">
        <f aca="false">"45.415.630 L"</f>
        <v>45.415.630 L</v>
      </c>
      <c r="L369" s="5" t="str">
        <f aca="false">"WEBSHOP"</f>
        <v>WEBSHOP</v>
      </c>
      <c r="M369" s="5" t="str">
        <f aca="false">"SP"</f>
        <v>SP</v>
      </c>
      <c r="N369" s="9" t="n">
        <v>0</v>
      </c>
      <c r="O369" s="10" t="n">
        <v>562.25</v>
      </c>
      <c r="P369" s="10" t="n">
        <v>418.39</v>
      </c>
      <c r="Q369" s="10" t="n">
        <v>4.18</v>
      </c>
      <c r="R369" s="10" t="n">
        <v>4.08</v>
      </c>
      <c r="S369" s="5" t="str">
        <f aca="false">"Faturado"</f>
        <v>Faturado</v>
      </c>
      <c r="T369" s="5" t="str">
        <f aca="false">"DANIEL LIMA"</f>
        <v>DANIEL LIMA</v>
      </c>
      <c r="U369" s="11" t="n">
        <v>13</v>
      </c>
      <c r="V369" s="15" t="n">
        <v>3218855</v>
      </c>
    </row>
    <row r="370" customFormat="false" ht="12.8" hidden="false" customHeight="false" outlineLevel="0" collapsed="false">
      <c r="A370" s="4" t="n">
        <v>206</v>
      </c>
      <c r="B370" s="5" t="str">
        <f aca="false">"PAPAIZ"</f>
        <v>PAPAIZ</v>
      </c>
      <c r="C370" s="6" t="n">
        <v>956303</v>
      </c>
      <c r="D370" s="7" t="n">
        <v>45749</v>
      </c>
      <c r="E370" s="7" t="n">
        <v>45749</v>
      </c>
      <c r="F370" s="7"/>
      <c r="G370" s="7"/>
      <c r="H370" s="7" t="n">
        <v>45751</v>
      </c>
      <c r="I370" s="15" t="n">
        <v>90116</v>
      </c>
      <c r="J370" s="5" t="str">
        <f aca="false">"TWEB00004256"</f>
        <v>TWEB00004256</v>
      </c>
      <c r="K370" s="5" t="str">
        <f aca="false">"ECHNO"</f>
        <v>ECHNO</v>
      </c>
      <c r="L370" s="5" t="str">
        <f aca="false">"WEBSHOP"</f>
        <v>WEBSHOP</v>
      </c>
      <c r="M370" s="5" t="str">
        <f aca="false">"SP"</f>
        <v>SP</v>
      </c>
      <c r="N370" s="9" t="n">
        <v>274.65</v>
      </c>
      <c r="O370" s="10" t="n">
        <v>902.61</v>
      </c>
      <c r="P370" s="10" t="n">
        <v>630.68</v>
      </c>
      <c r="Q370" s="10" t="n">
        <v>12.73</v>
      </c>
      <c r="R370" s="10" t="n">
        <v>12.64</v>
      </c>
      <c r="S370" s="5" t="str">
        <f aca="false">"Faturado"</f>
        <v>Faturado</v>
      </c>
      <c r="T370" s="5" t="str">
        <f aca="false">"GABRIEL WILL"</f>
        <v>GABRIEL WILL</v>
      </c>
      <c r="U370" s="11" t="n">
        <v>13</v>
      </c>
      <c r="V370" s="15" t="n">
        <v>3218518</v>
      </c>
    </row>
    <row r="371" customFormat="false" ht="12.8" hidden="false" customHeight="false" outlineLevel="0" collapsed="false">
      <c r="A371" s="4" t="n">
        <v>206</v>
      </c>
      <c r="B371" s="5" t="str">
        <f aca="false">"SILVANA CDSP"</f>
        <v>SILVANA CDSP</v>
      </c>
      <c r="C371" s="6" t="n">
        <v>956318</v>
      </c>
      <c r="D371" s="7" t="n">
        <v>45749</v>
      </c>
      <c r="E371" s="7" t="n">
        <v>45749</v>
      </c>
      <c r="F371" s="7"/>
      <c r="G371" s="7"/>
      <c r="H371" s="7" t="n">
        <v>45751</v>
      </c>
      <c r="I371" s="15" t="n">
        <v>90234</v>
      </c>
      <c r="J371" s="5" t="str">
        <f aca="false">"SPDSIL021778"</f>
        <v>SPDSIL021778</v>
      </c>
      <c r="K371" s="5" t="str">
        <f aca="false">"MC NOVO LAR"</f>
        <v>MC NOVO LAR</v>
      </c>
      <c r="L371" s="5" t="str">
        <f aca="false">"MATERIAL DE CONSTRUCAO"</f>
        <v>MATERIAL DE CONSTRUCAO</v>
      </c>
      <c r="M371" s="5" t="str">
        <f aca="false">"MT"</f>
        <v>MT</v>
      </c>
      <c r="N371" s="9" t="n">
        <v>1734.36</v>
      </c>
      <c r="O371" s="10" t="n">
        <v>5320.93</v>
      </c>
      <c r="P371" s="10" t="n">
        <v>4123.24</v>
      </c>
      <c r="Q371" s="10" t="n">
        <v>83.86</v>
      </c>
      <c r="R371" s="10" t="n">
        <v>83.86</v>
      </c>
      <c r="S371" s="5" t="str">
        <f aca="false">"Faturado"</f>
        <v>Faturado</v>
      </c>
      <c r="T371" s="5" t="str">
        <f aca="false">"PREMIER REP"</f>
        <v>PREMIER REP</v>
      </c>
      <c r="U371" s="11" t="n">
        <v>25</v>
      </c>
      <c r="V371" s="5" t="str">
        <f aca="false">""</f>
        <v/>
      </c>
    </row>
    <row r="372" customFormat="false" ht="12.8" hidden="false" customHeight="false" outlineLevel="0" collapsed="false">
      <c r="A372" s="4" t="n">
        <v>206</v>
      </c>
      <c r="B372" s="5" t="str">
        <f aca="false">"PAPAIZ"</f>
        <v>PAPAIZ</v>
      </c>
      <c r="C372" s="6" t="n">
        <v>0</v>
      </c>
      <c r="D372" s="7" t="n">
        <v>45750</v>
      </c>
      <c r="E372" s="7"/>
      <c r="F372" s="7"/>
      <c r="G372" s="7"/>
      <c r="H372" s="7" t="n">
        <v>45751</v>
      </c>
      <c r="I372" s="15" t="n">
        <v>18744</v>
      </c>
      <c r="J372" s="5" t="str">
        <f aca="false">"ANYFUL002924"</f>
        <v>ANYFUL002924</v>
      </c>
      <c r="K372" s="5" t="str">
        <f aca="false">"RO PACHECO D"</f>
        <v>RO PACHECO D</v>
      </c>
      <c r="L372" s="5" t="str">
        <f aca="false">"WEBSHOP"</f>
        <v>WEBSHOP</v>
      </c>
      <c r="M372" s="5" t="str">
        <f aca="false">"SP"</f>
        <v>SP</v>
      </c>
      <c r="N372" s="9" t="n">
        <v>57.51</v>
      </c>
      <c r="O372" s="10" t="n">
        <v>57.51</v>
      </c>
      <c r="P372" s="10" t="n">
        <v>42.8</v>
      </c>
      <c r="Q372" s="10" t="n">
        <v>0.28</v>
      </c>
      <c r="R372" s="10" t="n">
        <v>0.28</v>
      </c>
      <c r="S372" s="5" t="str">
        <f aca="false">"Faturado"</f>
        <v>Faturado</v>
      </c>
      <c r="T372" s="5" t="str">
        <f aca="false">"EBAZAR-SP04"</f>
        <v>EBAZAR-SP04</v>
      </c>
      <c r="U372" s="11" t="n">
        <v>13</v>
      </c>
      <c r="V372" s="5" t="str">
        <f aca="false">""</f>
        <v/>
      </c>
    </row>
    <row r="373" customFormat="false" ht="12.8" hidden="false" customHeight="false" outlineLevel="0" collapsed="false">
      <c r="A373" s="4" t="n">
        <v>206</v>
      </c>
      <c r="B373" s="5" t="str">
        <f aca="false">"PAPAIZ"</f>
        <v>PAPAIZ</v>
      </c>
      <c r="C373" s="6" t="n">
        <v>955969</v>
      </c>
      <c r="D373" s="7" t="n">
        <v>45750</v>
      </c>
      <c r="E373" s="7" t="n">
        <v>45748</v>
      </c>
      <c r="F373" s="7"/>
      <c r="G373" s="7"/>
      <c r="H373" s="7" t="n">
        <v>45751</v>
      </c>
      <c r="I373" s="15" t="n">
        <v>90110</v>
      </c>
      <c r="J373" s="14" t="n">
        <v>4520354260</v>
      </c>
      <c r="K373" s="5" t="str">
        <f aca="false">"LEROY C NORT"</f>
        <v>LEROY C NORT</v>
      </c>
      <c r="L373" s="5" t="str">
        <f aca="false">"HOME CENTER"</f>
        <v>HOME CENTER</v>
      </c>
      <c r="M373" s="5" t="str">
        <f aca="false">"SP"</f>
        <v>SP</v>
      </c>
      <c r="N373" s="9" t="n">
        <v>335.8</v>
      </c>
      <c r="O373" s="10" t="n">
        <v>1107.6</v>
      </c>
      <c r="P373" s="10" t="n">
        <v>773.92</v>
      </c>
      <c r="Q373" s="10" t="n">
        <v>20.27</v>
      </c>
      <c r="R373" s="10" t="n">
        <v>20.27</v>
      </c>
      <c r="S373" s="5" t="str">
        <f aca="false">"Faturado"</f>
        <v>Faturado</v>
      </c>
      <c r="T373" s="5" t="str">
        <f aca="false">"TIAGO SILVA"</f>
        <v>TIAGO SILVA</v>
      </c>
      <c r="U373" s="11" t="n">
        <v>6</v>
      </c>
      <c r="V373" s="5" t="str">
        <f aca="false">""</f>
        <v/>
      </c>
    </row>
    <row r="374" customFormat="false" ht="12.8" hidden="false" customHeight="false" outlineLevel="0" collapsed="false">
      <c r="A374" s="4" t="n">
        <v>206</v>
      </c>
      <c r="B374" s="5" t="str">
        <f aca="false">"PAPAIZ"</f>
        <v>PAPAIZ</v>
      </c>
      <c r="C374" s="6" t="n">
        <v>955967</v>
      </c>
      <c r="D374" s="7" t="n">
        <v>45750</v>
      </c>
      <c r="E374" s="7" t="n">
        <v>45748</v>
      </c>
      <c r="F374" s="7"/>
      <c r="G374" s="7"/>
      <c r="H374" s="7" t="n">
        <v>45751</v>
      </c>
      <c r="I374" s="15" t="n">
        <v>90101</v>
      </c>
      <c r="J374" s="14" t="n">
        <v>4520354857</v>
      </c>
      <c r="K374" s="5" t="str">
        <f aca="false">"LEROY RIO NO"</f>
        <v>LEROY RIO NO</v>
      </c>
      <c r="L374" s="5" t="str">
        <f aca="false">"HOME CENTER"</f>
        <v>HOME CENTER</v>
      </c>
      <c r="M374" s="5" t="str">
        <f aca="false">"RJ"</f>
        <v>RJ</v>
      </c>
      <c r="N374" s="9" t="n">
        <v>0</v>
      </c>
      <c r="O374" s="10" t="n">
        <v>668.2</v>
      </c>
      <c r="P374" s="10" t="n">
        <v>553.92</v>
      </c>
      <c r="Q374" s="10" t="n">
        <v>6.91</v>
      </c>
      <c r="R374" s="10" t="n">
        <v>6.91</v>
      </c>
      <c r="S374" s="5" t="str">
        <f aca="false">"Faturado"</f>
        <v>Faturado</v>
      </c>
      <c r="T374" s="5" t="str">
        <f aca="false">"ALEXANDRE P"</f>
        <v>ALEXANDRE P</v>
      </c>
      <c r="U374" s="11" t="n">
        <v>6</v>
      </c>
      <c r="V374" s="5" t="str">
        <f aca="false">""</f>
        <v/>
      </c>
    </row>
    <row r="375" customFormat="false" ht="12.8" hidden="false" customHeight="false" outlineLevel="0" collapsed="false">
      <c r="A375" s="4" t="n">
        <v>206</v>
      </c>
      <c r="B375" s="5" t="str">
        <f aca="false">"VAULT"</f>
        <v>VAULT</v>
      </c>
      <c r="C375" s="6" t="n">
        <v>0</v>
      </c>
      <c r="D375" s="7" t="n">
        <v>45750</v>
      </c>
      <c r="E375" s="7"/>
      <c r="F375" s="7"/>
      <c r="G375" s="7"/>
      <c r="H375" s="7" t="n">
        <v>45751</v>
      </c>
      <c r="I375" s="15" t="n">
        <v>1030</v>
      </c>
      <c r="J375" s="8" t="n">
        <v>958923</v>
      </c>
      <c r="K375" s="5" t="str">
        <f aca="false">"ENW"</f>
        <v>ENW</v>
      </c>
      <c r="L375" s="5" t="str">
        <f aca="false">""</f>
        <v/>
      </c>
      <c r="M375" s="5" t="str">
        <f aca="false">"SP"</f>
        <v>SP</v>
      </c>
      <c r="N375" s="9" t="n">
        <v>660</v>
      </c>
      <c r="O375" s="10" t="n">
        <v>660</v>
      </c>
      <c r="P375" s="10" t="n">
        <v>598.95</v>
      </c>
      <c r="Q375" s="10" t="n">
        <v>0</v>
      </c>
      <c r="R375" s="10" t="n">
        <v>0</v>
      </c>
      <c r="S375" s="5" t="str">
        <f aca="false">"Faturado"</f>
        <v>Faturado</v>
      </c>
      <c r="T375" s="5" t="str">
        <f aca="false">"CA SP"</f>
        <v>CA SP</v>
      </c>
      <c r="U375" s="11" t="n">
        <v>8</v>
      </c>
      <c r="V375" s="5" t="str">
        <f aca="false">""</f>
        <v/>
      </c>
    </row>
    <row r="376" customFormat="false" ht="12.8" hidden="false" customHeight="false" outlineLevel="0" collapsed="false">
      <c r="A376" s="4" t="n">
        <v>206</v>
      </c>
      <c r="B376" s="5" t="str">
        <f aca="false">"PAPAIZ"</f>
        <v>PAPAIZ</v>
      </c>
      <c r="C376" s="6" t="n">
        <v>956705</v>
      </c>
      <c r="D376" s="7" t="n">
        <v>45750</v>
      </c>
      <c r="E376" s="7" t="n">
        <v>45751</v>
      </c>
      <c r="F376" s="7"/>
      <c r="G376" s="7"/>
      <c r="H376" s="7" t="n">
        <v>45751</v>
      </c>
      <c r="I376" s="15" t="n">
        <v>90207</v>
      </c>
      <c r="J376" s="14" t="n">
        <v>4520356371</v>
      </c>
      <c r="K376" s="5" t="str">
        <f aca="false">"LEROY SANTOS"</f>
        <v>LEROY SANTOS</v>
      </c>
      <c r="L376" s="5" t="str">
        <f aca="false">"HOME CENTER"</f>
        <v>HOME CENTER</v>
      </c>
      <c r="M376" s="5" t="str">
        <f aca="false">"SP"</f>
        <v>SP</v>
      </c>
      <c r="N376" s="9" t="n">
        <v>0</v>
      </c>
      <c r="O376" s="10" t="n">
        <v>748.5</v>
      </c>
      <c r="P376" s="10" t="n">
        <v>541.51</v>
      </c>
      <c r="Q376" s="10" t="n">
        <v>8.77</v>
      </c>
      <c r="R376" s="10" t="n">
        <v>8.77</v>
      </c>
      <c r="S376" s="5" t="str">
        <f aca="false">"Faturado"</f>
        <v>Faturado</v>
      </c>
      <c r="T376" s="5" t="str">
        <f aca="false">"TIAGO SILVA"</f>
        <v>TIAGO SILVA</v>
      </c>
      <c r="U376" s="11" t="n">
        <v>6</v>
      </c>
      <c r="V376" s="5" t="str">
        <f aca="false">""</f>
        <v/>
      </c>
    </row>
    <row r="377" customFormat="false" ht="12.8" hidden="false" customHeight="false" outlineLevel="0" collapsed="false">
      <c r="A377" s="4" t="n">
        <v>206</v>
      </c>
      <c r="B377" s="5" t="str">
        <f aca="false">"SILVANA CDSP"</f>
        <v>SILVANA CDSP</v>
      </c>
      <c r="C377" s="6" t="n">
        <v>956710</v>
      </c>
      <c r="D377" s="7" t="n">
        <v>45750</v>
      </c>
      <c r="E377" s="7" t="n">
        <v>45751</v>
      </c>
      <c r="F377" s="7"/>
      <c r="G377" s="7"/>
      <c r="H377" s="7" t="n">
        <v>45751</v>
      </c>
      <c r="I377" s="15" t="n">
        <v>90149</v>
      </c>
      <c r="J377" s="5" t="str">
        <f aca="false">"ANYMER000194"</f>
        <v>ANYMER000194</v>
      </c>
      <c r="K377" s="5" t="str">
        <f aca="false">"VITÓRIA  MAR"</f>
        <v>VITÓRIA  MAR</v>
      </c>
      <c r="L377" s="5" t="str">
        <f aca="false">"WEBSHOP"</f>
        <v>WEBSHOP</v>
      </c>
      <c r="M377" s="5" t="str">
        <f aca="false">"SP"</f>
        <v>SP</v>
      </c>
      <c r="N377" s="9" t="n">
        <v>0</v>
      </c>
      <c r="O377" s="10" t="n">
        <v>305.8</v>
      </c>
      <c r="P377" s="10" t="n">
        <v>227.56</v>
      </c>
      <c r="Q377" s="10" t="n">
        <v>1.39</v>
      </c>
      <c r="R377" s="10" t="n">
        <v>1.39</v>
      </c>
      <c r="S377" s="5" t="str">
        <f aca="false">"Faturado"</f>
        <v>Faturado</v>
      </c>
      <c r="T377" s="5" t="str">
        <f aca="false">"WEBSHOPML"</f>
        <v>WEBSHOPML</v>
      </c>
      <c r="U377" s="11" t="n">
        <v>13</v>
      </c>
      <c r="V377" s="5" t="str">
        <f aca="false">""</f>
        <v/>
      </c>
    </row>
    <row r="378" customFormat="false" ht="12.8" hidden="false" customHeight="false" outlineLevel="0" collapsed="false">
      <c r="A378" s="4" t="n">
        <v>206</v>
      </c>
      <c r="B378" s="5" t="str">
        <f aca="false">"PAPAIZ"</f>
        <v>PAPAIZ</v>
      </c>
      <c r="C378" s="6" t="n">
        <v>955964</v>
      </c>
      <c r="D378" s="7" t="n">
        <v>45750</v>
      </c>
      <c r="E378" s="7" t="n">
        <v>45748</v>
      </c>
      <c r="F378" s="7"/>
      <c r="G378" s="7"/>
      <c r="H378" s="7" t="n">
        <v>45751</v>
      </c>
      <c r="I378" s="15" t="n">
        <v>90081</v>
      </c>
      <c r="J378" s="14" t="n">
        <v>4520352783</v>
      </c>
      <c r="K378" s="5" t="str">
        <f aca="false">"LEROY RIB PR"</f>
        <v>LEROY RIB PR</v>
      </c>
      <c r="L378" s="5" t="str">
        <f aca="false">"HOME CENTER"</f>
        <v>HOME CENTER</v>
      </c>
      <c r="M378" s="5" t="str">
        <f aca="false">"SP"</f>
        <v>SP</v>
      </c>
      <c r="N378" s="9" t="n">
        <v>0</v>
      </c>
      <c r="O378" s="10" t="n">
        <v>521.92</v>
      </c>
      <c r="P378" s="10" t="n">
        <v>384.52</v>
      </c>
      <c r="Q378" s="10" t="n">
        <v>3.64</v>
      </c>
      <c r="R378" s="10" t="n">
        <v>3.64</v>
      </c>
      <c r="S378" s="5" t="str">
        <f aca="false">"Faturado"</f>
        <v>Faturado</v>
      </c>
      <c r="T378" s="5" t="str">
        <f aca="false">"TIAGO SILVA"</f>
        <v>TIAGO SILVA</v>
      </c>
      <c r="U378" s="11" t="n">
        <v>6</v>
      </c>
      <c r="V378" s="5" t="str">
        <f aca="false">""</f>
        <v/>
      </c>
    </row>
    <row r="379" customFormat="false" ht="12.8" hidden="false" customHeight="false" outlineLevel="0" collapsed="false">
      <c r="A379" s="4" t="n">
        <v>206</v>
      </c>
      <c r="B379" s="5" t="str">
        <f aca="false">"PAPAIZ"</f>
        <v>PAPAIZ</v>
      </c>
      <c r="C379" s="6" t="n">
        <v>955971</v>
      </c>
      <c r="D379" s="7" t="n">
        <v>45750</v>
      </c>
      <c r="E379" s="7" t="n">
        <v>45748</v>
      </c>
      <c r="F379" s="7"/>
      <c r="G379" s="7"/>
      <c r="H379" s="7" t="n">
        <v>45751</v>
      </c>
      <c r="I379" s="15" t="n">
        <v>90080</v>
      </c>
      <c r="J379" s="14" t="n">
        <v>4520355787</v>
      </c>
      <c r="K379" s="5" t="str">
        <f aca="false">"LEROY RJAFET"</f>
        <v>LEROY RJAFET</v>
      </c>
      <c r="L379" s="5" t="str">
        <f aca="false">"HOME CENTER"</f>
        <v>HOME CENTER</v>
      </c>
      <c r="M379" s="5" t="str">
        <f aca="false">"SP"</f>
        <v>SP</v>
      </c>
      <c r="N379" s="9" t="n">
        <v>335.8</v>
      </c>
      <c r="O379" s="10" t="n">
        <v>831.5</v>
      </c>
      <c r="P379" s="10" t="n">
        <v>611.01</v>
      </c>
      <c r="Q379" s="10" t="n">
        <v>7.34</v>
      </c>
      <c r="R379" s="10" t="n">
        <v>7.34</v>
      </c>
      <c r="S379" s="5" t="str">
        <f aca="false">"Faturado"</f>
        <v>Faturado</v>
      </c>
      <c r="T379" s="5" t="str">
        <f aca="false">"TIAGO SILVA"</f>
        <v>TIAGO SILVA</v>
      </c>
      <c r="U379" s="11" t="n">
        <v>6</v>
      </c>
      <c r="V379" s="5" t="str">
        <f aca="false">""</f>
        <v/>
      </c>
    </row>
    <row r="380" customFormat="false" ht="12.8" hidden="false" customHeight="false" outlineLevel="0" collapsed="false">
      <c r="A380" s="4" t="n">
        <v>206</v>
      </c>
      <c r="B380" s="5" t="str">
        <f aca="false">"PAPAIZ"</f>
        <v>PAPAIZ</v>
      </c>
      <c r="C380" s="6" t="n">
        <v>956698</v>
      </c>
      <c r="D380" s="7" t="n">
        <v>45750</v>
      </c>
      <c r="E380" s="7" t="n">
        <v>45751</v>
      </c>
      <c r="F380" s="7"/>
      <c r="G380" s="7"/>
      <c r="H380" s="7" t="n">
        <v>45751</v>
      </c>
      <c r="I380" s="15" t="n">
        <v>90203</v>
      </c>
      <c r="J380" s="5" t="str">
        <f aca="false">"TWEB00004271"</f>
        <v>TWEB00004271</v>
      </c>
      <c r="K380" s="5" t="str">
        <f aca="false">"DURAN E SPAG"</f>
        <v>DURAN E SPAG</v>
      </c>
      <c r="L380" s="5" t="str">
        <f aca="false">"WEBSHOP"</f>
        <v>WEBSHOP</v>
      </c>
      <c r="M380" s="5" t="str">
        <f aca="false">"SP"</f>
        <v>SP</v>
      </c>
      <c r="N380" s="9" t="n">
        <v>0</v>
      </c>
      <c r="O380" s="10" t="n">
        <v>1945.53</v>
      </c>
      <c r="P380" s="10" t="n">
        <v>1447.77</v>
      </c>
      <c r="Q380" s="10" t="n">
        <v>13.5</v>
      </c>
      <c r="R380" s="10" t="n">
        <v>13.48</v>
      </c>
      <c r="S380" s="5" t="str">
        <f aca="false">"Faturado"</f>
        <v>Faturado</v>
      </c>
      <c r="T380" s="5" t="str">
        <f aca="false">"GABRIEL WILL"</f>
        <v>GABRIEL WILL</v>
      </c>
      <c r="U380" s="11" t="n">
        <v>13</v>
      </c>
      <c r="V380" s="15" t="n">
        <v>3218939</v>
      </c>
    </row>
    <row r="381" customFormat="false" ht="12.8" hidden="false" customHeight="false" outlineLevel="0" collapsed="false">
      <c r="A381" s="4" t="n">
        <v>206</v>
      </c>
      <c r="B381" s="5" t="str">
        <f aca="false">"PAPAIZ"</f>
        <v>PAPAIZ</v>
      </c>
      <c r="C381" s="6" t="n">
        <v>0</v>
      </c>
      <c r="D381" s="7" t="n">
        <v>45750</v>
      </c>
      <c r="E381" s="7"/>
      <c r="F381" s="7"/>
      <c r="G381" s="7"/>
      <c r="H381" s="7" t="n">
        <v>45751</v>
      </c>
      <c r="I381" s="15" t="n">
        <v>18752</v>
      </c>
      <c r="J381" s="5" t="str">
        <f aca="false">"ANYFUL002936"</f>
        <v>ANYFUL002936</v>
      </c>
      <c r="K381" s="5" t="str">
        <f aca="false">"BENEDICTO EL"</f>
        <v>BENEDICTO EL</v>
      </c>
      <c r="L381" s="5" t="str">
        <f aca="false">"WEBSHOP"</f>
        <v>WEBSHOP</v>
      </c>
      <c r="M381" s="5" t="str">
        <f aca="false">"SP"</f>
        <v>SP</v>
      </c>
      <c r="N381" s="9" t="n">
        <v>156.06</v>
      </c>
      <c r="O381" s="10" t="n">
        <v>156.06</v>
      </c>
      <c r="P381" s="10" t="n">
        <v>116.13</v>
      </c>
      <c r="Q381" s="10" t="n">
        <v>1.35</v>
      </c>
      <c r="R381" s="10" t="n">
        <v>1.35</v>
      </c>
      <c r="S381" s="5" t="str">
        <f aca="false">"Faturado"</f>
        <v>Faturado</v>
      </c>
      <c r="T381" s="5" t="str">
        <f aca="false">"EBAZAR-SP04"</f>
        <v>EBAZAR-SP04</v>
      </c>
      <c r="U381" s="11" t="n">
        <v>13</v>
      </c>
      <c r="V381" s="5" t="str">
        <f aca="false">""</f>
        <v/>
      </c>
    </row>
    <row r="382" customFormat="false" ht="12.8" hidden="false" customHeight="false" outlineLevel="0" collapsed="false">
      <c r="A382" s="4" t="n">
        <v>206</v>
      </c>
      <c r="B382" s="5" t="str">
        <f aca="false">"PAPAIZ"</f>
        <v>PAPAIZ</v>
      </c>
      <c r="C382" s="6" t="n">
        <v>956718</v>
      </c>
      <c r="D382" s="7" t="n">
        <v>45750</v>
      </c>
      <c r="E382" s="7" t="n">
        <v>45751</v>
      </c>
      <c r="F382" s="7"/>
      <c r="G382" s="7"/>
      <c r="H382" s="7" t="n">
        <v>45751</v>
      </c>
      <c r="I382" s="15" t="n">
        <v>90150</v>
      </c>
      <c r="J382" s="5" t="str">
        <f aca="false">"TWEB00004269"</f>
        <v>TWEB00004269</v>
      </c>
      <c r="K382" s="5" t="str">
        <f aca="false">"CASA DE PARA"</f>
        <v>CASA DE PARA</v>
      </c>
      <c r="L382" s="5" t="str">
        <f aca="false">"WEBSHOP"</f>
        <v>WEBSHOP</v>
      </c>
      <c r="M382" s="5" t="str">
        <f aca="false">"SP"</f>
        <v>SP</v>
      </c>
      <c r="N382" s="9" t="n">
        <v>201.55</v>
      </c>
      <c r="O382" s="10" t="n">
        <v>645.1</v>
      </c>
      <c r="P382" s="10" t="n">
        <v>480.05</v>
      </c>
      <c r="Q382" s="10" t="n">
        <v>4.19</v>
      </c>
      <c r="R382" s="10" t="n">
        <v>4.19</v>
      </c>
      <c r="S382" s="5" t="str">
        <f aca="false">"Faturado"</f>
        <v>Faturado</v>
      </c>
      <c r="T382" s="5" t="str">
        <f aca="false">"DANIEL LIMA"</f>
        <v>DANIEL LIMA</v>
      </c>
      <c r="U382" s="11" t="n">
        <v>13</v>
      </c>
      <c r="V382" s="15" t="n">
        <v>3218653</v>
      </c>
    </row>
    <row r="383" customFormat="false" ht="12.8" hidden="false" customHeight="false" outlineLevel="0" collapsed="false">
      <c r="A383" s="4" t="n">
        <v>206</v>
      </c>
      <c r="B383" s="5" t="str">
        <f aca="false">"SILVANA CDSP"</f>
        <v>SILVANA CDSP</v>
      </c>
      <c r="C383" s="6" t="n">
        <v>956715</v>
      </c>
      <c r="D383" s="7" t="n">
        <v>45750</v>
      </c>
      <c r="E383" s="7" t="n">
        <v>45751</v>
      </c>
      <c r="F383" s="7"/>
      <c r="G383" s="7"/>
      <c r="H383" s="7" t="n">
        <v>45751</v>
      </c>
      <c r="I383" s="15" t="n">
        <v>90233</v>
      </c>
      <c r="J383" s="5" t="str">
        <f aca="false">"SPDSIL021922"</f>
        <v>SPDSIL021922</v>
      </c>
      <c r="K383" s="5" t="str">
        <f aca="false">"CARDIL MAT"</f>
        <v>CARDIL MAT</v>
      </c>
      <c r="L383" s="5" t="str">
        <f aca="false">"MATERIAL DE CONSTRUCAO"</f>
        <v>MATERIAL DE CONSTRUCAO</v>
      </c>
      <c r="M383" s="5" t="str">
        <f aca="false">"SP"</f>
        <v>SP</v>
      </c>
      <c r="N383" s="9" t="n">
        <v>361.36</v>
      </c>
      <c r="O383" s="10" t="n">
        <v>2037.79</v>
      </c>
      <c r="P383" s="10" t="n">
        <v>1312.97</v>
      </c>
      <c r="Q383" s="10" t="n">
        <v>23.17</v>
      </c>
      <c r="R383" s="10" t="n">
        <v>23.17</v>
      </c>
      <c r="S383" s="5" t="str">
        <f aca="false">"Faturado"</f>
        <v>Faturado</v>
      </c>
      <c r="T383" s="5" t="str">
        <f aca="false">"PAULO DE PAU"</f>
        <v>PAULO DE PAU</v>
      </c>
      <c r="U383" s="11" t="n">
        <v>25</v>
      </c>
      <c r="V383" s="5" t="str">
        <f aca="false">""</f>
        <v/>
      </c>
    </row>
    <row r="384" customFormat="false" ht="12.8" hidden="false" customHeight="false" outlineLevel="0" collapsed="false">
      <c r="A384" s="4" t="n">
        <v>206</v>
      </c>
      <c r="B384" s="5" t="str">
        <f aca="false">"PAPAIZ"</f>
        <v>PAPAIZ</v>
      </c>
      <c r="C384" s="6" t="n">
        <v>955970</v>
      </c>
      <c r="D384" s="7" t="n">
        <v>45750</v>
      </c>
      <c r="E384" s="7" t="n">
        <v>45748</v>
      </c>
      <c r="F384" s="7"/>
      <c r="G384" s="7"/>
      <c r="H384" s="7" t="n">
        <v>45751</v>
      </c>
      <c r="I384" s="15" t="n">
        <v>90094</v>
      </c>
      <c r="J384" s="14" t="n">
        <v>4520355685</v>
      </c>
      <c r="K384" s="5" t="str">
        <f aca="false">"LEROY MACEIO"</f>
        <v>LEROY MACEIO</v>
      </c>
      <c r="L384" s="5" t="str">
        <f aca="false">"HOME CENTER"</f>
        <v>HOME CENTER</v>
      </c>
      <c r="M384" s="5" t="str">
        <f aca="false">"AL"</f>
        <v>AL</v>
      </c>
      <c r="N384" s="9" t="n">
        <v>0</v>
      </c>
      <c r="O384" s="10" t="n">
        <v>817.3</v>
      </c>
      <c r="P384" s="10" t="n">
        <v>678.72</v>
      </c>
      <c r="Q384" s="10" t="n">
        <v>10155</v>
      </c>
      <c r="R384" s="10" t="n">
        <v>10.16</v>
      </c>
      <c r="S384" s="5" t="str">
        <f aca="false">"Faturado"</f>
        <v>Faturado</v>
      </c>
      <c r="T384" s="5" t="str">
        <f aca="false">"AEP REPRE"</f>
        <v>AEP REPRE</v>
      </c>
      <c r="U384" s="11" t="n">
        <v>6</v>
      </c>
      <c r="V384" s="5" t="str">
        <f aca="false">""</f>
        <v/>
      </c>
    </row>
    <row r="385" customFormat="false" ht="12.8" hidden="false" customHeight="false" outlineLevel="0" collapsed="false">
      <c r="A385" s="4" t="n">
        <v>206</v>
      </c>
      <c r="B385" s="5" t="str">
        <f aca="false">"PAPAIZ"</f>
        <v>PAPAIZ</v>
      </c>
      <c r="C385" s="6" t="n">
        <v>956700</v>
      </c>
      <c r="D385" s="7" t="n">
        <v>45750</v>
      </c>
      <c r="E385" s="7" t="n">
        <v>45751</v>
      </c>
      <c r="F385" s="7"/>
      <c r="G385" s="7"/>
      <c r="H385" s="7" t="n">
        <v>45751</v>
      </c>
      <c r="I385" s="15" t="n">
        <v>90154</v>
      </c>
      <c r="J385" s="14" t="n">
        <v>4520353927</v>
      </c>
      <c r="K385" s="5" t="str">
        <f aca="false">"LEROY"</f>
        <v>LEROY</v>
      </c>
      <c r="L385" s="5" t="str">
        <f aca="false">"HOME CENTER"</f>
        <v>HOME CENTER</v>
      </c>
      <c r="M385" s="5" t="str">
        <f aca="false">"SP"</f>
        <v>SP</v>
      </c>
      <c r="N385" s="9" t="n">
        <v>0</v>
      </c>
      <c r="O385" s="10" t="n">
        <v>134.4</v>
      </c>
      <c r="P385" s="10" t="n">
        <v>100.01</v>
      </c>
      <c r="Q385" s="10" t="n">
        <v>0.91</v>
      </c>
      <c r="R385" s="10" t="n">
        <v>0.8</v>
      </c>
      <c r="S385" s="5" t="str">
        <f aca="false">"Faturado"</f>
        <v>Faturado</v>
      </c>
      <c r="T385" s="5" t="str">
        <f aca="false">"TIAGO SILVA"</f>
        <v>TIAGO SILVA</v>
      </c>
      <c r="U385" s="11" t="n">
        <v>6</v>
      </c>
      <c r="V385" s="5" t="str">
        <f aca="false">""</f>
        <v/>
      </c>
    </row>
    <row r="386" customFormat="false" ht="12.8" hidden="false" customHeight="false" outlineLevel="0" collapsed="false">
      <c r="A386" s="4" t="n">
        <v>206</v>
      </c>
      <c r="B386" s="5" t="str">
        <f aca="false">"PAPAIZ"</f>
        <v>PAPAIZ</v>
      </c>
      <c r="C386" s="6" t="n">
        <v>0</v>
      </c>
      <c r="D386" s="7" t="n">
        <v>45751</v>
      </c>
      <c r="E386" s="7"/>
      <c r="F386" s="7"/>
      <c r="G386" s="7"/>
      <c r="H386" s="7" t="n">
        <v>45751</v>
      </c>
      <c r="I386" s="15" t="n">
        <v>18748</v>
      </c>
      <c r="J386" s="5" t="str">
        <f aca="false">"ANYFUL002944"</f>
        <v>ANYFUL002944</v>
      </c>
      <c r="K386" s="5" t="str">
        <f aca="false">"ANTÔNIO GILS"</f>
        <v>ANTÔNIO GILS</v>
      </c>
      <c r="L386" s="5" t="str">
        <f aca="false">"WEBSHOP"</f>
        <v>WEBSHOP</v>
      </c>
      <c r="M386" s="5" t="str">
        <f aca="false">"RJ"</f>
        <v>RJ</v>
      </c>
      <c r="N386" s="9" t="n">
        <v>38.34</v>
      </c>
      <c r="O386" s="10" t="n">
        <v>38.34</v>
      </c>
      <c r="P386" s="10" t="n">
        <v>30.9</v>
      </c>
      <c r="Q386" s="10" t="n">
        <v>0.19</v>
      </c>
      <c r="R386" s="10" t="n">
        <v>0.19</v>
      </c>
      <c r="S386" s="5" t="str">
        <f aca="false">"Faturado"</f>
        <v>Faturado</v>
      </c>
      <c r="T386" s="5" t="str">
        <f aca="false">"EBAZAR-SP04"</f>
        <v>EBAZAR-SP04</v>
      </c>
      <c r="U386" s="11" t="n">
        <v>13</v>
      </c>
      <c r="V386" s="5" t="str">
        <f aca="false">""</f>
        <v/>
      </c>
    </row>
    <row r="387" customFormat="false" ht="12.8" hidden="false" customHeight="false" outlineLevel="0" collapsed="false">
      <c r="A387" s="4" t="n">
        <v>206</v>
      </c>
      <c r="B387" s="5" t="str">
        <f aca="false">"PAPAIZ"</f>
        <v>PAPAIZ</v>
      </c>
      <c r="C387" s="6" t="n">
        <v>0</v>
      </c>
      <c r="D387" s="7" t="n">
        <v>45751</v>
      </c>
      <c r="E387" s="7"/>
      <c r="F387" s="7"/>
      <c r="G387" s="7"/>
      <c r="H387" s="7" t="n">
        <v>45751</v>
      </c>
      <c r="I387" s="15" t="n">
        <v>18806</v>
      </c>
      <c r="J387" s="5" t="str">
        <f aca="false">"ANYFUL002973"</f>
        <v>ANYFUL002973</v>
      </c>
      <c r="K387" s="5" t="str">
        <f aca="false">"MARIVELTO RA"</f>
        <v>MARIVELTO RA</v>
      </c>
      <c r="L387" s="5" t="str">
        <f aca="false">"WEBSHOP"</f>
        <v>WEBSHOP</v>
      </c>
      <c r="M387" s="5" t="str">
        <f aca="false">"RS"</f>
        <v>RS</v>
      </c>
      <c r="N387" s="9" t="n">
        <v>72.74</v>
      </c>
      <c r="O387" s="10" t="n">
        <v>72.74</v>
      </c>
      <c r="P387" s="10" t="n">
        <v>58.42</v>
      </c>
      <c r="Q387" s="10" t="n">
        <v>0.45</v>
      </c>
      <c r="R387" s="10" t="n">
        <v>0.45</v>
      </c>
      <c r="S387" s="5" t="str">
        <f aca="false">"Faturado"</f>
        <v>Faturado</v>
      </c>
      <c r="T387" s="5" t="str">
        <f aca="false">"EBAZAR-SP04"</f>
        <v>EBAZAR-SP04</v>
      </c>
      <c r="U387" s="11" t="n">
        <v>13</v>
      </c>
      <c r="V387" s="5" t="str">
        <f aca="false">""</f>
        <v/>
      </c>
    </row>
    <row r="388" customFormat="false" ht="12.8" hidden="false" customHeight="false" outlineLevel="0" collapsed="false">
      <c r="A388" s="4" t="n">
        <v>206</v>
      </c>
      <c r="B388" s="5" t="str">
        <f aca="false">"PAPAIZ"</f>
        <v>PAPAIZ</v>
      </c>
      <c r="C388" s="6" t="n">
        <v>0</v>
      </c>
      <c r="D388" s="7" t="n">
        <v>45751</v>
      </c>
      <c r="E388" s="7"/>
      <c r="F388" s="7"/>
      <c r="G388" s="7"/>
      <c r="H388" s="7" t="n">
        <v>45751</v>
      </c>
      <c r="I388" s="15" t="n">
        <v>18788</v>
      </c>
      <c r="J388" s="5" t="str">
        <f aca="false">"ANYFUL002965"</f>
        <v>ANYFUL002965</v>
      </c>
      <c r="K388" s="5" t="str">
        <f aca="false">"ABENONIAS DA"</f>
        <v>ABENONIAS DA</v>
      </c>
      <c r="L388" s="5" t="str">
        <f aca="false">"WEBSHOP"</f>
        <v>WEBSHOP</v>
      </c>
      <c r="M388" s="5" t="str">
        <f aca="false">"SP"</f>
        <v>SP</v>
      </c>
      <c r="N388" s="9" t="n">
        <v>19.17</v>
      </c>
      <c r="O388" s="10" t="n">
        <v>19.17</v>
      </c>
      <c r="P388" s="10" t="n">
        <v>14.27</v>
      </c>
      <c r="Q388" s="10" t="n">
        <v>0.09</v>
      </c>
      <c r="R388" s="10" t="n">
        <v>0.09</v>
      </c>
      <c r="S388" s="5" t="str">
        <f aca="false">"Faturado"</f>
        <v>Faturado</v>
      </c>
      <c r="T388" s="5" t="str">
        <f aca="false">"EBAZAR-SP04"</f>
        <v>EBAZAR-SP04</v>
      </c>
      <c r="U388" s="11" t="n">
        <v>13</v>
      </c>
      <c r="V388" s="5" t="str">
        <f aca="false">""</f>
        <v/>
      </c>
    </row>
    <row r="389" customFormat="false" ht="12.8" hidden="false" customHeight="false" outlineLevel="0" collapsed="false">
      <c r="A389" s="4" t="n">
        <v>206</v>
      </c>
      <c r="B389" s="5" t="str">
        <f aca="false">"PAPAIZ"</f>
        <v>PAPAIZ</v>
      </c>
      <c r="C389" s="6" t="n">
        <v>0</v>
      </c>
      <c r="D389" s="7" t="n">
        <v>45751</v>
      </c>
      <c r="E389" s="7"/>
      <c r="F389" s="7"/>
      <c r="G389" s="7"/>
      <c r="H389" s="7" t="n">
        <v>45751</v>
      </c>
      <c r="I389" s="15" t="n">
        <v>18786</v>
      </c>
      <c r="J389" s="5" t="str">
        <f aca="false">"ANYFUL002964"</f>
        <v>ANYFUL002964</v>
      </c>
      <c r="K389" s="5" t="str">
        <f aca="false">"ROBSON BUENO"</f>
        <v>ROBSON BUENO</v>
      </c>
      <c r="L389" s="5" t="str">
        <f aca="false">"WEBSHOP"</f>
        <v>WEBSHOP</v>
      </c>
      <c r="M389" s="5" t="str">
        <f aca="false">"SP"</f>
        <v>SP</v>
      </c>
      <c r="N389" s="9" t="n">
        <v>95.85</v>
      </c>
      <c r="O389" s="10" t="n">
        <v>95.85</v>
      </c>
      <c r="P389" s="10" t="n">
        <v>71.33</v>
      </c>
      <c r="Q389" s="10" t="n">
        <v>0.47</v>
      </c>
      <c r="R389" s="10" t="n">
        <v>0.47</v>
      </c>
      <c r="S389" s="5" t="str">
        <f aca="false">"Faturado"</f>
        <v>Faturado</v>
      </c>
      <c r="T389" s="5" t="str">
        <f aca="false">"EBAZAR-SP04"</f>
        <v>EBAZAR-SP04</v>
      </c>
      <c r="U389" s="11" t="n">
        <v>13</v>
      </c>
      <c r="V389" s="5" t="str">
        <f aca="false">""</f>
        <v/>
      </c>
    </row>
    <row r="390" customFormat="false" ht="12.8" hidden="false" customHeight="false" outlineLevel="0" collapsed="false">
      <c r="A390" s="4" t="n">
        <v>206</v>
      </c>
      <c r="B390" s="5" t="str">
        <f aca="false">"PAPAIZ"</f>
        <v>PAPAIZ</v>
      </c>
      <c r="C390" s="6" t="n">
        <v>0</v>
      </c>
      <c r="D390" s="7" t="n">
        <v>45751</v>
      </c>
      <c r="E390" s="7"/>
      <c r="F390" s="7"/>
      <c r="G390" s="7"/>
      <c r="H390" s="7" t="n">
        <v>45751</v>
      </c>
      <c r="I390" s="15" t="n">
        <v>18784</v>
      </c>
      <c r="J390" s="5" t="str">
        <f aca="false">"ANYFUL002963"</f>
        <v>ANYFUL002963</v>
      </c>
      <c r="K390" s="5" t="str">
        <f aca="false">"VILSON AMARA"</f>
        <v>VILSON AMARA</v>
      </c>
      <c r="L390" s="5" t="str">
        <f aca="false">"WEBSHOP"</f>
        <v>WEBSHOP</v>
      </c>
      <c r="M390" s="5" t="str">
        <f aca="false">"SP"</f>
        <v>SP</v>
      </c>
      <c r="N390" s="9" t="n">
        <v>42.85</v>
      </c>
      <c r="O390" s="10" t="n">
        <v>42.85</v>
      </c>
      <c r="P390" s="10" t="n">
        <v>31.89</v>
      </c>
      <c r="Q390" s="10" t="n">
        <v>0.23</v>
      </c>
      <c r="R390" s="10" t="n">
        <v>0.23</v>
      </c>
      <c r="S390" s="5" t="str">
        <f aca="false">"Faturado"</f>
        <v>Faturado</v>
      </c>
      <c r="T390" s="5" t="str">
        <f aca="false">"EBAZAR-SP04"</f>
        <v>EBAZAR-SP04</v>
      </c>
      <c r="U390" s="11" t="n">
        <v>13</v>
      </c>
      <c r="V390" s="5" t="str">
        <f aca="false">""</f>
        <v/>
      </c>
    </row>
    <row r="391" customFormat="false" ht="12.8" hidden="false" customHeight="false" outlineLevel="0" collapsed="false">
      <c r="A391" s="4" t="n">
        <v>206</v>
      </c>
      <c r="B391" s="5" t="str">
        <f aca="false">"PAPAIZ"</f>
        <v>PAPAIZ</v>
      </c>
      <c r="C391" s="6" t="n">
        <v>0</v>
      </c>
      <c r="D391" s="7" t="n">
        <v>45751</v>
      </c>
      <c r="E391" s="7"/>
      <c r="F391" s="7"/>
      <c r="G391" s="7"/>
      <c r="H391" s="7" t="n">
        <v>45751</v>
      </c>
      <c r="I391" s="15" t="n">
        <v>18754</v>
      </c>
      <c r="J391" s="5" t="str">
        <f aca="false">"ANYFUL002946"</f>
        <v>ANYFUL002946</v>
      </c>
      <c r="K391" s="5" t="str">
        <f aca="false">"THIAGO247"</f>
        <v>THIAGO247</v>
      </c>
      <c r="L391" s="5" t="str">
        <f aca="false">"WEBSHOP"</f>
        <v>WEBSHOP</v>
      </c>
      <c r="M391" s="5" t="str">
        <f aca="false">"MG"</f>
        <v>MG</v>
      </c>
      <c r="N391" s="9" t="n">
        <v>19.17</v>
      </c>
      <c r="O391" s="10" t="n">
        <v>19.17</v>
      </c>
      <c r="P391" s="10" t="n">
        <v>15.48</v>
      </c>
      <c r="Q391" s="10" t="n">
        <v>0.09</v>
      </c>
      <c r="R391" s="10" t="n">
        <v>0.09</v>
      </c>
      <c r="S391" s="5" t="str">
        <f aca="false">"Faturado"</f>
        <v>Faturado</v>
      </c>
      <c r="T391" s="5" t="str">
        <f aca="false">"EBAZAR-SP04"</f>
        <v>EBAZAR-SP04</v>
      </c>
      <c r="U391" s="11" t="n">
        <v>13</v>
      </c>
      <c r="V391" s="5" t="str">
        <f aca="false">""</f>
        <v/>
      </c>
    </row>
    <row r="392" customFormat="false" ht="12.8" hidden="false" customHeight="false" outlineLevel="0" collapsed="false">
      <c r="A392" s="4" t="n">
        <v>206</v>
      </c>
      <c r="B392" s="5" t="str">
        <f aca="false">"PAPAIZ"</f>
        <v>PAPAIZ</v>
      </c>
      <c r="C392" s="6" t="n">
        <v>0</v>
      </c>
      <c r="D392" s="7" t="n">
        <v>45751</v>
      </c>
      <c r="E392" s="7"/>
      <c r="F392" s="7"/>
      <c r="G392" s="7"/>
      <c r="H392" s="7" t="n">
        <v>45751</v>
      </c>
      <c r="I392" s="15" t="n">
        <v>18780</v>
      </c>
      <c r="J392" s="5" t="str">
        <f aca="false">"ANYFUL002961"</f>
        <v>ANYFUL002961</v>
      </c>
      <c r="K392" s="5" t="str">
        <f aca="false">"FILIPE WANDE"</f>
        <v>FILIPE WANDE</v>
      </c>
      <c r="L392" s="5" t="str">
        <f aca="false">"WEBSHOP"</f>
        <v>WEBSHOP</v>
      </c>
      <c r="M392" s="5" t="str">
        <f aca="false">"SP"</f>
        <v>SP</v>
      </c>
      <c r="N392" s="9" t="n">
        <v>19.17</v>
      </c>
      <c r="O392" s="10" t="n">
        <v>19.17</v>
      </c>
      <c r="P392" s="10" t="n">
        <v>14.27</v>
      </c>
      <c r="Q392" s="10" t="n">
        <v>0.09</v>
      </c>
      <c r="R392" s="10" t="n">
        <v>0.09</v>
      </c>
      <c r="S392" s="5" t="str">
        <f aca="false">"Faturado"</f>
        <v>Faturado</v>
      </c>
      <c r="T392" s="5" t="str">
        <f aca="false">"EBAZAR-SP04"</f>
        <v>EBAZAR-SP04</v>
      </c>
      <c r="U392" s="11" t="n">
        <v>13</v>
      </c>
      <c r="V392" s="5" t="str">
        <f aca="false">""</f>
        <v/>
      </c>
    </row>
    <row r="393" customFormat="false" ht="12.8" hidden="false" customHeight="false" outlineLevel="0" collapsed="false">
      <c r="A393" s="4" t="n">
        <v>206</v>
      </c>
      <c r="B393" s="5" t="str">
        <f aca="false">"PAPAIZ"</f>
        <v>PAPAIZ</v>
      </c>
      <c r="C393" s="6" t="n">
        <v>0</v>
      </c>
      <c r="D393" s="7" t="n">
        <v>45751</v>
      </c>
      <c r="E393" s="7"/>
      <c r="F393" s="7"/>
      <c r="G393" s="7"/>
      <c r="H393" s="7" t="n">
        <v>45751</v>
      </c>
      <c r="I393" s="15" t="n">
        <v>18756</v>
      </c>
      <c r="J393" s="5" t="str">
        <f aca="false">"ANYFUL002947"</f>
        <v>ANYFUL002947</v>
      </c>
      <c r="K393" s="5" t="str">
        <f aca="false">"PLAZA HOTEL"</f>
        <v>PLAZA HOTEL</v>
      </c>
      <c r="L393" s="5" t="str">
        <f aca="false">"WEBSHOP"</f>
        <v>WEBSHOP</v>
      </c>
      <c r="M393" s="5" t="str">
        <f aca="false">"SP"</f>
        <v>SP</v>
      </c>
      <c r="N393" s="9" t="n">
        <v>19.17</v>
      </c>
      <c r="O393" s="10" t="n">
        <v>19.17</v>
      </c>
      <c r="P393" s="10" t="n">
        <v>14.27</v>
      </c>
      <c r="Q393" s="10" t="n">
        <v>0.09</v>
      </c>
      <c r="R393" s="10" t="n">
        <v>0.09</v>
      </c>
      <c r="S393" s="5" t="str">
        <f aca="false">"Faturado"</f>
        <v>Faturado</v>
      </c>
      <c r="T393" s="5" t="str">
        <f aca="false">"EBAZAR-SP04"</f>
        <v>EBAZAR-SP04</v>
      </c>
      <c r="U393" s="11" t="n">
        <v>13</v>
      </c>
      <c r="V393" s="5" t="str">
        <f aca="false">""</f>
        <v/>
      </c>
    </row>
    <row r="394" customFormat="false" ht="12.8" hidden="false" customHeight="false" outlineLevel="0" collapsed="false">
      <c r="A394" s="4" t="n">
        <v>206</v>
      </c>
      <c r="B394" s="5" t="str">
        <f aca="false">"PAPAIZ"</f>
        <v>PAPAIZ</v>
      </c>
      <c r="C394" s="6" t="n">
        <v>0</v>
      </c>
      <c r="D394" s="7" t="n">
        <v>45751</v>
      </c>
      <c r="E394" s="7"/>
      <c r="F394" s="7"/>
      <c r="G394" s="7"/>
      <c r="H394" s="7" t="n">
        <v>45751</v>
      </c>
      <c r="I394" s="15" t="n">
        <v>18800</v>
      </c>
      <c r="J394" s="5" t="str">
        <f aca="false">"ANYFUL002970"</f>
        <v>ANYFUL002970</v>
      </c>
      <c r="K394" s="5" t="str">
        <f aca="false">"ELAINE IARA"</f>
        <v>ELAINE IARA</v>
      </c>
      <c r="L394" s="5" t="str">
        <f aca="false">"WEBSHOP"</f>
        <v>WEBSHOP</v>
      </c>
      <c r="M394" s="5" t="str">
        <f aca="false">"RS"</f>
        <v>RS</v>
      </c>
      <c r="N394" s="9" t="n">
        <v>36.37</v>
      </c>
      <c r="O394" s="10" t="n">
        <v>36.37</v>
      </c>
      <c r="P394" s="10" t="n">
        <v>29.22</v>
      </c>
      <c r="Q394" s="10" t="n">
        <v>0.22</v>
      </c>
      <c r="R394" s="10" t="n">
        <v>0.22</v>
      </c>
      <c r="S394" s="5" t="str">
        <f aca="false">"Faturado"</f>
        <v>Faturado</v>
      </c>
      <c r="T394" s="5" t="str">
        <f aca="false">"EBAZAR-SP04"</f>
        <v>EBAZAR-SP04</v>
      </c>
      <c r="U394" s="11" t="n">
        <v>13</v>
      </c>
      <c r="V394" s="5" t="str">
        <f aca="false">""</f>
        <v/>
      </c>
    </row>
    <row r="395" customFormat="false" ht="12.8" hidden="false" customHeight="false" outlineLevel="0" collapsed="false">
      <c r="A395" s="4" t="n">
        <v>206</v>
      </c>
      <c r="B395" s="5" t="str">
        <f aca="false">"PAPAIZ"</f>
        <v>PAPAIZ</v>
      </c>
      <c r="C395" s="6" t="n">
        <v>0</v>
      </c>
      <c r="D395" s="7" t="n">
        <v>45751</v>
      </c>
      <c r="E395" s="7"/>
      <c r="F395" s="7"/>
      <c r="G395" s="7"/>
      <c r="H395" s="7" t="n">
        <v>45751</v>
      </c>
      <c r="I395" s="15" t="n">
        <v>18742</v>
      </c>
      <c r="J395" s="5" t="str">
        <f aca="false">"ANYFUL002943"</f>
        <v>ANYFUL002943</v>
      </c>
      <c r="K395" s="5" t="str">
        <f aca="false">"HELEN ALVES"</f>
        <v>HELEN ALVES</v>
      </c>
      <c r="L395" s="5" t="str">
        <f aca="false">"WEBSHOP"</f>
        <v>WEBSHOP</v>
      </c>
      <c r="M395" s="5" t="str">
        <f aca="false">"BA"</f>
        <v>BA</v>
      </c>
      <c r="N395" s="9" t="n">
        <v>57.51</v>
      </c>
      <c r="O395" s="10" t="n">
        <v>57.51</v>
      </c>
      <c r="P395" s="10" t="n">
        <v>49.54</v>
      </c>
      <c r="Q395" s="10" t="n">
        <v>0.28</v>
      </c>
      <c r="R395" s="10" t="n">
        <v>0.28</v>
      </c>
      <c r="S395" s="5" t="str">
        <f aca="false">"Faturado"</f>
        <v>Faturado</v>
      </c>
      <c r="T395" s="5" t="str">
        <f aca="false">"EBAZAR-SP04"</f>
        <v>EBAZAR-SP04</v>
      </c>
      <c r="U395" s="11" t="n">
        <v>13</v>
      </c>
      <c r="V395" s="5" t="str">
        <f aca="false">""</f>
        <v/>
      </c>
    </row>
    <row r="396" customFormat="false" ht="12.8" hidden="false" customHeight="false" outlineLevel="0" collapsed="false">
      <c r="A396" s="4" t="n">
        <v>206</v>
      </c>
      <c r="B396" s="5" t="str">
        <f aca="false">"LA FONTE"</f>
        <v>LA FONTE</v>
      </c>
      <c r="C396" s="6" t="n">
        <v>956825</v>
      </c>
      <c r="D396" s="7" t="n">
        <v>45751</v>
      </c>
      <c r="E396" s="7" t="n">
        <v>45751</v>
      </c>
      <c r="F396" s="7"/>
      <c r="G396" s="7" t="n">
        <v>45751</v>
      </c>
      <c r="H396" s="7" t="n">
        <v>45751</v>
      </c>
      <c r="I396" s="15" t="n">
        <v>90102</v>
      </c>
      <c r="J396" s="13" t="n">
        <v>5488</v>
      </c>
      <c r="K396" s="5" t="str">
        <f aca="false">"IPE FOLHAS"</f>
        <v>IPE FOLHAS</v>
      </c>
      <c r="L396" s="5" t="str">
        <f aca="false">"FERRAGISTA"</f>
        <v>FERRAGISTA</v>
      </c>
      <c r="M396" s="5" t="str">
        <f aca="false">"SP"</f>
        <v>SP</v>
      </c>
      <c r="N396" s="9" t="n">
        <v>0</v>
      </c>
      <c r="O396" s="10" t="n">
        <v>4171.45</v>
      </c>
      <c r="P396" s="10" t="n">
        <v>2692.27</v>
      </c>
      <c r="Q396" s="10" t="n">
        <v>12.78</v>
      </c>
      <c r="R396" s="10" t="n">
        <v>12.78</v>
      </c>
      <c r="S396" s="5" t="str">
        <f aca="false">"Faturado"</f>
        <v>Faturado</v>
      </c>
      <c r="T396" s="5" t="str">
        <f aca="false">"F.L DE OLIVE"</f>
        <v>F.L DE OLIVE</v>
      </c>
      <c r="U396" s="11" t="n">
        <v>24</v>
      </c>
      <c r="V396" s="5" t="str">
        <f aca="false">""</f>
        <v/>
      </c>
    </row>
    <row r="397" customFormat="false" ht="12.8" hidden="false" customHeight="false" outlineLevel="0" collapsed="false">
      <c r="A397" s="4" t="n">
        <v>206</v>
      </c>
      <c r="B397" s="5" t="str">
        <f aca="false">"PAPAIZ"</f>
        <v>PAPAIZ</v>
      </c>
      <c r="C397" s="6" t="n">
        <v>0</v>
      </c>
      <c r="D397" s="7" t="n">
        <v>45751</v>
      </c>
      <c r="E397" s="7"/>
      <c r="F397" s="7"/>
      <c r="G397" s="7"/>
      <c r="H397" s="7" t="n">
        <v>45751</v>
      </c>
      <c r="I397" s="15" t="n">
        <v>18804</v>
      </c>
      <c r="J397" s="5" t="str">
        <f aca="false">"ANYFUL002972"</f>
        <v>ANYFUL002972</v>
      </c>
      <c r="K397" s="5" t="str">
        <f aca="false">"MARIVELTO RA"</f>
        <v>MARIVELTO RA</v>
      </c>
      <c r="L397" s="5" t="str">
        <f aca="false">"WEBSHOP"</f>
        <v>WEBSHOP</v>
      </c>
      <c r="M397" s="5" t="str">
        <f aca="false">"RS"</f>
        <v>RS</v>
      </c>
      <c r="N397" s="9" t="n">
        <v>36.37</v>
      </c>
      <c r="O397" s="10" t="n">
        <v>36.37</v>
      </c>
      <c r="P397" s="10" t="n">
        <v>29.22</v>
      </c>
      <c r="Q397" s="10" t="n">
        <v>0.22</v>
      </c>
      <c r="R397" s="10" t="n">
        <v>0.22</v>
      </c>
      <c r="S397" s="5" t="str">
        <f aca="false">"Faturado"</f>
        <v>Faturado</v>
      </c>
      <c r="T397" s="5" t="str">
        <f aca="false">"EBAZAR-SP04"</f>
        <v>EBAZAR-SP04</v>
      </c>
      <c r="U397" s="11" t="n">
        <v>13</v>
      </c>
      <c r="V397" s="5" t="str">
        <f aca="false">""</f>
        <v/>
      </c>
    </row>
    <row r="398" customFormat="false" ht="12.8" hidden="false" customHeight="false" outlineLevel="0" collapsed="false">
      <c r="A398" s="4" t="n">
        <v>206</v>
      </c>
      <c r="B398" s="5" t="str">
        <f aca="false">"PAPAIZ"</f>
        <v>PAPAIZ</v>
      </c>
      <c r="C398" s="6" t="n">
        <v>0</v>
      </c>
      <c r="D398" s="7" t="n">
        <v>45751</v>
      </c>
      <c r="E398" s="7"/>
      <c r="F398" s="7"/>
      <c r="G398" s="7"/>
      <c r="H398" s="7" t="n">
        <v>45751</v>
      </c>
      <c r="I398" s="15" t="n">
        <v>18790</v>
      </c>
      <c r="J398" s="5" t="str">
        <f aca="false">"ANYFUL002966"</f>
        <v>ANYFUL002966</v>
      </c>
      <c r="K398" s="5" t="str">
        <f aca="false">"GUILHERME  N"</f>
        <v>GUILHERME  N</v>
      </c>
      <c r="L398" s="5" t="str">
        <f aca="false">"WEBSHOP"</f>
        <v>WEBSHOP</v>
      </c>
      <c r="M398" s="5" t="str">
        <f aca="false">"SP"</f>
        <v>SP</v>
      </c>
      <c r="N398" s="9" t="n">
        <v>19.17</v>
      </c>
      <c r="O398" s="10" t="n">
        <v>19.17</v>
      </c>
      <c r="P398" s="10" t="n">
        <v>14.27</v>
      </c>
      <c r="Q398" s="10" t="n">
        <v>0.09</v>
      </c>
      <c r="R398" s="10" t="n">
        <v>0.09</v>
      </c>
      <c r="S398" s="5" t="str">
        <f aca="false">"Faturado"</f>
        <v>Faturado</v>
      </c>
      <c r="T398" s="5" t="str">
        <f aca="false">"EBAZAR-SP04"</f>
        <v>EBAZAR-SP04</v>
      </c>
      <c r="U398" s="11" t="n">
        <v>13</v>
      </c>
      <c r="V398" s="5" t="str">
        <f aca="false">""</f>
        <v/>
      </c>
    </row>
    <row r="399" customFormat="false" ht="12.8" hidden="false" customHeight="false" outlineLevel="0" collapsed="false">
      <c r="A399" s="4" t="n">
        <v>206</v>
      </c>
      <c r="B399" s="5" t="str">
        <f aca="false">"PAPAIZ"</f>
        <v>PAPAIZ</v>
      </c>
      <c r="C399" s="6" t="n">
        <v>0</v>
      </c>
      <c r="D399" s="7" t="n">
        <v>45751</v>
      </c>
      <c r="E399" s="7"/>
      <c r="F399" s="7"/>
      <c r="G399" s="7"/>
      <c r="H399" s="7" t="n">
        <v>45751</v>
      </c>
      <c r="I399" s="15" t="n">
        <v>18760</v>
      </c>
      <c r="J399" s="5" t="str">
        <f aca="false">"ANYFUL002950"</f>
        <v>ANYFUL002950</v>
      </c>
      <c r="K399" s="5" t="str">
        <f aca="false">"FRANCISCO256"</f>
        <v>FRANCISCO256</v>
      </c>
      <c r="L399" s="5" t="str">
        <f aca="false">"WEBSHOP"</f>
        <v>WEBSHOP</v>
      </c>
      <c r="M399" s="5" t="str">
        <f aca="false">"SP"</f>
        <v>SP</v>
      </c>
      <c r="N399" s="9" t="n">
        <v>19.17</v>
      </c>
      <c r="O399" s="10" t="n">
        <v>19.17</v>
      </c>
      <c r="P399" s="10" t="n">
        <v>14.27</v>
      </c>
      <c r="Q399" s="10" t="n">
        <v>0.09</v>
      </c>
      <c r="R399" s="10" t="n">
        <v>0.09</v>
      </c>
      <c r="S399" s="5" t="str">
        <f aca="false">"Faturado"</f>
        <v>Faturado</v>
      </c>
      <c r="T399" s="5" t="str">
        <f aca="false">"EBAZAR-SP04"</f>
        <v>EBAZAR-SP04</v>
      </c>
      <c r="U399" s="11" t="n">
        <v>13</v>
      </c>
      <c r="V399" s="5" t="str">
        <f aca="false">""</f>
        <v/>
      </c>
    </row>
    <row r="400" customFormat="false" ht="12.8" hidden="false" customHeight="false" outlineLevel="0" collapsed="false">
      <c r="A400" s="4" t="n">
        <v>206</v>
      </c>
      <c r="B400" s="5" t="str">
        <f aca="false">"VAULT"</f>
        <v>VAULT</v>
      </c>
      <c r="C400" s="6" t="n">
        <v>0</v>
      </c>
      <c r="D400" s="7" t="n">
        <v>45751</v>
      </c>
      <c r="E400" s="7"/>
      <c r="F400" s="7"/>
      <c r="G400" s="7"/>
      <c r="H400" s="7" t="n">
        <v>45751</v>
      </c>
      <c r="I400" s="15" t="n">
        <v>90206</v>
      </c>
      <c r="J400" s="8" t="n">
        <v>959085</v>
      </c>
      <c r="K400" s="5" t="str">
        <f aca="false">"BRAINFARMA I"</f>
        <v>BRAINFARMA I</v>
      </c>
      <c r="L400" s="5" t="str">
        <f aca="false">"CLIENTE FINAL"</f>
        <v>CLIENTE FINAL</v>
      </c>
      <c r="M400" s="5" t="str">
        <f aca="false">"GO"</f>
        <v>GO</v>
      </c>
      <c r="N400" s="9" t="n">
        <v>1336.08</v>
      </c>
      <c r="O400" s="10" t="n">
        <v>7490.99</v>
      </c>
      <c r="P400" s="10" t="n">
        <v>6526.15</v>
      </c>
      <c r="Q400" s="10" t="n">
        <v>25.09</v>
      </c>
      <c r="R400" s="10" t="n">
        <v>25.09</v>
      </c>
      <c r="S400" s="5" t="str">
        <f aca="false">"Faturado"</f>
        <v>Faturado</v>
      </c>
      <c r="T400" s="5" t="str">
        <f aca="false">"CA INTER"</f>
        <v>CA INTER</v>
      </c>
      <c r="U400" s="11" t="n">
        <v>1</v>
      </c>
      <c r="V400" s="5" t="str">
        <f aca="false">""</f>
        <v/>
      </c>
    </row>
    <row r="401" customFormat="false" ht="12.8" hidden="false" customHeight="false" outlineLevel="0" collapsed="false">
      <c r="A401" s="4" t="n">
        <v>206</v>
      </c>
      <c r="B401" s="5" t="str">
        <f aca="false">"SILVANA CDSP"</f>
        <v>SILVANA CDSP</v>
      </c>
      <c r="C401" s="6" t="n">
        <v>0</v>
      </c>
      <c r="D401" s="7" t="n">
        <v>45751</v>
      </c>
      <c r="E401" s="7"/>
      <c r="F401" s="7"/>
      <c r="G401" s="7"/>
      <c r="H401" s="7" t="n">
        <v>45751</v>
      </c>
      <c r="I401" s="15" t="n">
        <v>18776</v>
      </c>
      <c r="J401" s="5" t="str">
        <f aca="false">"ANYFUL002959"</f>
        <v>ANYFUL002959</v>
      </c>
      <c r="K401" s="5" t="str">
        <f aca="false">"LUCIANO73"</f>
        <v>LUCIANO73</v>
      </c>
      <c r="L401" s="5" t="str">
        <f aca="false">"WEBSHOP"</f>
        <v>WEBSHOP</v>
      </c>
      <c r="M401" s="5" t="str">
        <f aca="false">"SP"</f>
        <v>SP</v>
      </c>
      <c r="N401" s="9" t="n">
        <v>10.9</v>
      </c>
      <c r="O401" s="10" t="n">
        <v>10.9</v>
      </c>
      <c r="P401" s="10" t="n">
        <v>8.11</v>
      </c>
      <c r="Q401" s="10" t="n">
        <v>0.07</v>
      </c>
      <c r="R401" s="10" t="n">
        <v>0.07</v>
      </c>
      <c r="S401" s="5" t="str">
        <f aca="false">"Faturado"</f>
        <v>Faturado</v>
      </c>
      <c r="T401" s="5" t="str">
        <f aca="false">"EBAZAR-SP04"</f>
        <v>EBAZAR-SP04</v>
      </c>
      <c r="U401" s="11" t="n">
        <v>13</v>
      </c>
      <c r="V401" s="5" t="str">
        <f aca="false">""</f>
        <v/>
      </c>
    </row>
    <row r="402" customFormat="false" ht="12.8" hidden="false" customHeight="false" outlineLevel="0" collapsed="false">
      <c r="A402" s="4" t="n">
        <v>206</v>
      </c>
      <c r="B402" s="5" t="str">
        <f aca="false">"PAPAIZ"</f>
        <v>PAPAIZ</v>
      </c>
      <c r="C402" s="6" t="n">
        <v>0</v>
      </c>
      <c r="D402" s="7" t="n">
        <v>45751</v>
      </c>
      <c r="E402" s="7"/>
      <c r="F402" s="7"/>
      <c r="G402" s="7"/>
      <c r="H402" s="7" t="n">
        <v>45751</v>
      </c>
      <c r="I402" s="15" t="n">
        <v>18758</v>
      </c>
      <c r="J402" s="5" t="str">
        <f aca="false">"ANYFUL002948"</f>
        <v>ANYFUL002948</v>
      </c>
      <c r="K402" s="5" t="str">
        <f aca="false">"BIANCA17"</f>
        <v>BIANCA17</v>
      </c>
      <c r="L402" s="5" t="str">
        <f aca="false">"WEBSHOP"</f>
        <v>WEBSHOP</v>
      </c>
      <c r="M402" s="5" t="str">
        <f aca="false">"SC"</f>
        <v>SC</v>
      </c>
      <c r="N402" s="9" t="n">
        <v>19.17</v>
      </c>
      <c r="O402" s="10" t="n">
        <v>19.17</v>
      </c>
      <c r="P402" s="10" t="n">
        <v>15.4</v>
      </c>
      <c r="Q402" s="10" t="n">
        <v>0.09</v>
      </c>
      <c r="R402" s="10" t="n">
        <v>0.09</v>
      </c>
      <c r="S402" s="5" t="str">
        <f aca="false">"Faturado"</f>
        <v>Faturado</v>
      </c>
      <c r="T402" s="5" t="str">
        <f aca="false">"EBAZAR-SP04"</f>
        <v>EBAZAR-SP04</v>
      </c>
      <c r="U402" s="11" t="n">
        <v>13</v>
      </c>
      <c r="V402" s="5" t="str">
        <f aca="false">""</f>
        <v/>
      </c>
    </row>
    <row r="403" customFormat="false" ht="12.8" hidden="false" customHeight="false" outlineLevel="0" collapsed="false">
      <c r="A403" s="4" t="n">
        <v>206</v>
      </c>
      <c r="B403" s="5" t="str">
        <f aca="false">"PAPAIZ"</f>
        <v>PAPAIZ</v>
      </c>
      <c r="C403" s="6" t="n">
        <v>0</v>
      </c>
      <c r="D403" s="7" t="n">
        <v>45751</v>
      </c>
      <c r="E403" s="7"/>
      <c r="F403" s="7"/>
      <c r="G403" s="7"/>
      <c r="H403" s="7" t="n">
        <v>45751</v>
      </c>
      <c r="I403" s="15" t="n">
        <v>18778</v>
      </c>
      <c r="J403" s="5" t="str">
        <f aca="false">"ANYFUL002960"</f>
        <v>ANYFUL002960</v>
      </c>
      <c r="K403" s="5" t="str">
        <f aca="false">"KETLEY DA CU"</f>
        <v>KETLEY DA CU</v>
      </c>
      <c r="L403" s="5" t="str">
        <f aca="false">"WEBSHOP"</f>
        <v>WEBSHOP</v>
      </c>
      <c r="M403" s="5" t="str">
        <f aca="false">"GO"</f>
        <v>GO</v>
      </c>
      <c r="N403" s="9" t="n">
        <v>19.17</v>
      </c>
      <c r="O403" s="10" t="n">
        <v>19.17</v>
      </c>
      <c r="P403" s="10" t="n">
        <v>16.39</v>
      </c>
      <c r="Q403" s="10" t="n">
        <v>0.09</v>
      </c>
      <c r="R403" s="10" t="n">
        <v>0.09</v>
      </c>
      <c r="S403" s="5" t="str">
        <f aca="false">"Faturado"</f>
        <v>Faturado</v>
      </c>
      <c r="T403" s="5" t="str">
        <f aca="false">"EBAZAR-SP04"</f>
        <v>EBAZAR-SP04</v>
      </c>
      <c r="U403" s="11" t="n">
        <v>13</v>
      </c>
      <c r="V403" s="5" t="str">
        <f aca="false">""</f>
        <v/>
      </c>
    </row>
    <row r="404" customFormat="false" ht="12.8" hidden="false" customHeight="false" outlineLevel="0" collapsed="false">
      <c r="A404" s="4" t="n">
        <v>206</v>
      </c>
      <c r="B404" s="5" t="str">
        <f aca="false">"PAPAIZ"</f>
        <v>PAPAIZ</v>
      </c>
      <c r="C404" s="6" t="n">
        <v>0</v>
      </c>
      <c r="D404" s="7" t="n">
        <v>45751</v>
      </c>
      <c r="E404" s="7"/>
      <c r="F404" s="7"/>
      <c r="G404" s="7"/>
      <c r="H404" s="7" t="n">
        <v>45751</v>
      </c>
      <c r="I404" s="15" t="n">
        <v>18792</v>
      </c>
      <c r="J404" s="5" t="str">
        <f aca="false">"ANYFUL002967"</f>
        <v>ANYFUL002967</v>
      </c>
      <c r="K404" s="5" t="str">
        <f aca="false">"THALLES CASS"</f>
        <v>THALLES CASS</v>
      </c>
      <c r="L404" s="5" t="str">
        <f aca="false">"WEBSHOP"</f>
        <v>WEBSHOP</v>
      </c>
      <c r="M404" s="5" t="str">
        <f aca="false">"SP"</f>
        <v>SP</v>
      </c>
      <c r="N404" s="9" t="n">
        <v>57.51</v>
      </c>
      <c r="O404" s="10" t="n">
        <v>57.51</v>
      </c>
      <c r="P404" s="10" t="n">
        <v>42.8</v>
      </c>
      <c r="Q404" s="10" t="n">
        <v>0.28</v>
      </c>
      <c r="R404" s="10" t="n">
        <v>0.28</v>
      </c>
      <c r="S404" s="5" t="str">
        <f aca="false">"Faturado"</f>
        <v>Faturado</v>
      </c>
      <c r="T404" s="5" t="str">
        <f aca="false">"EBAZAR-SP04"</f>
        <v>EBAZAR-SP04</v>
      </c>
      <c r="U404" s="11" t="n">
        <v>13</v>
      </c>
      <c r="V404" s="5" t="str">
        <f aca="false">""</f>
        <v/>
      </c>
    </row>
    <row r="405" customFormat="false" ht="12.8" hidden="false" customHeight="false" outlineLevel="0" collapsed="false">
      <c r="A405" s="4" t="n">
        <v>206</v>
      </c>
      <c r="B405" s="5" t="str">
        <f aca="false">"PAPAIZ"</f>
        <v>PAPAIZ</v>
      </c>
      <c r="C405" s="6" t="n">
        <v>0</v>
      </c>
      <c r="D405" s="7" t="n">
        <v>45751</v>
      </c>
      <c r="E405" s="7"/>
      <c r="F405" s="7"/>
      <c r="G405" s="7"/>
      <c r="H405" s="7" t="n">
        <v>45751</v>
      </c>
      <c r="I405" s="15" t="n">
        <v>18802</v>
      </c>
      <c r="J405" s="5" t="str">
        <f aca="false">"ANYFUL002971"</f>
        <v>ANYFUL002971</v>
      </c>
      <c r="K405" s="5" t="str">
        <f aca="false">"ALDOMAR NASC"</f>
        <v>ALDOMAR NASC</v>
      </c>
      <c r="L405" s="5" t="str">
        <f aca="false">"WEBSHOP"</f>
        <v>WEBSHOP</v>
      </c>
      <c r="M405" s="5" t="str">
        <f aca="false">"SP"</f>
        <v>SP</v>
      </c>
      <c r="N405" s="9" t="n">
        <v>19.17</v>
      </c>
      <c r="O405" s="10" t="n">
        <v>19.17</v>
      </c>
      <c r="P405" s="10" t="n">
        <v>14.27</v>
      </c>
      <c r="Q405" s="10" t="n">
        <v>0.09</v>
      </c>
      <c r="R405" s="10" t="n">
        <v>0.09</v>
      </c>
      <c r="S405" s="5" t="str">
        <f aca="false">"Faturado"</f>
        <v>Faturado</v>
      </c>
      <c r="T405" s="5" t="str">
        <f aca="false">"EBAZAR-SP04"</f>
        <v>EBAZAR-SP04</v>
      </c>
      <c r="U405" s="11" t="n">
        <v>13</v>
      </c>
      <c r="V405" s="5" t="str">
        <f aca="false">""</f>
        <v/>
      </c>
    </row>
    <row r="406" customFormat="false" ht="12.8" hidden="false" customHeight="false" outlineLevel="0" collapsed="false">
      <c r="A406" s="4" t="n">
        <v>206</v>
      </c>
      <c r="B406" s="5" t="str">
        <f aca="false">"PAPAIZ"</f>
        <v>PAPAIZ</v>
      </c>
      <c r="C406" s="6" t="n">
        <v>0</v>
      </c>
      <c r="D406" s="7" t="n">
        <v>45751</v>
      </c>
      <c r="E406" s="7"/>
      <c r="F406" s="7"/>
      <c r="G406" s="7"/>
      <c r="H406" s="7" t="n">
        <v>45751</v>
      </c>
      <c r="I406" s="15" t="n">
        <v>18746</v>
      </c>
      <c r="J406" s="5" t="str">
        <f aca="false">"ANYFUL002945"</f>
        <v>ANYFUL002945</v>
      </c>
      <c r="K406" s="5" t="str">
        <f aca="false">"MARINÉZIO SO"</f>
        <v>MARINÉZIO SO</v>
      </c>
      <c r="L406" s="5" t="str">
        <f aca="false">"WEBSHOP"</f>
        <v>WEBSHOP</v>
      </c>
      <c r="M406" s="5" t="str">
        <f aca="false">"RJ"</f>
        <v>RJ</v>
      </c>
      <c r="N406" s="9" t="n">
        <v>19.17</v>
      </c>
      <c r="O406" s="10" t="n">
        <v>19.17</v>
      </c>
      <c r="P406" s="10" t="n">
        <v>15.45</v>
      </c>
      <c r="Q406" s="10" t="n">
        <v>0.09</v>
      </c>
      <c r="R406" s="10" t="n">
        <v>0.09</v>
      </c>
      <c r="S406" s="5" t="str">
        <f aca="false">"Faturado"</f>
        <v>Faturado</v>
      </c>
      <c r="T406" s="5" t="str">
        <f aca="false">"EBAZAR-SP04"</f>
        <v>EBAZAR-SP04</v>
      </c>
      <c r="U406" s="11" t="n">
        <v>13</v>
      </c>
      <c r="V406" s="5" t="str">
        <f aca="false">""</f>
        <v/>
      </c>
    </row>
    <row r="407" customFormat="false" ht="12.8" hidden="false" customHeight="false" outlineLevel="0" collapsed="false">
      <c r="A407" s="4" t="n">
        <v>206</v>
      </c>
      <c r="B407" s="5" t="str">
        <f aca="false">"PAPAIZ"</f>
        <v>PAPAIZ</v>
      </c>
      <c r="C407" s="6" t="n">
        <v>0</v>
      </c>
      <c r="D407" s="7" t="n">
        <v>45751</v>
      </c>
      <c r="E407" s="7"/>
      <c r="F407" s="7"/>
      <c r="G407" s="7"/>
      <c r="H407" s="7" t="n">
        <v>45751</v>
      </c>
      <c r="I407" s="15" t="n">
        <v>18782</v>
      </c>
      <c r="J407" s="5" t="str">
        <f aca="false">"ANYFUL002962"</f>
        <v>ANYFUL002962</v>
      </c>
      <c r="K407" s="5" t="str">
        <f aca="false">"CAIO SOUSA"</f>
        <v>CAIO SOUSA</v>
      </c>
      <c r="L407" s="5" t="str">
        <f aca="false">"WEBSHOP"</f>
        <v>WEBSHOP</v>
      </c>
      <c r="M407" s="5" t="str">
        <f aca="false">"SP"</f>
        <v>SP</v>
      </c>
      <c r="N407" s="9" t="n">
        <v>19.17</v>
      </c>
      <c r="O407" s="10" t="n">
        <v>19.17</v>
      </c>
      <c r="P407" s="10" t="n">
        <v>14.27</v>
      </c>
      <c r="Q407" s="10" t="n">
        <v>0.09</v>
      </c>
      <c r="R407" s="10" t="n">
        <v>0.09</v>
      </c>
      <c r="S407" s="5" t="str">
        <f aca="false">"Faturado"</f>
        <v>Faturado</v>
      </c>
      <c r="T407" s="5" t="str">
        <f aca="false">"EBAZAR-SP04"</f>
        <v>EBAZAR-SP04</v>
      </c>
      <c r="U407" s="11" t="n">
        <v>13</v>
      </c>
      <c r="V407" s="5" t="str">
        <f aca="false">""</f>
        <v/>
      </c>
    </row>
    <row r="408" customFormat="false" ht="12.8" hidden="false" customHeight="false" outlineLevel="0" collapsed="false">
      <c r="A408" s="4" t="n">
        <v>206</v>
      </c>
      <c r="B408" s="5" t="str">
        <f aca="false">"PAPAIZ"</f>
        <v>PAPAIZ</v>
      </c>
      <c r="C408" s="6" t="n">
        <v>956688</v>
      </c>
      <c r="D408" s="7" t="n">
        <v>45752</v>
      </c>
      <c r="E408" s="7" t="n">
        <v>45751</v>
      </c>
      <c r="F408" s="7"/>
      <c r="G408" s="7"/>
      <c r="H408" s="7" t="n">
        <v>45751</v>
      </c>
      <c r="I408" s="15" t="n">
        <v>90145</v>
      </c>
      <c r="J408" s="15" t="n">
        <v>1964720</v>
      </c>
      <c r="K408" s="5" t="str">
        <f aca="false">"BOTTINO - FR"</f>
        <v>BOTTINO - FR</v>
      </c>
      <c r="L408" s="5" t="str">
        <f aca="false">"HOME CENTER"</f>
        <v>HOME CENTER</v>
      </c>
      <c r="M408" s="5" t="str">
        <f aca="false">"RJ"</f>
        <v>RJ</v>
      </c>
      <c r="N408" s="9" t="n">
        <v>0</v>
      </c>
      <c r="O408" s="10" t="n">
        <v>286.6</v>
      </c>
      <c r="P408" s="10" t="n">
        <v>228.88</v>
      </c>
      <c r="Q408" s="10" t="n">
        <v>1.59</v>
      </c>
      <c r="R408" s="10" t="n">
        <v>1.59</v>
      </c>
      <c r="S408" s="5" t="str">
        <f aca="false">"Faturado"</f>
        <v>Faturado</v>
      </c>
      <c r="T408" s="5" t="str">
        <f aca="false">"ALEXANDRE P"</f>
        <v>ALEXANDRE P</v>
      </c>
      <c r="U408" s="11" t="n">
        <v>25</v>
      </c>
      <c r="V408" s="5" t="str">
        <f aca="false">""</f>
        <v/>
      </c>
    </row>
    <row r="409" customFormat="false" ht="12.8" hidden="false" customHeight="false" outlineLevel="0" collapsed="false">
      <c r="A409" s="4" t="n">
        <v>206</v>
      </c>
      <c r="B409" s="5" t="str">
        <f aca="false">"PAPAIZ"</f>
        <v>PAPAIZ</v>
      </c>
      <c r="C409" s="6" t="n">
        <v>956692</v>
      </c>
      <c r="D409" s="7" t="n">
        <v>45752</v>
      </c>
      <c r="E409" s="7" t="n">
        <v>45751</v>
      </c>
      <c r="F409" s="7"/>
      <c r="G409" s="7"/>
      <c r="H409" s="7" t="n">
        <v>45751</v>
      </c>
      <c r="I409" s="15" t="n">
        <v>90143</v>
      </c>
      <c r="J409" s="15" t="n">
        <v>1964697</v>
      </c>
      <c r="K409" s="5" t="str">
        <f aca="false">"BOTTINO REC"</f>
        <v>BOTTINO REC</v>
      </c>
      <c r="L409" s="5" t="str">
        <f aca="false">"HOME CENTER"</f>
        <v>HOME CENTER</v>
      </c>
      <c r="M409" s="5" t="str">
        <f aca="false">"RJ"</f>
        <v>RJ</v>
      </c>
      <c r="N409" s="9" t="n">
        <v>0</v>
      </c>
      <c r="O409" s="10" t="n">
        <v>286.6</v>
      </c>
      <c r="P409" s="10" t="n">
        <v>228.88</v>
      </c>
      <c r="Q409" s="10" t="n">
        <v>1.59</v>
      </c>
      <c r="R409" s="10" t="n">
        <v>1.59</v>
      </c>
      <c r="S409" s="5" t="str">
        <f aca="false">"Faturado"</f>
        <v>Faturado</v>
      </c>
      <c r="T409" s="5" t="str">
        <f aca="false">"ALEXANDRE P"</f>
        <v>ALEXANDRE P</v>
      </c>
      <c r="U409" s="11" t="n">
        <v>25</v>
      </c>
      <c r="V409" s="5" t="str">
        <f aca="false">""</f>
        <v/>
      </c>
    </row>
    <row r="410" customFormat="false" ht="12.8" hidden="false" customHeight="false" outlineLevel="0" collapsed="false">
      <c r="A410" s="4" t="n">
        <v>206</v>
      </c>
      <c r="B410" s="5" t="str">
        <f aca="false">"PAPAIZ"</f>
        <v>PAPAIZ</v>
      </c>
      <c r="C410" s="6" t="n">
        <v>956689</v>
      </c>
      <c r="D410" s="7" t="n">
        <v>45752</v>
      </c>
      <c r="E410" s="7" t="n">
        <v>45751</v>
      </c>
      <c r="F410" s="7"/>
      <c r="G410" s="7"/>
      <c r="H410" s="7" t="n">
        <v>45751</v>
      </c>
      <c r="I410" s="15" t="n">
        <v>90151</v>
      </c>
      <c r="J410" s="15" t="n">
        <v>1964700</v>
      </c>
      <c r="K410" s="5" t="str">
        <f aca="false">"BOTTINO FREE"</f>
        <v>BOTTINO FREE</v>
      </c>
      <c r="L410" s="5" t="str">
        <f aca="false">"HOME CENTER"</f>
        <v>HOME CENTER</v>
      </c>
      <c r="M410" s="5" t="str">
        <f aca="false">"RJ"</f>
        <v>RJ</v>
      </c>
      <c r="N410" s="9" t="n">
        <v>0</v>
      </c>
      <c r="O410" s="10" t="n">
        <v>143.3</v>
      </c>
      <c r="P410" s="10" t="n">
        <v>114.44</v>
      </c>
      <c r="Q410" s="10" t="n">
        <v>0.91</v>
      </c>
      <c r="R410" s="10" t="n">
        <v>0.8</v>
      </c>
      <c r="S410" s="5" t="str">
        <f aca="false">"Faturado"</f>
        <v>Faturado</v>
      </c>
      <c r="T410" s="5" t="str">
        <f aca="false">"ALEXANDRE P"</f>
        <v>ALEXANDRE P</v>
      </c>
      <c r="U410" s="11" t="n">
        <v>25</v>
      </c>
      <c r="V410" s="5" t="str">
        <f aca="false">""</f>
        <v/>
      </c>
    </row>
    <row r="411" customFormat="false" ht="12.8" hidden="false" customHeight="false" outlineLevel="0" collapsed="false">
      <c r="A411" s="4" t="n">
        <v>206</v>
      </c>
      <c r="B411" s="5" t="str">
        <f aca="false">"PAPAIZ"</f>
        <v>PAPAIZ</v>
      </c>
      <c r="C411" s="6" t="n">
        <v>956691</v>
      </c>
      <c r="D411" s="7" t="n">
        <v>45752</v>
      </c>
      <c r="E411" s="7" t="n">
        <v>45751</v>
      </c>
      <c r="F411" s="7"/>
      <c r="G411" s="7"/>
      <c r="H411" s="7" t="n">
        <v>45751</v>
      </c>
      <c r="I411" s="15" t="n">
        <v>90142</v>
      </c>
      <c r="J411" s="15" t="n">
        <v>1964703</v>
      </c>
      <c r="K411" s="5" t="str">
        <f aca="false">"BOTTINO NIT"</f>
        <v>BOTTINO NIT</v>
      </c>
      <c r="L411" s="5" t="str">
        <f aca="false">"HOME CENTER"</f>
        <v>HOME CENTER</v>
      </c>
      <c r="M411" s="5" t="str">
        <f aca="false">"RJ"</f>
        <v>RJ</v>
      </c>
      <c r="N411" s="9" t="n">
        <v>0</v>
      </c>
      <c r="O411" s="10" t="n">
        <v>286.6</v>
      </c>
      <c r="P411" s="10" t="n">
        <v>228.88</v>
      </c>
      <c r="Q411" s="10" t="n">
        <v>1.59</v>
      </c>
      <c r="R411" s="10" t="n">
        <v>1.59</v>
      </c>
      <c r="S411" s="5" t="str">
        <f aca="false">"Faturado"</f>
        <v>Faturado</v>
      </c>
      <c r="T411" s="5" t="str">
        <f aca="false">"ALEXANDRE P"</f>
        <v>ALEXANDRE P</v>
      </c>
      <c r="U411" s="11" t="n">
        <v>25</v>
      </c>
      <c r="V411" s="5" t="str">
        <f aca="false">""</f>
        <v/>
      </c>
    </row>
    <row r="412" customFormat="false" ht="12.8" hidden="false" customHeight="false" outlineLevel="0" collapsed="false">
      <c r="A412" s="4" t="n">
        <v>206</v>
      </c>
      <c r="B412" s="5" t="str">
        <f aca="false">"PAPAIZ"</f>
        <v>PAPAIZ</v>
      </c>
      <c r="C412" s="6" t="n">
        <v>956690</v>
      </c>
      <c r="D412" s="7" t="n">
        <v>45752</v>
      </c>
      <c r="E412" s="7" t="n">
        <v>45751</v>
      </c>
      <c r="F412" s="7"/>
      <c r="G412" s="7"/>
      <c r="H412" s="7" t="n">
        <v>45751</v>
      </c>
      <c r="I412" s="15" t="n">
        <v>90140</v>
      </c>
      <c r="J412" s="15" t="n">
        <v>1964717</v>
      </c>
      <c r="K412" s="5" t="str">
        <f aca="false">"BOTTINO MATE"</f>
        <v>BOTTINO MATE</v>
      </c>
      <c r="L412" s="5" t="str">
        <f aca="false">"HOME CENTER"</f>
        <v>HOME CENTER</v>
      </c>
      <c r="M412" s="5" t="str">
        <f aca="false">"RJ"</f>
        <v>RJ</v>
      </c>
      <c r="N412" s="9" t="n">
        <v>0</v>
      </c>
      <c r="O412" s="10" t="n">
        <v>286.6</v>
      </c>
      <c r="P412" s="10" t="n">
        <v>228.88</v>
      </c>
      <c r="Q412" s="10" t="n">
        <v>1.59</v>
      </c>
      <c r="R412" s="10" t="n">
        <v>1.59</v>
      </c>
      <c r="S412" s="5" t="str">
        <f aca="false">"Faturado"</f>
        <v>Faturado</v>
      </c>
      <c r="T412" s="5" t="str">
        <f aca="false">"ALEXANDRE P"</f>
        <v>ALEXANDRE P</v>
      </c>
      <c r="U412" s="11" t="n">
        <v>25</v>
      </c>
      <c r="V412" s="5" t="str">
        <f aca="false">""</f>
        <v/>
      </c>
    </row>
    <row r="413" customFormat="false" ht="12.8" hidden="false" customHeight="false" outlineLevel="0" collapsed="false">
      <c r="A413" s="4" t="n">
        <v>206</v>
      </c>
      <c r="B413" s="5" t="str">
        <f aca="false">"PAPAIZ"</f>
        <v>PAPAIZ</v>
      </c>
      <c r="C413" s="6" t="n">
        <v>956687</v>
      </c>
      <c r="D413" s="7" t="n">
        <v>45752</v>
      </c>
      <c r="E413" s="7" t="n">
        <v>45751</v>
      </c>
      <c r="F413" s="7"/>
      <c r="G413" s="7"/>
      <c r="H413" s="7" t="n">
        <v>45751</v>
      </c>
      <c r="I413" s="15" t="n">
        <v>90144</v>
      </c>
      <c r="J413" s="15" t="n">
        <v>1964708</v>
      </c>
      <c r="K413" s="5" t="str">
        <f aca="false">"BOTTINO"</f>
        <v>BOTTINO</v>
      </c>
      <c r="L413" s="5" t="str">
        <f aca="false">"HOME CENTER"</f>
        <v>HOME CENTER</v>
      </c>
      <c r="M413" s="5" t="str">
        <f aca="false">"RJ"</f>
        <v>RJ</v>
      </c>
      <c r="N413" s="9" t="n">
        <v>0</v>
      </c>
      <c r="O413" s="10" t="n">
        <v>286.6</v>
      </c>
      <c r="P413" s="10" t="n">
        <v>228.88</v>
      </c>
      <c r="Q413" s="10" t="n">
        <v>159</v>
      </c>
      <c r="R413" s="10" t="n">
        <v>1.59</v>
      </c>
      <c r="S413" s="5" t="str">
        <f aca="false">"Faturado"</f>
        <v>Faturado</v>
      </c>
      <c r="T413" s="5" t="str">
        <f aca="false">"ALEXANDRE P"</f>
        <v>ALEXANDRE P</v>
      </c>
      <c r="U413" s="11" t="n">
        <v>25</v>
      </c>
      <c r="V413" s="5" t="str">
        <f aca="false">""</f>
        <v/>
      </c>
    </row>
    <row r="414" customFormat="false" ht="12.8" hidden="false" customHeight="false" outlineLevel="0" collapsed="false">
      <c r="A414" s="4" t="n">
        <v>206</v>
      </c>
      <c r="B414" s="5" t="str">
        <f aca="false">"PAPAIZ"</f>
        <v>PAPAIZ</v>
      </c>
      <c r="C414" s="6" t="n">
        <v>956834</v>
      </c>
      <c r="D414" s="7" t="n">
        <v>45754</v>
      </c>
      <c r="E414" s="7" t="n">
        <v>45751</v>
      </c>
      <c r="F414" s="7"/>
      <c r="G414" s="7"/>
      <c r="H414" s="7" t="n">
        <v>45751</v>
      </c>
      <c r="I414" s="15" t="n">
        <v>90188</v>
      </c>
      <c r="J414" s="5" t="str">
        <f aca="false">"SPDPPZ031467"</f>
        <v>SPDPPZ031467</v>
      </c>
      <c r="K414" s="5" t="str">
        <f aca="false">"REDE EQUIPAM"</f>
        <v>REDE EQUIPAM</v>
      </c>
      <c r="L414" s="5" t="str">
        <f aca="false">"ATACADISTA"</f>
        <v>ATACADISTA</v>
      </c>
      <c r="M414" s="5" t="str">
        <f aca="false">"MG"</f>
        <v>MG</v>
      </c>
      <c r="N414" s="9" t="n">
        <v>0</v>
      </c>
      <c r="O414" s="10" t="n">
        <v>2354.15</v>
      </c>
      <c r="P414" s="10" t="n">
        <v>1607.18</v>
      </c>
      <c r="Q414" s="10" t="n">
        <v>5.97</v>
      </c>
      <c r="R414" s="10" t="n">
        <v>5.6</v>
      </c>
      <c r="S414" s="5" t="str">
        <f aca="false">"Faturado"</f>
        <v>Faturado</v>
      </c>
      <c r="T414" s="5" t="str">
        <f aca="false">"VIVIANE ALVE"</f>
        <v>VIVIANE ALVE</v>
      </c>
      <c r="U414" s="11" t="n">
        <v>25</v>
      </c>
      <c r="V414" s="5" t="str">
        <f aca="false">""</f>
        <v/>
      </c>
    </row>
    <row r="415" customFormat="false" ht="12.8" hidden="false" customHeight="false" outlineLevel="0" collapsed="false">
      <c r="A415" s="4" t="n">
        <v>206</v>
      </c>
      <c r="B415" s="5" t="str">
        <f aca="false">"PAPAIZ"</f>
        <v>PAPAIZ</v>
      </c>
      <c r="C415" s="6" t="n">
        <v>956095</v>
      </c>
      <c r="D415" s="7" t="n">
        <v>45754</v>
      </c>
      <c r="E415" s="7" t="n">
        <v>45749</v>
      </c>
      <c r="F415" s="7"/>
      <c r="G415" s="7"/>
      <c r="H415" s="7" t="n">
        <v>45751</v>
      </c>
      <c r="I415" s="15" t="n">
        <v>90165</v>
      </c>
      <c r="J415" s="5" t="str">
        <f aca="false">"SPDPPZ032216"</f>
        <v>SPDPPZ032216</v>
      </c>
      <c r="K415" s="5" t="str">
        <f aca="false">"SOLUCOES AD"</f>
        <v>SOLUCOES AD</v>
      </c>
      <c r="L415" s="5" t="str">
        <f aca="false">"NOVOS CANAIS"</f>
        <v>NOVOS CANAIS</v>
      </c>
      <c r="M415" s="5" t="str">
        <f aca="false">"SP"</f>
        <v>SP</v>
      </c>
      <c r="N415" s="9" t="n">
        <v>0</v>
      </c>
      <c r="O415" s="10" t="n">
        <v>565</v>
      </c>
      <c r="P415" s="10" t="n">
        <v>420.45</v>
      </c>
      <c r="Q415" s="10" t="n">
        <v>2.79</v>
      </c>
      <c r="R415" s="10" t="n">
        <v>2.7</v>
      </c>
      <c r="S415" s="5" t="str">
        <f aca="false">"Faturado"</f>
        <v>Faturado</v>
      </c>
      <c r="T415" s="5" t="str">
        <f aca="false">"PERLA COSTA"</f>
        <v>PERLA COSTA</v>
      </c>
      <c r="U415" s="11" t="n">
        <v>25</v>
      </c>
      <c r="V415" s="5" t="str">
        <f aca="false">""</f>
        <v/>
      </c>
    </row>
    <row r="416" customFormat="false" ht="12.8" hidden="false" customHeight="false" outlineLevel="0" collapsed="false">
      <c r="A416" s="4" t="n">
        <v>206</v>
      </c>
      <c r="B416" s="5" t="str">
        <f aca="false">"PAPAIZ"</f>
        <v>PAPAIZ</v>
      </c>
      <c r="C416" s="6" t="n">
        <v>956269</v>
      </c>
      <c r="D416" s="7" t="n">
        <v>45755</v>
      </c>
      <c r="E416" s="7" t="n">
        <v>45749</v>
      </c>
      <c r="F416" s="7"/>
      <c r="G416" s="7"/>
      <c r="H416" s="7" t="n">
        <v>45751</v>
      </c>
      <c r="I416" s="15" t="n">
        <v>90168</v>
      </c>
      <c r="J416" s="5" t="str">
        <f aca="false">"SPDPPZ032256"</f>
        <v>SPDPPZ032256</v>
      </c>
      <c r="K416" s="5" t="str">
        <f aca="false">"BLUSOLDAS"</f>
        <v>BLUSOLDAS</v>
      </c>
      <c r="L416" s="5" t="str">
        <f aca="false">"ATACADISTA"</f>
        <v>ATACADISTA</v>
      </c>
      <c r="M416" s="5" t="str">
        <f aca="false">"SC"</f>
        <v>SC</v>
      </c>
      <c r="N416" s="9" t="n">
        <v>0</v>
      </c>
      <c r="O416" s="10" t="n">
        <v>4956</v>
      </c>
      <c r="P416" s="10" t="n">
        <v>3957.87</v>
      </c>
      <c r="Q416" s="10" t="n">
        <v>34.81</v>
      </c>
      <c r="R416" s="10" t="n">
        <v>34.7</v>
      </c>
      <c r="S416" s="5" t="str">
        <f aca="false">"Faturado"</f>
        <v>Faturado</v>
      </c>
      <c r="T416" s="5" t="str">
        <f aca="false">"PERLA COSTA"</f>
        <v>PERLA COSTA</v>
      </c>
      <c r="U416" s="11" t="n">
        <v>25</v>
      </c>
      <c r="V416" s="5" t="str">
        <f aca="false">""</f>
        <v/>
      </c>
    </row>
    <row r="417" customFormat="false" ht="12.8" hidden="false" customHeight="false" outlineLevel="0" collapsed="false">
      <c r="A417" s="4" t="n">
        <v>206</v>
      </c>
      <c r="B417" s="5" t="str">
        <f aca="false">"PAPAIZ"</f>
        <v>PAPAIZ</v>
      </c>
      <c r="C417" s="6" t="n">
        <v>955338</v>
      </c>
      <c r="D417" s="7" t="n">
        <v>45756</v>
      </c>
      <c r="E417" s="7" t="n">
        <v>45745</v>
      </c>
      <c r="F417" s="7"/>
      <c r="G417" s="7"/>
      <c r="H417" s="7" t="n">
        <v>45751</v>
      </c>
      <c r="I417" s="15" t="n">
        <v>90061</v>
      </c>
      <c r="J417" s="13" t="n">
        <v>7544</v>
      </c>
      <c r="K417" s="5" t="str">
        <f aca="false">"TUBARAO EQU"</f>
        <v>TUBARAO EQU</v>
      </c>
      <c r="L417" s="5" t="str">
        <f aca="false">"ATACADISTA"</f>
        <v>ATACADISTA</v>
      </c>
      <c r="M417" s="5" t="str">
        <f aca="false">"SP"</f>
        <v>SP</v>
      </c>
      <c r="N417" s="9" t="n">
        <v>0</v>
      </c>
      <c r="O417" s="10" t="n">
        <v>2865</v>
      </c>
      <c r="P417" s="10" t="n">
        <v>2131.99</v>
      </c>
      <c r="Q417" s="10" t="n">
        <v>24.3</v>
      </c>
      <c r="R417" s="10" t="n">
        <v>23</v>
      </c>
      <c r="S417" s="5" t="str">
        <f aca="false">"Faturado"</f>
        <v>Faturado</v>
      </c>
      <c r="T417" s="5" t="str">
        <f aca="false">"VASCONCELOS"</f>
        <v>VASCONCELOS</v>
      </c>
      <c r="U417" s="11" t="n">
        <v>25</v>
      </c>
      <c r="V417" s="5" t="str">
        <f aca="false">""</f>
        <v/>
      </c>
    </row>
    <row r="418" customFormat="false" ht="12.8" hidden="false" customHeight="false" outlineLevel="0" collapsed="false">
      <c r="A418" s="4" t="n">
        <v>206</v>
      </c>
      <c r="B418" s="5" t="str">
        <f aca="false">"PAPAIZ"</f>
        <v>PAPAIZ</v>
      </c>
      <c r="C418" s="6" t="n">
        <v>956615</v>
      </c>
      <c r="D418" s="7" t="n">
        <v>45757</v>
      </c>
      <c r="E418" s="7" t="n">
        <v>45750</v>
      </c>
      <c r="F418" s="7"/>
      <c r="G418" s="7"/>
      <c r="H418" s="7" t="n">
        <v>45751</v>
      </c>
      <c r="I418" s="15" t="n">
        <v>90218</v>
      </c>
      <c r="J418" s="13" t="n">
        <v>7194</v>
      </c>
      <c r="K418" s="5" t="str">
        <f aca="false">"LG MANGUEIRA"</f>
        <v>LG MANGUEIRA</v>
      </c>
      <c r="L418" s="5" t="str">
        <f aca="false">"ATACADISTA"</f>
        <v>ATACADISTA</v>
      </c>
      <c r="M418" s="5" t="str">
        <f aca="false">"GO"</f>
        <v>GO</v>
      </c>
      <c r="N418" s="9" t="n">
        <v>1085.16</v>
      </c>
      <c r="O418" s="10" t="n">
        <v>1302.24</v>
      </c>
      <c r="P418" s="10" t="n">
        <v>1099.06</v>
      </c>
      <c r="Q418" s="10" t="n">
        <v>8.45</v>
      </c>
      <c r="R418" s="10" t="n">
        <v>8.28</v>
      </c>
      <c r="S418" s="5" t="str">
        <f aca="false">"Faturado"</f>
        <v>Faturado</v>
      </c>
      <c r="T418" s="5" t="str">
        <f aca="false">"HMS REPRESE"</f>
        <v>HMS REPRESE</v>
      </c>
      <c r="U418" s="11" t="n">
        <v>25</v>
      </c>
      <c r="V418" s="5" t="str">
        <f aca="false">""</f>
        <v/>
      </c>
    </row>
    <row r="419" customFormat="false" ht="12.8" hidden="false" customHeight="false" outlineLevel="0" collapsed="false">
      <c r="A419" s="4" t="n">
        <v>206</v>
      </c>
      <c r="B419" s="5" t="str">
        <f aca="false">"LA FONTE"</f>
        <v>LA FONTE</v>
      </c>
      <c r="C419" s="6" t="n">
        <v>956532</v>
      </c>
      <c r="D419" s="7" t="n">
        <v>45758</v>
      </c>
      <c r="E419" s="7" t="n">
        <v>45750</v>
      </c>
      <c r="F419" s="7"/>
      <c r="G419" s="7" t="n">
        <v>45751</v>
      </c>
      <c r="H419" s="7" t="n">
        <v>45751</v>
      </c>
      <c r="I419" s="15" t="n">
        <v>90167</v>
      </c>
      <c r="J419" s="5" t="str">
        <f aca="false">"SPDLFT004223"</f>
        <v>SPDLFT004223</v>
      </c>
      <c r="K419" s="5" t="str">
        <f aca="false">"CENTER FECHA"</f>
        <v>CENTER FECHA</v>
      </c>
      <c r="L419" s="5" t="str">
        <f aca="false">"FERRAGISTA"</f>
        <v>FERRAGISTA</v>
      </c>
      <c r="M419" s="5" t="str">
        <f aca="false">"SP"</f>
        <v>SP</v>
      </c>
      <c r="N419" s="9" t="n">
        <v>0</v>
      </c>
      <c r="O419" s="10" t="n">
        <v>3618.14</v>
      </c>
      <c r="P419" s="10" t="n">
        <v>2335.16</v>
      </c>
      <c r="Q419" s="10" t="n">
        <v>10.28</v>
      </c>
      <c r="R419" s="10" t="n">
        <v>9.1</v>
      </c>
      <c r="S419" s="5" t="str">
        <f aca="false">"Faturado"</f>
        <v>Faturado</v>
      </c>
      <c r="T419" s="5" t="str">
        <f aca="false">"Luiz Carlos"</f>
        <v>Luiz Carlos</v>
      </c>
      <c r="U419" s="11" t="n">
        <v>25</v>
      </c>
      <c r="V419" s="5" t="str">
        <f aca="false">""</f>
        <v/>
      </c>
    </row>
    <row r="420" customFormat="false" ht="12.8" hidden="false" customHeight="false" outlineLevel="0" collapsed="false">
      <c r="A420" s="4" t="n">
        <v>206</v>
      </c>
      <c r="B420" s="5" t="str">
        <f aca="false">"PAPAIZ"</f>
        <v>PAPAIZ</v>
      </c>
      <c r="C420" s="6" t="n">
        <v>956553</v>
      </c>
      <c r="D420" s="7" t="n">
        <v>45759</v>
      </c>
      <c r="E420" s="7" t="n">
        <v>45750</v>
      </c>
      <c r="F420" s="7"/>
      <c r="G420" s="7"/>
      <c r="H420" s="7" t="n">
        <v>45751</v>
      </c>
      <c r="I420" s="15" t="n">
        <v>90220</v>
      </c>
      <c r="J420" s="12" t="n">
        <v>96677</v>
      </c>
      <c r="K420" s="5" t="str">
        <f aca="false">"MJR CUNHA"</f>
        <v>MJR CUNHA</v>
      </c>
      <c r="L420" s="5" t="str">
        <f aca="false">"ATACADISTA"</f>
        <v>ATACADISTA</v>
      </c>
      <c r="M420" s="5" t="str">
        <f aca="false">"SP"</f>
        <v>SP</v>
      </c>
      <c r="N420" s="9" t="n">
        <v>0</v>
      </c>
      <c r="O420" s="10" t="n">
        <v>1115.82</v>
      </c>
      <c r="P420" s="10" t="n">
        <v>830.33</v>
      </c>
      <c r="Q420" s="10" t="n">
        <v>6.4</v>
      </c>
      <c r="R420" s="10" t="n">
        <v>6.21</v>
      </c>
      <c r="S420" s="5" t="str">
        <f aca="false">"Faturado"</f>
        <v>Faturado</v>
      </c>
      <c r="T420" s="5" t="str">
        <f aca="false">"BRFOKUS"</f>
        <v>BRFOKUS</v>
      </c>
      <c r="U420" s="11" t="n">
        <v>25</v>
      </c>
      <c r="V420" s="5" t="str">
        <f aca="false">""</f>
        <v/>
      </c>
    </row>
    <row r="421" customFormat="false" ht="12.8" hidden="false" customHeight="false" outlineLevel="0" collapsed="false">
      <c r="A421" s="4" t="n">
        <v>206</v>
      </c>
      <c r="B421" s="5" t="str">
        <f aca="false">"LA FONTE"</f>
        <v>LA FONTE</v>
      </c>
      <c r="C421" s="6" t="n">
        <v>956621</v>
      </c>
      <c r="D421" s="7" t="n">
        <v>45759</v>
      </c>
      <c r="E421" s="7" t="n">
        <v>45750</v>
      </c>
      <c r="F421" s="7"/>
      <c r="G421" s="7" t="n">
        <v>45751</v>
      </c>
      <c r="H421" s="7" t="n">
        <v>45751</v>
      </c>
      <c r="I421" s="15" t="n">
        <v>90230</v>
      </c>
      <c r="J421" s="5" t="str">
        <f aca="false">"2201546LF-"</f>
        <v>2201546LF-</v>
      </c>
      <c r="K421" s="5" t="str">
        <f aca="false">"MABAFIX"</f>
        <v>MABAFIX</v>
      </c>
      <c r="L421" s="5" t="str">
        <f aca="false">"FERRAGISTA"</f>
        <v>FERRAGISTA</v>
      </c>
      <c r="M421" s="5" t="str">
        <f aca="false">"SP"</f>
        <v>SP</v>
      </c>
      <c r="N421" s="9" t="n">
        <v>2137.25</v>
      </c>
      <c r="O421" s="10" t="n">
        <v>2158.6</v>
      </c>
      <c r="P421" s="10" t="n">
        <v>1261.25</v>
      </c>
      <c r="Q421" s="10" t="n">
        <v>5.19</v>
      </c>
      <c r="R421" s="10" t="n">
        <v>5.19</v>
      </c>
      <c r="S421" s="5" t="str">
        <f aca="false">"Faturado"</f>
        <v>Faturado</v>
      </c>
      <c r="T421" s="5" t="str">
        <f aca="false">"PRIME CF"</f>
        <v>PRIME CF</v>
      </c>
      <c r="U421" s="11" t="n">
        <v>25</v>
      </c>
      <c r="V421" s="5" t="str">
        <f aca="false">""</f>
        <v/>
      </c>
    </row>
    <row r="422" customFormat="false" ht="12.8" hidden="false" customHeight="false" outlineLevel="0" collapsed="false">
      <c r="A422" s="4" t="n">
        <v>206</v>
      </c>
      <c r="B422" s="5" t="str">
        <f aca="false">"PAPAIZ"</f>
        <v>PAPAIZ</v>
      </c>
      <c r="C422" s="6" t="n">
        <v>956538</v>
      </c>
      <c r="D422" s="7" t="n">
        <v>45759</v>
      </c>
      <c r="E422" s="7" t="n">
        <v>45750</v>
      </c>
      <c r="F422" s="7"/>
      <c r="G422" s="7"/>
      <c r="H422" s="7" t="n">
        <v>45751</v>
      </c>
      <c r="I422" s="15" t="n">
        <v>90195</v>
      </c>
      <c r="J422" s="8" t="n">
        <v>122195</v>
      </c>
      <c r="K422" s="5" t="str">
        <f aca="false">"ELETROLEST"</f>
        <v>ELETROLEST</v>
      </c>
      <c r="L422" s="5" t="str">
        <f aca="false">"ATACADISTA"</f>
        <v>ATACADISTA</v>
      </c>
      <c r="M422" s="5" t="str">
        <f aca="false">"SP"</f>
        <v>SP</v>
      </c>
      <c r="N422" s="9" t="n">
        <v>0</v>
      </c>
      <c r="O422" s="10" t="n">
        <v>371.94</v>
      </c>
      <c r="P422" s="10" t="n">
        <v>276.78</v>
      </c>
      <c r="Q422" s="10" t="n">
        <v>2.19</v>
      </c>
      <c r="R422" s="10" t="n">
        <v>2.07</v>
      </c>
      <c r="S422" s="5" t="str">
        <f aca="false">"Faturado"</f>
        <v>Faturado</v>
      </c>
      <c r="T422" s="5" t="str">
        <f aca="false">"BRFOKUS"</f>
        <v>BRFOKUS</v>
      </c>
      <c r="U422" s="11" t="n">
        <v>25</v>
      </c>
      <c r="V422" s="5" t="str">
        <f aca="false">""</f>
        <v/>
      </c>
    </row>
    <row r="423" customFormat="false" ht="12.8" hidden="false" customHeight="false" outlineLevel="0" collapsed="false">
      <c r="A423" s="4" t="n">
        <v>206</v>
      </c>
      <c r="B423" s="5" t="str">
        <f aca="false">"PAPAIZ"</f>
        <v>PAPAIZ</v>
      </c>
      <c r="C423" s="6" t="n">
        <v>956633</v>
      </c>
      <c r="D423" s="7" t="n">
        <v>45759</v>
      </c>
      <c r="E423" s="7" t="n">
        <v>45750</v>
      </c>
      <c r="F423" s="7"/>
      <c r="G423" s="7"/>
      <c r="H423" s="7" t="n">
        <v>45751</v>
      </c>
      <c r="I423" s="15" t="n">
        <v>90196</v>
      </c>
      <c r="J423" s="12" t="n">
        <v>96676</v>
      </c>
      <c r="K423" s="5" t="str">
        <f aca="false">"MJR CUNHA"</f>
        <v>MJR CUNHA</v>
      </c>
      <c r="L423" s="5" t="str">
        <f aca="false">"ATACADISTA"</f>
        <v>ATACADISTA</v>
      </c>
      <c r="M423" s="5" t="str">
        <f aca="false">"SP"</f>
        <v>SP</v>
      </c>
      <c r="N423" s="9" t="n">
        <v>619.92</v>
      </c>
      <c r="O423" s="10" t="n">
        <v>743.88</v>
      </c>
      <c r="P423" s="10" t="n">
        <v>553.56</v>
      </c>
      <c r="Q423" s="10" t="n">
        <v>4.24</v>
      </c>
      <c r="R423" s="10" t="n">
        <v>4.14</v>
      </c>
      <c r="S423" s="5" t="str">
        <f aca="false">"Faturado"</f>
        <v>Faturado</v>
      </c>
      <c r="T423" s="5" t="str">
        <f aca="false">"BRFOKUS"</f>
        <v>BRFOKUS</v>
      </c>
      <c r="U423" s="11" t="n">
        <v>25</v>
      </c>
      <c r="V423" s="5" t="str">
        <f aca="false">""</f>
        <v/>
      </c>
    </row>
    <row r="424" customFormat="false" ht="12.8" hidden="false" customHeight="false" outlineLevel="0" collapsed="false">
      <c r="A424" s="4" t="n">
        <v>206</v>
      </c>
      <c r="B424" s="5" t="str">
        <f aca="false">"PAPAIZ"</f>
        <v>PAPAIZ</v>
      </c>
      <c r="C424" s="6" t="n">
        <v>956635</v>
      </c>
      <c r="D424" s="7" t="n">
        <v>45761</v>
      </c>
      <c r="E424" s="7" t="n">
        <v>45750</v>
      </c>
      <c r="F424" s="7"/>
      <c r="G424" s="7"/>
      <c r="H424" s="7" t="n">
        <v>45751</v>
      </c>
      <c r="I424" s="15" t="n">
        <v>90189</v>
      </c>
      <c r="J424" s="5" t="str">
        <f aca="false">"SPDPPZ030816"</f>
        <v>SPDPPZ030816</v>
      </c>
      <c r="K424" s="5" t="str">
        <f aca="false">"OFICINA FIEL"</f>
        <v>OFICINA FIEL</v>
      </c>
      <c r="L424" s="5" t="str">
        <f aca="false">"MATERIAL DE CONSTRUCAO"</f>
        <v>MATERIAL DE CONSTRUCAO</v>
      </c>
      <c r="M424" s="5" t="str">
        <f aca="false">"ES"</f>
        <v>ES</v>
      </c>
      <c r="N424" s="9" t="n">
        <v>597.06</v>
      </c>
      <c r="O424" s="10" t="n">
        <v>358.26</v>
      </c>
      <c r="P424" s="10" t="n">
        <v>302.36</v>
      </c>
      <c r="Q424" s="10" t="n">
        <v>2.19</v>
      </c>
      <c r="R424" s="10" t="n">
        <v>2.07</v>
      </c>
      <c r="S424" s="5" t="str">
        <f aca="false">"Faturado"</f>
        <v>Faturado</v>
      </c>
      <c r="T424" s="5" t="str">
        <f aca="false">"J FIRMINO"</f>
        <v>J FIRMINO</v>
      </c>
      <c r="U424" s="11" t="n">
        <v>25</v>
      </c>
      <c r="V424" s="5" t="str">
        <f aca="false">""</f>
        <v/>
      </c>
    </row>
    <row r="425" customFormat="false" ht="12.8" hidden="false" customHeight="false" outlineLevel="0" collapsed="false">
      <c r="A425" s="4" t="n">
        <v>206</v>
      </c>
      <c r="B425" s="5" t="str">
        <f aca="false">"LA FONTE"</f>
        <v>LA FONTE</v>
      </c>
      <c r="C425" s="6" t="n">
        <v>956534</v>
      </c>
      <c r="D425" s="7" t="n">
        <v>45761</v>
      </c>
      <c r="E425" s="7" t="n">
        <v>45750</v>
      </c>
      <c r="F425" s="7"/>
      <c r="G425" s="7" t="n">
        <v>45751</v>
      </c>
      <c r="H425" s="7" t="n">
        <v>45751</v>
      </c>
      <c r="I425" s="15" t="n">
        <v>90199</v>
      </c>
      <c r="J425" s="5" t="str">
        <f aca="false">"SPDLFT005069"</f>
        <v>SPDLFT005069</v>
      </c>
      <c r="K425" s="5" t="str">
        <f aca="false">"COML FECHART"</f>
        <v>COML FECHART</v>
      </c>
      <c r="L425" s="5" t="str">
        <f aca="false">"FERRAGISTA"</f>
        <v>FERRAGISTA</v>
      </c>
      <c r="M425" s="5" t="str">
        <f aca="false">"RS"</f>
        <v>RS</v>
      </c>
      <c r="N425" s="9" t="n">
        <v>0</v>
      </c>
      <c r="O425" s="10" t="n">
        <v>3900.22</v>
      </c>
      <c r="P425" s="10" t="n">
        <v>2529.3</v>
      </c>
      <c r="Q425" s="10" t="n">
        <v>20.7</v>
      </c>
      <c r="R425" s="10" t="n">
        <v>20.7</v>
      </c>
      <c r="S425" s="5" t="str">
        <f aca="false">"Faturado"</f>
        <v>Faturado</v>
      </c>
      <c r="T425" s="5" t="str">
        <f aca="false">"JCB REPRE"</f>
        <v>JCB REPRE</v>
      </c>
      <c r="U425" s="11" t="n">
        <v>25</v>
      </c>
      <c r="V425" s="5" t="str">
        <f aca="false">""</f>
        <v/>
      </c>
    </row>
    <row r="426" customFormat="false" ht="12.8" hidden="false" customHeight="false" outlineLevel="0" collapsed="false">
      <c r="A426" s="4" t="n">
        <v>206</v>
      </c>
      <c r="B426" s="5" t="str">
        <f aca="false">"PAPAIZ"</f>
        <v>PAPAIZ</v>
      </c>
      <c r="C426" s="6" t="n">
        <v>956582</v>
      </c>
      <c r="D426" s="7" t="n">
        <v>45762</v>
      </c>
      <c r="E426" s="7" t="n">
        <v>45750</v>
      </c>
      <c r="F426" s="7"/>
      <c r="G426" s="7"/>
      <c r="H426" s="7" t="n">
        <v>45751</v>
      </c>
      <c r="I426" s="15" t="n">
        <v>90186</v>
      </c>
      <c r="J426" s="5" t="str">
        <f aca="false">"SPDPPZ030310"</f>
        <v>SPDPPZ030310</v>
      </c>
      <c r="K426" s="5" t="str">
        <f aca="false">"COML JOTA"</f>
        <v>COML JOTA</v>
      </c>
      <c r="L426" s="5" t="str">
        <f aca="false">"NOVOS CANAIS"</f>
        <v>NOVOS CANAIS</v>
      </c>
      <c r="M426" s="5" t="str">
        <f aca="false">"SP"</f>
        <v>SP</v>
      </c>
      <c r="N426" s="9" t="n">
        <v>736.2</v>
      </c>
      <c r="O426" s="10" t="n">
        <v>406.32</v>
      </c>
      <c r="P426" s="10" t="n">
        <v>302.36</v>
      </c>
      <c r="Q426" s="10" t="n">
        <v>2.18</v>
      </c>
      <c r="R426" s="10" t="n">
        <v>2.07</v>
      </c>
      <c r="S426" s="5" t="str">
        <f aca="false">"Faturado"</f>
        <v>Faturado</v>
      </c>
      <c r="T426" s="5" t="str">
        <f aca="false">"HERCULES RIO"</f>
        <v>HERCULES RIO</v>
      </c>
      <c r="U426" s="11" t="n">
        <v>25</v>
      </c>
      <c r="V426" s="5" t="str">
        <f aca="false">""</f>
        <v/>
      </c>
    </row>
    <row r="427" customFormat="false" ht="12.8" hidden="false" customHeight="false" outlineLevel="0" collapsed="false">
      <c r="A427" s="4" t="n">
        <v>206</v>
      </c>
      <c r="B427" s="5" t="str">
        <f aca="false">"PAPAIZ"</f>
        <v>PAPAIZ</v>
      </c>
      <c r="C427" s="6" t="n">
        <v>956504</v>
      </c>
      <c r="D427" s="7" t="n">
        <v>45763</v>
      </c>
      <c r="E427" s="7" t="n">
        <v>45750</v>
      </c>
      <c r="F427" s="7"/>
      <c r="G427" s="7" t="n">
        <v>45751</v>
      </c>
      <c r="H427" s="7" t="n">
        <v>45751</v>
      </c>
      <c r="I427" s="15" t="n">
        <v>90047</v>
      </c>
      <c r="J427" s="5" t="str">
        <f aca="false">"SPDPPZ023835"</f>
        <v>SPDPPZ023835</v>
      </c>
      <c r="K427" s="5" t="str">
        <f aca="false">"FERKAL"</f>
        <v>FERKAL</v>
      </c>
      <c r="L427" s="5" t="str">
        <f aca="false">"FERRAGISTA"</f>
        <v>FERRAGISTA</v>
      </c>
      <c r="M427" s="5" t="str">
        <f aca="false">"MG"</f>
        <v>MG</v>
      </c>
      <c r="N427" s="9" t="n">
        <v>0</v>
      </c>
      <c r="O427" s="10" t="n">
        <v>607.77</v>
      </c>
      <c r="P427" s="10" t="n">
        <v>414.92</v>
      </c>
      <c r="Q427" s="10" t="n">
        <v>1.8</v>
      </c>
      <c r="R427" s="10" t="n">
        <v>1.8</v>
      </c>
      <c r="S427" s="5" t="str">
        <f aca="false">"Faturado"</f>
        <v>Faturado</v>
      </c>
      <c r="T427" s="5" t="str">
        <f aca="false">"VIVIANE ALVE"</f>
        <v>VIVIANE ALVE</v>
      </c>
      <c r="U427" s="11" t="n">
        <v>25</v>
      </c>
      <c r="V427" s="5" t="str">
        <f aca="false">""</f>
        <v/>
      </c>
    </row>
    <row r="428" customFormat="false" ht="12.8" hidden="false" customHeight="false" outlineLevel="0" collapsed="false">
      <c r="A428" s="4" t="n">
        <v>206</v>
      </c>
      <c r="B428" s="5" t="str">
        <f aca="false">"PAPAIZ"</f>
        <v>PAPAIZ</v>
      </c>
      <c r="C428" s="6" t="n">
        <v>956565</v>
      </c>
      <c r="D428" s="7" t="n">
        <v>45763</v>
      </c>
      <c r="E428" s="7" t="n">
        <v>45750</v>
      </c>
      <c r="F428" s="7"/>
      <c r="G428" s="7"/>
      <c r="H428" s="7" t="n">
        <v>45751</v>
      </c>
      <c r="I428" s="15" t="n">
        <v>90192</v>
      </c>
      <c r="J428" s="8" t="n">
        <v>29442</v>
      </c>
      <c r="K428" s="5" t="str">
        <f aca="false">"ARICAN"</f>
        <v>ARICAN</v>
      </c>
      <c r="L428" s="5" t="str">
        <f aca="false">"ATACADISTA"</f>
        <v>ATACADISTA</v>
      </c>
      <c r="M428" s="5" t="str">
        <f aca="false">"SP"</f>
        <v>SP</v>
      </c>
      <c r="N428" s="9" t="n">
        <v>615.36</v>
      </c>
      <c r="O428" s="10" t="n">
        <v>369.21</v>
      </c>
      <c r="P428" s="10" t="n">
        <v>274.74</v>
      </c>
      <c r="Q428" s="10" t="n">
        <v>2.19</v>
      </c>
      <c r="R428" s="10" t="n">
        <v>2.07</v>
      </c>
      <c r="S428" s="5" t="str">
        <f aca="false">"Faturado"</f>
        <v>Faturado</v>
      </c>
      <c r="T428" s="5" t="str">
        <f aca="false">"VASCONCELOS"</f>
        <v>VASCONCELOS</v>
      </c>
      <c r="U428" s="11" t="n">
        <v>25</v>
      </c>
      <c r="V428" s="5" t="str">
        <f aca="false">""</f>
        <v/>
      </c>
    </row>
    <row r="429" customFormat="false" ht="12.8" hidden="false" customHeight="false" outlineLevel="0" collapsed="false">
      <c r="A429" s="4" t="n">
        <v>206</v>
      </c>
      <c r="B429" s="5" t="str">
        <f aca="false">"PAPAIZ"</f>
        <v>PAPAIZ</v>
      </c>
      <c r="C429" s="6" t="n">
        <v>956827</v>
      </c>
      <c r="D429" s="7" t="n">
        <v>45763</v>
      </c>
      <c r="E429" s="7" t="n">
        <v>45751</v>
      </c>
      <c r="F429" s="7"/>
      <c r="G429" s="7"/>
      <c r="H429" s="7" t="n">
        <v>45751</v>
      </c>
      <c r="I429" s="15" t="n">
        <v>90139</v>
      </c>
      <c r="J429" s="5" t="str">
        <f aca="false">"SPDPPZ023894"</f>
        <v>SPDPPZ023894</v>
      </c>
      <c r="K429" s="5" t="str">
        <f aca="false">"REI"</f>
        <v>REI</v>
      </c>
      <c r="L429" s="5" t="str">
        <f aca="false">"FERRAGISTA"</f>
        <v>FERRAGISTA</v>
      </c>
      <c r="M429" s="5" t="str">
        <f aca="false">"PR"</f>
        <v>PR</v>
      </c>
      <c r="N429" s="9" t="n">
        <v>1120</v>
      </c>
      <c r="O429" s="10" t="n">
        <v>2948.07</v>
      </c>
      <c r="P429" s="10" t="n">
        <v>1934.84</v>
      </c>
      <c r="Q429" s="10" t="n">
        <v>9.87</v>
      </c>
      <c r="R429" s="10" t="n">
        <v>9.76</v>
      </c>
      <c r="S429" s="5" t="str">
        <f aca="false">"Faturado"</f>
        <v>Faturado</v>
      </c>
      <c r="T429" s="5" t="str">
        <f aca="false">"THIAGO H FER"</f>
        <v>THIAGO H FER</v>
      </c>
      <c r="U429" s="11" t="n">
        <v>25</v>
      </c>
      <c r="V429" s="5" t="str">
        <f aca="false">""</f>
        <v/>
      </c>
    </row>
    <row r="430" customFormat="false" ht="12.8" hidden="false" customHeight="false" outlineLevel="0" collapsed="false">
      <c r="A430" s="4" t="n">
        <v>206</v>
      </c>
      <c r="B430" s="5" t="str">
        <f aca="false">"PAPAIZ"</f>
        <v>PAPAIZ</v>
      </c>
      <c r="C430" s="6" t="n">
        <v>953520</v>
      </c>
      <c r="D430" s="7" t="n">
        <v>45763</v>
      </c>
      <c r="E430" s="7" t="n">
        <v>45740</v>
      </c>
      <c r="F430" s="7"/>
      <c r="G430" s="7"/>
      <c r="H430" s="7" t="n">
        <v>45751</v>
      </c>
      <c r="I430" s="15" t="n">
        <v>90057</v>
      </c>
      <c r="J430" s="5" t="str">
        <f aca="false">"SPDPPZ031292"</f>
        <v>SPDPPZ031292</v>
      </c>
      <c r="K430" s="5" t="str">
        <f aca="false">"ROFERCO TUPA"</f>
        <v>ROFERCO TUPA</v>
      </c>
      <c r="L430" s="5" t="str">
        <f aca="false">"FERRAGISTA"</f>
        <v>FERRAGISTA</v>
      </c>
      <c r="M430" s="5" t="str">
        <f aca="false">"SP"</f>
        <v>SP</v>
      </c>
      <c r="N430" s="9" t="n">
        <v>0</v>
      </c>
      <c r="O430" s="10" t="n">
        <v>2460.46</v>
      </c>
      <c r="P430" s="10" t="n">
        <v>1830.97</v>
      </c>
      <c r="Q430" s="10" t="n">
        <v>15.69</v>
      </c>
      <c r="R430" s="10" t="n">
        <v>15.27</v>
      </c>
      <c r="S430" s="5" t="str">
        <f aca="false">"Faturado"</f>
        <v>Faturado</v>
      </c>
      <c r="T430" s="5" t="str">
        <f aca="false">"JGM"</f>
        <v>JGM</v>
      </c>
      <c r="U430" s="11" t="n">
        <v>25</v>
      </c>
      <c r="V430" s="5" t="str">
        <f aca="false">""</f>
        <v/>
      </c>
    </row>
    <row r="431" customFormat="false" ht="12.8" hidden="false" customHeight="false" outlineLevel="0" collapsed="false">
      <c r="A431" s="4" t="n">
        <v>206</v>
      </c>
      <c r="B431" s="5" t="str">
        <f aca="false">"PAPAIZ"</f>
        <v>PAPAIZ</v>
      </c>
      <c r="C431" s="6" t="n">
        <v>956537</v>
      </c>
      <c r="D431" s="7" t="n">
        <v>45763</v>
      </c>
      <c r="E431" s="7" t="n">
        <v>45750</v>
      </c>
      <c r="F431" s="7"/>
      <c r="G431" s="7"/>
      <c r="H431" s="7" t="n">
        <v>45751</v>
      </c>
      <c r="I431" s="15" t="n">
        <v>90217</v>
      </c>
      <c r="J431" s="5" t="str">
        <f aca="false">"SPDPPZ030980"</f>
        <v>SPDPPZ030980</v>
      </c>
      <c r="K431" s="5" t="str">
        <f aca="false">"ELASTOBOR"</f>
        <v>ELASTOBOR</v>
      </c>
      <c r="L431" s="5" t="str">
        <f aca="false">"ATACADISTA"</f>
        <v>ATACADISTA</v>
      </c>
      <c r="M431" s="5" t="str">
        <f aca="false">"SP"</f>
        <v>SP</v>
      </c>
      <c r="N431" s="9" t="n">
        <v>0</v>
      </c>
      <c r="O431" s="10" t="n">
        <v>765.3</v>
      </c>
      <c r="P431" s="10" t="n">
        <v>569.51</v>
      </c>
      <c r="Q431" s="10" t="n">
        <v>4.22</v>
      </c>
      <c r="R431" s="10" t="n">
        <v>4.14</v>
      </c>
      <c r="S431" s="5" t="str">
        <f aca="false">"Faturado"</f>
        <v>Faturado</v>
      </c>
      <c r="T431" s="5" t="str">
        <f aca="false">"JOYCECOVACEV"</f>
        <v>JOYCECOVACEV</v>
      </c>
      <c r="U431" s="11" t="n">
        <v>25</v>
      </c>
      <c r="V431" s="5" t="str">
        <f aca="false">""</f>
        <v/>
      </c>
    </row>
    <row r="432" customFormat="false" ht="12.8" hidden="false" customHeight="false" outlineLevel="0" collapsed="false">
      <c r="A432" s="4" t="n">
        <v>206</v>
      </c>
      <c r="B432" s="5" t="str">
        <f aca="false">"PAPAIZ"</f>
        <v>PAPAIZ</v>
      </c>
      <c r="C432" s="6" t="n">
        <v>956831</v>
      </c>
      <c r="D432" s="7" t="n">
        <v>45763</v>
      </c>
      <c r="E432" s="7" t="n">
        <v>45751</v>
      </c>
      <c r="F432" s="7"/>
      <c r="G432" s="7"/>
      <c r="H432" s="7" t="n">
        <v>45751</v>
      </c>
      <c r="I432" s="15" t="n">
        <v>90238</v>
      </c>
      <c r="J432" s="5" t="str">
        <f aca="false">"SPDPPZ023105"</f>
        <v>SPDPPZ023105</v>
      </c>
      <c r="K432" s="5" t="str">
        <f aca="false">"COML FG"</f>
        <v>COML FG</v>
      </c>
      <c r="L432" s="5" t="str">
        <f aca="false">"FERRAGISTA"</f>
        <v>FERRAGISTA</v>
      </c>
      <c r="M432" s="5" t="str">
        <f aca="false">"MG"</f>
        <v>MG</v>
      </c>
      <c r="N432" s="9" t="n">
        <v>0</v>
      </c>
      <c r="O432" s="10" t="n">
        <v>136.66</v>
      </c>
      <c r="P432" s="10" t="n">
        <v>93.91</v>
      </c>
      <c r="Q432" s="10" t="n">
        <v>0.64</v>
      </c>
      <c r="R432" s="10" t="n">
        <v>0.58</v>
      </c>
      <c r="S432" s="5" t="str">
        <f aca="false">"Faturado"</f>
        <v>Faturado</v>
      </c>
      <c r="T432" s="5" t="str">
        <f aca="false">"FRADE"</f>
        <v>FRADE</v>
      </c>
      <c r="U432" s="11" t="n">
        <v>25</v>
      </c>
      <c r="V432" s="5" t="str">
        <f aca="false">""</f>
        <v/>
      </c>
    </row>
    <row r="433" customFormat="false" ht="12.8" hidden="false" customHeight="false" outlineLevel="0" collapsed="false">
      <c r="A433" s="4" t="n">
        <v>206</v>
      </c>
      <c r="B433" s="5" t="str">
        <f aca="false">"PAPAIZ"</f>
        <v>PAPAIZ</v>
      </c>
      <c r="C433" s="6" t="n">
        <v>956535</v>
      </c>
      <c r="D433" s="7" t="n">
        <v>45764</v>
      </c>
      <c r="E433" s="7" t="n">
        <v>45750</v>
      </c>
      <c r="F433" s="7"/>
      <c r="G433" s="7"/>
      <c r="H433" s="7" t="n">
        <v>45751</v>
      </c>
      <c r="I433" s="15" t="n">
        <v>90212</v>
      </c>
      <c r="J433" s="5" t="str">
        <f aca="false">"SPDPPZ031232"</f>
        <v>SPDPPZ031232</v>
      </c>
      <c r="K433" s="5" t="str">
        <f aca="false">"DUARTE"</f>
        <v>DUARTE</v>
      </c>
      <c r="L433" s="5" t="str">
        <f aca="false">"FERRAGISTA"</f>
        <v>FERRAGISTA</v>
      </c>
      <c r="M433" s="5" t="str">
        <f aca="false">"SP"</f>
        <v>SP</v>
      </c>
      <c r="N433" s="9" t="n">
        <v>0</v>
      </c>
      <c r="O433" s="10" t="n">
        <v>812.64</v>
      </c>
      <c r="P433" s="10" t="n">
        <v>604.73</v>
      </c>
      <c r="Q433" s="10" t="n">
        <v>4.25</v>
      </c>
      <c r="R433" s="10" t="n">
        <v>4.14</v>
      </c>
      <c r="S433" s="5" t="str">
        <f aca="false">"Faturado"</f>
        <v>Faturado</v>
      </c>
      <c r="T433" s="5" t="str">
        <f aca="false">"C RUIVO"</f>
        <v>C RUIVO</v>
      </c>
      <c r="U433" s="11" t="n">
        <v>25</v>
      </c>
      <c r="V433" s="5" t="str">
        <f aca="false">""</f>
        <v/>
      </c>
    </row>
    <row r="434" customFormat="false" ht="12.8" hidden="false" customHeight="false" outlineLevel="0" collapsed="false">
      <c r="A434" s="4" t="n">
        <v>206</v>
      </c>
      <c r="B434" s="5" t="str">
        <f aca="false">"PAPAIZ"</f>
        <v>PAPAIZ</v>
      </c>
      <c r="C434" s="6" t="n">
        <v>956706</v>
      </c>
      <c r="D434" s="7" t="n">
        <v>45764</v>
      </c>
      <c r="E434" s="7" t="n">
        <v>45751</v>
      </c>
      <c r="F434" s="7"/>
      <c r="G434" s="7"/>
      <c r="H434" s="7" t="n">
        <v>45751</v>
      </c>
      <c r="I434" s="15" t="n">
        <v>90224</v>
      </c>
      <c r="J434" s="14" t="n">
        <v>4520472245</v>
      </c>
      <c r="K434" s="5" t="str">
        <f aca="false">"LEROY-DF-N"</f>
        <v>LEROY-DF-N</v>
      </c>
      <c r="L434" s="5" t="str">
        <f aca="false">"HOME CENTER"</f>
        <v>HOME CENTER</v>
      </c>
      <c r="M434" s="5" t="str">
        <f aca="false">"DF"</f>
        <v>DF</v>
      </c>
      <c r="N434" s="9" t="n">
        <v>0</v>
      </c>
      <c r="O434" s="10" t="n">
        <v>1370.4</v>
      </c>
      <c r="P434" s="10" t="n">
        <v>1145.53</v>
      </c>
      <c r="Q434" s="10" t="n">
        <v>14.38</v>
      </c>
      <c r="R434" s="10" t="n">
        <v>14.38</v>
      </c>
      <c r="S434" s="5" t="str">
        <f aca="false">"Faturado"</f>
        <v>Faturado</v>
      </c>
      <c r="T434" s="5" t="str">
        <f aca="false">"KGS NEW"</f>
        <v>KGS NEW</v>
      </c>
      <c r="U434" s="11" t="n">
        <v>6</v>
      </c>
      <c r="V434" s="5" t="str">
        <f aca="false">""</f>
        <v/>
      </c>
    </row>
    <row r="435" customFormat="false" ht="12.8" hidden="false" customHeight="false" outlineLevel="0" collapsed="false">
      <c r="A435" s="4" t="n">
        <v>206</v>
      </c>
      <c r="B435" s="5" t="str">
        <f aca="false">"PAPAIZ"</f>
        <v>PAPAIZ</v>
      </c>
      <c r="C435" s="6" t="n">
        <v>955973</v>
      </c>
      <c r="D435" s="7" t="n">
        <v>45765</v>
      </c>
      <c r="E435" s="7" t="n">
        <v>45748</v>
      </c>
      <c r="F435" s="7"/>
      <c r="G435" s="7"/>
      <c r="H435" s="7" t="n">
        <v>45751</v>
      </c>
      <c r="I435" s="15" t="n">
        <v>90084</v>
      </c>
      <c r="J435" s="14" t="n">
        <v>4520473767</v>
      </c>
      <c r="K435" s="5" t="str">
        <f aca="false">"LEROY S.LEOP"</f>
        <v>LEROY S.LEOP</v>
      </c>
      <c r="L435" s="5" t="str">
        <f aca="false">"HOME CENTER"</f>
        <v>HOME CENTER</v>
      </c>
      <c r="M435" s="5" t="str">
        <f aca="false">"RS"</f>
        <v>RS</v>
      </c>
      <c r="N435" s="9" t="n">
        <v>0</v>
      </c>
      <c r="O435" s="10" t="n">
        <v>615.7</v>
      </c>
      <c r="P435" s="10" t="n">
        <v>496.67</v>
      </c>
      <c r="Q435" s="10" t="n">
        <v>7.12</v>
      </c>
      <c r="R435" s="10" t="n">
        <v>7.12</v>
      </c>
      <c r="S435" s="5" t="str">
        <f aca="false">"Faturado"</f>
        <v>Faturado</v>
      </c>
      <c r="T435" s="5" t="str">
        <f aca="false">"TIAGO SILVA"</f>
        <v>TIAGO SILVA</v>
      </c>
      <c r="U435" s="11" t="n">
        <v>6</v>
      </c>
      <c r="V435" s="5" t="str">
        <f aca="false">""</f>
        <v/>
      </c>
    </row>
    <row r="436" customFormat="false" ht="12.8" hidden="false" customHeight="false" outlineLevel="0" collapsed="false">
      <c r="A436" s="4" t="n">
        <v>206</v>
      </c>
      <c r="B436" s="5" t="str">
        <f aca="false">"LA FONTE"</f>
        <v>LA FONTE</v>
      </c>
      <c r="C436" s="6" t="n">
        <v>956610</v>
      </c>
      <c r="D436" s="7" t="n">
        <v>45765</v>
      </c>
      <c r="E436" s="7" t="n">
        <v>45750</v>
      </c>
      <c r="F436" s="7"/>
      <c r="G436" s="7" t="n">
        <v>45751</v>
      </c>
      <c r="H436" s="7" t="n">
        <v>45751</v>
      </c>
      <c r="I436" s="15" t="n">
        <v>90163</v>
      </c>
      <c r="J436" s="5" t="str">
        <f aca="false">"SPDLFT003733"</f>
        <v>SPDLFT003733</v>
      </c>
      <c r="K436" s="5" t="str">
        <f aca="false">"IPE FOLHAS"</f>
        <v>IPE FOLHAS</v>
      </c>
      <c r="L436" s="5" t="str">
        <f aca="false">"FERRAGISTA"</f>
        <v>FERRAGISTA</v>
      </c>
      <c r="M436" s="5" t="str">
        <f aca="false">"SP"</f>
        <v>SP</v>
      </c>
      <c r="N436" s="9" t="n">
        <v>5012.7</v>
      </c>
      <c r="O436" s="10" t="n">
        <v>1699.21</v>
      </c>
      <c r="P436" s="10" t="n">
        <v>1187.29</v>
      </c>
      <c r="Q436" s="10" t="n">
        <v>3</v>
      </c>
      <c r="R436" s="10" t="n">
        <v>3</v>
      </c>
      <c r="S436" s="5" t="str">
        <f aca="false">"Faturado"</f>
        <v>Faturado</v>
      </c>
      <c r="T436" s="5" t="str">
        <f aca="false">"DANIELA RAMI"</f>
        <v>DANIELA RAMI</v>
      </c>
      <c r="U436" s="11" t="n">
        <v>25</v>
      </c>
      <c r="V436" s="5" t="str">
        <f aca="false">""</f>
        <v/>
      </c>
    </row>
    <row r="437" customFormat="false" ht="12.8" hidden="false" customHeight="false" outlineLevel="0" collapsed="false">
      <c r="A437" s="4" t="n">
        <v>206</v>
      </c>
      <c r="B437" s="5" t="str">
        <f aca="false">"PAPAIZ"</f>
        <v>PAPAIZ</v>
      </c>
      <c r="C437" s="6" t="n">
        <v>956575</v>
      </c>
      <c r="D437" s="7" t="n">
        <v>45766</v>
      </c>
      <c r="E437" s="7" t="n">
        <v>45750</v>
      </c>
      <c r="F437" s="7"/>
      <c r="G437" s="7"/>
      <c r="H437" s="7" t="n">
        <v>45751</v>
      </c>
      <c r="I437" s="15" t="n">
        <v>90214</v>
      </c>
      <c r="J437" s="5" t="str">
        <f aca="false">"SPDPPZ031238"</f>
        <v>SPDPPZ031238</v>
      </c>
      <c r="K437" s="5" t="str">
        <f aca="false">"CARROCERIA 0"</f>
        <v>CARROCERIA 0</v>
      </c>
      <c r="L437" s="5" t="str">
        <f aca="false">"MATERIAL DE CONSTRUCAO"</f>
        <v>MATERIAL DE CONSTRUCAO</v>
      </c>
      <c r="M437" s="5" t="str">
        <f aca="false">"SP"</f>
        <v>SP</v>
      </c>
      <c r="N437" s="9" t="n">
        <v>1354.32</v>
      </c>
      <c r="O437" s="10" t="n">
        <v>812.64</v>
      </c>
      <c r="P437" s="10" t="n">
        <v>604.73</v>
      </c>
      <c r="Q437" s="10" t="n">
        <v>4.24</v>
      </c>
      <c r="R437" s="10" t="n">
        <v>4.14</v>
      </c>
      <c r="S437" s="5" t="str">
        <f aca="false">"Faturado"</f>
        <v>Faturado</v>
      </c>
      <c r="T437" s="5" t="str">
        <f aca="false">"FALCAO"</f>
        <v>FALCAO</v>
      </c>
      <c r="U437" s="11" t="n">
        <v>25</v>
      </c>
      <c r="V437" s="5" t="str">
        <f aca="false">""</f>
        <v/>
      </c>
    </row>
    <row r="438" customFormat="false" ht="12.8" hidden="false" customHeight="false" outlineLevel="0" collapsed="false">
      <c r="A438" s="4" t="n">
        <v>206</v>
      </c>
      <c r="B438" s="5" t="str">
        <f aca="false">"PAPAIZ"</f>
        <v>PAPAIZ</v>
      </c>
      <c r="C438" s="6" t="n">
        <v>956531</v>
      </c>
      <c r="D438" s="7" t="n">
        <v>45766</v>
      </c>
      <c r="E438" s="7" t="n">
        <v>45750</v>
      </c>
      <c r="F438" s="7"/>
      <c r="G438" s="7"/>
      <c r="H438" s="7" t="n">
        <v>45751</v>
      </c>
      <c r="I438" s="15" t="n">
        <v>90216</v>
      </c>
      <c r="J438" s="5" t="str">
        <f aca="false">"SPDPPZ031427"</f>
        <v>SPDPPZ031427</v>
      </c>
      <c r="K438" s="5" t="str">
        <f aca="false">"CASA SIMOES"</f>
        <v>CASA SIMOES</v>
      </c>
      <c r="L438" s="5" t="str">
        <f aca="false">"FERRAGISTA"</f>
        <v>FERRAGISTA</v>
      </c>
      <c r="M438" s="5" t="str">
        <f aca="false">"SP"</f>
        <v>SP</v>
      </c>
      <c r="N438" s="9" t="n">
        <v>0</v>
      </c>
      <c r="O438" s="10" t="n">
        <v>812.64</v>
      </c>
      <c r="P438" s="10" t="n">
        <v>604.73</v>
      </c>
      <c r="Q438" s="10" t="n">
        <v>4.24</v>
      </c>
      <c r="R438" s="10" t="n">
        <v>4.14</v>
      </c>
      <c r="S438" s="5" t="str">
        <f aca="false">"Faturado"</f>
        <v>Faturado</v>
      </c>
      <c r="T438" s="5" t="str">
        <f aca="false">"C RUIVO"</f>
        <v>C RUIVO</v>
      </c>
      <c r="U438" s="11" t="n">
        <v>25</v>
      </c>
      <c r="V438" s="5" t="str">
        <f aca="false">""</f>
        <v/>
      </c>
    </row>
    <row r="439" customFormat="false" ht="12.8" hidden="false" customHeight="false" outlineLevel="0" collapsed="false">
      <c r="A439" s="4" t="n">
        <v>206</v>
      </c>
      <c r="B439" s="5" t="str">
        <f aca="false">"PAPAIZ"</f>
        <v>PAPAIZ</v>
      </c>
      <c r="C439" s="6" t="n">
        <v>955975</v>
      </c>
      <c r="D439" s="7" t="n">
        <v>45766</v>
      </c>
      <c r="E439" s="7" t="n">
        <v>45748</v>
      </c>
      <c r="F439" s="7"/>
      <c r="G439" s="7"/>
      <c r="H439" s="7" t="n">
        <v>45751</v>
      </c>
      <c r="I439" s="15" t="n">
        <v>90089</v>
      </c>
      <c r="J439" s="14" t="n">
        <v>4520473932</v>
      </c>
      <c r="K439" s="5" t="str">
        <f aca="false">"LEROY ATUBA"</f>
        <v>LEROY ATUBA</v>
      </c>
      <c r="L439" s="5" t="str">
        <f aca="false">"HOME CENTER"</f>
        <v>HOME CENTER</v>
      </c>
      <c r="M439" s="5" t="str">
        <f aca="false">"PR"</f>
        <v>PR</v>
      </c>
      <c r="N439" s="9" t="n">
        <v>0</v>
      </c>
      <c r="O439" s="10" t="n">
        <v>1255.3</v>
      </c>
      <c r="P439" s="10" t="n">
        <v>1029.4</v>
      </c>
      <c r="Q439" s="10" t="n">
        <v>15.51</v>
      </c>
      <c r="R439" s="10" t="n">
        <v>15.51</v>
      </c>
      <c r="S439" s="5" t="str">
        <f aca="false">"Faturado"</f>
        <v>Faturado</v>
      </c>
      <c r="T439" s="5" t="str">
        <f aca="false">"Marcos Petri"</f>
        <v>Marcos Petri</v>
      </c>
      <c r="U439" s="11" t="n">
        <v>6</v>
      </c>
      <c r="V439" s="5" t="str">
        <f aca="false">""</f>
        <v/>
      </c>
    </row>
    <row r="440" customFormat="false" ht="12.8" hidden="false" customHeight="false" outlineLevel="0" collapsed="false">
      <c r="A440" s="4" t="n">
        <v>206</v>
      </c>
      <c r="B440" s="5" t="str">
        <f aca="false">"LA FONTE"</f>
        <v>LA FONTE</v>
      </c>
      <c r="C440" s="6" t="n">
        <v>955490</v>
      </c>
      <c r="D440" s="7" t="n">
        <v>45768</v>
      </c>
      <c r="E440" s="7" t="n">
        <v>45745</v>
      </c>
      <c r="F440" s="7"/>
      <c r="G440" s="7" t="n">
        <v>45751</v>
      </c>
      <c r="H440" s="7" t="n">
        <v>45751</v>
      </c>
      <c r="I440" s="15" t="n">
        <v>90046</v>
      </c>
      <c r="J440" s="5" t="str">
        <f aca="false">"SPDLFT005741"</f>
        <v>SPDLFT005741</v>
      </c>
      <c r="K440" s="5" t="str">
        <f aca="false">"SUNSEG DISTR"</f>
        <v>SUNSEG DISTR</v>
      </c>
      <c r="L440" s="5" t="str">
        <f aca="false">"SEGURANCA ELETRONICA"</f>
        <v>SEGURANCA ELETRONICA</v>
      </c>
      <c r="M440" s="5" t="str">
        <f aca="false">"SP"</f>
        <v>SP</v>
      </c>
      <c r="N440" s="9" t="n">
        <v>0</v>
      </c>
      <c r="O440" s="10" t="n">
        <v>1851.6</v>
      </c>
      <c r="P440" s="10" t="n">
        <v>1293.77</v>
      </c>
      <c r="Q440" s="10" t="n">
        <v>31.4</v>
      </c>
      <c r="R440" s="10" t="n">
        <v>31.4</v>
      </c>
      <c r="S440" s="5" t="str">
        <f aca="false">"Faturado"</f>
        <v>Faturado</v>
      </c>
      <c r="T440" s="5" t="str">
        <f aca="false">"JB ELETRONIC"</f>
        <v>JB ELETRONIC</v>
      </c>
      <c r="U440" s="11" t="n">
        <v>25</v>
      </c>
      <c r="V440" s="5" t="str">
        <f aca="false">""</f>
        <v/>
      </c>
    </row>
    <row r="441" customFormat="false" ht="12.8" hidden="false" customHeight="false" outlineLevel="0" collapsed="false">
      <c r="A441" s="4" t="n">
        <v>206</v>
      </c>
      <c r="B441" s="5" t="str">
        <f aca="false">"PAPAIZ"</f>
        <v>PAPAIZ</v>
      </c>
      <c r="C441" s="6" t="n">
        <v>955746</v>
      </c>
      <c r="D441" s="7" t="n">
        <v>45770</v>
      </c>
      <c r="E441" s="7" t="n">
        <v>45748</v>
      </c>
      <c r="F441" s="7"/>
      <c r="G441" s="7"/>
      <c r="H441" s="7" t="n">
        <v>45751</v>
      </c>
      <c r="I441" s="15" t="n">
        <v>90176</v>
      </c>
      <c r="J441" s="5" t="str">
        <f aca="false">"SPDPPZ032139"</f>
        <v>SPDPPZ032139</v>
      </c>
      <c r="K441" s="5" t="str">
        <f aca="false">"59.503.082"</f>
        <v>59.503.082</v>
      </c>
      <c r="L441" s="5" t="str">
        <f aca="false">"FERRAGISTA"</f>
        <v>FERRAGISTA</v>
      </c>
      <c r="M441" s="5" t="str">
        <f aca="false">"RJ"</f>
        <v>RJ</v>
      </c>
      <c r="N441" s="9" t="n">
        <v>273.2</v>
      </c>
      <c r="O441" s="10" t="n">
        <v>658.5</v>
      </c>
      <c r="P441" s="10" t="n">
        <v>525.88</v>
      </c>
      <c r="Q441" s="10" t="n">
        <v>4.1</v>
      </c>
      <c r="R441" s="10" t="n">
        <v>3.88</v>
      </c>
      <c r="S441" s="5" t="str">
        <f aca="false">"Faturado"</f>
        <v>Faturado</v>
      </c>
      <c r="T441" s="5" t="str">
        <f aca="false">"CAPA 123"</f>
        <v>CAPA 123</v>
      </c>
      <c r="U441" s="11" t="n">
        <v>25</v>
      </c>
      <c r="V441" s="5" t="str">
        <f aca="false">""</f>
        <v/>
      </c>
    </row>
    <row r="442" customFormat="false" ht="12.8" hidden="false" customHeight="false" outlineLevel="0" collapsed="false">
      <c r="A442" s="4" t="n">
        <v>206</v>
      </c>
      <c r="B442" s="5" t="str">
        <f aca="false">"PAPAIZ"</f>
        <v>PAPAIZ</v>
      </c>
      <c r="C442" s="6" t="n">
        <v>956020</v>
      </c>
      <c r="D442" s="7" t="n">
        <v>45771</v>
      </c>
      <c r="E442" s="7" t="n">
        <v>45748</v>
      </c>
      <c r="F442" s="7"/>
      <c r="G442" s="7"/>
      <c r="H442" s="7" t="n">
        <v>45751</v>
      </c>
      <c r="I442" s="15" t="n">
        <v>90175</v>
      </c>
      <c r="J442" s="5" t="str">
        <f aca="false">"SPDPPZ032163"</f>
        <v>SPDPPZ032163</v>
      </c>
      <c r="K442" s="5" t="str">
        <f aca="false">"ALCIMIRW"</f>
        <v>ALCIMIRW</v>
      </c>
      <c r="L442" s="5" t="str">
        <f aca="false">"FERRAGISTA"</f>
        <v>FERRAGISTA</v>
      </c>
      <c r="M442" s="5" t="str">
        <f aca="false">"PR"</f>
        <v>PR</v>
      </c>
      <c r="N442" s="9" t="n">
        <v>375.7</v>
      </c>
      <c r="O442" s="10" t="n">
        <v>705.5</v>
      </c>
      <c r="P442" s="10" t="n">
        <v>563.42</v>
      </c>
      <c r="Q442" s="10" t="n">
        <v>4.78</v>
      </c>
      <c r="R442" s="10" t="n">
        <v>4.49</v>
      </c>
      <c r="S442" s="5" t="str">
        <f aca="false">"Faturado"</f>
        <v>Faturado</v>
      </c>
      <c r="T442" s="5" t="str">
        <f aca="false">"KRS REP"</f>
        <v>KRS REP</v>
      </c>
      <c r="U442" s="11" t="n">
        <v>25</v>
      </c>
      <c r="V442" s="5" t="str">
        <f aca="false">""</f>
        <v/>
      </c>
    </row>
    <row r="443" customFormat="false" ht="12.8" hidden="false" customHeight="false" outlineLevel="0" collapsed="false">
      <c r="A443" s="4" t="n">
        <v>206</v>
      </c>
      <c r="B443" s="5" t="str">
        <f aca="false">"PAPAIZ"</f>
        <v>PAPAIZ</v>
      </c>
      <c r="C443" s="6" t="n">
        <v>955735</v>
      </c>
      <c r="D443" s="7" t="n">
        <v>45771</v>
      </c>
      <c r="E443" s="7" t="n">
        <v>45748</v>
      </c>
      <c r="F443" s="7"/>
      <c r="G443" s="7"/>
      <c r="H443" s="7" t="n">
        <v>45751</v>
      </c>
      <c r="I443" s="15" t="n">
        <v>90128</v>
      </c>
      <c r="J443" s="14" t="n">
        <v>4520530982</v>
      </c>
      <c r="K443" s="5" t="str">
        <f aca="false">"LEROY VITOR"</f>
        <v>LEROY VITOR</v>
      </c>
      <c r="L443" s="5" t="str">
        <f aca="false">"HOME CENTER"</f>
        <v>HOME CENTER</v>
      </c>
      <c r="M443" s="5" t="str">
        <f aca="false">"ES"</f>
        <v>ES</v>
      </c>
      <c r="N443" s="9" t="n">
        <v>0</v>
      </c>
      <c r="O443" s="10" t="n">
        <v>629.2</v>
      </c>
      <c r="P443" s="10" t="n">
        <v>517.77</v>
      </c>
      <c r="Q443" s="10" t="n">
        <v>10.05</v>
      </c>
      <c r="R443" s="10" t="n">
        <v>10.05</v>
      </c>
      <c r="S443" s="5" t="str">
        <f aca="false">"Faturado"</f>
        <v>Faturado</v>
      </c>
      <c r="T443" s="5" t="str">
        <f aca="false">"J FIRMINO"</f>
        <v>J FIRMINO</v>
      </c>
      <c r="U443" s="11" t="n">
        <v>6</v>
      </c>
      <c r="V443" s="5" t="str">
        <f aca="false">""</f>
        <v/>
      </c>
    </row>
    <row r="444" customFormat="false" ht="12.8" hidden="false" customHeight="false" outlineLevel="0" collapsed="false">
      <c r="A444" s="4" t="n">
        <v>206</v>
      </c>
      <c r="B444" s="5" t="str">
        <f aca="false">"PAPAIZ"</f>
        <v>PAPAIZ</v>
      </c>
      <c r="C444" s="6" t="n">
        <v>956104</v>
      </c>
      <c r="D444" s="7" t="n">
        <v>45771</v>
      </c>
      <c r="E444" s="7" t="n">
        <v>45749</v>
      </c>
      <c r="F444" s="7"/>
      <c r="G444" s="7"/>
      <c r="H444" s="7" t="n">
        <v>45751</v>
      </c>
      <c r="I444" s="15" t="n">
        <v>90063</v>
      </c>
      <c r="J444" s="5" t="str">
        <f aca="false">"SPDPPZ032187"</f>
        <v>SPDPPZ032187</v>
      </c>
      <c r="K444" s="5" t="str">
        <f aca="false">"CHAVEIRO RED"</f>
        <v>CHAVEIRO RED</v>
      </c>
      <c r="L444" s="5" t="str">
        <f aca="false">"FERRAGISTA"</f>
        <v>FERRAGISTA</v>
      </c>
      <c r="M444" s="5" t="str">
        <f aca="false">"SP"</f>
        <v>SP</v>
      </c>
      <c r="N444" s="9" t="n">
        <v>293.05</v>
      </c>
      <c r="O444" s="10" t="n">
        <v>1139.05</v>
      </c>
      <c r="P444" s="10" t="n">
        <v>847.63</v>
      </c>
      <c r="Q444" s="10" t="n">
        <v>7.31</v>
      </c>
      <c r="R444" s="10" t="n">
        <v>7.08</v>
      </c>
      <c r="S444" s="5" t="str">
        <f aca="false">"Faturado"</f>
        <v>Faturado</v>
      </c>
      <c r="T444" s="5" t="str">
        <f aca="false">"VARGAS REP"</f>
        <v>VARGAS REP</v>
      </c>
      <c r="U444" s="11" t="n">
        <v>25</v>
      </c>
      <c r="V444" s="5" t="str">
        <f aca="false">""</f>
        <v/>
      </c>
    </row>
    <row r="445" customFormat="false" ht="12.8" hidden="false" customHeight="false" outlineLevel="0" collapsed="false">
      <c r="A445" s="4" t="n">
        <v>206</v>
      </c>
      <c r="B445" s="5" t="str">
        <f aca="false">"PAPAIZ"</f>
        <v>PAPAIZ</v>
      </c>
      <c r="C445" s="6" t="n">
        <v>956107</v>
      </c>
      <c r="D445" s="7" t="n">
        <v>45771</v>
      </c>
      <c r="E445" s="7" t="n">
        <v>45749</v>
      </c>
      <c r="F445" s="7"/>
      <c r="G445" s="7"/>
      <c r="H445" s="7" t="n">
        <v>45751</v>
      </c>
      <c r="I445" s="15" t="n">
        <v>90166</v>
      </c>
      <c r="J445" s="13" t="n">
        <v>4054</v>
      </c>
      <c r="K445" s="5" t="str">
        <f aca="false">"DATA EQUIPAM"</f>
        <v>DATA EQUIPAM</v>
      </c>
      <c r="L445" s="5" t="str">
        <f aca="false">"NOVOS CANAIS"</f>
        <v>NOVOS CANAIS</v>
      </c>
      <c r="M445" s="5" t="str">
        <f aca="false">"SP"</f>
        <v>SP</v>
      </c>
      <c r="N445" s="9" t="n">
        <v>604.5</v>
      </c>
      <c r="O445" s="10" t="n">
        <v>740.4</v>
      </c>
      <c r="P445" s="10" t="n">
        <v>550.97</v>
      </c>
      <c r="Q445" s="10" t="n">
        <v>4.53</v>
      </c>
      <c r="R445" s="10" t="n">
        <v>4.28</v>
      </c>
      <c r="S445" s="5" t="str">
        <f aca="false">"Faturado"</f>
        <v>Faturado</v>
      </c>
      <c r="T445" s="5" t="str">
        <f aca="false">"VASCONCELOS"</f>
        <v>VASCONCELOS</v>
      </c>
      <c r="U445" s="11" t="n">
        <v>25</v>
      </c>
      <c r="V445" s="5" t="str">
        <f aca="false">""</f>
        <v/>
      </c>
    </row>
    <row r="446" customFormat="false" ht="12.8" hidden="false" customHeight="false" outlineLevel="0" collapsed="false">
      <c r="A446" s="4" t="n">
        <v>206</v>
      </c>
      <c r="B446" s="5" t="str">
        <f aca="false">"PAPAIZ"</f>
        <v>PAPAIZ</v>
      </c>
      <c r="C446" s="6" t="n">
        <v>956717</v>
      </c>
      <c r="D446" s="7" t="n">
        <v>45771</v>
      </c>
      <c r="E446" s="7" t="n">
        <v>45751</v>
      </c>
      <c r="F446" s="7"/>
      <c r="G446" s="7"/>
      <c r="H446" s="7" t="n">
        <v>45751</v>
      </c>
      <c r="I446" s="15" t="n">
        <v>90133</v>
      </c>
      <c r="J446" s="5" t="str">
        <f aca="false">"SPDPPZ032183"</f>
        <v>SPDPPZ032183</v>
      </c>
      <c r="K446" s="5" t="str">
        <f aca="false">"CASA DAS BO"</f>
        <v>CASA DAS BO</v>
      </c>
      <c r="L446" s="5" t="str">
        <f aca="false">"MATERIAL DE CONSTRUCAO"</f>
        <v>MATERIAL DE CONSTRUCAO</v>
      </c>
      <c r="M446" s="5" t="str">
        <f aca="false">"MA"</f>
        <v>MA</v>
      </c>
      <c r="N446" s="9" t="n">
        <v>710.8</v>
      </c>
      <c r="O446" s="10" t="n">
        <v>1680.8</v>
      </c>
      <c r="P446" s="10" t="n">
        <v>1418.55</v>
      </c>
      <c r="Q446" s="10" t="n">
        <v>13.73</v>
      </c>
      <c r="R446" s="10" t="n">
        <v>13.31</v>
      </c>
      <c r="S446" s="5" t="str">
        <f aca="false">"Faturado"</f>
        <v>Faturado</v>
      </c>
      <c r="T446" s="5" t="str">
        <f aca="false">"FMS REPRESEN"</f>
        <v>FMS REPRESEN</v>
      </c>
      <c r="U446" s="11" t="n">
        <v>25</v>
      </c>
      <c r="V446" s="5" t="str">
        <f aca="false">""</f>
        <v/>
      </c>
    </row>
    <row r="447" customFormat="false" ht="12.8" hidden="false" customHeight="false" outlineLevel="0" collapsed="false">
      <c r="A447" s="4" t="n">
        <v>206</v>
      </c>
      <c r="B447" s="5" t="str">
        <f aca="false">"PAPAIZ"</f>
        <v>PAPAIZ</v>
      </c>
      <c r="C447" s="6" t="n">
        <v>955734</v>
      </c>
      <c r="D447" s="7" t="n">
        <v>45771</v>
      </c>
      <c r="E447" s="7" t="n">
        <v>45748</v>
      </c>
      <c r="F447" s="7"/>
      <c r="G447" s="7"/>
      <c r="H447" s="7" t="n">
        <v>45751</v>
      </c>
      <c r="I447" s="15" t="n">
        <v>90108</v>
      </c>
      <c r="J447" s="14" t="n">
        <v>4520527743</v>
      </c>
      <c r="K447" s="5" t="str">
        <f aca="false">"LEROY SOROCA"</f>
        <v>LEROY SOROCA</v>
      </c>
      <c r="L447" s="5" t="str">
        <f aca="false">"HOME CENTER"</f>
        <v>HOME CENTER</v>
      </c>
      <c r="M447" s="5" t="str">
        <f aca="false">"SP"</f>
        <v>SP</v>
      </c>
      <c r="N447" s="9" t="n">
        <v>0</v>
      </c>
      <c r="O447" s="10" t="n">
        <v>753.4</v>
      </c>
      <c r="P447" s="10" t="n">
        <v>545.16</v>
      </c>
      <c r="Q447" s="10" t="n">
        <v>9.37</v>
      </c>
      <c r="R447" s="10" t="n">
        <v>9.26</v>
      </c>
      <c r="S447" s="5" t="str">
        <f aca="false">"Faturado"</f>
        <v>Faturado</v>
      </c>
      <c r="T447" s="5" t="str">
        <f aca="false">"TIAGO SILVA"</f>
        <v>TIAGO SILVA</v>
      </c>
      <c r="U447" s="11" t="n">
        <v>6</v>
      </c>
      <c r="V447" s="5" t="str">
        <f aca="false">""</f>
        <v/>
      </c>
    </row>
    <row r="448" customFormat="false" ht="12.8" hidden="false" customHeight="false" outlineLevel="0" collapsed="false">
      <c r="A448" s="4" t="n">
        <v>206</v>
      </c>
      <c r="B448" s="5" t="str">
        <f aca="false">"PAPAIZ"</f>
        <v>PAPAIZ</v>
      </c>
      <c r="C448" s="6" t="n">
        <v>955702</v>
      </c>
      <c r="D448" s="7" t="n">
        <v>45771</v>
      </c>
      <c r="E448" s="7" t="n">
        <v>45747</v>
      </c>
      <c r="F448" s="7"/>
      <c r="G448" s="7"/>
      <c r="H448" s="7" t="n">
        <v>45751</v>
      </c>
      <c r="I448" s="15" t="n">
        <v>90112</v>
      </c>
      <c r="J448" s="5" t="str">
        <f aca="false">"SPDPPZ032071"</f>
        <v>SPDPPZ032071</v>
      </c>
      <c r="K448" s="5" t="str">
        <f aca="false">"SUCESSO DIST"</f>
        <v>SUCESSO DIST</v>
      </c>
      <c r="L448" s="5" t="str">
        <f aca="false">"FERRAGISTA"</f>
        <v>FERRAGISTA</v>
      </c>
      <c r="M448" s="5" t="str">
        <f aca="false">"SP"</f>
        <v>SP</v>
      </c>
      <c r="N448" s="9" t="n">
        <v>0</v>
      </c>
      <c r="O448" s="10" t="n">
        <v>4062.51</v>
      </c>
      <c r="P448" s="10" t="n">
        <v>2838.61</v>
      </c>
      <c r="Q448" s="10" t="n">
        <v>56.91</v>
      </c>
      <c r="R448" s="10" t="n">
        <v>56.13</v>
      </c>
      <c r="S448" s="5" t="str">
        <f aca="false">"Faturado"</f>
        <v>Faturado</v>
      </c>
      <c r="T448" s="5" t="str">
        <f aca="false">"BRFOKUS"</f>
        <v>BRFOKUS</v>
      </c>
      <c r="U448" s="11" t="n">
        <v>25</v>
      </c>
      <c r="V448" s="5" t="str">
        <f aca="false">""</f>
        <v/>
      </c>
    </row>
    <row r="449" customFormat="false" ht="12.8" hidden="false" customHeight="false" outlineLevel="0" collapsed="false">
      <c r="A449" s="4" t="n">
        <v>206</v>
      </c>
      <c r="B449" s="5" t="str">
        <f aca="false">"PAPAIZ"</f>
        <v>PAPAIZ</v>
      </c>
      <c r="C449" s="6" t="n">
        <v>956127</v>
      </c>
      <c r="D449" s="7" t="n">
        <v>45771</v>
      </c>
      <c r="E449" s="7" t="n">
        <v>45749</v>
      </c>
      <c r="F449" s="7"/>
      <c r="G449" s="7" t="n">
        <v>45751</v>
      </c>
      <c r="H449" s="7" t="n">
        <v>45751</v>
      </c>
      <c r="I449" s="15" t="n">
        <v>90066</v>
      </c>
      <c r="J449" s="5" t="str">
        <f aca="false">"SPDPPZ032194"</f>
        <v>SPDPPZ032194</v>
      </c>
      <c r="K449" s="5" t="str">
        <f aca="false">"R1 PARAFUSOS"</f>
        <v>R1 PARAFUSOS</v>
      </c>
      <c r="L449" s="5" t="str">
        <f aca="false">"MATERIAL DE CONSTRUCAO"</f>
        <v>MATERIAL DE CONSTRUCAO</v>
      </c>
      <c r="M449" s="5" t="str">
        <f aca="false">"RJ"</f>
        <v>RJ</v>
      </c>
      <c r="N449" s="9" t="n">
        <v>85.35</v>
      </c>
      <c r="O449" s="10" t="n">
        <v>1033.86</v>
      </c>
      <c r="P449" s="10" t="n">
        <v>825.65</v>
      </c>
      <c r="Q449" s="10" t="n">
        <v>8.11</v>
      </c>
      <c r="R449" s="10" t="n">
        <v>7.97</v>
      </c>
      <c r="S449" s="5" t="str">
        <f aca="false">"Faturado"</f>
        <v>Faturado</v>
      </c>
      <c r="T449" s="5" t="str">
        <f aca="false">"CAPA 123"</f>
        <v>CAPA 123</v>
      </c>
      <c r="U449" s="11" t="n">
        <v>25</v>
      </c>
      <c r="V449" s="5" t="str">
        <f aca="false">""</f>
        <v/>
      </c>
    </row>
    <row r="450" customFormat="false" ht="12.8" hidden="false" customHeight="false" outlineLevel="0" collapsed="false">
      <c r="A450" s="4" t="n">
        <v>206</v>
      </c>
      <c r="B450" s="5" t="str">
        <f aca="false">"PAPAIZ"</f>
        <v>PAPAIZ</v>
      </c>
      <c r="C450" s="6" t="n">
        <v>956026</v>
      </c>
      <c r="D450" s="7" t="n">
        <v>45771</v>
      </c>
      <c r="E450" s="7" t="n">
        <v>45748</v>
      </c>
      <c r="F450" s="7"/>
      <c r="G450" s="7"/>
      <c r="H450" s="7" t="n">
        <v>45751</v>
      </c>
      <c r="I450" s="15" t="n">
        <v>90067</v>
      </c>
      <c r="J450" s="5" t="str">
        <f aca="false">"SPDPPZ032169"</f>
        <v>SPDPPZ032169</v>
      </c>
      <c r="K450" s="5" t="str">
        <f aca="false">"DOURO MATERI"</f>
        <v>DOURO MATERI</v>
      </c>
      <c r="L450" s="5" t="str">
        <f aca="false">"MATERIAL DE CONSTRUCAO"</f>
        <v>MATERIAL DE CONSTRUCAO</v>
      </c>
      <c r="M450" s="5" t="str">
        <f aca="false">"ES"</f>
        <v>ES</v>
      </c>
      <c r="N450" s="9" t="n">
        <v>484.5</v>
      </c>
      <c r="O450" s="10" t="n">
        <v>1672.6</v>
      </c>
      <c r="P450" s="10" t="n">
        <v>1411.63</v>
      </c>
      <c r="Q450" s="10" t="n">
        <v>13.95</v>
      </c>
      <c r="R450" s="10" t="n">
        <v>13.78</v>
      </c>
      <c r="S450" s="5" t="str">
        <f aca="false">"Faturado"</f>
        <v>Faturado</v>
      </c>
      <c r="T450" s="5" t="str">
        <f aca="false">"MAGALHAES RE"</f>
        <v>MAGALHAES RE</v>
      </c>
      <c r="U450" s="11" t="n">
        <v>25</v>
      </c>
      <c r="V450" s="5" t="str">
        <f aca="false">""</f>
        <v/>
      </c>
    </row>
    <row r="451" customFormat="false" ht="12.8" hidden="false" customHeight="false" outlineLevel="0" collapsed="false">
      <c r="A451" s="4" t="n">
        <v>206</v>
      </c>
      <c r="B451" s="5" t="str">
        <f aca="false">"PAPAIZ"</f>
        <v>PAPAIZ</v>
      </c>
      <c r="C451" s="6" t="n">
        <v>955696</v>
      </c>
      <c r="D451" s="7" t="n">
        <v>45771</v>
      </c>
      <c r="E451" s="7" t="n">
        <v>45747</v>
      </c>
      <c r="F451" s="7"/>
      <c r="G451" s="7"/>
      <c r="H451" s="7" t="n">
        <v>45751</v>
      </c>
      <c r="I451" s="15" t="n">
        <v>90093</v>
      </c>
      <c r="J451" s="5" t="str">
        <f aca="false">"SPDPPZ032076"</f>
        <v>SPDPPZ032076</v>
      </c>
      <c r="K451" s="5" t="str">
        <f aca="false">"19.385.437"</f>
        <v>19.385.437</v>
      </c>
      <c r="L451" s="5" t="str">
        <f aca="false">"CONSTRUTORA"</f>
        <v>CONSTRUTORA</v>
      </c>
      <c r="M451" s="5" t="str">
        <f aca="false">"CE"</f>
        <v>CE</v>
      </c>
      <c r="N451" s="9" t="n">
        <v>0</v>
      </c>
      <c r="O451" s="10" t="n">
        <v>999</v>
      </c>
      <c r="P451" s="10" t="n">
        <v>870.33</v>
      </c>
      <c r="Q451" s="10" t="n">
        <v>2.66</v>
      </c>
      <c r="R451" s="10" t="n">
        <v>2.3</v>
      </c>
      <c r="S451" s="5" t="str">
        <f aca="false">"Faturado"</f>
        <v>Faturado</v>
      </c>
      <c r="T451" s="5" t="str">
        <f aca="false">"PERLA COSTA"</f>
        <v>PERLA COSTA</v>
      </c>
      <c r="U451" s="11" t="n">
        <v>25</v>
      </c>
      <c r="V451" s="5" t="str">
        <f aca="false">""</f>
        <v/>
      </c>
    </row>
    <row r="452" customFormat="false" ht="12.8" hidden="false" customHeight="false" outlineLevel="0" collapsed="false">
      <c r="A452" s="4" t="n">
        <v>206</v>
      </c>
      <c r="B452" s="5" t="str">
        <f aca="false">"PAPAIZ"</f>
        <v>PAPAIZ</v>
      </c>
      <c r="C452" s="6" t="n">
        <v>956114</v>
      </c>
      <c r="D452" s="7" t="n">
        <v>45771</v>
      </c>
      <c r="E452" s="7" t="n">
        <v>45749</v>
      </c>
      <c r="F452" s="7"/>
      <c r="G452" s="7"/>
      <c r="H452" s="7" t="n">
        <v>45751</v>
      </c>
      <c r="I452" s="15" t="n">
        <v>90072</v>
      </c>
      <c r="J452" s="14" t="n">
        <v>4500310045</v>
      </c>
      <c r="K452" s="5" t="str">
        <f aca="false">"GRAVIA IND"</f>
        <v>GRAVIA IND</v>
      </c>
      <c r="L452" s="5" t="str">
        <f aca="false">"OEM"</f>
        <v>OEM</v>
      </c>
      <c r="M452" s="5" t="str">
        <f aca="false">"DF"</f>
        <v>DF</v>
      </c>
      <c r="N452" s="9" t="n">
        <v>508.8</v>
      </c>
      <c r="O452" s="10" t="n">
        <v>1157.68</v>
      </c>
      <c r="P452" s="10" t="n">
        <v>977.05</v>
      </c>
      <c r="Q452" s="10" t="n">
        <v>11.58</v>
      </c>
      <c r="R452" s="10" t="n">
        <v>11.16</v>
      </c>
      <c r="S452" s="5" t="str">
        <f aca="false">"Faturado"</f>
        <v>Faturado</v>
      </c>
      <c r="T452" s="5" t="str">
        <f aca="false">"KGS NEW"</f>
        <v>KGS NEW</v>
      </c>
      <c r="U452" s="11" t="n">
        <v>25</v>
      </c>
      <c r="V452" s="5" t="str">
        <f aca="false">""</f>
        <v/>
      </c>
    </row>
    <row r="453" customFormat="false" ht="12.8" hidden="false" customHeight="false" outlineLevel="0" collapsed="false">
      <c r="A453" s="4" t="n">
        <v>206</v>
      </c>
      <c r="B453" s="5" t="str">
        <f aca="false">"PAPAIZ"</f>
        <v>PAPAIZ</v>
      </c>
      <c r="C453" s="6" t="n">
        <v>956105</v>
      </c>
      <c r="D453" s="7" t="n">
        <v>45771</v>
      </c>
      <c r="E453" s="7" t="n">
        <v>45749</v>
      </c>
      <c r="F453" s="7"/>
      <c r="G453" s="7"/>
      <c r="H453" s="7" t="n">
        <v>45751</v>
      </c>
      <c r="I453" s="15" t="n">
        <v>90073</v>
      </c>
      <c r="J453" s="5" t="str">
        <f aca="false">"SPDPPZ032201"</f>
        <v>SPDPPZ032201</v>
      </c>
      <c r="K453" s="5" t="str">
        <f aca="false">"COMACOL COM"</f>
        <v>COMACOL COM</v>
      </c>
      <c r="L453" s="5" t="str">
        <f aca="false">"MATERIAL DE CONSTRUCAO"</f>
        <v>MATERIAL DE CONSTRUCAO</v>
      </c>
      <c r="M453" s="5" t="str">
        <f aca="false">"SP"</f>
        <v>SP</v>
      </c>
      <c r="N453" s="9" t="n">
        <v>0</v>
      </c>
      <c r="O453" s="10" t="n">
        <v>1072</v>
      </c>
      <c r="P453" s="10" t="n">
        <v>797.73</v>
      </c>
      <c r="Q453" s="10" t="n">
        <v>5.48</v>
      </c>
      <c r="R453" s="10" t="n">
        <v>5.4</v>
      </c>
      <c r="S453" s="5" t="str">
        <f aca="false">"Faturado"</f>
        <v>Faturado</v>
      </c>
      <c r="T453" s="5" t="str">
        <f aca="false">"HERCULES RIO"</f>
        <v>HERCULES RIO</v>
      </c>
      <c r="U453" s="11" t="n">
        <v>25</v>
      </c>
      <c r="V453" s="5" t="str">
        <f aca="false">""</f>
        <v/>
      </c>
    </row>
    <row r="454" customFormat="false" ht="12.8" hidden="false" customHeight="false" outlineLevel="0" collapsed="false">
      <c r="A454" s="4" t="n">
        <v>206</v>
      </c>
      <c r="B454" s="5" t="str">
        <f aca="false">"PAPAIZ"</f>
        <v>PAPAIZ</v>
      </c>
      <c r="C454" s="6" t="n">
        <v>956118</v>
      </c>
      <c r="D454" s="7" t="n">
        <v>45771</v>
      </c>
      <c r="E454" s="7" t="n">
        <v>45749</v>
      </c>
      <c r="F454" s="7"/>
      <c r="G454" s="7"/>
      <c r="H454" s="7" t="n">
        <v>45751</v>
      </c>
      <c r="I454" s="15" t="n">
        <v>90173</v>
      </c>
      <c r="J454" s="5" t="str">
        <f aca="false">"SPDPPZ032193"</f>
        <v>SPDPPZ032193</v>
      </c>
      <c r="K454" s="5" t="str">
        <f aca="false">"MULTILIMPLEZ"</f>
        <v>MULTILIMPLEZ</v>
      </c>
      <c r="L454" s="5" t="str">
        <f aca="false">"MATERIAL DE CONSTRUCAO"</f>
        <v>MATERIAL DE CONSTRUCAO</v>
      </c>
      <c r="M454" s="5" t="str">
        <f aca="false">"RJ"</f>
        <v>RJ</v>
      </c>
      <c r="N454" s="9" t="n">
        <v>273.2</v>
      </c>
      <c r="O454" s="10" t="n">
        <v>444.9</v>
      </c>
      <c r="P454" s="10" t="n">
        <v>355.3</v>
      </c>
      <c r="Q454" s="10" t="n">
        <v>2.81</v>
      </c>
      <c r="R454" s="10" t="n">
        <v>2.68</v>
      </c>
      <c r="S454" s="5" t="str">
        <f aca="false">"Faturado"</f>
        <v>Faturado</v>
      </c>
      <c r="T454" s="5" t="str">
        <f aca="false">"CAPA 123"</f>
        <v>CAPA 123</v>
      </c>
      <c r="U454" s="11" t="n">
        <v>25</v>
      </c>
      <c r="V454" s="5" t="str">
        <f aca="false">""</f>
        <v/>
      </c>
    </row>
    <row r="455" customFormat="false" ht="12.8" hidden="false" customHeight="false" outlineLevel="0" collapsed="false">
      <c r="A455" s="4" t="n">
        <v>206</v>
      </c>
      <c r="B455" s="5" t="str">
        <f aca="false">"PAPAIZ"</f>
        <v>PAPAIZ</v>
      </c>
      <c r="C455" s="6" t="n">
        <v>956024</v>
      </c>
      <c r="D455" s="7" t="n">
        <v>45771</v>
      </c>
      <c r="E455" s="7" t="n">
        <v>45748</v>
      </c>
      <c r="F455" s="7"/>
      <c r="G455" s="7"/>
      <c r="H455" s="7" t="n">
        <v>45751</v>
      </c>
      <c r="I455" s="15" t="n">
        <v>90125</v>
      </c>
      <c r="J455" s="5" t="str">
        <f aca="false">"SPDPPZ032166"</f>
        <v>SPDPPZ032166</v>
      </c>
      <c r="K455" s="5" t="str">
        <f aca="false">"DICASA"</f>
        <v>DICASA</v>
      </c>
      <c r="L455" s="5" t="str">
        <f aca="false">"MATERIAL DE CONSTRUCAO"</f>
        <v>MATERIAL DE CONSTRUCAO</v>
      </c>
      <c r="M455" s="5" t="str">
        <f aca="false">"ES"</f>
        <v>ES</v>
      </c>
      <c r="N455" s="9" t="n">
        <v>646</v>
      </c>
      <c r="O455" s="10" t="n">
        <v>2557.1</v>
      </c>
      <c r="P455" s="10" t="n">
        <v>2158.12</v>
      </c>
      <c r="Q455" s="10" t="n">
        <v>22.15</v>
      </c>
      <c r="R455" s="10" t="n">
        <v>21.51</v>
      </c>
      <c r="S455" s="5" t="str">
        <f aca="false">"Faturado"</f>
        <v>Faturado</v>
      </c>
      <c r="T455" s="5" t="str">
        <f aca="false">"MAGALHAES RE"</f>
        <v>MAGALHAES RE</v>
      </c>
      <c r="U455" s="11" t="n">
        <v>25</v>
      </c>
      <c r="V455" s="5" t="str">
        <f aca="false">""</f>
        <v/>
      </c>
    </row>
    <row r="456" customFormat="false" ht="12.8" hidden="false" customHeight="false" outlineLevel="0" collapsed="false">
      <c r="A456" s="4" t="n">
        <v>206</v>
      </c>
      <c r="B456" s="5" t="str">
        <f aca="false">"PAPAIZ"</f>
        <v>PAPAIZ</v>
      </c>
      <c r="C456" s="6" t="n">
        <v>955978</v>
      </c>
      <c r="D456" s="7" t="n">
        <v>45771</v>
      </c>
      <c r="E456" s="7" t="n">
        <v>45748</v>
      </c>
      <c r="F456" s="7"/>
      <c r="G456" s="7"/>
      <c r="H456" s="7" t="n">
        <v>45751</v>
      </c>
      <c r="I456" s="15" t="n">
        <v>90098</v>
      </c>
      <c r="J456" s="14" t="n">
        <v>4520527622</v>
      </c>
      <c r="K456" s="5" t="str">
        <f aca="false">"LEROY POA"</f>
        <v>LEROY POA</v>
      </c>
      <c r="L456" s="5" t="str">
        <f aca="false">"HOME CENTER"</f>
        <v>HOME CENTER</v>
      </c>
      <c r="M456" s="5" t="str">
        <f aca="false">"RS"</f>
        <v>RS</v>
      </c>
      <c r="N456" s="9" t="n">
        <v>0</v>
      </c>
      <c r="O456" s="10" t="n">
        <v>544</v>
      </c>
      <c r="P456" s="10" t="n">
        <v>442.71</v>
      </c>
      <c r="Q456" s="10" t="n">
        <v>8.41</v>
      </c>
      <c r="R456" s="10" t="n">
        <v>8.41</v>
      </c>
      <c r="S456" s="5" t="str">
        <f aca="false">"Faturado"</f>
        <v>Faturado</v>
      </c>
      <c r="T456" s="5" t="str">
        <f aca="false">"TIAGO SILVA"</f>
        <v>TIAGO SILVA</v>
      </c>
      <c r="U456" s="11" t="n">
        <v>6</v>
      </c>
      <c r="V456" s="5" t="str">
        <f aca="false">""</f>
        <v/>
      </c>
    </row>
    <row r="457" customFormat="false" ht="12.8" hidden="false" customHeight="false" outlineLevel="0" collapsed="false">
      <c r="A457" s="4" t="n">
        <v>206</v>
      </c>
      <c r="B457" s="5" t="str">
        <f aca="false">"LA FONTE"</f>
        <v>LA FONTE</v>
      </c>
      <c r="C457" s="6" t="n">
        <v>956541</v>
      </c>
      <c r="D457" s="7" t="n">
        <v>45772</v>
      </c>
      <c r="E457" s="7" t="n">
        <v>45750</v>
      </c>
      <c r="F457" s="7"/>
      <c r="G457" s="7" t="n">
        <v>45751</v>
      </c>
      <c r="H457" s="7" t="n">
        <v>45751</v>
      </c>
      <c r="I457" s="15" t="n">
        <v>90174</v>
      </c>
      <c r="J457" s="5" t="str">
        <f aca="false">"SPDLFT005494"</f>
        <v>SPDLFT005494</v>
      </c>
      <c r="K457" s="5" t="str">
        <f aca="false">"FLORESTA ITA"</f>
        <v>FLORESTA ITA</v>
      </c>
      <c r="L457" s="5" t="str">
        <f aca="false">"FERRAGISTA"</f>
        <v>FERRAGISTA</v>
      </c>
      <c r="M457" s="5" t="str">
        <f aca="false">"SC"</f>
        <v>SC</v>
      </c>
      <c r="N457" s="9" t="n">
        <v>0</v>
      </c>
      <c r="O457" s="10" t="n">
        <v>1163.6</v>
      </c>
      <c r="P457" s="10" t="n">
        <v>929.25</v>
      </c>
      <c r="Q457" s="10" t="n">
        <v>4.8</v>
      </c>
      <c r="R457" s="10" t="n">
        <v>4.8</v>
      </c>
      <c r="S457" s="5" t="str">
        <f aca="false">"Faturado"</f>
        <v>Faturado</v>
      </c>
      <c r="T457" s="5" t="str">
        <f aca="false">"PRIME CF"</f>
        <v>PRIME CF</v>
      </c>
      <c r="U457" s="11" t="n">
        <v>25</v>
      </c>
      <c r="V457" s="5" t="str">
        <f aca="false">""</f>
        <v/>
      </c>
    </row>
    <row r="458" customFormat="false" ht="12.8" hidden="false" customHeight="false" outlineLevel="0" collapsed="false">
      <c r="A458" s="4" t="n">
        <v>206</v>
      </c>
      <c r="B458" s="5" t="str">
        <f aca="false">"PAPAIZ"</f>
        <v>PAPAIZ</v>
      </c>
      <c r="C458" s="6" t="n">
        <v>956562</v>
      </c>
      <c r="D458" s="7" t="n">
        <v>45772</v>
      </c>
      <c r="E458" s="7" t="n">
        <v>45750</v>
      </c>
      <c r="F458" s="7"/>
      <c r="G458" s="7"/>
      <c r="H458" s="7" t="n">
        <v>45751</v>
      </c>
      <c r="I458" s="15" t="n">
        <v>90131</v>
      </c>
      <c r="J458" s="5" t="str">
        <f aca="false">"SPDPPZ032259"</f>
        <v>SPDPPZ032259</v>
      </c>
      <c r="K458" s="5" t="str">
        <f aca="false">"ALIANCAMA08"</f>
        <v>ALIANCAMA08</v>
      </c>
      <c r="L458" s="5" t="str">
        <f aca="false">"ATACADISTA"</f>
        <v>ATACADISTA</v>
      </c>
      <c r="M458" s="5" t="str">
        <f aca="false">"BA"</f>
        <v>BA</v>
      </c>
      <c r="N458" s="9" t="n">
        <v>6576</v>
      </c>
      <c r="O458" s="10" t="n">
        <v>21598</v>
      </c>
      <c r="P458" s="10" t="n">
        <v>18228.17</v>
      </c>
      <c r="Q458" s="10" t="n">
        <v>187.1</v>
      </c>
      <c r="R458" s="10" t="n">
        <v>175.85</v>
      </c>
      <c r="S458" s="5" t="str">
        <f aca="false">"Faturado"</f>
        <v>Faturado</v>
      </c>
      <c r="T458" s="5" t="str">
        <f aca="false">"JOYCECOVACEV"</f>
        <v>JOYCECOVACEV</v>
      </c>
      <c r="U458" s="11" t="n">
        <v>25</v>
      </c>
      <c r="V458" s="5" t="str">
        <f aca="false">""</f>
        <v/>
      </c>
    </row>
    <row r="459" customFormat="false" ht="12.8" hidden="false" customHeight="false" outlineLevel="0" collapsed="false">
      <c r="A459" s="4" t="n">
        <v>206</v>
      </c>
      <c r="B459" s="5" t="str">
        <f aca="false">"PAPAIZ"</f>
        <v>PAPAIZ</v>
      </c>
      <c r="C459" s="6" t="n">
        <v>956570</v>
      </c>
      <c r="D459" s="7" t="n">
        <v>45772</v>
      </c>
      <c r="E459" s="7" t="n">
        <v>45750</v>
      </c>
      <c r="F459" s="7"/>
      <c r="G459" s="7"/>
      <c r="H459" s="7" t="n">
        <v>45751</v>
      </c>
      <c r="I459" s="15" t="n">
        <v>90184</v>
      </c>
      <c r="J459" s="5" t="str">
        <f aca="false">"SPDPPZ030887"</f>
        <v>SPDPPZ030887</v>
      </c>
      <c r="K459" s="5" t="str">
        <f aca="false">"B SILVA"</f>
        <v>B SILVA</v>
      </c>
      <c r="L459" s="5" t="str">
        <f aca="false">"MATERIAL DE CONSTRUCAO"</f>
        <v>MATERIAL DE CONSTRUCAO</v>
      </c>
      <c r="M459" s="5" t="str">
        <f aca="false">"SP"</f>
        <v>SP</v>
      </c>
      <c r="N459" s="9" t="n">
        <v>400.25</v>
      </c>
      <c r="O459" s="10" t="n">
        <v>406.32</v>
      </c>
      <c r="P459" s="10" t="n">
        <v>302.36</v>
      </c>
      <c r="Q459" s="10" t="n">
        <v>2.18</v>
      </c>
      <c r="R459" s="10" t="n">
        <v>2.07</v>
      </c>
      <c r="S459" s="5" t="str">
        <f aca="false">"Faturado"</f>
        <v>Faturado</v>
      </c>
      <c r="T459" s="5" t="str">
        <f aca="false">"C RUIVO"</f>
        <v>C RUIVO</v>
      </c>
      <c r="U459" s="11" t="n">
        <v>25</v>
      </c>
      <c r="V459" s="5" t="str">
        <f aca="false">""</f>
        <v/>
      </c>
    </row>
    <row r="460" customFormat="false" ht="12.8" hidden="false" customHeight="false" outlineLevel="0" collapsed="false">
      <c r="A460" s="4" t="n">
        <v>206</v>
      </c>
      <c r="B460" s="5" t="str">
        <f aca="false">"PAPAIZ"</f>
        <v>PAPAIZ</v>
      </c>
      <c r="C460" s="6" t="n">
        <v>955993</v>
      </c>
      <c r="D460" s="7" t="n">
        <v>45772</v>
      </c>
      <c r="E460" s="7" t="n">
        <v>45748</v>
      </c>
      <c r="F460" s="7"/>
      <c r="G460" s="7"/>
      <c r="H460" s="7" t="n">
        <v>45751</v>
      </c>
      <c r="I460" s="15" t="n">
        <v>90079</v>
      </c>
      <c r="J460" s="5" t="str">
        <f aca="false">"SPDPPZ032148"</f>
        <v>SPDPPZ032148</v>
      </c>
      <c r="K460" s="5" t="str">
        <f aca="false">"CR PORTAS C"</f>
        <v>CR PORTAS C</v>
      </c>
      <c r="L460" s="5" t="str">
        <f aca="false">"NOVOS CANAIS"</f>
        <v>NOVOS CANAIS</v>
      </c>
      <c r="M460" s="5" t="str">
        <f aca="false">"SP"</f>
        <v>SP</v>
      </c>
      <c r="N460" s="9" t="n">
        <v>0</v>
      </c>
      <c r="O460" s="10" t="n">
        <v>676.96</v>
      </c>
      <c r="P460" s="10" t="n">
        <v>473.01</v>
      </c>
      <c r="Q460" s="10" t="n">
        <v>9.51</v>
      </c>
      <c r="R460" s="10" t="n">
        <v>9.48</v>
      </c>
      <c r="S460" s="5" t="str">
        <f aca="false">"Faturado"</f>
        <v>Faturado</v>
      </c>
      <c r="T460" s="5" t="str">
        <f aca="false">"REINALDO M"</f>
        <v>REINALDO M</v>
      </c>
      <c r="U460" s="11" t="n">
        <v>25</v>
      </c>
      <c r="V460" s="5" t="str">
        <f aca="false">""</f>
        <v/>
      </c>
    </row>
    <row r="461" customFormat="false" ht="12.8" hidden="false" customHeight="false" outlineLevel="0" collapsed="false">
      <c r="A461" s="4" t="n">
        <v>206</v>
      </c>
      <c r="B461" s="5" t="str">
        <f aca="false">"PAPAIZ"</f>
        <v>PAPAIZ</v>
      </c>
      <c r="C461" s="6" t="n">
        <v>955704</v>
      </c>
      <c r="D461" s="7" t="n">
        <v>45772</v>
      </c>
      <c r="E461" s="7" t="n">
        <v>45747</v>
      </c>
      <c r="F461" s="7"/>
      <c r="G461" s="7"/>
      <c r="H461" s="7" t="n">
        <v>45751</v>
      </c>
      <c r="I461" s="15" t="n">
        <v>90171</v>
      </c>
      <c r="J461" s="5" t="str">
        <f aca="false">"SPDPPZ032041"</f>
        <v>SPDPPZ032041</v>
      </c>
      <c r="K461" s="5" t="str">
        <f aca="false">"ATACDACONSTR"</f>
        <v>ATACDACONSTR</v>
      </c>
      <c r="L461" s="5" t="str">
        <f aca="false">"MATERIAL DE CONSTRUCAO"</f>
        <v>MATERIAL DE CONSTRUCAO</v>
      </c>
      <c r="M461" s="5" t="str">
        <f aca="false">"PA"</f>
        <v>PA</v>
      </c>
      <c r="N461" s="9" t="n">
        <v>1873.03</v>
      </c>
      <c r="O461" s="10" t="n">
        <v>839.9</v>
      </c>
      <c r="P461" s="10" t="n">
        <v>708.86</v>
      </c>
      <c r="Q461" s="10" t="n">
        <v>6.76</v>
      </c>
      <c r="R461" s="10" t="n">
        <v>6.41</v>
      </c>
      <c r="S461" s="5" t="str">
        <f aca="false">"Faturado"</f>
        <v>Faturado</v>
      </c>
      <c r="T461" s="5" t="str">
        <f aca="false">"POMBO REPRES"</f>
        <v>POMBO REPRES</v>
      </c>
      <c r="U461" s="11" t="n">
        <v>25</v>
      </c>
      <c r="V461" s="5" t="str">
        <f aca="false">""</f>
        <v/>
      </c>
    </row>
    <row r="462" customFormat="false" ht="12.8" hidden="false" customHeight="false" outlineLevel="0" collapsed="false">
      <c r="A462" s="4" t="n">
        <v>206</v>
      </c>
      <c r="B462" s="5" t="str">
        <f aca="false">"PAPAIZ"</f>
        <v>PAPAIZ</v>
      </c>
      <c r="C462" s="6" t="n">
        <v>956326</v>
      </c>
      <c r="D462" s="7" t="n">
        <v>45773</v>
      </c>
      <c r="E462" s="7" t="n">
        <v>45749</v>
      </c>
      <c r="F462" s="7"/>
      <c r="G462" s="7"/>
      <c r="H462" s="7" t="n">
        <v>45751</v>
      </c>
      <c r="I462" s="15" t="n">
        <v>90123</v>
      </c>
      <c r="J462" s="5" t="str">
        <f aca="false">"SPDPPZ032252"</f>
        <v>SPDPPZ032252</v>
      </c>
      <c r="K462" s="5" t="str">
        <f aca="false">"VR STORE"</f>
        <v>VR STORE</v>
      </c>
      <c r="L462" s="5" t="str">
        <f aca="false">"VAREJO VIP"</f>
        <v>VAREJO VIP</v>
      </c>
      <c r="M462" s="5" t="str">
        <f aca="false">"SP"</f>
        <v>SP</v>
      </c>
      <c r="N462" s="9" t="n">
        <v>137.04</v>
      </c>
      <c r="O462" s="10" t="n">
        <v>2772.72</v>
      </c>
      <c r="P462" s="10" t="n">
        <v>2063.33</v>
      </c>
      <c r="Q462" s="10" t="n">
        <v>9.02</v>
      </c>
      <c r="R462" s="10" t="n">
        <v>6.93</v>
      </c>
      <c r="S462" s="5" t="str">
        <f aca="false">"Faturado"</f>
        <v>Faturado</v>
      </c>
      <c r="T462" s="5" t="str">
        <f aca="false">"PRIME CF"</f>
        <v>PRIME CF</v>
      </c>
      <c r="U462" s="11" t="n">
        <v>25</v>
      </c>
      <c r="V462" s="5" t="str">
        <f aca="false">""</f>
        <v/>
      </c>
    </row>
    <row r="463" customFormat="false" ht="12.8" hidden="false" customHeight="false" outlineLevel="0" collapsed="false">
      <c r="A463" s="4" t="n">
        <v>206</v>
      </c>
      <c r="B463" s="5" t="str">
        <f aca="false">"PAPAIZ"</f>
        <v>PAPAIZ</v>
      </c>
      <c r="C463" s="6" t="n">
        <v>956586</v>
      </c>
      <c r="D463" s="7" t="n">
        <v>45773</v>
      </c>
      <c r="E463" s="7" t="n">
        <v>45750</v>
      </c>
      <c r="F463" s="7"/>
      <c r="G463" s="7"/>
      <c r="H463" s="7" t="n">
        <v>45751</v>
      </c>
      <c r="I463" s="15" t="n">
        <v>90107</v>
      </c>
      <c r="J463" s="5" t="str">
        <f aca="false">"SPDPPZ032335"</f>
        <v>SPDPPZ032335</v>
      </c>
      <c r="K463" s="5" t="str">
        <f aca="false">"CRUZADA"</f>
        <v>CRUZADA</v>
      </c>
      <c r="L463" s="5" t="str">
        <f aca="false">"ATACADISTA"</f>
        <v>ATACADISTA</v>
      </c>
      <c r="M463" s="5" t="str">
        <f aca="false">"RJ"</f>
        <v>RJ</v>
      </c>
      <c r="N463" s="9" t="n">
        <v>4219.8</v>
      </c>
      <c r="O463" s="10" t="n">
        <v>8416.7</v>
      </c>
      <c r="P463" s="10" t="n">
        <v>6721.58</v>
      </c>
      <c r="Q463" s="10" t="n">
        <v>63.8</v>
      </c>
      <c r="R463" s="10" t="n">
        <v>62.43</v>
      </c>
      <c r="S463" s="5" t="str">
        <f aca="false">"Faturado"</f>
        <v>Faturado</v>
      </c>
      <c r="T463" s="5" t="str">
        <f aca="false">"F2RIO REPRE"</f>
        <v>F2RIO REPRE</v>
      </c>
      <c r="U463" s="11" t="n">
        <v>25</v>
      </c>
      <c r="V463" s="5" t="str">
        <f aca="false">""</f>
        <v/>
      </c>
    </row>
    <row r="464" customFormat="false" ht="12.8" hidden="false" customHeight="false" outlineLevel="0" collapsed="false">
      <c r="A464" s="4" t="n">
        <v>206</v>
      </c>
      <c r="B464" s="5" t="str">
        <f aca="false">"PAPAIZ"</f>
        <v>PAPAIZ</v>
      </c>
      <c r="C464" s="6" t="n">
        <v>956293</v>
      </c>
      <c r="D464" s="7" t="n">
        <v>45773</v>
      </c>
      <c r="E464" s="7" t="n">
        <v>45749</v>
      </c>
      <c r="F464" s="7"/>
      <c r="G464" s="7"/>
      <c r="H464" s="7" t="n">
        <v>45751</v>
      </c>
      <c r="I464" s="15" t="n">
        <v>90120</v>
      </c>
      <c r="J464" s="5" t="str">
        <f aca="false">"SPDPPZ032249"</f>
        <v>SPDPPZ032249</v>
      </c>
      <c r="K464" s="5" t="str">
        <f aca="false">"WOOD DECOR"</f>
        <v>WOOD DECOR</v>
      </c>
      <c r="L464" s="5" t="str">
        <f aca="false">"MATERIAL DE CONSTRUCAO"</f>
        <v>MATERIAL DE CONSTRUCAO</v>
      </c>
      <c r="M464" s="5" t="str">
        <f aca="false">"AM"</f>
        <v>AM</v>
      </c>
      <c r="N464" s="9" t="n">
        <v>0</v>
      </c>
      <c r="O464" s="10" t="n">
        <v>2135.9</v>
      </c>
      <c r="P464" s="10" t="n">
        <v>1860.8</v>
      </c>
      <c r="Q464" s="10" t="n">
        <v>17.65</v>
      </c>
      <c r="R464" s="10" t="n">
        <v>14.7</v>
      </c>
      <c r="S464" s="5" t="str">
        <f aca="false">"Faturado"</f>
        <v>Faturado</v>
      </c>
      <c r="T464" s="5" t="str">
        <f aca="false">"LAZAROSANTOS"</f>
        <v>LAZAROSANTOS</v>
      </c>
      <c r="U464" s="11" t="n">
        <v>25</v>
      </c>
      <c r="V464" s="5" t="str">
        <f aca="false">""</f>
        <v/>
      </c>
    </row>
    <row r="465" customFormat="false" ht="12.8" hidden="false" customHeight="false" outlineLevel="0" collapsed="false">
      <c r="A465" s="4" t="n">
        <v>206</v>
      </c>
      <c r="B465" s="5" t="str">
        <f aca="false">"PAPAIZ"</f>
        <v>PAPAIZ</v>
      </c>
      <c r="C465" s="6" t="n">
        <v>956264</v>
      </c>
      <c r="D465" s="7" t="n">
        <v>45773</v>
      </c>
      <c r="E465" s="7" t="n">
        <v>45749</v>
      </c>
      <c r="F465" s="7"/>
      <c r="G465" s="7"/>
      <c r="H465" s="7" t="n">
        <v>45751</v>
      </c>
      <c r="I465" s="15" t="n">
        <v>90109</v>
      </c>
      <c r="J465" s="5" t="str">
        <f aca="false">"35QZL1XU"</f>
        <v>35QZL1XU</v>
      </c>
      <c r="K465" s="5" t="str">
        <f aca="false">"AMAZON SER"</f>
        <v>AMAZON SER</v>
      </c>
      <c r="L465" s="5" t="str">
        <f aca="false">"WEBSHOP"</f>
        <v>WEBSHOP</v>
      </c>
      <c r="M465" s="5" t="str">
        <f aca="false">"SP"</f>
        <v>SP</v>
      </c>
      <c r="N465" s="9" t="n">
        <v>0</v>
      </c>
      <c r="O465" s="10" t="n">
        <v>749.14</v>
      </c>
      <c r="P465" s="10" t="n">
        <v>557.46</v>
      </c>
      <c r="Q465" s="10" t="n">
        <v>5.83</v>
      </c>
      <c r="R465" s="10" t="n">
        <v>4.9</v>
      </c>
      <c r="S465" s="5" t="str">
        <f aca="false">"Faturado"</f>
        <v>Faturado</v>
      </c>
      <c r="T465" s="5" t="str">
        <f aca="false">"LARISSA NELO"</f>
        <v>LARISSA NELO</v>
      </c>
      <c r="U465" s="11" t="n">
        <v>25</v>
      </c>
      <c r="V465" s="5" t="str">
        <f aca="false">""</f>
        <v/>
      </c>
    </row>
    <row r="466" customFormat="false" ht="12.8" hidden="false" customHeight="false" outlineLevel="0" collapsed="false">
      <c r="A466" s="4" t="n">
        <v>206</v>
      </c>
      <c r="B466" s="5" t="str">
        <f aca="false">"PAPAIZ"</f>
        <v>PAPAIZ</v>
      </c>
      <c r="C466" s="6" t="n">
        <v>956306</v>
      </c>
      <c r="D466" s="7" t="n">
        <v>45775</v>
      </c>
      <c r="E466" s="7" t="n">
        <v>45749</v>
      </c>
      <c r="F466" s="7"/>
      <c r="G466" s="7"/>
      <c r="H466" s="7" t="n">
        <v>45751</v>
      </c>
      <c r="I466" s="15" t="n">
        <v>90118</v>
      </c>
      <c r="J466" s="8" t="n">
        <v>300861</v>
      </c>
      <c r="K466" s="5" t="str">
        <f aca="false">"FER LDI"</f>
        <v>FER LDI</v>
      </c>
      <c r="L466" s="5" t="str">
        <f aca="false">"ATACADISTA"</f>
        <v>ATACADISTA</v>
      </c>
      <c r="M466" s="5" t="str">
        <f aca="false">"SP"</f>
        <v>SP</v>
      </c>
      <c r="N466" s="9" t="n">
        <v>6989.6</v>
      </c>
      <c r="O466" s="10" t="n">
        <v>3489.5</v>
      </c>
      <c r="P466" s="10" t="n">
        <v>2596.71</v>
      </c>
      <c r="Q466" s="10" t="n">
        <v>24.75</v>
      </c>
      <c r="R466" s="10" t="n">
        <v>24.75</v>
      </c>
      <c r="S466" s="5" t="str">
        <f aca="false">"Faturado"</f>
        <v>Faturado</v>
      </c>
      <c r="T466" s="5" t="str">
        <f aca="false">"BRFOKUS"</f>
        <v>BRFOKUS</v>
      </c>
      <c r="U466" s="11" t="n">
        <v>25</v>
      </c>
      <c r="V466" s="5" t="str">
        <f aca="false">""</f>
        <v/>
      </c>
    </row>
    <row r="467" customFormat="false" ht="12.8" hidden="false" customHeight="false" outlineLevel="0" collapsed="false">
      <c r="A467" s="4" t="n">
        <v>206</v>
      </c>
      <c r="B467" s="5" t="str">
        <f aca="false">"PAPAIZ"</f>
        <v>PAPAIZ</v>
      </c>
      <c r="C467" s="6" t="n">
        <v>956601</v>
      </c>
      <c r="D467" s="7" t="n">
        <v>45775</v>
      </c>
      <c r="E467" s="7" t="n">
        <v>45750</v>
      </c>
      <c r="F467" s="7"/>
      <c r="G467" s="7"/>
      <c r="H467" s="7" t="n">
        <v>45751</v>
      </c>
      <c r="I467" s="15" t="n">
        <v>90194</v>
      </c>
      <c r="J467" s="15" t="n">
        <v>1556863</v>
      </c>
      <c r="K467" s="5" t="str">
        <f aca="false">"FERREIRACOS"</f>
        <v>FERREIRACOS</v>
      </c>
      <c r="L467" s="5" t="str">
        <f aca="false">"HOME CENTER"</f>
        <v>HOME CENTER</v>
      </c>
      <c r="M467" s="5" t="str">
        <f aca="false">"BA"</f>
        <v>BA</v>
      </c>
      <c r="N467" s="9" t="n">
        <v>367</v>
      </c>
      <c r="O467" s="10" t="n">
        <v>325.68</v>
      </c>
      <c r="P467" s="10" t="n">
        <v>274.86</v>
      </c>
      <c r="Q467" s="10" t="n">
        <v>2.19</v>
      </c>
      <c r="R467" s="10" t="n">
        <v>2.07</v>
      </c>
      <c r="S467" s="5" t="str">
        <f aca="false">"Faturado"</f>
        <v>Faturado</v>
      </c>
      <c r="T467" s="5" t="str">
        <f aca="false">"CLAUDIANA PA"</f>
        <v>CLAUDIANA PA</v>
      </c>
      <c r="U467" s="11" t="n">
        <v>25</v>
      </c>
      <c r="V467" s="5" t="str">
        <f aca="false">""</f>
        <v/>
      </c>
    </row>
    <row r="468" customFormat="false" ht="12.8" hidden="false" customHeight="false" outlineLevel="0" collapsed="false">
      <c r="A468" s="4" t="n">
        <v>206</v>
      </c>
      <c r="B468" s="5" t="str">
        <f aca="false">"PAPAIZ"</f>
        <v>PAPAIZ</v>
      </c>
      <c r="C468" s="6" t="n">
        <v>952933</v>
      </c>
      <c r="D468" s="7" t="n">
        <v>45775</v>
      </c>
      <c r="E468" s="7" t="n">
        <v>45737</v>
      </c>
      <c r="F468" s="7"/>
      <c r="G468" s="7"/>
      <c r="H468" s="7" t="n">
        <v>45751</v>
      </c>
      <c r="I468" s="15" t="n">
        <v>90058</v>
      </c>
      <c r="J468" s="5" t="str">
        <f aca="false">"SPDPPZ031201"</f>
        <v>SPDPPZ031201</v>
      </c>
      <c r="K468" s="5" t="str">
        <f aca="false">"ADRIANO S."</f>
        <v>ADRIANO S.</v>
      </c>
      <c r="L468" s="5" t="str">
        <f aca="false">"MATERIAL DE CONSTRUCAO"</f>
        <v>MATERIAL DE CONSTRUCAO</v>
      </c>
      <c r="M468" s="5" t="str">
        <f aca="false">"BA"</f>
        <v>BA</v>
      </c>
      <c r="N468" s="9" t="n">
        <v>0</v>
      </c>
      <c r="O468" s="10" t="n">
        <v>314.4</v>
      </c>
      <c r="P468" s="10" t="n">
        <v>265.35</v>
      </c>
      <c r="Q468" s="10" t="n">
        <v>2.27</v>
      </c>
      <c r="R468" s="10" t="n">
        <v>2.04</v>
      </c>
      <c r="S468" s="5" t="str">
        <f aca="false">"Faturado"</f>
        <v>Faturado</v>
      </c>
      <c r="T468" s="5" t="str">
        <f aca="false">"MARCOS MELO"</f>
        <v>MARCOS MELO</v>
      </c>
      <c r="U468" s="11" t="n">
        <v>25</v>
      </c>
      <c r="V468" s="5" t="str">
        <f aca="false">""</f>
        <v/>
      </c>
    </row>
    <row r="469" customFormat="false" ht="12.8" hidden="false" customHeight="false" outlineLevel="0" collapsed="false">
      <c r="A469" s="4" t="n">
        <v>206</v>
      </c>
      <c r="B469" s="5" t="str">
        <f aca="false">"PAPAIZ"</f>
        <v>PAPAIZ</v>
      </c>
      <c r="C469" s="6" t="n">
        <v>956536</v>
      </c>
      <c r="D469" s="7" t="n">
        <v>45775</v>
      </c>
      <c r="E469" s="7" t="n">
        <v>45750</v>
      </c>
      <c r="F469" s="7"/>
      <c r="G469" s="7"/>
      <c r="H469" s="7" t="n">
        <v>45751</v>
      </c>
      <c r="I469" s="15" t="n">
        <v>90198</v>
      </c>
      <c r="J469" s="5" t="str">
        <f aca="false">"SPDPPZ032345"</f>
        <v>SPDPPZ032345</v>
      </c>
      <c r="K469" s="5" t="str">
        <f aca="false">"ED HOME"</f>
        <v>ED HOME</v>
      </c>
      <c r="L469" s="5" t="str">
        <f aca="false">"VAREJO VIP"</f>
        <v>VAREJO VIP</v>
      </c>
      <c r="M469" s="5" t="str">
        <f aca="false">"SP"</f>
        <v>SP</v>
      </c>
      <c r="N469" s="9" t="n">
        <v>0</v>
      </c>
      <c r="O469" s="10" t="n">
        <v>5203.2</v>
      </c>
      <c r="P469" s="10" t="n">
        <v>3871.95</v>
      </c>
      <c r="Q469" s="10" t="n">
        <v>49.53</v>
      </c>
      <c r="R469" s="10" t="n">
        <v>42.15</v>
      </c>
      <c r="S469" s="5" t="str">
        <f aca="false">"Faturado"</f>
        <v>Faturado</v>
      </c>
      <c r="T469" s="5" t="str">
        <f aca="false">"EDUARDO LIMA"</f>
        <v>EDUARDO LIMA</v>
      </c>
      <c r="U469" s="11" t="n">
        <v>25</v>
      </c>
      <c r="V469" s="5" t="str">
        <f aca="false">""</f>
        <v/>
      </c>
    </row>
    <row r="470" customFormat="false" ht="12.8" hidden="false" customHeight="false" outlineLevel="0" collapsed="false">
      <c r="A470" s="4" t="n">
        <v>206</v>
      </c>
      <c r="B470" s="5" t="str">
        <f aca="false">"PAPAIZ"</f>
        <v>PAPAIZ</v>
      </c>
      <c r="C470" s="6" t="n">
        <v>956545</v>
      </c>
      <c r="D470" s="7" t="n">
        <v>45775</v>
      </c>
      <c r="E470" s="7" t="n">
        <v>45750</v>
      </c>
      <c r="F470" s="7"/>
      <c r="G470" s="7"/>
      <c r="H470" s="7" t="n">
        <v>45751</v>
      </c>
      <c r="I470" s="15" t="n">
        <v>90229</v>
      </c>
      <c r="J470" s="5" t="str">
        <f aca="false">"SPDPPZ032358"</f>
        <v>SPDPPZ032358</v>
      </c>
      <c r="K470" s="5" t="str">
        <f aca="false">"HAMAM GLOBAL"</f>
        <v>HAMAM GLOBAL</v>
      </c>
      <c r="L470" s="5" t="str">
        <f aca="false">"CONSTRUTORA"</f>
        <v>CONSTRUTORA</v>
      </c>
      <c r="M470" s="5" t="str">
        <f aca="false">"SP"</f>
        <v>SP</v>
      </c>
      <c r="N470" s="9" t="n">
        <v>0</v>
      </c>
      <c r="O470" s="10" t="n">
        <v>1035.18</v>
      </c>
      <c r="P470" s="10" t="n">
        <v>723.31</v>
      </c>
      <c r="Q470" s="10" t="n">
        <v>15.8</v>
      </c>
      <c r="R470" s="10" t="n">
        <v>15.8</v>
      </c>
      <c r="S470" s="5" t="str">
        <f aca="false">"Faturado"</f>
        <v>Faturado</v>
      </c>
      <c r="T470" s="5" t="str">
        <f aca="false">"VIVIANE ALVE"</f>
        <v>VIVIANE ALVE</v>
      </c>
      <c r="U470" s="11" t="n">
        <v>25</v>
      </c>
      <c r="V470" s="5" t="str">
        <f aca="false">""</f>
        <v/>
      </c>
    </row>
    <row r="471" customFormat="false" ht="12.8" hidden="false" customHeight="false" outlineLevel="0" collapsed="false">
      <c r="A471" s="4" t="n">
        <v>206</v>
      </c>
      <c r="B471" s="5" t="str">
        <f aca="false">"PAPAIZ"</f>
        <v>PAPAIZ</v>
      </c>
      <c r="C471" s="6" t="n">
        <v>956594</v>
      </c>
      <c r="D471" s="7" t="n">
        <v>45776</v>
      </c>
      <c r="E471" s="7" t="n">
        <v>45750</v>
      </c>
      <c r="F471" s="7"/>
      <c r="G471" s="7"/>
      <c r="H471" s="7" t="n">
        <v>45751</v>
      </c>
      <c r="I471" s="15" t="n">
        <v>90187</v>
      </c>
      <c r="J471" s="15" t="n">
        <v>1556863</v>
      </c>
      <c r="K471" s="5" t="str">
        <f aca="false">"F C 6"</f>
        <v>F C 6</v>
      </c>
      <c r="L471" s="5" t="str">
        <f aca="false">"HOME CENTER"</f>
        <v>HOME CENTER</v>
      </c>
      <c r="M471" s="5" t="str">
        <f aca="false">"PE"</f>
        <v>PE</v>
      </c>
      <c r="N471" s="9" t="n">
        <v>399.65</v>
      </c>
      <c r="O471" s="10" t="n">
        <v>325.68</v>
      </c>
      <c r="P471" s="10" t="n">
        <v>274.86</v>
      </c>
      <c r="Q471" s="10" t="n">
        <v>2.17</v>
      </c>
      <c r="R471" s="10" t="n">
        <v>2.07</v>
      </c>
      <c r="S471" s="5" t="str">
        <f aca="false">"Faturado"</f>
        <v>Faturado</v>
      </c>
      <c r="T471" s="5" t="str">
        <f aca="false">"CLAUDIANA PA"</f>
        <v>CLAUDIANA PA</v>
      </c>
      <c r="U471" s="11" t="n">
        <v>25</v>
      </c>
      <c r="V471" s="5" t="str">
        <f aca="false">""</f>
        <v/>
      </c>
    </row>
    <row r="472" customFormat="false" ht="12.8" hidden="false" customHeight="false" outlineLevel="0" collapsed="false">
      <c r="A472" s="4" t="n">
        <v>206</v>
      </c>
      <c r="B472" s="5" t="str">
        <f aca="false">"PAPAIZ"</f>
        <v>PAPAIZ</v>
      </c>
      <c r="C472" s="6" t="n">
        <v>956595</v>
      </c>
      <c r="D472" s="7" t="n">
        <v>45776</v>
      </c>
      <c r="E472" s="7" t="n">
        <v>45750</v>
      </c>
      <c r="F472" s="7"/>
      <c r="G472" s="7"/>
      <c r="H472" s="7" t="n">
        <v>45751</v>
      </c>
      <c r="I472" s="15" t="n">
        <v>90190</v>
      </c>
      <c r="J472" s="15" t="n">
        <v>1556863</v>
      </c>
      <c r="K472" s="5" t="str">
        <f aca="false">"F COSTA 3"</f>
        <v>F COSTA 3</v>
      </c>
      <c r="L472" s="5" t="str">
        <f aca="false">"HOME CENTER"</f>
        <v>HOME CENTER</v>
      </c>
      <c r="M472" s="5" t="str">
        <f aca="false">"PE"</f>
        <v>PE</v>
      </c>
      <c r="N472" s="9" t="n">
        <v>264.6</v>
      </c>
      <c r="O472" s="10" t="n">
        <v>325.68</v>
      </c>
      <c r="P472" s="10" t="n">
        <v>274.86</v>
      </c>
      <c r="Q472" s="10" t="n">
        <v>2.19</v>
      </c>
      <c r="R472" s="10" t="n">
        <v>2.07</v>
      </c>
      <c r="S472" s="5" t="str">
        <f aca="false">"Faturado"</f>
        <v>Faturado</v>
      </c>
      <c r="T472" s="5" t="str">
        <f aca="false">"CLAUDIANA PA"</f>
        <v>CLAUDIANA PA</v>
      </c>
      <c r="U472" s="11" t="n">
        <v>25</v>
      </c>
      <c r="V472" s="5" t="str">
        <f aca="false">""</f>
        <v/>
      </c>
    </row>
    <row r="473" customFormat="false" ht="12.8" hidden="false" customHeight="false" outlineLevel="0" collapsed="false">
      <c r="A473" s="4" t="n">
        <v>206</v>
      </c>
      <c r="B473" s="5" t="str">
        <f aca="false">"PAPAIZ"</f>
        <v>PAPAIZ</v>
      </c>
      <c r="C473" s="6" t="n">
        <v>956305</v>
      </c>
      <c r="D473" s="7" t="n">
        <v>45776</v>
      </c>
      <c r="E473" s="7" t="n">
        <v>45749</v>
      </c>
      <c r="F473" s="7"/>
      <c r="G473" s="7" t="n">
        <v>45751</v>
      </c>
      <c r="H473" s="7" t="n">
        <v>45751</v>
      </c>
      <c r="I473" s="15" t="n">
        <v>90153</v>
      </c>
      <c r="J473" s="8" t="n">
        <v>300762</v>
      </c>
      <c r="K473" s="5" t="str">
        <f aca="false">"FER LDI"</f>
        <v>FER LDI</v>
      </c>
      <c r="L473" s="5" t="str">
        <f aca="false">"ATACADISTA"</f>
        <v>ATACADISTA</v>
      </c>
      <c r="M473" s="5" t="str">
        <f aca="false">"SP"</f>
        <v>SP</v>
      </c>
      <c r="N473" s="9" t="n">
        <v>4623</v>
      </c>
      <c r="O473" s="10" t="n">
        <v>2136</v>
      </c>
      <c r="P473" s="10" t="n">
        <v>1589.5</v>
      </c>
      <c r="Q473" s="10" t="n">
        <v>14.69</v>
      </c>
      <c r="R473" s="10" t="n">
        <v>14.69</v>
      </c>
      <c r="S473" s="5" t="str">
        <f aca="false">"Faturado"</f>
        <v>Faturado</v>
      </c>
      <c r="T473" s="5" t="str">
        <f aca="false">"BRFOKUS"</f>
        <v>BRFOKUS</v>
      </c>
      <c r="U473" s="11" t="n">
        <v>25</v>
      </c>
      <c r="V473" s="5" t="str">
        <f aca="false">""</f>
        <v/>
      </c>
    </row>
    <row r="474" customFormat="false" ht="12.8" hidden="false" customHeight="false" outlineLevel="0" collapsed="false">
      <c r="A474" s="4" t="n">
        <v>206</v>
      </c>
      <c r="B474" s="5" t="str">
        <f aca="false">"PAPAIZ"</f>
        <v>PAPAIZ</v>
      </c>
      <c r="C474" s="6" t="n">
        <v>956103</v>
      </c>
      <c r="D474" s="7" t="n">
        <v>45779</v>
      </c>
      <c r="E474" s="7" t="n">
        <v>45749</v>
      </c>
      <c r="F474" s="7"/>
      <c r="G474" s="7"/>
      <c r="H474" s="7" t="n">
        <v>45751</v>
      </c>
      <c r="I474" s="15" t="n">
        <v>90064</v>
      </c>
      <c r="J474" s="5" t="str">
        <f aca="false">"SPDPPZ032181"</f>
        <v>SPDPPZ032181</v>
      </c>
      <c r="K474" s="5" t="str">
        <f aca="false">"CENTRAL NORT"</f>
        <v>CENTRAL NORT</v>
      </c>
      <c r="L474" s="5" t="str">
        <f aca="false">"MATERIAL DE CONSTRUCAO"</f>
        <v>MATERIAL DE CONSTRUCAO</v>
      </c>
      <c r="M474" s="5" t="str">
        <f aca="false">"ES"</f>
        <v>ES</v>
      </c>
      <c r="N474" s="9" t="n">
        <v>1546.45</v>
      </c>
      <c r="O474" s="10" t="n">
        <v>1451.5</v>
      </c>
      <c r="P474" s="10" t="n">
        <v>1225.02</v>
      </c>
      <c r="Q474" s="10" t="n">
        <v>10.96</v>
      </c>
      <c r="R474" s="10" t="n">
        <v>10.85</v>
      </c>
      <c r="S474" s="5" t="str">
        <f aca="false">"Faturado"</f>
        <v>Faturado</v>
      </c>
      <c r="T474" s="5" t="str">
        <f aca="false">"J FIRMINO"</f>
        <v>J FIRMINO</v>
      </c>
      <c r="U474" s="11" t="n">
        <v>25</v>
      </c>
      <c r="V474" s="5" t="str">
        <f aca="false">""</f>
        <v/>
      </c>
    </row>
    <row r="475" customFormat="false" ht="12.8" hidden="false" customHeight="false" outlineLevel="0" collapsed="false">
      <c r="A475" s="4" t="n">
        <v>206</v>
      </c>
      <c r="B475" s="5" t="str">
        <f aca="false">"PAPAIZ"</f>
        <v>PAPAIZ</v>
      </c>
      <c r="C475" s="6" t="n">
        <v>954621</v>
      </c>
      <c r="D475" s="7" t="n">
        <v>45780</v>
      </c>
      <c r="E475" s="7" t="n">
        <v>45743</v>
      </c>
      <c r="F475" s="7"/>
      <c r="G475" s="7"/>
      <c r="H475" s="7" t="n">
        <v>45751</v>
      </c>
      <c r="I475" s="15" t="n">
        <v>90091</v>
      </c>
      <c r="J475" s="5" t="str">
        <f aca="false">"SPDPPZ030918"</f>
        <v>SPDPPZ030918</v>
      </c>
      <c r="K475" s="5" t="str">
        <f aca="false">"SOMATTOS FER"</f>
        <v>SOMATTOS FER</v>
      </c>
      <c r="L475" s="5" t="str">
        <f aca="false">"CONSTRUTORA"</f>
        <v>CONSTRUTORA</v>
      </c>
      <c r="M475" s="5" t="str">
        <f aca="false">"MG"</f>
        <v>MG</v>
      </c>
      <c r="N475" s="9" t="n">
        <v>9000.9</v>
      </c>
      <c r="O475" s="10" t="n">
        <v>783.51</v>
      </c>
      <c r="P475" s="10" t="n">
        <v>572.91</v>
      </c>
      <c r="Q475" s="10" t="n">
        <v>17.56</v>
      </c>
      <c r="R475" s="10" t="n">
        <v>17.56</v>
      </c>
      <c r="S475" s="5" t="str">
        <f aca="false">"Faturado"</f>
        <v>Faturado</v>
      </c>
      <c r="T475" s="5" t="str">
        <f aca="false">"BUMO"</f>
        <v>BUMO</v>
      </c>
      <c r="U475" s="11" t="n">
        <v>25</v>
      </c>
      <c r="V475" s="5" t="str">
        <f aca="false">""</f>
        <v/>
      </c>
    </row>
    <row r="476" customFormat="false" ht="12.8" hidden="false" customHeight="false" outlineLevel="0" collapsed="false">
      <c r="A476" s="4" t="n">
        <v>206</v>
      </c>
      <c r="B476" s="5" t="str">
        <f aca="false">"PAPAIZ"</f>
        <v>PAPAIZ</v>
      </c>
      <c r="C476" s="6" t="n">
        <v>955601</v>
      </c>
      <c r="D476" s="7" t="n">
        <v>45780</v>
      </c>
      <c r="E476" s="7" t="n">
        <v>45746</v>
      </c>
      <c r="F476" s="7"/>
      <c r="G476" s="7"/>
      <c r="H476" s="7" t="n">
        <v>45751</v>
      </c>
      <c r="I476" s="15" t="n">
        <v>90082</v>
      </c>
      <c r="J476" s="5" t="str">
        <f aca="false">"SPDPPZ031622"</f>
        <v>SPDPPZ031622</v>
      </c>
      <c r="K476" s="5" t="str">
        <f aca="false">"COMACOL COM"</f>
        <v>COMACOL COM</v>
      </c>
      <c r="L476" s="5" t="str">
        <f aca="false">"MATERIAL DE CONSTRUCAO"</f>
        <v>MATERIAL DE CONSTRUCAO</v>
      </c>
      <c r="M476" s="5" t="str">
        <f aca="false">"SP"</f>
        <v>SP</v>
      </c>
      <c r="N476" s="9" t="n">
        <v>0</v>
      </c>
      <c r="O476" s="10" t="n">
        <v>439.8</v>
      </c>
      <c r="P476" s="10" t="n">
        <v>327.28</v>
      </c>
      <c r="Q476" s="10" t="n">
        <v>3.38</v>
      </c>
      <c r="R476" s="10" t="n">
        <v>3.28</v>
      </c>
      <c r="S476" s="5" t="str">
        <f aca="false">"Faturado"</f>
        <v>Faturado</v>
      </c>
      <c r="T476" s="5" t="str">
        <f aca="false">"HERCULES RIO"</f>
        <v>HERCULES RIO</v>
      </c>
      <c r="U476" s="11" t="n">
        <v>25</v>
      </c>
      <c r="V476" s="5" t="str">
        <f aca="false">""</f>
        <v/>
      </c>
    </row>
    <row r="477" customFormat="false" ht="12.8" hidden="false" customHeight="false" outlineLevel="0" collapsed="false">
      <c r="A477" s="4" t="n">
        <v>206</v>
      </c>
      <c r="B477" s="5" t="str">
        <f aca="false">"PAPAIZ"</f>
        <v>PAPAIZ</v>
      </c>
      <c r="C477" s="6" t="n">
        <v>956004</v>
      </c>
      <c r="D477" s="7" t="n">
        <v>45783</v>
      </c>
      <c r="E477" s="7" t="n">
        <v>45748</v>
      </c>
      <c r="F477" s="7"/>
      <c r="G477" s="7"/>
      <c r="H477" s="7" t="n">
        <v>45751</v>
      </c>
      <c r="I477" s="15" t="n">
        <v>90117</v>
      </c>
      <c r="J477" s="5" t="str">
        <f aca="false">"SPDPPZ032161"</f>
        <v>SPDPPZ032161</v>
      </c>
      <c r="K477" s="5" t="str">
        <f aca="false">"GC SOROCABA"</f>
        <v>GC SOROCABA</v>
      </c>
      <c r="L477" s="5" t="str">
        <f aca="false">"FERRAGISTA"</f>
        <v>FERRAGISTA</v>
      </c>
      <c r="M477" s="5" t="str">
        <f aca="false">"SP"</f>
        <v>SP</v>
      </c>
      <c r="N477" s="9" t="n">
        <v>0</v>
      </c>
      <c r="O477" s="10" t="n">
        <v>1146.8</v>
      </c>
      <c r="P477" s="10" t="n">
        <v>853.39</v>
      </c>
      <c r="Q477" s="10" t="n">
        <v>7.11</v>
      </c>
      <c r="R477" s="10" t="n">
        <v>6.97</v>
      </c>
      <c r="S477" s="5" t="str">
        <f aca="false">"Faturado"</f>
        <v>Faturado</v>
      </c>
      <c r="T477" s="5" t="str">
        <f aca="false">"JOYCECOVACEV"</f>
        <v>JOYCECOVACEV</v>
      </c>
      <c r="U477" s="11" t="n">
        <v>25</v>
      </c>
      <c r="V477" s="5" t="str">
        <f aca="false">""</f>
        <v/>
      </c>
    </row>
    <row r="478" customFormat="false" ht="12.8" hidden="false" customHeight="false" outlineLevel="0" collapsed="false">
      <c r="A478" s="4" t="n">
        <v>206</v>
      </c>
      <c r="B478" s="5" t="str">
        <f aca="false">"PAPAIZ"</f>
        <v>PAPAIZ</v>
      </c>
      <c r="C478" s="6" t="n">
        <v>956699</v>
      </c>
      <c r="D478" s="7" t="n">
        <v>45783</v>
      </c>
      <c r="E478" s="7" t="n">
        <v>45751</v>
      </c>
      <c r="F478" s="7"/>
      <c r="G478" s="7"/>
      <c r="H478" s="7" t="n">
        <v>45751</v>
      </c>
      <c r="I478" s="15" t="n">
        <v>90241</v>
      </c>
      <c r="J478" s="5" t="str">
        <f aca="false">"SPDPPZ030479"</f>
        <v>SPDPPZ030479</v>
      </c>
      <c r="K478" s="5" t="str">
        <f aca="false">"HZ SERVICO"</f>
        <v>HZ SERVICO</v>
      </c>
      <c r="L478" s="5" t="str">
        <f aca="false">"CONSTRUTORA"</f>
        <v>CONSTRUTORA</v>
      </c>
      <c r="M478" s="5" t="str">
        <f aca="false">"RJ"</f>
        <v>RJ</v>
      </c>
      <c r="N478" s="9" t="n">
        <v>0</v>
      </c>
      <c r="O478" s="10" t="n">
        <v>3854.4</v>
      </c>
      <c r="P478" s="10" t="n">
        <v>2902.92</v>
      </c>
      <c r="Q478" s="10" t="n">
        <v>34.02</v>
      </c>
      <c r="R478" s="10" t="n">
        <v>34.02</v>
      </c>
      <c r="S478" s="5" t="str">
        <f aca="false">"Faturado"</f>
        <v>Faturado</v>
      </c>
      <c r="T478" s="5" t="str">
        <f aca="false">"Pacelo"</f>
        <v>Pacelo</v>
      </c>
      <c r="U478" s="11" t="n">
        <v>25</v>
      </c>
      <c r="V478" s="5" t="str">
        <f aca="false">""</f>
        <v/>
      </c>
    </row>
    <row r="479" customFormat="false" ht="12.8" hidden="false" customHeight="false" outlineLevel="0" collapsed="false">
      <c r="A479" s="4" t="n">
        <v>206</v>
      </c>
      <c r="B479" s="5" t="str">
        <f aca="false">"PAPAIZ"</f>
        <v>PAPAIZ</v>
      </c>
      <c r="C479" s="6" t="n">
        <v>952730</v>
      </c>
      <c r="D479" s="7" t="n">
        <v>45783</v>
      </c>
      <c r="E479" s="7" t="n">
        <v>45737</v>
      </c>
      <c r="F479" s="7"/>
      <c r="G479" s="7"/>
      <c r="H479" s="7" t="n">
        <v>45751</v>
      </c>
      <c r="I479" s="15" t="n">
        <v>90083</v>
      </c>
      <c r="J479" s="5" t="str">
        <f aca="false">"SPDPPZ030479"</f>
        <v>SPDPPZ030479</v>
      </c>
      <c r="K479" s="5" t="str">
        <f aca="false">"HZ SERVICO"</f>
        <v>HZ SERVICO</v>
      </c>
      <c r="L479" s="5" t="str">
        <f aca="false">"CONSTRUTORA"</f>
        <v>CONSTRUTORA</v>
      </c>
      <c r="M479" s="5" t="str">
        <f aca="false">"RJ"</f>
        <v>RJ</v>
      </c>
      <c r="N479" s="9" t="n">
        <v>0</v>
      </c>
      <c r="O479" s="10" t="n">
        <v>84.4</v>
      </c>
      <c r="P479" s="10" t="n">
        <v>58.96</v>
      </c>
      <c r="Q479" s="10" t="n">
        <v>0.74</v>
      </c>
      <c r="R479" s="10" t="n">
        <v>0.58</v>
      </c>
      <c r="S479" s="5" t="str">
        <f aca="false">"Faturado"</f>
        <v>Faturado</v>
      </c>
      <c r="T479" s="5" t="str">
        <f aca="false">"Pacelo"</f>
        <v>Pacelo</v>
      </c>
      <c r="U479" s="11" t="n">
        <v>25</v>
      </c>
      <c r="V479" s="5" t="str">
        <f aca="false">""</f>
        <v/>
      </c>
    </row>
    <row r="480" customFormat="false" ht="12.8" hidden="false" customHeight="false" outlineLevel="0" collapsed="false">
      <c r="A480" s="4" t="n">
        <v>206</v>
      </c>
      <c r="B480" s="5" t="str">
        <f aca="false">"PAPAIZ"</f>
        <v>PAPAIZ</v>
      </c>
      <c r="C480" s="6" t="n">
        <v>955333</v>
      </c>
      <c r="D480" s="7" t="n">
        <v>45783</v>
      </c>
      <c r="E480" s="7" t="n">
        <v>45745</v>
      </c>
      <c r="F480" s="7"/>
      <c r="G480" s="7" t="n">
        <v>45747</v>
      </c>
      <c r="H480" s="7" t="n">
        <v>45751</v>
      </c>
      <c r="I480" s="15" t="n">
        <v>90060</v>
      </c>
      <c r="J480" s="5" t="str">
        <f aca="false">"SPDPPZ032011"</f>
        <v>SPDPPZ032011</v>
      </c>
      <c r="K480" s="5" t="str">
        <f aca="false">"MARIO CHAVEI"</f>
        <v>MARIO CHAVEI</v>
      </c>
      <c r="L480" s="5" t="str">
        <f aca="false">"NOVOS CANAIS"</f>
        <v>NOVOS CANAIS</v>
      </c>
      <c r="M480" s="5" t="str">
        <f aca="false">"RJ"</f>
        <v>RJ</v>
      </c>
      <c r="N480" s="9" t="n">
        <v>0</v>
      </c>
      <c r="O480" s="10" t="n">
        <v>1036.49</v>
      </c>
      <c r="P480" s="10" t="n">
        <v>655.78</v>
      </c>
      <c r="Q480" s="10" t="n">
        <v>4.32</v>
      </c>
      <c r="R480" s="10" t="n">
        <v>3.96</v>
      </c>
      <c r="S480" s="5" t="str">
        <f aca="false">"Faturado"</f>
        <v>Faturado</v>
      </c>
      <c r="T480" s="5" t="str">
        <f aca="false">"MOUNTAIN"</f>
        <v>MOUNTAIN</v>
      </c>
      <c r="U480" s="11" t="n">
        <v>25</v>
      </c>
      <c r="V480" s="5" t="str">
        <f aca="false">""</f>
        <v/>
      </c>
    </row>
    <row r="481" customFormat="false" ht="12.8" hidden="false" customHeight="false" outlineLevel="0" collapsed="false">
      <c r="A481" s="4" t="n">
        <v>206</v>
      </c>
      <c r="B481" s="5" t="str">
        <f aca="false">"PAPAIZ"</f>
        <v>PAPAIZ</v>
      </c>
      <c r="C481" s="6" t="n">
        <v>955706</v>
      </c>
      <c r="D481" s="7" t="n">
        <v>45785</v>
      </c>
      <c r="E481" s="7" t="n">
        <v>45747</v>
      </c>
      <c r="F481" s="7"/>
      <c r="G481" s="7"/>
      <c r="H481" s="7" t="n">
        <v>45751</v>
      </c>
      <c r="I481" s="15" t="n">
        <v>90106</v>
      </c>
      <c r="J481" s="5" t="str">
        <f aca="false">"SPDPPZ032070"</f>
        <v>SPDPPZ032070</v>
      </c>
      <c r="K481" s="5" t="str">
        <f aca="false">"DUDAN"</f>
        <v>DUDAN</v>
      </c>
      <c r="L481" s="5" t="str">
        <f aca="false">"MATERIAL DE CONSTRUCAO"</f>
        <v>MATERIAL DE CONSTRUCAO</v>
      </c>
      <c r="M481" s="5" t="str">
        <f aca="false">"RJ"</f>
        <v>RJ</v>
      </c>
      <c r="N481" s="9" t="n">
        <v>341.4</v>
      </c>
      <c r="O481" s="10" t="n">
        <v>1202.1</v>
      </c>
      <c r="P481" s="10" t="n">
        <v>962.02</v>
      </c>
      <c r="Q481" s="10" t="n">
        <v>12.31</v>
      </c>
      <c r="R481" s="10" t="n">
        <v>10.64</v>
      </c>
      <c r="S481" s="5" t="str">
        <f aca="false">"Faturado"</f>
        <v>Faturado</v>
      </c>
      <c r="T481" s="5" t="str">
        <f aca="false">"CMU REP"</f>
        <v>CMU REP</v>
      </c>
      <c r="U481" s="11" t="n">
        <v>25</v>
      </c>
      <c r="V481" s="5" t="str">
        <f aca="false">""</f>
        <v/>
      </c>
    </row>
    <row r="482" customFormat="false" ht="12.8" hidden="false" customHeight="false" outlineLevel="0" collapsed="false">
      <c r="A482" s="4" t="n">
        <v>206</v>
      </c>
      <c r="B482" s="5" t="str">
        <f aca="false">"PAPAIZ"</f>
        <v>PAPAIZ</v>
      </c>
      <c r="C482" s="6" t="n">
        <v>956120</v>
      </c>
      <c r="D482" s="7" t="n">
        <v>45786</v>
      </c>
      <c r="E482" s="7" t="n">
        <v>45749</v>
      </c>
      <c r="F482" s="7"/>
      <c r="G482" s="7"/>
      <c r="H482" s="7" t="n">
        <v>45751</v>
      </c>
      <c r="I482" s="15" t="n">
        <v>90231</v>
      </c>
      <c r="J482" s="8" t="n">
        <v>199809</v>
      </c>
      <c r="K482" s="5" t="str">
        <f aca="false">"NORTEL 11"</f>
        <v>NORTEL 11</v>
      </c>
      <c r="L482" s="5" t="str">
        <f aca="false">"MATERIAL DE CONSTRUCAO"</f>
        <v>MATERIAL DE CONSTRUCAO</v>
      </c>
      <c r="M482" s="5" t="str">
        <f aca="false">"ES"</f>
        <v>ES</v>
      </c>
      <c r="N482" s="9" t="n">
        <v>4101.76</v>
      </c>
      <c r="O482" s="10" t="n">
        <v>1311.1</v>
      </c>
      <c r="P482" s="10" t="n">
        <v>1106.53</v>
      </c>
      <c r="Q482" s="10" t="n">
        <v>6.68</v>
      </c>
      <c r="R482" s="10" t="n">
        <v>6.3</v>
      </c>
      <c r="S482" s="5" t="str">
        <f aca="false">"Faturado"</f>
        <v>Faturado</v>
      </c>
      <c r="T482" s="5" t="str">
        <f aca="false">"Luiz Carlos"</f>
        <v>Luiz Carlos</v>
      </c>
      <c r="U482" s="11" t="n">
        <v>25</v>
      </c>
      <c r="V482" s="5" t="str">
        <f aca="false">""</f>
        <v/>
      </c>
    </row>
    <row r="483" customFormat="false" ht="12.8" hidden="false" customHeight="false" outlineLevel="0" collapsed="false">
      <c r="A483" s="4" t="n">
        <v>206</v>
      </c>
      <c r="B483" s="5" t="str">
        <f aca="false">"PAPAIZ"</f>
        <v>PAPAIZ</v>
      </c>
      <c r="C483" s="6" t="n">
        <v>956102</v>
      </c>
      <c r="D483" s="7" t="n">
        <v>45786</v>
      </c>
      <c r="E483" s="7" t="n">
        <v>45749</v>
      </c>
      <c r="F483" s="7"/>
      <c r="G483" s="7"/>
      <c r="H483" s="7" t="n">
        <v>45751</v>
      </c>
      <c r="I483" s="15" t="n">
        <v>90062</v>
      </c>
      <c r="J483" s="5" t="str">
        <f aca="false">"SPDPPZ032198"</f>
        <v>SPDPPZ032198</v>
      </c>
      <c r="K483" s="5" t="str">
        <f aca="false">"CASTOR UTILI"</f>
        <v>CASTOR UTILI</v>
      </c>
      <c r="L483" s="5" t="str">
        <f aca="false">"MATERIAL DE CONSTRUCAO"</f>
        <v>MATERIAL DE CONSTRUCAO</v>
      </c>
      <c r="M483" s="5" t="str">
        <f aca="false">"ES"</f>
        <v>ES</v>
      </c>
      <c r="N483" s="9" t="n">
        <v>937.1</v>
      </c>
      <c r="O483" s="10" t="n">
        <v>1466.9</v>
      </c>
      <c r="P483" s="10" t="n">
        <v>1238.02</v>
      </c>
      <c r="Q483" s="10" t="n">
        <v>12.43</v>
      </c>
      <c r="R483" s="10" t="n">
        <v>12.22</v>
      </c>
      <c r="S483" s="5" t="str">
        <f aca="false">"Faturado"</f>
        <v>Faturado</v>
      </c>
      <c r="T483" s="5" t="str">
        <f aca="false">"PERLA COSTA"</f>
        <v>PERLA COSTA</v>
      </c>
      <c r="U483" s="11" t="n">
        <v>25</v>
      </c>
      <c r="V483" s="5" t="str">
        <f aca="false">""</f>
        <v/>
      </c>
    </row>
    <row r="484" customFormat="false" ht="12.8" hidden="false" customHeight="false" outlineLevel="0" collapsed="false">
      <c r="A484" s="4" t="n">
        <v>206</v>
      </c>
      <c r="B484" s="5" t="str">
        <f aca="false">"PAPAIZ"</f>
        <v>PAPAIZ</v>
      </c>
      <c r="C484" s="6" t="n">
        <v>956029</v>
      </c>
      <c r="D484" s="7" t="n">
        <v>45786</v>
      </c>
      <c r="E484" s="7" t="n">
        <v>45748</v>
      </c>
      <c r="F484" s="7"/>
      <c r="G484" s="7" t="n">
        <v>45751</v>
      </c>
      <c r="H484" s="7" t="n">
        <v>45751</v>
      </c>
      <c r="I484" s="15" t="n">
        <v>90183</v>
      </c>
      <c r="J484" s="5" t="str">
        <f aca="false">"SPDPPZ032145"</f>
        <v>SPDPPZ032145</v>
      </c>
      <c r="K484" s="5" t="str">
        <f aca="false">"IMPERI CONST"</f>
        <v>IMPERI CONST</v>
      </c>
      <c r="L484" s="5" t="str">
        <f aca="false">"MATERIAL DE CONSTRUCAO"</f>
        <v>MATERIAL DE CONSTRUCAO</v>
      </c>
      <c r="M484" s="5" t="str">
        <f aca="false">"AC"</f>
        <v>AC</v>
      </c>
      <c r="N484" s="9" t="n">
        <v>1096.82</v>
      </c>
      <c r="O484" s="10" t="n">
        <v>2113.4</v>
      </c>
      <c r="P484" s="10" t="n">
        <v>1783.65</v>
      </c>
      <c r="Q484" s="10" t="n">
        <v>18.73</v>
      </c>
      <c r="R484" s="10" t="n">
        <v>18.29</v>
      </c>
      <c r="S484" s="5" t="str">
        <f aca="false">"Faturado"</f>
        <v>Faturado</v>
      </c>
      <c r="T484" s="5" t="str">
        <f aca="false">"HR REPRESEN"</f>
        <v>HR REPRESEN</v>
      </c>
      <c r="U484" s="11" t="n">
        <v>25</v>
      </c>
      <c r="V484" s="5" t="str">
        <f aca="false">""</f>
        <v/>
      </c>
    </row>
    <row r="485" customFormat="false" ht="12.8" hidden="false" customHeight="false" outlineLevel="0" collapsed="false">
      <c r="A485" s="4" t="n">
        <v>206</v>
      </c>
      <c r="B485" s="5" t="str">
        <f aca="false">"PAPAIZ"</f>
        <v>PAPAIZ</v>
      </c>
      <c r="C485" s="6" t="n">
        <v>956116</v>
      </c>
      <c r="D485" s="7" t="n">
        <v>45786</v>
      </c>
      <c r="E485" s="7" t="n">
        <v>45749</v>
      </c>
      <c r="F485" s="7"/>
      <c r="G485" s="7"/>
      <c r="H485" s="7" t="n">
        <v>45751</v>
      </c>
      <c r="I485" s="15" t="n">
        <v>90178</v>
      </c>
      <c r="J485" s="5" t="str">
        <f aca="false">"SPDPPZ032179"</f>
        <v>SPDPPZ032179</v>
      </c>
      <c r="K485" s="5" t="str">
        <f aca="false">"LORDELLOMATE"</f>
        <v>LORDELLOMATE</v>
      </c>
      <c r="L485" s="5" t="str">
        <f aca="false">"MATERIAL DE CONSTRUCAO"</f>
        <v>MATERIAL DE CONSTRUCAO</v>
      </c>
      <c r="M485" s="5" t="str">
        <f aca="false">"ES"</f>
        <v>ES</v>
      </c>
      <c r="N485" s="9" t="n">
        <v>646</v>
      </c>
      <c r="O485" s="10" t="n">
        <v>1122.42</v>
      </c>
      <c r="P485" s="10" t="n">
        <v>947.3</v>
      </c>
      <c r="Q485" s="10" t="n">
        <v>6.85</v>
      </c>
      <c r="R485" s="10" t="n">
        <v>6.85</v>
      </c>
      <c r="S485" s="5" t="str">
        <f aca="false">"Faturado"</f>
        <v>Faturado</v>
      </c>
      <c r="T485" s="5" t="str">
        <f aca="false">"J FIRMINO"</f>
        <v>J FIRMINO</v>
      </c>
      <c r="U485" s="11" t="n">
        <v>25</v>
      </c>
      <c r="V485" s="5" t="str">
        <f aca="false">""</f>
        <v/>
      </c>
    </row>
    <row r="486" customFormat="false" ht="12.8" hidden="false" customHeight="false" outlineLevel="0" collapsed="false">
      <c r="A486" s="4" t="n">
        <v>206</v>
      </c>
      <c r="B486" s="5" t="str">
        <f aca="false">"PAPAIZ"</f>
        <v>PAPAIZ</v>
      </c>
      <c r="C486" s="6" t="n">
        <v>956088</v>
      </c>
      <c r="D486" s="7" t="n">
        <v>45786</v>
      </c>
      <c r="E486" s="7" t="n">
        <v>45749</v>
      </c>
      <c r="F486" s="7"/>
      <c r="G486" s="7"/>
      <c r="H486" s="7" t="n">
        <v>45751</v>
      </c>
      <c r="I486" s="15" t="n">
        <v>90135</v>
      </c>
      <c r="J486" s="16" t="n">
        <v>199812</v>
      </c>
      <c r="K486" s="5" t="str">
        <f aca="false">"NORTEL FL 29"</f>
        <v>NORTEL FL 29</v>
      </c>
      <c r="L486" s="5" t="str">
        <f aca="false">"MATERIAL DE CONSTRUCAO"</f>
        <v>MATERIAL DE CONSTRUCAO</v>
      </c>
      <c r="M486" s="5" t="str">
        <f aca="false">"SP"</f>
        <v>SP</v>
      </c>
      <c r="N486" s="9" t="n">
        <v>0</v>
      </c>
      <c r="O486" s="10" t="n">
        <v>1700</v>
      </c>
      <c r="P486" s="10" t="n">
        <v>1265.04</v>
      </c>
      <c r="Q486" s="10" t="n">
        <v>7.4</v>
      </c>
      <c r="R486" s="10" t="n">
        <v>7.2</v>
      </c>
      <c r="S486" s="5" t="str">
        <f aca="false">"Faturado"</f>
        <v>Faturado</v>
      </c>
      <c r="T486" s="5" t="str">
        <f aca="false">"Luiz Carlos"</f>
        <v>Luiz Carlos</v>
      </c>
      <c r="U486" s="11" t="n">
        <v>25</v>
      </c>
      <c r="V486" s="5" t="str">
        <f aca="false">""</f>
        <v/>
      </c>
    </row>
    <row r="487" customFormat="false" ht="12.8" hidden="false" customHeight="false" outlineLevel="0" collapsed="false">
      <c r="A487" s="4" t="n">
        <v>206</v>
      </c>
      <c r="B487" s="5" t="str">
        <f aca="false">"PAPAIZ"</f>
        <v>PAPAIZ</v>
      </c>
      <c r="C487" s="6" t="n">
        <v>956298</v>
      </c>
      <c r="D487" s="7" t="n">
        <v>45787</v>
      </c>
      <c r="E487" s="7" t="n">
        <v>45749</v>
      </c>
      <c r="F487" s="7"/>
      <c r="G487" s="7"/>
      <c r="H487" s="7" t="n">
        <v>45751</v>
      </c>
      <c r="I487" s="15" t="n">
        <v>90113</v>
      </c>
      <c r="J487" s="5" t="str">
        <f aca="false">"SPDPPZ032257"</f>
        <v>SPDPPZ032257</v>
      </c>
      <c r="K487" s="5" t="str">
        <f aca="false">"CASA FONSECA"</f>
        <v>CASA FONSECA</v>
      </c>
      <c r="L487" s="5" t="str">
        <f aca="false">"FERRAGISTA"</f>
        <v>FERRAGISTA</v>
      </c>
      <c r="M487" s="5" t="str">
        <f aca="false">"SP"</f>
        <v>SP</v>
      </c>
      <c r="N487" s="9" t="n">
        <v>0</v>
      </c>
      <c r="O487" s="10" t="n">
        <v>863.11</v>
      </c>
      <c r="P487" s="10" t="n">
        <v>596.71</v>
      </c>
      <c r="Q487" s="10" t="n">
        <v>8.63</v>
      </c>
      <c r="R487" s="10" t="n">
        <v>8.46</v>
      </c>
      <c r="S487" s="5" t="str">
        <f aca="false">"Faturado"</f>
        <v>Faturado</v>
      </c>
      <c r="T487" s="5" t="str">
        <f aca="false">"BRFOKUS"</f>
        <v>BRFOKUS</v>
      </c>
      <c r="U487" s="11" t="n">
        <v>25</v>
      </c>
      <c r="V487" s="5" t="str">
        <f aca="false">""</f>
        <v/>
      </c>
    </row>
    <row r="488" customFormat="false" ht="12.8" hidden="false" customHeight="false" outlineLevel="0" collapsed="false">
      <c r="A488" s="4" t="n">
        <v>206</v>
      </c>
      <c r="B488" s="5" t="str">
        <f aca="false">"PAPAIZ"</f>
        <v>PAPAIZ</v>
      </c>
      <c r="C488" s="6" t="n">
        <v>956271</v>
      </c>
      <c r="D488" s="7" t="n">
        <v>45787</v>
      </c>
      <c r="E488" s="7" t="n">
        <v>45749</v>
      </c>
      <c r="F488" s="7"/>
      <c r="G488" s="7"/>
      <c r="H488" s="7" t="n">
        <v>45751</v>
      </c>
      <c r="I488" s="15" t="n">
        <v>90180</v>
      </c>
      <c r="J488" s="8" t="n">
        <v>756288</v>
      </c>
      <c r="K488" s="5" t="str">
        <f aca="false">"CELMAR"</f>
        <v>CELMAR</v>
      </c>
      <c r="L488" s="5" t="str">
        <f aca="false">"ATACADISTA"</f>
        <v>ATACADISTA</v>
      </c>
      <c r="M488" s="5" t="str">
        <f aca="false">"SP"</f>
        <v>SP</v>
      </c>
      <c r="N488" s="9" t="n">
        <v>0</v>
      </c>
      <c r="O488" s="10" t="n">
        <v>12150</v>
      </c>
      <c r="P488" s="10" t="n">
        <v>9041.42</v>
      </c>
      <c r="Q488" s="10" t="n">
        <v>98.95</v>
      </c>
      <c r="R488" s="10" t="n">
        <v>96.6</v>
      </c>
      <c r="S488" s="5" t="str">
        <f aca="false">"Faturado"</f>
        <v>Faturado</v>
      </c>
      <c r="T488" s="5" t="str">
        <f aca="false">"HANDRES NEW"</f>
        <v>HANDRES NEW</v>
      </c>
      <c r="U488" s="11" t="n">
        <v>25</v>
      </c>
      <c r="V488" s="5" t="str">
        <f aca="false">""</f>
        <v/>
      </c>
    </row>
    <row r="489" customFormat="false" ht="12.8" hidden="false" customHeight="false" outlineLevel="0" collapsed="false">
      <c r="A489" s="4" t="n">
        <v>206</v>
      </c>
      <c r="B489" s="5" t="str">
        <f aca="false">"LA FONTE"</f>
        <v>LA FONTE</v>
      </c>
      <c r="C489" s="6" t="n">
        <v>956549</v>
      </c>
      <c r="D489" s="7" t="n">
        <v>45787</v>
      </c>
      <c r="E489" s="7" t="n">
        <v>45750</v>
      </c>
      <c r="F489" s="7"/>
      <c r="G489" s="7" t="n">
        <v>45751</v>
      </c>
      <c r="H489" s="7" t="n">
        <v>45751</v>
      </c>
      <c r="I489" s="15" t="n">
        <v>90114</v>
      </c>
      <c r="J489" s="5" t="str">
        <f aca="false">"SPDLFT005680"</f>
        <v>SPDLFT005680</v>
      </c>
      <c r="K489" s="5" t="str">
        <f aca="false">"LIMA GOUVEIA"</f>
        <v>LIMA GOUVEIA</v>
      </c>
      <c r="L489" s="5" t="str">
        <f aca="false">"CONSTRUTORA"</f>
        <v>CONSTRUTORA</v>
      </c>
      <c r="M489" s="5" t="str">
        <f aca="false">"PE"</f>
        <v>PE</v>
      </c>
      <c r="N489" s="9" t="n">
        <v>0</v>
      </c>
      <c r="O489" s="10" t="n">
        <v>7697.41</v>
      </c>
      <c r="P489" s="10" t="n">
        <v>6491.27</v>
      </c>
      <c r="Q489" s="10" t="n">
        <v>95.92</v>
      </c>
      <c r="R489" s="10" t="n">
        <v>95.92</v>
      </c>
      <c r="S489" s="5" t="str">
        <f aca="false">"Faturado"</f>
        <v>Faturado</v>
      </c>
      <c r="T489" s="5" t="str">
        <f aca="false">"DMK"</f>
        <v>DMK</v>
      </c>
      <c r="U489" s="11" t="n">
        <v>25</v>
      </c>
      <c r="V489" s="5" t="str">
        <f aca="false">""</f>
        <v/>
      </c>
    </row>
    <row r="490" customFormat="false" ht="12.8" hidden="false" customHeight="false" outlineLevel="0" collapsed="false">
      <c r="A490" s="4" t="n">
        <v>206</v>
      </c>
      <c r="B490" s="5" t="str">
        <f aca="false">"PAPAIZ"</f>
        <v>PAPAIZ</v>
      </c>
      <c r="C490" s="6" t="n">
        <v>956300</v>
      </c>
      <c r="D490" s="7" t="n">
        <v>45787</v>
      </c>
      <c r="E490" s="7" t="n">
        <v>45749</v>
      </c>
      <c r="F490" s="7"/>
      <c r="G490" s="7"/>
      <c r="H490" s="7" t="n">
        <v>45751</v>
      </c>
      <c r="I490" s="15" t="n">
        <v>90111</v>
      </c>
      <c r="J490" s="15" t="n">
        <v>1019384</v>
      </c>
      <c r="K490" s="5" t="str">
        <f aca="false">"CATARINENS63"</f>
        <v>CATARINENS63</v>
      </c>
      <c r="L490" s="5" t="str">
        <f aca="false">"MATERIAL DE CONSTRUCAO"</f>
        <v>MATERIAL DE CONSTRUCAO</v>
      </c>
      <c r="M490" s="5" t="str">
        <f aca="false">"SP"</f>
        <v>SP</v>
      </c>
      <c r="N490" s="9" t="n">
        <v>393.6</v>
      </c>
      <c r="O490" s="10" t="n">
        <v>787.03</v>
      </c>
      <c r="P490" s="10" t="n">
        <v>549.92</v>
      </c>
      <c r="Q490" s="10" t="n">
        <v>3.32</v>
      </c>
      <c r="R490" s="10" t="n">
        <v>3.15</v>
      </c>
      <c r="S490" s="5" t="str">
        <f aca="false">"Faturado"</f>
        <v>Faturado</v>
      </c>
      <c r="T490" s="5" t="str">
        <f aca="false">"PRIME CF"</f>
        <v>PRIME CF</v>
      </c>
      <c r="U490" s="11" t="n">
        <v>25</v>
      </c>
      <c r="V490" s="5" t="str">
        <f aca="false">""</f>
        <v/>
      </c>
    </row>
    <row r="491" customFormat="false" ht="12.8" hidden="false" customHeight="false" outlineLevel="0" collapsed="false">
      <c r="A491" s="4" t="n">
        <v>206</v>
      </c>
      <c r="B491" s="5" t="str">
        <f aca="false">"PAPAIZ"</f>
        <v>PAPAIZ</v>
      </c>
      <c r="C491" s="6" t="n">
        <v>956596</v>
      </c>
      <c r="D491" s="7" t="n">
        <v>45789</v>
      </c>
      <c r="E491" s="7" t="n">
        <v>45750</v>
      </c>
      <c r="F491" s="7"/>
      <c r="G491" s="7"/>
      <c r="H491" s="7" t="n">
        <v>45751</v>
      </c>
      <c r="I491" s="15" t="n">
        <v>90122</v>
      </c>
      <c r="J491" s="8" t="n">
        <v>101463</v>
      </c>
      <c r="K491" s="5" t="str">
        <f aca="false">"FERIMPORT"</f>
        <v>FERIMPORT</v>
      </c>
      <c r="L491" s="5" t="str">
        <f aca="false">"ATACADISTA"</f>
        <v>ATACADISTA</v>
      </c>
      <c r="M491" s="5" t="str">
        <f aca="false">"BA"</f>
        <v>BA</v>
      </c>
      <c r="N491" s="9" t="n">
        <v>6937</v>
      </c>
      <c r="O491" s="10" t="n">
        <v>8434.8</v>
      </c>
      <c r="P491" s="10" t="n">
        <v>7118.76</v>
      </c>
      <c r="Q491" s="10" t="n">
        <v>62.07</v>
      </c>
      <c r="R491" s="10" t="n">
        <v>61.27</v>
      </c>
      <c r="S491" s="5" t="str">
        <f aca="false">"Faturado"</f>
        <v>Faturado</v>
      </c>
      <c r="T491" s="5" t="str">
        <f aca="false">"Borges"</f>
        <v>Borges</v>
      </c>
      <c r="U491" s="11" t="n">
        <v>25</v>
      </c>
      <c r="V491" s="5" t="str">
        <f aca="false">""</f>
        <v/>
      </c>
    </row>
    <row r="492" customFormat="false" ht="12.8" hidden="false" customHeight="false" outlineLevel="0" collapsed="false">
      <c r="A492" s="4" t="n">
        <v>206</v>
      </c>
      <c r="B492" s="5" t="str">
        <f aca="false">"LA FONTE"</f>
        <v>LA FONTE</v>
      </c>
      <c r="C492" s="6" t="n">
        <v>956548</v>
      </c>
      <c r="D492" s="7" t="n">
        <v>45789</v>
      </c>
      <c r="E492" s="7" t="n">
        <v>45750</v>
      </c>
      <c r="F492" s="7"/>
      <c r="G492" s="7" t="n">
        <v>45751</v>
      </c>
      <c r="H492" s="7" t="n">
        <v>45751</v>
      </c>
      <c r="I492" s="15" t="n">
        <v>90138</v>
      </c>
      <c r="J492" s="8" t="n">
        <v>122056</v>
      </c>
      <c r="K492" s="5" t="str">
        <f aca="false">"JOTA ELE RJ"</f>
        <v>JOTA ELE RJ</v>
      </c>
      <c r="L492" s="5" t="str">
        <f aca="false">"CONSTRUTORA"</f>
        <v>CONSTRUTORA</v>
      </c>
      <c r="M492" s="5" t="str">
        <f aca="false">"RJ"</f>
        <v>RJ</v>
      </c>
      <c r="N492" s="9" t="n">
        <v>0</v>
      </c>
      <c r="O492" s="10" t="n">
        <v>1128</v>
      </c>
      <c r="P492" s="10" t="n">
        <v>788.02</v>
      </c>
      <c r="Q492" s="10" t="n">
        <v>6.26</v>
      </c>
      <c r="R492" s="10" t="n">
        <v>5.93</v>
      </c>
      <c r="S492" s="5" t="str">
        <f aca="false">"Faturado"</f>
        <v>Faturado</v>
      </c>
      <c r="T492" s="5" t="str">
        <f aca="false">"TAVARES REP"</f>
        <v>TAVARES REP</v>
      </c>
      <c r="U492" s="11" t="n">
        <v>25</v>
      </c>
      <c r="V492" s="5" t="str">
        <f aca="false">""</f>
        <v/>
      </c>
    </row>
    <row r="493" customFormat="false" ht="12.8" hidden="false" customHeight="false" outlineLevel="0" collapsed="false">
      <c r="A493" s="4" t="n">
        <v>206</v>
      </c>
      <c r="B493" s="5" t="str">
        <f aca="false">"LA FONTE"</f>
        <v>LA FONTE</v>
      </c>
      <c r="C493" s="6" t="n">
        <v>956592</v>
      </c>
      <c r="D493" s="7" t="n">
        <v>45790</v>
      </c>
      <c r="E493" s="7" t="n">
        <v>45750</v>
      </c>
      <c r="F493" s="7"/>
      <c r="G493" s="7" t="n">
        <v>45751</v>
      </c>
      <c r="H493" s="7" t="n">
        <v>45751</v>
      </c>
      <c r="I493" s="15" t="n">
        <v>90124</v>
      </c>
      <c r="J493" s="8" t="n">
        <v>17977</v>
      </c>
      <c r="K493" s="5" t="str">
        <f aca="false">"EPM"</f>
        <v>EPM</v>
      </c>
      <c r="L493" s="5" t="str">
        <f aca="false">"FERRAGISTA"</f>
        <v>FERRAGISTA</v>
      </c>
      <c r="M493" s="5" t="str">
        <f aca="false">"SP"</f>
        <v>SP</v>
      </c>
      <c r="N493" s="9" t="n">
        <v>266.63</v>
      </c>
      <c r="O493" s="10" t="n">
        <v>1747.48</v>
      </c>
      <c r="P493" s="10" t="n">
        <v>1127.83</v>
      </c>
      <c r="Q493" s="10" t="n">
        <v>15.16</v>
      </c>
      <c r="R493" s="10" t="n">
        <v>14.75</v>
      </c>
      <c r="S493" s="5" t="str">
        <f aca="false">"Faturado"</f>
        <v>Faturado</v>
      </c>
      <c r="T493" s="5" t="str">
        <f aca="false">"Luiz Carlos"</f>
        <v>Luiz Carlos</v>
      </c>
      <c r="U493" s="11" t="n">
        <v>25</v>
      </c>
      <c r="V493" s="5" t="str">
        <f aca="false">""</f>
        <v/>
      </c>
    </row>
    <row r="494" customFormat="false" ht="12.8" hidden="false" customHeight="false" outlineLevel="0" collapsed="false">
      <c r="A494" s="4" t="n">
        <v>206</v>
      </c>
      <c r="B494" s="5" t="str">
        <f aca="false">"LA FONTE"</f>
        <v>LA FONTE</v>
      </c>
      <c r="C494" s="6" t="n">
        <v>956552</v>
      </c>
      <c r="D494" s="7" t="n">
        <v>45791</v>
      </c>
      <c r="E494" s="7" t="n">
        <v>45750</v>
      </c>
      <c r="F494" s="7"/>
      <c r="G494" s="7" t="n">
        <v>45751</v>
      </c>
      <c r="H494" s="7" t="n">
        <v>45751</v>
      </c>
      <c r="I494" s="15" t="n">
        <v>90235</v>
      </c>
      <c r="J494" s="12" t="n">
        <v>31090</v>
      </c>
      <c r="K494" s="5" t="str">
        <f aca="false">"METALFERCOSC"</f>
        <v>METALFERCOSC</v>
      </c>
      <c r="L494" s="5" t="str">
        <f aca="false">"FERRAGISTA"</f>
        <v>FERRAGISTA</v>
      </c>
      <c r="M494" s="5" t="str">
        <f aca="false">"SC"</f>
        <v>SC</v>
      </c>
      <c r="N494" s="9" t="n">
        <v>3044</v>
      </c>
      <c r="O494" s="10" t="n">
        <v>2812.24</v>
      </c>
      <c r="P494" s="10" t="n">
        <v>2300.49</v>
      </c>
      <c r="Q494" s="10" t="n">
        <v>68.1</v>
      </c>
      <c r="R494" s="10" t="n">
        <v>59.7</v>
      </c>
      <c r="S494" s="5" t="str">
        <f aca="false">"Faturado"</f>
        <v>Faturado</v>
      </c>
      <c r="T494" s="5" t="str">
        <f aca="false">"METALF PIN"</f>
        <v>METALF PIN</v>
      </c>
      <c r="U494" s="11" t="n">
        <v>25</v>
      </c>
      <c r="V494" s="5" t="str">
        <f aca="false">""</f>
        <v/>
      </c>
    </row>
    <row r="495" customFormat="false" ht="12.8" hidden="false" customHeight="false" outlineLevel="0" collapsed="false">
      <c r="A495" s="4" t="n">
        <v>206</v>
      </c>
      <c r="B495" s="5" t="str">
        <f aca="false">"LA FONTE"</f>
        <v>LA FONTE</v>
      </c>
      <c r="C495" s="6" t="n">
        <v>956626</v>
      </c>
      <c r="D495" s="7" t="n">
        <v>45791</v>
      </c>
      <c r="E495" s="7" t="n">
        <v>45750</v>
      </c>
      <c r="F495" s="7"/>
      <c r="G495" s="7" t="n">
        <v>45751</v>
      </c>
      <c r="H495" s="7" t="n">
        <v>45751</v>
      </c>
      <c r="I495" s="15" t="n">
        <v>90127</v>
      </c>
      <c r="J495" s="12" t="n">
        <v>31091</v>
      </c>
      <c r="K495" s="5" t="str">
        <f aca="false">"METALFERCO1"</f>
        <v>METALFERCO1</v>
      </c>
      <c r="L495" s="5" t="str">
        <f aca="false">"FERRAGISTA"</f>
        <v>FERRAGISTA</v>
      </c>
      <c r="M495" s="5" t="str">
        <f aca="false">"SP"</f>
        <v>SP</v>
      </c>
      <c r="N495" s="9" t="n">
        <v>3727.57</v>
      </c>
      <c r="O495" s="10" t="n">
        <v>938.95</v>
      </c>
      <c r="P495" s="10" t="n">
        <v>656.07</v>
      </c>
      <c r="Q495" s="10" t="n">
        <v>1.95</v>
      </c>
      <c r="R495" s="10" t="n">
        <v>0.7</v>
      </c>
      <c r="S495" s="5" t="str">
        <f aca="false">"Faturado"</f>
        <v>Faturado</v>
      </c>
      <c r="T495" s="5" t="str">
        <f aca="false">"METALF PIN"</f>
        <v>METALF PIN</v>
      </c>
      <c r="U495" s="11" t="n">
        <v>25</v>
      </c>
      <c r="V495" s="5" t="str">
        <f aca="false">""</f>
        <v/>
      </c>
    </row>
    <row r="496" customFormat="false" ht="12.8" hidden="false" customHeight="false" outlineLevel="0" collapsed="false">
      <c r="A496" s="4" t="n">
        <v>206</v>
      </c>
      <c r="B496" s="5" t="str">
        <f aca="false">"PAPAIZ"</f>
        <v>PAPAIZ</v>
      </c>
      <c r="C496" s="6" t="n">
        <v>956129</v>
      </c>
      <c r="D496" s="7" t="n">
        <v>45794</v>
      </c>
      <c r="E496" s="7" t="n">
        <v>45749</v>
      </c>
      <c r="F496" s="7"/>
      <c r="G496" s="7"/>
      <c r="H496" s="7" t="n">
        <v>45751</v>
      </c>
      <c r="I496" s="15" t="n">
        <v>90146</v>
      </c>
      <c r="J496" s="5" t="str">
        <f aca="false">"SPDPPZ032244"</f>
        <v>SPDPPZ032244</v>
      </c>
      <c r="K496" s="5" t="str">
        <f aca="false">"TOME"</f>
        <v>TOME</v>
      </c>
      <c r="L496" s="5" t="str">
        <f aca="false">"FERRAGISTA"</f>
        <v>FERRAGISTA</v>
      </c>
      <c r="M496" s="5" t="str">
        <f aca="false">"SC"</f>
        <v>SC</v>
      </c>
      <c r="N496" s="9" t="n">
        <v>1864.58</v>
      </c>
      <c r="O496" s="10" t="n">
        <v>851.64</v>
      </c>
      <c r="P496" s="10" t="n">
        <v>680.12</v>
      </c>
      <c r="Q496" s="10" t="n">
        <v>5.04</v>
      </c>
      <c r="R496" s="10" t="n">
        <v>4.19</v>
      </c>
      <c r="S496" s="5" t="str">
        <f aca="false">"Faturado"</f>
        <v>Faturado</v>
      </c>
      <c r="T496" s="5" t="str">
        <f aca="false">"ROSA REPRESE"</f>
        <v>ROSA REPRESE</v>
      </c>
      <c r="U496" s="11" t="n">
        <v>25</v>
      </c>
      <c r="V496" s="5" t="str">
        <f aca="false">""</f>
        <v/>
      </c>
    </row>
    <row r="497" customFormat="false" ht="12.8" hidden="false" customHeight="false" outlineLevel="0" collapsed="false">
      <c r="A497" s="4" t="n">
        <v>206</v>
      </c>
      <c r="B497" s="5" t="str">
        <f aca="false">"LA FONTE"</f>
        <v>LA FONTE</v>
      </c>
      <c r="C497" s="6" t="n">
        <v>956637</v>
      </c>
      <c r="D497" s="7" t="n">
        <v>45794</v>
      </c>
      <c r="E497" s="7" t="n">
        <v>45750</v>
      </c>
      <c r="F497" s="7"/>
      <c r="G497" s="7" t="n">
        <v>45751</v>
      </c>
      <c r="H497" s="7" t="n">
        <v>45751</v>
      </c>
      <c r="I497" s="15" t="n">
        <v>90161</v>
      </c>
      <c r="J497" s="5" t="str">
        <f aca="false">"SPDLFT005827"</f>
        <v>SPDLFT005827</v>
      </c>
      <c r="K497" s="5" t="str">
        <f aca="false">"PAES L PARAF"</f>
        <v>PAES L PARAF</v>
      </c>
      <c r="L497" s="5" t="str">
        <f aca="false">"FERRAGISTA"</f>
        <v>FERRAGISTA</v>
      </c>
      <c r="M497" s="5" t="str">
        <f aca="false">"SP"</f>
        <v>SP</v>
      </c>
      <c r="N497" s="9" t="n">
        <v>614.15</v>
      </c>
      <c r="O497" s="10" t="n">
        <v>672.66</v>
      </c>
      <c r="P497" s="10" t="n">
        <v>434.14</v>
      </c>
      <c r="Q497" s="10" t="n">
        <v>5.29</v>
      </c>
      <c r="R497" s="10" t="n">
        <v>4.92</v>
      </c>
      <c r="S497" s="5" t="str">
        <f aca="false">"Faturado"</f>
        <v>Faturado</v>
      </c>
      <c r="T497" s="5" t="str">
        <f aca="false">"PRIME CF"</f>
        <v>PRIME CF</v>
      </c>
      <c r="U497" s="11" t="n">
        <v>25</v>
      </c>
      <c r="V497" s="5" t="str">
        <f aca="false">""</f>
        <v/>
      </c>
    </row>
    <row r="498" customFormat="false" ht="12.8" hidden="false" customHeight="false" outlineLevel="0" collapsed="false">
      <c r="A498" s="4" t="n">
        <v>206</v>
      </c>
      <c r="B498" s="5" t="str">
        <f aca="false">"LA FONTE"</f>
        <v>LA FONTE</v>
      </c>
      <c r="C498" s="6" t="n">
        <v>956550</v>
      </c>
      <c r="D498" s="7" t="n">
        <v>45796</v>
      </c>
      <c r="E498" s="7" t="n">
        <v>45750</v>
      </c>
      <c r="F498" s="7"/>
      <c r="G498" s="7" t="n">
        <v>45751</v>
      </c>
      <c r="H498" s="7" t="n">
        <v>45751</v>
      </c>
      <c r="I498" s="15" t="n">
        <v>90239</v>
      </c>
      <c r="J498" s="5" t="str">
        <f aca="false">"SPDLFT005659"</f>
        <v>SPDLFT005659</v>
      </c>
      <c r="K498" s="5" t="str">
        <f aca="false">"MALAI ITACI"</f>
        <v>MALAI ITACI</v>
      </c>
      <c r="L498" s="5" t="str">
        <f aca="false">"CONSTRUTORA"</f>
        <v>CONSTRUTORA</v>
      </c>
      <c r="M498" s="5" t="str">
        <f aca="false">"BA"</f>
        <v>BA</v>
      </c>
      <c r="N498" s="9" t="n">
        <v>0</v>
      </c>
      <c r="O498" s="10" t="n">
        <v>1251.2</v>
      </c>
      <c r="P498" s="10" t="n">
        <v>887.06</v>
      </c>
      <c r="Q498" s="10" t="n">
        <v>13.1</v>
      </c>
      <c r="R498" s="10" t="n">
        <v>13.1</v>
      </c>
      <c r="S498" s="5" t="str">
        <f aca="false">"Faturado"</f>
        <v>Faturado</v>
      </c>
      <c r="T498" s="5" t="str">
        <f aca="false">"GRUPO PROTAZ"</f>
        <v>GRUPO PROTAZ</v>
      </c>
      <c r="U498" s="11" t="n">
        <v>25</v>
      </c>
      <c r="V498" s="5" t="str">
        <f aca="false">""</f>
        <v/>
      </c>
    </row>
    <row r="499" customFormat="false" ht="12.8" hidden="false" customHeight="false" outlineLevel="0" collapsed="false">
      <c r="A499" s="4" t="n">
        <v>206</v>
      </c>
      <c r="B499" s="5" t="str">
        <f aca="false">"LA FONTE"</f>
        <v>LA FONTE</v>
      </c>
      <c r="C499" s="6" t="n">
        <v>956632</v>
      </c>
      <c r="D499" s="7" t="n">
        <v>45797</v>
      </c>
      <c r="E499" s="7" t="n">
        <v>45750</v>
      </c>
      <c r="F499" s="7"/>
      <c r="G499" s="7" t="n">
        <v>45751</v>
      </c>
      <c r="H499" s="7" t="n">
        <v>45751</v>
      </c>
      <c r="I499" s="15" t="n">
        <v>90049</v>
      </c>
      <c r="J499" s="12" t="n">
        <v>31118</v>
      </c>
      <c r="K499" s="5" t="str">
        <f aca="false">"METALFERCO4"</f>
        <v>METALFERCO4</v>
      </c>
      <c r="L499" s="5" t="str">
        <f aca="false">"FERRAGISTA"</f>
        <v>FERRAGISTA</v>
      </c>
      <c r="M499" s="5" t="str">
        <f aca="false">"SP"</f>
        <v>SP</v>
      </c>
      <c r="N499" s="9" t="n">
        <v>9632.1</v>
      </c>
      <c r="O499" s="10" t="n">
        <v>2196.65</v>
      </c>
      <c r="P499" s="10" t="n">
        <v>1283.47</v>
      </c>
      <c r="Q499" s="10" t="n">
        <v>20.9</v>
      </c>
      <c r="R499" s="10" t="n">
        <v>20.9</v>
      </c>
      <c r="S499" s="5" t="str">
        <f aca="false">"Faturado"</f>
        <v>Faturado</v>
      </c>
      <c r="T499" s="5" t="str">
        <f aca="false">"METALF PIN"</f>
        <v>METALF PIN</v>
      </c>
      <c r="U499" s="11" t="n">
        <v>25</v>
      </c>
      <c r="V499" s="5" t="str">
        <f aca="false">""</f>
        <v/>
      </c>
    </row>
    <row r="500" customFormat="false" ht="12.8" hidden="false" customHeight="false" outlineLevel="0" collapsed="false">
      <c r="A500" s="4" t="n">
        <v>206</v>
      </c>
      <c r="B500" s="5" t="str">
        <f aca="false">"PAPAIZ"</f>
        <v>PAPAIZ</v>
      </c>
      <c r="C500" s="6" t="n">
        <v>954435</v>
      </c>
      <c r="D500" s="7" t="n">
        <v>45798</v>
      </c>
      <c r="E500" s="7" t="n">
        <v>45743</v>
      </c>
      <c r="F500" s="7"/>
      <c r="G500" s="7"/>
      <c r="H500" s="7" t="n">
        <v>45751</v>
      </c>
      <c r="I500" s="15" t="n">
        <v>90053</v>
      </c>
      <c r="J500" s="5" t="str">
        <f aca="false">"SPDPPZ030839"</f>
        <v>SPDPPZ030839</v>
      </c>
      <c r="K500" s="5" t="str">
        <f aca="false">"FECHALAR 1"</f>
        <v>FECHALAR 1</v>
      </c>
      <c r="L500" s="5" t="str">
        <f aca="false">"FERRAGISTA"</f>
        <v>FERRAGISTA</v>
      </c>
      <c r="M500" s="5" t="str">
        <f aca="false">"RS"</f>
        <v>RS</v>
      </c>
      <c r="N500" s="9" t="n">
        <v>545.28</v>
      </c>
      <c r="O500" s="10" t="n">
        <v>3117.18</v>
      </c>
      <c r="P500" s="10" t="n">
        <v>2021.48</v>
      </c>
      <c r="Q500" s="10" t="n">
        <v>14.49</v>
      </c>
      <c r="R500" s="10" t="n">
        <v>14.49</v>
      </c>
      <c r="S500" s="5" t="str">
        <f aca="false">"Faturado"</f>
        <v>Faturado</v>
      </c>
      <c r="T500" s="5" t="str">
        <f aca="false">"BARSE REPRES"</f>
        <v>BARSE REPRES</v>
      </c>
      <c r="U500" s="11" t="n">
        <v>25</v>
      </c>
      <c r="V500" s="5" t="str">
        <f aca="false">""</f>
        <v/>
      </c>
    </row>
    <row r="501" customFormat="false" ht="12.8" hidden="false" customHeight="false" outlineLevel="0" collapsed="false">
      <c r="A501" s="4" t="n">
        <v>206</v>
      </c>
      <c r="B501" s="5" t="str">
        <f aca="false">"LA FONTE"</f>
        <v>LA FONTE</v>
      </c>
      <c r="C501" s="6" t="n">
        <v>956623</v>
      </c>
      <c r="D501" s="7" t="n">
        <v>45798</v>
      </c>
      <c r="E501" s="7" t="n">
        <v>45750</v>
      </c>
      <c r="F501" s="7"/>
      <c r="G501" s="7" t="n">
        <v>45751</v>
      </c>
      <c r="H501" s="7" t="n">
        <v>45751</v>
      </c>
      <c r="I501" s="15" t="n">
        <v>90197</v>
      </c>
      <c r="J501" s="5" t="str">
        <f aca="false">"SPDLFT005866"</f>
        <v>SPDLFT005866</v>
      </c>
      <c r="K501" s="5" t="str">
        <f aca="false">"MARCENARIA E"</f>
        <v>MARCENARIA E</v>
      </c>
      <c r="L501" s="5" t="str">
        <f aca="false">"OEM"</f>
        <v>OEM</v>
      </c>
      <c r="M501" s="5" t="str">
        <f aca="false">"SP"</f>
        <v>SP</v>
      </c>
      <c r="N501" s="9" t="n">
        <v>6303.88</v>
      </c>
      <c r="O501" s="10" t="n">
        <v>2766.4</v>
      </c>
      <c r="P501" s="10" t="n">
        <v>2058.62</v>
      </c>
      <c r="Q501" s="10" t="n">
        <v>26.53</v>
      </c>
      <c r="R501" s="10" t="n">
        <v>25.44</v>
      </c>
      <c r="S501" s="5" t="str">
        <f aca="false">"Faturado"</f>
        <v>Faturado</v>
      </c>
      <c r="T501" s="5" t="str">
        <f aca="false">"REINALDO M"</f>
        <v>REINALDO M</v>
      </c>
      <c r="U501" s="11" t="n">
        <v>25</v>
      </c>
      <c r="V501" s="5" t="str">
        <f aca="false">""</f>
        <v/>
      </c>
    </row>
    <row r="502" customFormat="false" ht="12.8" hidden="false" customHeight="false" outlineLevel="0" collapsed="false">
      <c r="A502" s="4" t="n">
        <v>206</v>
      </c>
      <c r="B502" s="5" t="str">
        <f aca="false">"LA FONTE"</f>
        <v>LA FONTE</v>
      </c>
      <c r="C502" s="6" t="n">
        <v>956554</v>
      </c>
      <c r="D502" s="7" t="n">
        <v>45798</v>
      </c>
      <c r="E502" s="7" t="n">
        <v>45750</v>
      </c>
      <c r="F502" s="7"/>
      <c r="G502" s="7" t="n">
        <v>45751</v>
      </c>
      <c r="H502" s="7" t="n">
        <v>45751</v>
      </c>
      <c r="I502" s="15" t="n">
        <v>90055</v>
      </c>
      <c r="J502" s="5" t="str">
        <f aca="false">"SPDLFT005861"</f>
        <v>SPDLFT005861</v>
      </c>
      <c r="K502" s="5" t="str">
        <f aca="false">"RESERVA TOQU"</f>
        <v>RESERVA TOQU</v>
      </c>
      <c r="L502" s="5" t="str">
        <f aca="false">"CONSTRUTORA"</f>
        <v>CONSTRUTORA</v>
      </c>
      <c r="M502" s="5" t="str">
        <f aca="false">"SP"</f>
        <v>SP</v>
      </c>
      <c r="N502" s="9" t="n">
        <v>0</v>
      </c>
      <c r="O502" s="10" t="n">
        <v>4715</v>
      </c>
      <c r="P502" s="10" t="n">
        <v>3508.66</v>
      </c>
      <c r="Q502" s="10" t="n">
        <v>39</v>
      </c>
      <c r="R502" s="10" t="n">
        <v>39</v>
      </c>
      <c r="S502" s="5" t="str">
        <f aca="false">"Faturado"</f>
        <v>Faturado</v>
      </c>
      <c r="T502" s="5" t="str">
        <f aca="false">"DAUD"</f>
        <v>DAUD</v>
      </c>
      <c r="U502" s="11" t="n">
        <v>25</v>
      </c>
      <c r="V502" s="5" t="str">
        <f aca="false">""</f>
        <v/>
      </c>
    </row>
    <row r="503" customFormat="false" ht="12.8" hidden="false" customHeight="false" outlineLevel="0" collapsed="false">
      <c r="A503" s="4" t="n">
        <v>206</v>
      </c>
      <c r="B503" s="5" t="str">
        <f aca="false">"LA FONTE"</f>
        <v>LA FONTE</v>
      </c>
      <c r="C503" s="6" t="n">
        <v>956629</v>
      </c>
      <c r="D503" s="7" t="n">
        <v>45801</v>
      </c>
      <c r="E503" s="7" t="n">
        <v>45750</v>
      </c>
      <c r="F503" s="7"/>
      <c r="G503" s="7" t="n">
        <v>45751</v>
      </c>
      <c r="H503" s="7" t="n">
        <v>45751</v>
      </c>
      <c r="I503" s="15" t="n">
        <v>90228</v>
      </c>
      <c r="J503" s="12" t="n">
        <v>31096</v>
      </c>
      <c r="K503" s="5" t="str">
        <f aca="false">"METALFERCO1"</f>
        <v>METALFERCO1</v>
      </c>
      <c r="L503" s="5" t="str">
        <f aca="false">"FERRAGISTA"</f>
        <v>FERRAGISTA</v>
      </c>
      <c r="M503" s="5" t="str">
        <f aca="false">"SP"</f>
        <v>SP</v>
      </c>
      <c r="N503" s="9" t="n">
        <v>8731.97</v>
      </c>
      <c r="O503" s="10" t="n">
        <v>1183.97</v>
      </c>
      <c r="P503" s="10" t="n">
        <v>764.12</v>
      </c>
      <c r="Q503" s="10" t="n">
        <v>5.2</v>
      </c>
      <c r="R503" s="10" t="n">
        <v>5.2</v>
      </c>
      <c r="S503" s="5" t="str">
        <f aca="false">"Faturado"</f>
        <v>Faturado</v>
      </c>
      <c r="T503" s="5" t="str">
        <f aca="false">"METALF PIN"</f>
        <v>METALF PIN</v>
      </c>
      <c r="U503" s="11" t="n">
        <v>25</v>
      </c>
      <c r="V503" s="5" t="str">
        <f aca="false">""</f>
        <v/>
      </c>
    </row>
    <row r="504" customFormat="false" ht="12.8" hidden="false" customHeight="false" outlineLevel="0" collapsed="false">
      <c r="A504" s="4" t="n">
        <v>206</v>
      </c>
      <c r="B504" s="5" t="str">
        <f aca="false">"PAPAIZ"</f>
        <v>PAPAIZ</v>
      </c>
      <c r="C504" s="6" t="n">
        <v>955800</v>
      </c>
      <c r="D504" s="7" t="n">
        <v>45803</v>
      </c>
      <c r="E504" s="7" t="n">
        <v>45748</v>
      </c>
      <c r="F504" s="7"/>
      <c r="G504" s="7"/>
      <c r="H504" s="7" t="n">
        <v>45751</v>
      </c>
      <c r="I504" s="15" t="n">
        <v>90088</v>
      </c>
      <c r="J504" s="5" t="str">
        <f aca="false">"SPDPPZ031924"</f>
        <v>SPDPPZ031924</v>
      </c>
      <c r="K504" s="5" t="str">
        <f aca="false">"VECCHINI"</f>
        <v>VECCHINI</v>
      </c>
      <c r="L504" s="5" t="str">
        <f aca="false">"MATERIAL DE CONSTRUCAO"</f>
        <v>MATERIAL DE CONSTRUCAO</v>
      </c>
      <c r="M504" s="5" t="str">
        <f aca="false">"SP"</f>
        <v>SP</v>
      </c>
      <c r="N504" s="9" t="n">
        <v>1117.95</v>
      </c>
      <c r="O504" s="10" t="n">
        <v>1386.7</v>
      </c>
      <c r="P504" s="10" t="n">
        <v>952.47</v>
      </c>
      <c r="Q504" s="10" t="n">
        <v>5.87</v>
      </c>
      <c r="R504" s="10" t="n">
        <v>5.54</v>
      </c>
      <c r="S504" s="5" t="str">
        <f aca="false">"Faturado"</f>
        <v>Faturado</v>
      </c>
      <c r="T504" s="5" t="str">
        <f aca="false">"JOYCECOVACEV"</f>
        <v>JOYCECOVACEV</v>
      </c>
      <c r="U504" s="11" t="n">
        <v>25</v>
      </c>
      <c r="V504" s="5" t="str">
        <f aca="false">""</f>
        <v/>
      </c>
    </row>
    <row r="505" customFormat="false" ht="12.8" hidden="false" customHeight="false" outlineLevel="0" collapsed="false">
      <c r="A505" s="4" t="n">
        <v>206</v>
      </c>
      <c r="B505" s="5" t="str">
        <f aca="false">"PAPAIZ"</f>
        <v>PAPAIZ</v>
      </c>
      <c r="C505" s="6" t="n">
        <v>955776</v>
      </c>
      <c r="D505" s="7" t="n">
        <v>45805</v>
      </c>
      <c r="E505" s="7" t="n">
        <v>45748</v>
      </c>
      <c r="F505" s="7"/>
      <c r="G505" s="7"/>
      <c r="H505" s="7" t="n">
        <v>45751</v>
      </c>
      <c r="I505" s="15" t="n">
        <v>90086</v>
      </c>
      <c r="J505" s="13" t="n">
        <v>2667</v>
      </c>
      <c r="K505" s="5" t="str">
        <f aca="false">"LAPER"</f>
        <v>LAPER</v>
      </c>
      <c r="L505" s="5" t="str">
        <f aca="false">"FERRAGISTA"</f>
        <v>FERRAGISTA</v>
      </c>
      <c r="M505" s="5" t="str">
        <f aca="false">"SP"</f>
        <v>SP</v>
      </c>
      <c r="N505" s="9" t="n">
        <v>1024.75</v>
      </c>
      <c r="O505" s="10" t="n">
        <v>643.93</v>
      </c>
      <c r="P505" s="10" t="n">
        <v>415.6</v>
      </c>
      <c r="Q505" s="10" t="n">
        <v>3.67</v>
      </c>
      <c r="R505" s="10" t="n">
        <v>3.49</v>
      </c>
      <c r="S505" s="5" t="str">
        <f aca="false">"Faturado"</f>
        <v>Faturado</v>
      </c>
      <c r="T505" s="5" t="str">
        <f aca="false">"HERCULES RIO"</f>
        <v>HERCULES RIO</v>
      </c>
      <c r="U505" s="11" t="n">
        <v>25</v>
      </c>
      <c r="V505" s="5" t="str">
        <f aca="false">""</f>
        <v/>
      </c>
    </row>
    <row r="506" customFormat="false" ht="12.8" hidden="false" customHeight="false" outlineLevel="0" collapsed="false">
      <c r="A506" s="4" t="n">
        <v>206</v>
      </c>
      <c r="B506" s="5" t="str">
        <f aca="false">"PAPAIZ"</f>
        <v>PAPAIZ</v>
      </c>
      <c r="C506" s="6" t="n">
        <v>955765</v>
      </c>
      <c r="D506" s="7" t="n">
        <v>45805</v>
      </c>
      <c r="E506" s="7" t="n">
        <v>45748</v>
      </c>
      <c r="F506" s="7"/>
      <c r="G506" s="7"/>
      <c r="H506" s="7" t="n">
        <v>45751</v>
      </c>
      <c r="I506" s="15" t="n">
        <v>90078</v>
      </c>
      <c r="J506" s="5" t="str">
        <f aca="false">"SPDPPZ032082"</f>
        <v>SPDPPZ032082</v>
      </c>
      <c r="K506" s="5" t="str">
        <f aca="false">"EMPORIO 2"</f>
        <v>EMPORIO 2</v>
      </c>
      <c r="L506" s="5" t="str">
        <f aca="false">"FERRAGISTA"</f>
        <v>FERRAGISTA</v>
      </c>
      <c r="M506" s="5" t="str">
        <f aca="false">"SP"</f>
        <v>SP</v>
      </c>
      <c r="N506" s="9" t="n">
        <v>2741</v>
      </c>
      <c r="O506" s="10" t="n">
        <v>9204.83</v>
      </c>
      <c r="P506" s="10" t="n">
        <v>5984.01</v>
      </c>
      <c r="Q506" s="10" t="n">
        <v>80.47</v>
      </c>
      <c r="R506" s="10" t="n">
        <v>79.5</v>
      </c>
      <c r="S506" s="5" t="str">
        <f aca="false">"Faturado"</f>
        <v>Faturado</v>
      </c>
      <c r="T506" s="5" t="str">
        <f aca="false">"Luiz Carlos"</f>
        <v>Luiz Carlos</v>
      </c>
      <c r="U506" s="11" t="n">
        <v>25</v>
      </c>
      <c r="V506" s="5" t="str">
        <f aca="false">""</f>
        <v/>
      </c>
    </row>
    <row r="507" customFormat="false" ht="12.8" hidden="false" customHeight="false" outlineLevel="0" collapsed="false">
      <c r="A507" s="4" t="n">
        <v>206</v>
      </c>
      <c r="B507" s="5" t="str">
        <f aca="false">"PAPAIZ"</f>
        <v>PAPAIZ</v>
      </c>
      <c r="C507" s="6" t="n">
        <v>956028</v>
      </c>
      <c r="D507" s="7" t="n">
        <v>45806</v>
      </c>
      <c r="E507" s="7" t="n">
        <v>45748</v>
      </c>
      <c r="F507" s="7"/>
      <c r="G507" s="7"/>
      <c r="H507" s="7" t="n">
        <v>45751</v>
      </c>
      <c r="I507" s="15" t="n">
        <v>90104</v>
      </c>
      <c r="J507" s="5" t="str">
        <f aca="false">"SPDPPZ032178"</f>
        <v>SPDPPZ032178</v>
      </c>
      <c r="K507" s="5" t="str">
        <f aca="false">"ELIAS"</f>
        <v>ELIAS</v>
      </c>
      <c r="L507" s="5" t="str">
        <f aca="false">"MATERIAL DE CONSTRUCAO"</f>
        <v>MATERIAL DE CONSTRUCAO</v>
      </c>
      <c r="M507" s="5" t="str">
        <f aca="false">"SP"</f>
        <v>SP</v>
      </c>
      <c r="N507" s="9" t="n">
        <v>270.7</v>
      </c>
      <c r="O507" s="10" t="n">
        <v>1378.58</v>
      </c>
      <c r="P507" s="10" t="n">
        <v>963.25</v>
      </c>
      <c r="Q507" s="10" t="n">
        <v>18.75</v>
      </c>
      <c r="R507" s="10" t="n">
        <v>18.75</v>
      </c>
      <c r="S507" s="5" t="str">
        <f aca="false">"Faturado"</f>
        <v>Faturado</v>
      </c>
      <c r="T507" s="5" t="str">
        <f aca="false">"JOYCECOVACEV"</f>
        <v>JOYCECOVACEV</v>
      </c>
      <c r="U507" s="11" t="n">
        <v>25</v>
      </c>
      <c r="V507" s="5" t="str">
        <f aca="false">""</f>
        <v/>
      </c>
    </row>
    <row r="508" customFormat="false" ht="12.8" hidden="false" customHeight="false" outlineLevel="0" collapsed="false">
      <c r="A508" s="4" t="n">
        <v>206</v>
      </c>
      <c r="B508" s="5" t="str">
        <f aca="false">"PAPAIZ"</f>
        <v>PAPAIZ</v>
      </c>
      <c r="C508" s="6" t="n">
        <v>956299</v>
      </c>
      <c r="D508" s="7" t="n">
        <v>45807</v>
      </c>
      <c r="E508" s="7" t="n">
        <v>45749</v>
      </c>
      <c r="F508" s="7"/>
      <c r="G508" s="7"/>
      <c r="H508" s="7" t="n">
        <v>45751</v>
      </c>
      <c r="I508" s="15" t="n">
        <v>90070</v>
      </c>
      <c r="J508" s="5" t="str">
        <f aca="false">"SPDPPZ032251"</f>
        <v>SPDPPZ032251</v>
      </c>
      <c r="K508" s="5" t="str">
        <f aca="false">"CASTORLAR"</f>
        <v>CASTORLAR</v>
      </c>
      <c r="L508" s="5" t="str">
        <f aca="false">"MATERIAL DE CONSTRUCAO"</f>
        <v>MATERIAL DE CONSTRUCAO</v>
      </c>
      <c r="M508" s="5" t="str">
        <f aca="false">"RJ"</f>
        <v>RJ</v>
      </c>
      <c r="N508" s="9" t="n">
        <v>567.75</v>
      </c>
      <c r="O508" s="10" t="n">
        <v>861.7</v>
      </c>
      <c r="P508" s="10" t="n">
        <v>688.16</v>
      </c>
      <c r="Q508" s="10" t="n">
        <v>6.28</v>
      </c>
      <c r="R508" s="10" t="n">
        <v>6</v>
      </c>
      <c r="S508" s="5" t="str">
        <f aca="false">"Faturado"</f>
        <v>Faturado</v>
      </c>
      <c r="T508" s="5" t="str">
        <f aca="false">"CAPA 123"</f>
        <v>CAPA 123</v>
      </c>
      <c r="U508" s="11" t="n">
        <v>25</v>
      </c>
      <c r="V508" s="5" t="str">
        <f aca="false">""</f>
        <v/>
      </c>
    </row>
    <row r="509" customFormat="false" ht="12.8" hidden="false" customHeight="false" outlineLevel="0" collapsed="false">
      <c r="A509" s="4" t="n">
        <v>206</v>
      </c>
      <c r="B509" s="5" t="str">
        <f aca="false">"LA FONTE"</f>
        <v>LA FONTE</v>
      </c>
      <c r="C509" s="6" t="n">
        <v>956576</v>
      </c>
      <c r="D509" s="7" t="n">
        <v>45849</v>
      </c>
      <c r="E509" s="7" t="n">
        <v>45750</v>
      </c>
      <c r="F509" s="7"/>
      <c r="G509" s="7" t="n">
        <v>45751</v>
      </c>
      <c r="H509" s="7" t="n">
        <v>45751</v>
      </c>
      <c r="I509" s="15" t="n">
        <v>90136</v>
      </c>
      <c r="J509" s="5" t="str">
        <f aca="false">"SPDLFT005470"</f>
        <v>SPDLFT005470</v>
      </c>
      <c r="K509" s="5" t="str">
        <f aca="false">"CASA ELOY"</f>
        <v>CASA ELOY</v>
      </c>
      <c r="L509" s="5" t="str">
        <f aca="false">"FERRAGISTA"</f>
        <v>FERRAGISTA</v>
      </c>
      <c r="M509" s="5" t="str">
        <f aca="false">"BA"</f>
        <v>BA</v>
      </c>
      <c r="N509" s="9" t="n">
        <v>2318.48</v>
      </c>
      <c r="O509" s="10" t="n">
        <v>337.53</v>
      </c>
      <c r="P509" s="10" t="n">
        <v>218.84</v>
      </c>
      <c r="Q509" s="10" t="n">
        <v>1.2</v>
      </c>
      <c r="R509" s="10" t="n">
        <v>1.12</v>
      </c>
      <c r="S509" s="5" t="str">
        <f aca="false">"Faturado"</f>
        <v>Faturado</v>
      </c>
      <c r="T509" s="5" t="str">
        <f aca="false">"YARA"</f>
        <v>YARA</v>
      </c>
      <c r="U509" s="11" t="n">
        <v>25</v>
      </c>
      <c r="V509" s="5" t="str">
        <f aca="false">""</f>
        <v/>
      </c>
    </row>
    <row r="510" customFormat="false" ht="12.8" hidden="false" customHeight="false" outlineLevel="0" collapsed="false">
      <c r="A510" s="4" t="n">
        <v>206</v>
      </c>
      <c r="B510" s="5" t="str">
        <f aca="false">"LA FONTE"</f>
        <v>LA FONTE</v>
      </c>
      <c r="C510" s="6" t="n">
        <v>956639</v>
      </c>
      <c r="D510" s="7" t="n">
        <v>45852</v>
      </c>
      <c r="E510" s="7" t="n">
        <v>45750</v>
      </c>
      <c r="F510" s="7"/>
      <c r="G510" s="7" t="n">
        <v>45751</v>
      </c>
      <c r="H510" s="7" t="n">
        <v>45751</v>
      </c>
      <c r="I510" s="15" t="n">
        <v>90191</v>
      </c>
      <c r="J510" s="5" t="str">
        <f aca="false">"SPDLFT005563"</f>
        <v>SPDLFT005563</v>
      </c>
      <c r="K510" s="5" t="str">
        <f aca="false">"REI"</f>
        <v>REI</v>
      </c>
      <c r="L510" s="5" t="str">
        <f aca="false">"FERRAGISTA"</f>
        <v>FERRAGISTA</v>
      </c>
      <c r="M510" s="5" t="str">
        <f aca="false">"PR"</f>
        <v>PR</v>
      </c>
      <c r="N510" s="9" t="n">
        <v>10143.2</v>
      </c>
      <c r="O510" s="10" t="n">
        <v>2788.43</v>
      </c>
      <c r="P510" s="10" t="n">
        <v>1830.08</v>
      </c>
      <c r="Q510" s="10" t="n">
        <v>6.43</v>
      </c>
      <c r="R510" s="10" t="n">
        <v>6.08</v>
      </c>
      <c r="S510" s="5" t="str">
        <f aca="false">"Faturado"</f>
        <v>Faturado</v>
      </c>
      <c r="T510" s="5" t="str">
        <f aca="false">"KRS REP"</f>
        <v>KRS REP</v>
      </c>
      <c r="U510" s="11" t="n">
        <v>25</v>
      </c>
      <c r="V510" s="5" t="str">
        <f aca="false">""</f>
        <v/>
      </c>
    </row>
    <row r="511" customFormat="false" ht="12.8" hidden="false" customHeight="false" outlineLevel="0" collapsed="false">
      <c r="A511" s="4" t="n">
        <v>206</v>
      </c>
      <c r="B511" s="5" t="str">
        <f aca="false">"LA FONTE"</f>
        <v>LA FONTE</v>
      </c>
      <c r="C511" s="6" t="n">
        <v>956574</v>
      </c>
      <c r="D511" s="7" t="n">
        <v>45856</v>
      </c>
      <c r="E511" s="7" t="n">
        <v>45750</v>
      </c>
      <c r="F511" s="7"/>
      <c r="G511" s="7" t="n">
        <v>45751</v>
      </c>
      <c r="H511" s="7" t="n">
        <v>45751</v>
      </c>
      <c r="I511" s="15" t="n">
        <v>90226</v>
      </c>
      <c r="J511" s="5" t="str">
        <f aca="false">"SPDLFT005631"</f>
        <v>SPDLFT005631</v>
      </c>
      <c r="K511" s="5" t="str">
        <f aca="false">"CARRERAINDUS"</f>
        <v>CARRERAINDUS</v>
      </c>
      <c r="L511" s="5" t="str">
        <f aca="false">"OEM"</f>
        <v>OEM</v>
      </c>
      <c r="M511" s="5" t="str">
        <f aca="false">"SP"</f>
        <v>SP</v>
      </c>
      <c r="N511" s="9" t="n">
        <v>1308.5</v>
      </c>
      <c r="O511" s="10" t="n">
        <v>311.6</v>
      </c>
      <c r="P511" s="10" t="n">
        <v>231.87</v>
      </c>
      <c r="Q511" s="10" t="n">
        <v>1.01</v>
      </c>
      <c r="R511" s="10" t="n">
        <v>1.01</v>
      </c>
      <c r="S511" s="5" t="str">
        <f aca="false">"Faturado"</f>
        <v>Faturado</v>
      </c>
      <c r="T511" s="5" t="str">
        <f aca="false">"PRIME CF"</f>
        <v>PRIME CF</v>
      </c>
      <c r="U511" s="11" t="n">
        <v>25</v>
      </c>
      <c r="V511" s="5" t="str">
        <f aca="false">""</f>
        <v/>
      </c>
    </row>
    <row r="512" customFormat="false" ht="12.8" hidden="false" customHeight="false" outlineLevel="0" collapsed="false">
      <c r="A512" s="4" t="n">
        <v>206</v>
      </c>
      <c r="B512" s="5" t="str">
        <f aca="false">"LA FONTE"</f>
        <v>LA FONTE</v>
      </c>
      <c r="C512" s="6" t="n">
        <v>956584</v>
      </c>
      <c r="D512" s="7" t="n">
        <v>45857</v>
      </c>
      <c r="E512" s="7" t="n">
        <v>45750</v>
      </c>
      <c r="F512" s="7"/>
      <c r="G512" s="7" t="n">
        <v>45751</v>
      </c>
      <c r="H512" s="7" t="n">
        <v>45751</v>
      </c>
      <c r="I512" s="15" t="n">
        <v>90121</v>
      </c>
      <c r="J512" s="5" t="str">
        <f aca="false">"SPDLFT005701"</f>
        <v>SPDLFT005701</v>
      </c>
      <c r="K512" s="5" t="str">
        <f aca="false">"COND DIAMANT"</f>
        <v>COND DIAMANT</v>
      </c>
      <c r="L512" s="5" t="str">
        <f aca="false">"CONSTRUTORA"</f>
        <v>CONSTRUTORA</v>
      </c>
      <c r="M512" s="5" t="str">
        <f aca="false">"SP"</f>
        <v>SP</v>
      </c>
      <c r="N512" s="9" t="n">
        <v>1950.78</v>
      </c>
      <c r="O512" s="10" t="n">
        <v>506.4</v>
      </c>
      <c r="P512" s="10" t="n">
        <v>376.84</v>
      </c>
      <c r="Q512" s="10" t="n">
        <v>1.3</v>
      </c>
      <c r="R512" s="10" t="n">
        <v>0.77</v>
      </c>
      <c r="S512" s="5" t="str">
        <f aca="false">"Faturado"</f>
        <v>Faturado</v>
      </c>
      <c r="T512" s="5" t="str">
        <f aca="false">"BAGNATO"</f>
        <v>BAGNATO</v>
      </c>
      <c r="U512" s="11" t="n">
        <v>25</v>
      </c>
      <c r="V512" s="5" t="str">
        <f aca="false">""</f>
        <v/>
      </c>
    </row>
    <row r="513" customFormat="false" ht="12.8" hidden="false" customHeight="false" outlineLevel="0" collapsed="false">
      <c r="A513" s="4" t="n">
        <v>206</v>
      </c>
      <c r="B513" s="5" t="str">
        <f aca="false">"LA FONTE"</f>
        <v>LA FONTE</v>
      </c>
      <c r="C513" s="6" t="n">
        <v>956583</v>
      </c>
      <c r="D513" s="7" t="n">
        <v>45857</v>
      </c>
      <c r="E513" s="7" t="n">
        <v>45750</v>
      </c>
      <c r="F513" s="7"/>
      <c r="G513" s="7" t="n">
        <v>45751</v>
      </c>
      <c r="H513" s="7" t="n">
        <v>45751</v>
      </c>
      <c r="I513" s="15" t="n">
        <v>90213</v>
      </c>
      <c r="J513" s="5" t="str">
        <f aca="false">"SPDLFT005697"</f>
        <v>SPDLFT005697</v>
      </c>
      <c r="K513" s="5" t="str">
        <f aca="false">"COND DIAMANT"</f>
        <v>COND DIAMANT</v>
      </c>
      <c r="L513" s="5" t="str">
        <f aca="false">"CONSTRUTORA"</f>
        <v>CONSTRUTORA</v>
      </c>
      <c r="M513" s="5" t="str">
        <f aca="false">"SP"</f>
        <v>SP</v>
      </c>
      <c r="N513" s="9" t="n">
        <v>3251.32</v>
      </c>
      <c r="O513" s="10" t="n">
        <v>607.68</v>
      </c>
      <c r="P513" s="10" t="n">
        <v>452.21</v>
      </c>
      <c r="Q513" s="10" t="n">
        <v>1.7</v>
      </c>
      <c r="R513" s="10" t="n">
        <v>0.92</v>
      </c>
      <c r="S513" s="5" t="str">
        <f aca="false">"Faturado"</f>
        <v>Faturado</v>
      </c>
      <c r="T513" s="5" t="str">
        <f aca="false">"BAGNATO"</f>
        <v>BAGNATO</v>
      </c>
      <c r="U513" s="11" t="n">
        <v>25</v>
      </c>
      <c r="V513" s="5" t="str">
        <f aca="false">""</f>
        <v/>
      </c>
    </row>
    <row r="514" customFormat="false" ht="12.8" hidden="false" customHeight="false" outlineLevel="0" collapsed="false">
      <c r="A514" s="4" t="n">
        <v>206</v>
      </c>
      <c r="B514" s="5" t="str">
        <f aca="false">"LA FONTE"</f>
        <v>LA FONTE</v>
      </c>
      <c r="C514" s="6" t="n">
        <v>956616</v>
      </c>
      <c r="D514" s="7" t="n">
        <v>45861</v>
      </c>
      <c r="E514" s="7" t="n">
        <v>45750</v>
      </c>
      <c r="F514" s="7"/>
      <c r="G514" s="7" t="n">
        <v>45751</v>
      </c>
      <c r="H514" s="7" t="n">
        <v>45751</v>
      </c>
      <c r="I514" s="15" t="n">
        <v>90193</v>
      </c>
      <c r="J514" s="5" t="str">
        <f aca="false">"SPDLFT005772"</f>
        <v>SPDLFT005772</v>
      </c>
      <c r="K514" s="5" t="str">
        <f aca="false">"LINE FECH"</f>
        <v>LINE FECH</v>
      </c>
      <c r="L514" s="5" t="str">
        <f aca="false">"FERRAGISTA"</f>
        <v>FERRAGISTA</v>
      </c>
      <c r="M514" s="5" t="str">
        <f aca="false">"SP"</f>
        <v>SP</v>
      </c>
      <c r="N514" s="9" t="n">
        <v>2459.6</v>
      </c>
      <c r="O514" s="10" t="n">
        <v>874.9</v>
      </c>
      <c r="P514" s="10" t="n">
        <v>611.32</v>
      </c>
      <c r="Q514" s="10" t="n">
        <v>12.5</v>
      </c>
      <c r="R514" s="10" t="n">
        <v>12.5</v>
      </c>
      <c r="S514" s="5" t="str">
        <f aca="false">"Faturado"</f>
        <v>Faturado</v>
      </c>
      <c r="T514" s="5" t="str">
        <f aca="false">"YARA"</f>
        <v>YARA</v>
      </c>
      <c r="U514" s="11" t="n">
        <v>25</v>
      </c>
      <c r="V514" s="5" t="str">
        <f aca="false">""</f>
        <v/>
      </c>
    </row>
    <row r="515" customFormat="false" ht="12.8" hidden="false" customHeight="false" outlineLevel="0" collapsed="false">
      <c r="A515" s="4" t="n">
        <v>206</v>
      </c>
      <c r="B515" s="5" t="str">
        <f aca="false">"LA FONTE"</f>
        <v>LA FONTE</v>
      </c>
      <c r="C515" s="6" t="n">
        <v>956627</v>
      </c>
      <c r="D515" s="7" t="n">
        <v>45863</v>
      </c>
      <c r="E515" s="7" t="n">
        <v>45750</v>
      </c>
      <c r="F515" s="7"/>
      <c r="G515" s="7" t="n">
        <v>45751</v>
      </c>
      <c r="H515" s="7" t="n">
        <v>45751</v>
      </c>
      <c r="I515" s="15" t="n">
        <v>90050</v>
      </c>
      <c r="J515" s="12" t="n">
        <v>31094</v>
      </c>
      <c r="K515" s="5" t="str">
        <f aca="false">"METALFERCO1"</f>
        <v>METALFERCO1</v>
      </c>
      <c r="L515" s="5" t="str">
        <f aca="false">"FERRAGISTA"</f>
        <v>FERRAGISTA</v>
      </c>
      <c r="M515" s="5" t="str">
        <f aca="false">"SP"</f>
        <v>SP</v>
      </c>
      <c r="N515" s="9" t="n">
        <v>49267.07</v>
      </c>
      <c r="O515" s="10" t="n">
        <v>1377.99</v>
      </c>
      <c r="P515" s="10" t="n">
        <v>889.36</v>
      </c>
      <c r="Q515" s="10" t="n">
        <v>3.9</v>
      </c>
      <c r="R515" s="10" t="n">
        <v>3.9</v>
      </c>
      <c r="S515" s="5" t="str">
        <f aca="false">"Faturado"</f>
        <v>Faturado</v>
      </c>
      <c r="T515" s="5" t="str">
        <f aca="false">"METALF PIN"</f>
        <v>METALF PIN</v>
      </c>
      <c r="U515" s="11" t="n">
        <v>25</v>
      </c>
      <c r="V515" s="5" t="str">
        <f aca="false">""</f>
        <v/>
      </c>
    </row>
    <row r="516" customFormat="false" ht="12.8" hidden="false" customHeight="false" outlineLevel="0" collapsed="false">
      <c r="A516" s="4" t="n">
        <v>206</v>
      </c>
      <c r="B516" s="5" t="str">
        <f aca="false">"LA FONTE"</f>
        <v>LA FONTE</v>
      </c>
      <c r="C516" s="6" t="n">
        <v>956630</v>
      </c>
      <c r="D516" s="7" t="n">
        <v>45863</v>
      </c>
      <c r="E516" s="7" t="n">
        <v>45750</v>
      </c>
      <c r="F516" s="7"/>
      <c r="G516" s="7" t="n">
        <v>45751</v>
      </c>
      <c r="H516" s="7" t="n">
        <v>45751</v>
      </c>
      <c r="I516" s="15" t="n">
        <v>90179</v>
      </c>
      <c r="J516" s="12" t="n">
        <v>31097</v>
      </c>
      <c r="K516" s="5" t="str">
        <f aca="false">"METALFERCO1"</f>
        <v>METALFERCO1</v>
      </c>
      <c r="L516" s="5" t="str">
        <f aca="false">"FERRAGISTA"</f>
        <v>FERRAGISTA</v>
      </c>
      <c r="M516" s="5" t="str">
        <f aca="false">"SP"</f>
        <v>SP</v>
      </c>
      <c r="N516" s="9" t="n">
        <v>53908.64</v>
      </c>
      <c r="O516" s="10" t="n">
        <v>3485.23</v>
      </c>
      <c r="P516" s="10" t="n">
        <v>2249.37</v>
      </c>
      <c r="Q516" s="10" t="n">
        <v>17.1</v>
      </c>
      <c r="R516" s="10" t="n">
        <v>16.71</v>
      </c>
      <c r="S516" s="5" t="str">
        <f aca="false">"Faturado"</f>
        <v>Faturado</v>
      </c>
      <c r="T516" s="5" t="str">
        <f aca="false">"METALF PIN"</f>
        <v>METALF PIN</v>
      </c>
      <c r="U516" s="11" t="n">
        <v>25</v>
      </c>
      <c r="V516" s="5" t="str">
        <f aca="false">""</f>
        <v/>
      </c>
    </row>
    <row r="517" customFormat="false" ht="12.8" hidden="false" customHeight="false" outlineLevel="0" collapsed="false">
      <c r="A517" s="4" t="n">
        <v>206</v>
      </c>
      <c r="B517" s="5" t="str">
        <f aca="false">"LA FONTE"</f>
        <v>LA FONTE</v>
      </c>
      <c r="C517" s="6" t="n">
        <v>956631</v>
      </c>
      <c r="D517" s="7" t="n">
        <v>45863</v>
      </c>
      <c r="E517" s="7" t="n">
        <v>45750</v>
      </c>
      <c r="F517" s="7"/>
      <c r="G517" s="7" t="n">
        <v>45751</v>
      </c>
      <c r="H517" s="7" t="n">
        <v>45751</v>
      </c>
      <c r="I517" s="15" t="n">
        <v>90185</v>
      </c>
      <c r="J517" s="12" t="n">
        <v>31093</v>
      </c>
      <c r="K517" s="5" t="str">
        <f aca="false">"METALFERCO4"</f>
        <v>METALFERCO4</v>
      </c>
      <c r="L517" s="5" t="str">
        <f aca="false">"FERRAGISTA"</f>
        <v>FERRAGISTA</v>
      </c>
      <c r="M517" s="5" t="str">
        <f aca="false">"SP"</f>
        <v>SP</v>
      </c>
      <c r="N517" s="9" t="n">
        <v>26806.48</v>
      </c>
      <c r="O517" s="10" t="n">
        <v>6322.84</v>
      </c>
      <c r="P517" s="10" t="n">
        <v>4080.79</v>
      </c>
      <c r="Q517" s="10" t="n">
        <v>35.83</v>
      </c>
      <c r="R517" s="10" t="n">
        <v>32.18</v>
      </c>
      <c r="S517" s="5" t="str">
        <f aca="false">"Faturado"</f>
        <v>Faturado</v>
      </c>
      <c r="T517" s="5" t="str">
        <f aca="false">"METALF PIN"</f>
        <v>METALF PIN</v>
      </c>
      <c r="U517" s="11" t="n">
        <v>25</v>
      </c>
      <c r="V517" s="5" t="str">
        <f aca="false">""</f>
        <v/>
      </c>
    </row>
    <row r="518" customFormat="false" ht="12.8" hidden="false" customHeight="false" outlineLevel="0" collapsed="false">
      <c r="A518" s="4" t="n">
        <v>206</v>
      </c>
      <c r="B518" s="5" t="str">
        <f aca="false">"LA FONTE"</f>
        <v>LA FONTE</v>
      </c>
      <c r="C518" s="6" t="n">
        <v>956566</v>
      </c>
      <c r="D518" s="7" t="n">
        <v>45866</v>
      </c>
      <c r="E518" s="7" t="n">
        <v>45750</v>
      </c>
      <c r="F518" s="7"/>
      <c r="G518" s="7" t="n">
        <v>45751</v>
      </c>
      <c r="H518" s="7" t="n">
        <v>45751</v>
      </c>
      <c r="I518" s="15" t="n">
        <v>90236</v>
      </c>
      <c r="J518" s="5" t="str">
        <f aca="false">"SPDLFT005834"</f>
        <v>SPDLFT005834</v>
      </c>
      <c r="K518" s="5" t="str">
        <f aca="false">"ATACADAOR5"</f>
        <v>ATACADAOR5</v>
      </c>
      <c r="L518" s="5" t="str">
        <f aca="false">"FERRAGISTA"</f>
        <v>FERRAGISTA</v>
      </c>
      <c r="M518" s="5" t="str">
        <f aca="false">"RJ"</f>
        <v>RJ</v>
      </c>
      <c r="N518" s="9" t="n">
        <v>8132.73</v>
      </c>
      <c r="O518" s="10" t="n">
        <v>839.88</v>
      </c>
      <c r="P518" s="10" t="n">
        <v>531.39</v>
      </c>
      <c r="Q518" s="10" t="n">
        <v>6.2</v>
      </c>
      <c r="R518" s="10" t="n">
        <v>6.2</v>
      </c>
      <c r="S518" s="5" t="str">
        <f aca="false">"Faturado"</f>
        <v>Faturado</v>
      </c>
      <c r="T518" s="5" t="str">
        <f aca="false">"MOUNTAIN"</f>
        <v>MOUNTAIN</v>
      </c>
      <c r="U518" s="11" t="n">
        <v>25</v>
      </c>
      <c r="V518" s="5" t="str">
        <f aca="false">""</f>
        <v/>
      </c>
    </row>
    <row r="519" customFormat="false" ht="12.8" hidden="false" customHeight="false" outlineLevel="0" collapsed="false">
      <c r="A519" s="4" t="n">
        <v>206</v>
      </c>
      <c r="B519" s="5" t="str">
        <f aca="false">"LA FONTE"</f>
        <v>LA FONTE</v>
      </c>
      <c r="C519" s="6" t="n">
        <v>956571</v>
      </c>
      <c r="D519" s="7" t="n">
        <v>45867</v>
      </c>
      <c r="E519" s="7" t="n">
        <v>45750</v>
      </c>
      <c r="F519" s="7"/>
      <c r="G519" s="7" t="n">
        <v>45751</v>
      </c>
      <c r="H519" s="7" t="n">
        <v>45751</v>
      </c>
      <c r="I519" s="15" t="n">
        <v>90210</v>
      </c>
      <c r="J519" s="5" t="str">
        <f aca="false">"SPDLFT005878"</f>
        <v>SPDLFT005878</v>
      </c>
      <c r="K519" s="5" t="str">
        <f aca="false">"BLIM"</f>
        <v>BLIM</v>
      </c>
      <c r="L519" s="5" t="str">
        <f aca="false">"FERRAGISTA"</f>
        <v>FERRAGISTA</v>
      </c>
      <c r="M519" s="5" t="str">
        <f aca="false">"SP"</f>
        <v>SP</v>
      </c>
      <c r="N519" s="9" t="n">
        <v>9190.8</v>
      </c>
      <c r="O519" s="10" t="n">
        <v>3720.95</v>
      </c>
      <c r="P519" s="10" t="n">
        <v>2401.52</v>
      </c>
      <c r="Q519" s="10" t="n">
        <v>16.98</v>
      </c>
      <c r="R519" s="10" t="n">
        <v>16.51</v>
      </c>
      <c r="S519" s="5" t="str">
        <f aca="false">"Faturado"</f>
        <v>Faturado</v>
      </c>
      <c r="T519" s="5" t="str">
        <f aca="false">"REAL PRICE"</f>
        <v>REAL PRICE</v>
      </c>
      <c r="U519" s="11" t="n">
        <v>25</v>
      </c>
      <c r="V519" s="5" t="str">
        <f aca="false">""</f>
        <v/>
      </c>
    </row>
    <row r="520" customFormat="false" ht="12.8" hidden="false" customHeight="false" outlineLevel="0" collapsed="false">
      <c r="A520" s="4" t="n">
        <v>206</v>
      </c>
      <c r="B520" s="5" t="str">
        <f aca="false">"LA FONTE"</f>
        <v>LA FONTE</v>
      </c>
      <c r="C520" s="6" t="n">
        <v>956619</v>
      </c>
      <c r="D520" s="7" t="n">
        <v>45867</v>
      </c>
      <c r="E520" s="7" t="n">
        <v>45750</v>
      </c>
      <c r="F520" s="7"/>
      <c r="G520" s="7" t="n">
        <v>45751</v>
      </c>
      <c r="H520" s="7" t="n">
        <v>45751</v>
      </c>
      <c r="I520" s="15" t="n">
        <v>90223</v>
      </c>
      <c r="J520" s="5" t="str">
        <f aca="false">"OC 8"</f>
        <v>OC 8</v>
      </c>
      <c r="K520" s="5" t="str">
        <f aca="false">"LUFAT"</f>
        <v>LUFAT</v>
      </c>
      <c r="L520" s="5" t="str">
        <f aca="false">"FERRAGISTA"</f>
        <v>FERRAGISTA</v>
      </c>
      <c r="M520" s="5" t="str">
        <f aca="false">"RS"</f>
        <v>RS</v>
      </c>
      <c r="N520" s="9" t="n">
        <v>3405.29</v>
      </c>
      <c r="O520" s="10" t="n">
        <v>4625.95</v>
      </c>
      <c r="P520" s="10" t="n">
        <v>3024.57</v>
      </c>
      <c r="Q520" s="10" t="n">
        <v>19.22</v>
      </c>
      <c r="R520" s="10" t="n">
        <v>19.22</v>
      </c>
      <c r="S520" s="5" t="str">
        <f aca="false">"Faturado"</f>
        <v>Faturado</v>
      </c>
      <c r="T520" s="5" t="str">
        <f aca="false">"JACKSON MACH"</f>
        <v>JACKSON MACH</v>
      </c>
      <c r="U520" s="11" t="n">
        <v>25</v>
      </c>
      <c r="V520" s="5" t="str">
        <f aca="false">""</f>
        <v/>
      </c>
    </row>
    <row r="521" customFormat="false" ht="12.8" hidden="false" customHeight="false" outlineLevel="0" collapsed="false">
      <c r="A521" s="4" t="n">
        <v>206</v>
      </c>
      <c r="B521" s="5" t="str">
        <f aca="false">"LA FONTE"</f>
        <v>LA FONTE</v>
      </c>
      <c r="C521" s="6" t="n">
        <v>956618</v>
      </c>
      <c r="D521" s="7" t="n">
        <v>45867</v>
      </c>
      <c r="E521" s="7" t="n">
        <v>45750</v>
      </c>
      <c r="F521" s="7"/>
      <c r="G521" s="7" t="n">
        <v>45751</v>
      </c>
      <c r="H521" s="7" t="n">
        <v>45751</v>
      </c>
      <c r="I521" s="15" t="n">
        <v>90219</v>
      </c>
      <c r="J521" s="5" t="str">
        <f aca="false">"OC 148"</f>
        <v>OC 148</v>
      </c>
      <c r="K521" s="5" t="str">
        <f aca="false">"LUFAT"</f>
        <v>LUFAT</v>
      </c>
      <c r="L521" s="5" t="str">
        <f aca="false">"FERRAGISTA"</f>
        <v>FERRAGISTA</v>
      </c>
      <c r="M521" s="5" t="str">
        <f aca="false">"RS"</f>
        <v>RS</v>
      </c>
      <c r="N521" s="9" t="n">
        <v>3191.35</v>
      </c>
      <c r="O521" s="10" t="n">
        <v>1472.66</v>
      </c>
      <c r="P521" s="10" t="n">
        <v>955</v>
      </c>
      <c r="Q521" s="10" t="n">
        <v>5.9</v>
      </c>
      <c r="R521" s="10" t="n">
        <v>5.9</v>
      </c>
      <c r="S521" s="5" t="str">
        <f aca="false">"Faturado"</f>
        <v>Faturado</v>
      </c>
      <c r="T521" s="5" t="str">
        <f aca="false">"JACKSON MACH"</f>
        <v>JACKSON MACH</v>
      </c>
      <c r="U521" s="11" t="n">
        <v>25</v>
      </c>
      <c r="V521" s="5" t="str">
        <f aca="false">""</f>
        <v/>
      </c>
    </row>
    <row r="522" customFormat="false" ht="12.8" hidden="false" customHeight="false" outlineLevel="0" collapsed="false">
      <c r="A522" s="5" t="str">
        <f aca="false">"ZZZ"</f>
        <v>ZZZ</v>
      </c>
      <c r="B522" s="5" t="str">
        <f aca="false">"ZZZZZZZZZZZZ"</f>
        <v>ZZZZZZZZZZZZ</v>
      </c>
      <c r="C522" s="18" t="str">
        <f aca="false">"9999999999999999"</f>
        <v>9999999999999999</v>
      </c>
      <c r="D522" s="7" t="n">
        <v>2958465</v>
      </c>
      <c r="E522" s="7" t="n">
        <v>2958465</v>
      </c>
      <c r="F522" s="7" t="n">
        <v>2958465</v>
      </c>
      <c r="G522" s="7" t="n">
        <v>2958465</v>
      </c>
      <c r="H522" s="7" t="n">
        <v>2958465</v>
      </c>
      <c r="I522" s="14" t="n">
        <v>1000000000000000</v>
      </c>
      <c r="J522" s="14" t="n">
        <v>1000000000000000</v>
      </c>
      <c r="K522" s="5" t="str">
        <f aca="false">"ZZZZZZZZZZZZZZZZ"</f>
        <v>ZZZZZZZZZZZZZZZZ</v>
      </c>
      <c r="L522" s="5" t="str">
        <f aca="false">"ZZZZZZZZZZZZZZZZZZZZZZZZZZZZZZ"</f>
        <v>ZZZZZZZZZZZZZZZZZZZZZZZZZZZZZZ</v>
      </c>
      <c r="M522" s="5" t="str">
        <f aca="false">"ZZZZ"</f>
        <v>ZZZZ</v>
      </c>
      <c r="N522" s="9" t="n">
        <v>988473.7</v>
      </c>
      <c r="O522" s="10" t="n">
        <v>1331611.91</v>
      </c>
      <c r="P522" s="10" t="n">
        <v>1010005.27</v>
      </c>
      <c r="Q522" s="10" t="n">
        <v>13365.32</v>
      </c>
      <c r="R522" s="10" t="n">
        <v>13560.73</v>
      </c>
      <c r="S522" s="5" t="str">
        <f aca="false">"ZZZZZZZZZZ"</f>
        <v>ZZZZZZZZZZ</v>
      </c>
      <c r="T522" s="5" t="str">
        <f aca="false">"ZZZZZZZZZZZZ"</f>
        <v>ZZZZZZZZZZZZ</v>
      </c>
      <c r="U522" s="11" t="n">
        <v>99</v>
      </c>
      <c r="V522" s="5" t="str">
        <f aca="false">""</f>
        <v/>
      </c>
    </row>
    <row r="523" customFormat="false" ht="12.8" hidden="false" customHeight="false" outlineLevel="0" collapsed="false">
      <c r="A523" s="0" t="s">
        <v>23</v>
      </c>
    </row>
    <row r="524" customFormat="false" ht="12.8" hidden="false" customHeight="false" outlineLevel="0" collapsed="false">
      <c r="A524" s="0" t="s">
        <v>24</v>
      </c>
      <c r="B524" s="0" t="n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2025-04-04T14:44:05Z</dcterms:modified>
  <cp:revision>1</cp:revision>
  <dc:subject/>
  <dc:title/>
</cp:coreProperties>
</file>